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charts/chart58.xml" ContentType="application/vnd.openxmlformats-officedocument.drawingml.chart+xml"/>
  <Override PartName="/xl/drawings/drawing66.xml" ContentType="application/vnd.openxmlformats-officedocument.drawing+xml"/>
  <Override PartName="/xl/charts/chart59.xml" ContentType="application/vnd.openxmlformats-officedocument.drawingml.chart+xml"/>
  <Override PartName="/xl/drawings/drawing67.xml" ContentType="application/vnd.openxmlformats-officedocument.drawing+xml"/>
  <Override PartName="/xl/charts/chart60.xml" ContentType="application/vnd.openxmlformats-officedocument.drawingml.chart+xml"/>
  <Override PartName="/xl/drawings/drawing68.xml" ContentType="application/vnd.openxmlformats-officedocument.drawing+xml"/>
  <Override PartName="/xl/charts/chart61.xml" ContentType="application/vnd.openxmlformats-officedocument.drawingml.chart+xml"/>
  <Override PartName="/xl/drawings/drawing69.xml" ContentType="application/vnd.openxmlformats-officedocument.drawing+xml"/>
  <Override PartName="/xl/charts/chart62.xml" ContentType="application/vnd.openxmlformats-officedocument.drawingml.chart+xml"/>
  <Override PartName="/xl/drawings/drawing70.xml" ContentType="application/vnd.openxmlformats-officedocument.drawing+xml"/>
  <Override PartName="/xl/charts/chart63.xml" ContentType="application/vnd.openxmlformats-officedocument.drawingml.chart+xml"/>
  <Override PartName="/xl/drawings/drawing71.xml" ContentType="application/vnd.openxmlformats-officedocument.drawing+xml"/>
  <Override PartName="/xl/charts/chart64.xml" ContentType="application/vnd.openxmlformats-officedocument.drawingml.chart+xml"/>
  <Override PartName="/xl/drawings/drawing72.xml" ContentType="application/vnd.openxmlformats-officedocument.drawing+xml"/>
  <Override PartName="/xl/charts/chart65.xml" ContentType="application/vnd.openxmlformats-officedocument.drawingml.chart+xml"/>
  <Override PartName="/xl/drawings/drawing73.xml" ContentType="application/vnd.openxmlformats-officedocument.drawing+xml"/>
  <Override PartName="/xl/charts/chart66.xml" ContentType="application/vnd.openxmlformats-officedocument.drawingml.chart+xml"/>
  <Override PartName="/xl/drawings/drawing74.xml" ContentType="application/vnd.openxmlformats-officedocument.drawing+xml"/>
  <Override PartName="/xl/charts/chart67.xml" ContentType="application/vnd.openxmlformats-officedocument.drawingml.chart+xml"/>
  <Override PartName="/xl/drawings/drawing75.xml" ContentType="application/vnd.openxmlformats-officedocument.drawing+xml"/>
  <Override PartName="/xl/charts/chart68.xml" ContentType="application/vnd.openxmlformats-officedocument.drawingml.chart+xml"/>
  <Override PartName="/xl/drawings/drawing76.xml" ContentType="application/vnd.openxmlformats-officedocument.drawing+xml"/>
  <Override PartName="/xl/charts/chart6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7.xml" ContentType="application/vnd.openxmlformats-officedocument.drawing+xml"/>
  <Override PartName="/xl/charts/chart70.xml" ContentType="application/vnd.openxmlformats-officedocument.drawingml.chart+xml"/>
  <Override PartName="/xl/drawings/drawing78.xml" ContentType="application/vnd.openxmlformats-officedocument.drawing+xml"/>
  <Override PartName="/xl/charts/chart71.xml" ContentType="application/vnd.openxmlformats-officedocument.drawingml.chart+xml"/>
  <Override PartName="/xl/drawings/drawing79.xml" ContentType="application/vnd.openxmlformats-officedocument.drawing+xml"/>
  <Override PartName="/xl/charts/chart72.xml" ContentType="application/vnd.openxmlformats-officedocument.drawingml.chart+xml"/>
  <Override PartName="/xl/drawings/drawing80.xml" ContentType="application/vnd.openxmlformats-officedocument.drawing+xml"/>
  <Override PartName="/xl/charts/chart73.xml" ContentType="application/vnd.openxmlformats-officedocument.drawingml.chart+xml"/>
  <Override PartName="/xl/drawings/drawing81.xml" ContentType="application/vnd.openxmlformats-officedocument.drawing+xml"/>
  <Override PartName="/xl/charts/chart74.xml" ContentType="application/vnd.openxmlformats-officedocument.drawingml.chart+xml"/>
  <Override PartName="/xl/drawings/drawing82.xml" ContentType="application/vnd.openxmlformats-officedocument.drawing+xml"/>
  <Override PartName="/xl/charts/chart75.xml" ContentType="application/vnd.openxmlformats-officedocument.drawingml.chart+xml"/>
  <Override PartName="/xl/drawings/drawing83.xml" ContentType="application/vnd.openxmlformats-officedocument.drawing+xml"/>
  <Override PartName="/xl/charts/chart76.xml" ContentType="application/vnd.openxmlformats-officedocument.drawingml.chart+xml"/>
  <Override PartName="/xl/drawings/drawing84.xml" ContentType="application/vnd.openxmlformats-officedocument.drawing+xml"/>
  <Override PartName="/xl/charts/chart77.xml" ContentType="application/vnd.openxmlformats-officedocument.drawingml.chart+xml"/>
  <Override PartName="/xl/drawings/drawing85.xml" ContentType="application/vnd.openxmlformats-officedocument.drawing+xml"/>
  <Override PartName="/xl/charts/chart78.xml" ContentType="application/vnd.openxmlformats-officedocument.drawingml.chart+xml"/>
  <Override PartName="/xl/drawings/drawing86.xml" ContentType="application/vnd.openxmlformats-officedocument.drawing+xml"/>
  <Override PartName="/xl/charts/chart79.xml" ContentType="application/vnd.openxmlformats-officedocument.drawingml.chart+xml"/>
  <Override PartName="/xl/drawings/drawing87.xml" ContentType="application/vnd.openxmlformats-officedocument.drawing+xml"/>
  <Override PartName="/xl/charts/chart80.xml" ContentType="application/vnd.openxmlformats-officedocument.drawingml.chart+xml"/>
  <Override PartName="/xl/drawings/drawing88.xml" ContentType="application/vnd.openxmlformats-officedocument.drawing+xml"/>
  <Override PartName="/xl/charts/chart81.xml" ContentType="application/vnd.openxmlformats-officedocument.drawingml.chart+xml"/>
  <Override PartName="/xl/drawings/drawing89.xml" ContentType="application/vnd.openxmlformats-officedocument.drawing+xml"/>
  <Override PartName="/xl/charts/chart82.xml" ContentType="application/vnd.openxmlformats-officedocument.drawingml.chart+xml"/>
  <Override PartName="/xl/drawings/drawing90.xml" ContentType="application/vnd.openxmlformats-officedocument.drawing+xml"/>
  <Override PartName="/xl/charts/chart83.xml" ContentType="application/vnd.openxmlformats-officedocument.drawingml.chart+xml"/>
  <Override PartName="/xl/drawings/drawing91.xml" ContentType="application/vnd.openxmlformats-officedocument.drawing+xml"/>
  <Override PartName="/xl/charts/chart84.xml" ContentType="application/vnd.openxmlformats-officedocument.drawingml.chart+xml"/>
  <Override PartName="/xl/drawings/drawing92.xml" ContentType="application/vnd.openxmlformats-officedocument.drawing+xml"/>
  <Override PartName="/xl/charts/chart85.xml" ContentType="application/vnd.openxmlformats-officedocument.drawingml.chart+xml"/>
  <Override PartName="/xl/drawings/drawing93.xml" ContentType="application/vnd.openxmlformats-officedocument.drawing+xml"/>
  <Override PartName="/xl/charts/chart86.xml" ContentType="application/vnd.openxmlformats-officedocument.drawingml.chart+xml"/>
  <Override PartName="/xl/drawings/drawing94.xml" ContentType="application/vnd.openxmlformats-officedocument.drawing+xml"/>
  <Override PartName="/xl/charts/chart87.xml" ContentType="application/vnd.openxmlformats-officedocument.drawingml.chart+xml"/>
  <Override PartName="/xl/drawings/drawing95.xml" ContentType="application/vnd.openxmlformats-officedocument.drawing+xml"/>
  <Override PartName="/xl/charts/chart88.xml" ContentType="application/vnd.openxmlformats-officedocument.drawingml.chart+xml"/>
  <Override PartName="/xl/drawings/drawing96.xml" ContentType="application/vnd.openxmlformats-officedocument.drawing+xml"/>
  <Override PartName="/xl/charts/chart89.xml" ContentType="application/vnd.openxmlformats-officedocument.drawingml.chart+xml"/>
  <Override PartName="/xl/drawings/drawing97.xml" ContentType="application/vnd.openxmlformats-officedocument.drawing+xml"/>
  <Override PartName="/xl/charts/chart90.xml" ContentType="application/vnd.openxmlformats-officedocument.drawingml.chart+xml"/>
  <Override PartName="/xl/drawings/drawing98.xml" ContentType="application/vnd.openxmlformats-officedocument.drawing+xml"/>
  <Override PartName="/xl/charts/chart91.xml" ContentType="application/vnd.openxmlformats-officedocument.drawingml.chart+xml"/>
  <Override PartName="/xl/drawings/drawing99.xml" ContentType="application/vnd.openxmlformats-officedocument.drawing+xml"/>
  <Override PartName="/xl/charts/chart92.xml" ContentType="application/vnd.openxmlformats-officedocument.drawingml.chart+xml"/>
  <Override PartName="/xl/drawings/drawing100.xml" ContentType="application/vnd.openxmlformats-officedocument.drawing+xml"/>
  <Override PartName="/xl/charts/chart93.xml" ContentType="application/vnd.openxmlformats-officedocument.drawingml.chart+xml"/>
  <Override PartName="/xl/drawings/drawing101.xml" ContentType="application/vnd.openxmlformats-officedocument.drawing+xml"/>
  <Override PartName="/xl/charts/chart94.xml" ContentType="application/vnd.openxmlformats-officedocument.drawingml.chart+xml"/>
  <Override PartName="/xl/drawings/drawing102.xml" ContentType="application/vnd.openxmlformats-officedocument.drawing+xml"/>
  <Override PartName="/xl/charts/chart95.xml" ContentType="application/vnd.openxmlformats-officedocument.drawingml.chart+xml"/>
  <Override PartName="/xl/drawings/drawing103.xml" ContentType="application/vnd.openxmlformats-officedocument.drawing+xml"/>
  <Override PartName="/xl/charts/chart96.xml" ContentType="application/vnd.openxmlformats-officedocument.drawingml.chart+xml"/>
  <Override PartName="/xl/drawings/drawing104.xml" ContentType="application/vnd.openxmlformats-officedocument.drawing+xml"/>
  <Override PartName="/xl/charts/chart97.xml" ContentType="application/vnd.openxmlformats-officedocument.drawingml.chart+xml"/>
  <Override PartName="/xl/drawings/drawing105.xml" ContentType="application/vnd.openxmlformats-officedocument.drawing+xml"/>
  <Override PartName="/xl/charts/chart98.xml" ContentType="application/vnd.openxmlformats-officedocument.drawingml.chart+xml"/>
  <Override PartName="/xl/drawings/drawing106.xml" ContentType="application/vnd.openxmlformats-officedocument.drawing+xml"/>
  <Override PartName="/xl/charts/chart99.xml" ContentType="application/vnd.openxmlformats-officedocument.drawingml.chart+xml"/>
  <Override PartName="/xl/drawings/drawing107.xml" ContentType="application/vnd.openxmlformats-officedocument.drawing+xml"/>
  <Override PartName="/xl/charts/chart100.xml" ContentType="application/vnd.openxmlformats-officedocument.drawingml.chart+xml"/>
  <Override PartName="/xl/drawings/drawing108.xml" ContentType="application/vnd.openxmlformats-officedocument.drawing+xml"/>
  <Override PartName="/xl/charts/chart101.xml" ContentType="application/vnd.openxmlformats-officedocument.drawingml.chart+xml"/>
  <Override PartName="/xl/drawings/drawing109.xml" ContentType="application/vnd.openxmlformats-officedocument.drawing+xml"/>
  <Override PartName="/xl/charts/chart102.xml" ContentType="application/vnd.openxmlformats-officedocument.drawingml.chart+xml"/>
  <Override PartName="/xl/drawings/drawing110.xml" ContentType="application/vnd.openxmlformats-officedocument.drawing+xml"/>
  <Override PartName="/xl/charts/chart103.xml" ContentType="application/vnd.openxmlformats-officedocument.drawingml.chart+xml"/>
  <Override PartName="/xl/drawings/drawing111.xml" ContentType="application/vnd.openxmlformats-officedocument.drawing+xml"/>
  <Override PartName="/xl/charts/chart104.xml" ContentType="application/vnd.openxmlformats-officedocument.drawingml.chart+xml"/>
  <Override PartName="/xl/drawings/drawing112.xml" ContentType="application/vnd.openxmlformats-officedocument.drawing+xml"/>
  <Override PartName="/xl/charts/chart105.xml" ContentType="application/vnd.openxmlformats-officedocument.drawingml.chart+xml"/>
  <Override PartName="/xl/drawings/drawing113.xml" ContentType="application/vnd.openxmlformats-officedocument.drawing+xml"/>
  <Override PartName="/xl/charts/chart106.xml" ContentType="application/vnd.openxmlformats-officedocument.drawingml.chart+xml"/>
  <Override PartName="/xl/drawings/drawing114.xml" ContentType="application/vnd.openxmlformats-officedocument.drawing+xml"/>
  <Override PartName="/xl/charts/chart107.xml" ContentType="application/vnd.openxmlformats-officedocument.drawingml.chart+xml"/>
  <Override PartName="/xl/drawings/drawing115.xml" ContentType="application/vnd.openxmlformats-officedocument.drawing+xml"/>
  <Override PartName="/xl/charts/chart108.xml" ContentType="application/vnd.openxmlformats-officedocument.drawingml.chart+xml"/>
  <Override PartName="/xl/drawings/drawing116.xml" ContentType="application/vnd.openxmlformats-officedocument.drawing+xml"/>
  <Override PartName="/xl/charts/chart10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7.xml" ContentType="application/vnd.openxmlformats-officedocument.drawing+xml"/>
  <Override PartName="/xl/charts/chart1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8.xml" ContentType="application/vnd.openxmlformats-officedocument.drawing+xml"/>
  <Override PartName="/xl/charts/chart111.xml" ContentType="application/vnd.openxmlformats-officedocument.drawingml.chart+xml"/>
  <Override PartName="/xl/drawings/drawing119.xml" ContentType="application/vnd.openxmlformats-officedocument.drawing+xml"/>
  <Override PartName="/xl/charts/chart112.xml" ContentType="application/vnd.openxmlformats-officedocument.drawingml.chart+xml"/>
  <Override PartName="/xl/drawings/drawing120.xml" ContentType="application/vnd.openxmlformats-officedocument.drawing+xml"/>
  <Override PartName="/xl/comments2.xml" ContentType="application/vnd.openxmlformats-officedocument.spreadsheetml.comments+xml"/>
  <Override PartName="/xl/charts/chart113.xml" ContentType="application/vnd.openxmlformats-officedocument.drawingml.chart+xml"/>
  <Override PartName="/xl/drawings/drawing121.xml" ContentType="application/vnd.openxmlformats-officedocument.drawing+xml"/>
  <Override PartName="/xl/charts/chart114.xml" ContentType="application/vnd.openxmlformats-officedocument.drawingml.chart+xml"/>
  <Override PartName="/xl/drawings/drawing122.xml" ContentType="application/vnd.openxmlformats-officedocument.drawing+xml"/>
  <Override PartName="/xl/comments3.xml" ContentType="application/vnd.openxmlformats-officedocument.spreadsheetml.comments+xml"/>
  <Override PartName="/xl/charts/chart115.xml" ContentType="application/vnd.openxmlformats-officedocument.drawingml.chart+xml"/>
  <Override PartName="/xl/drawings/drawing123.xml" ContentType="application/vnd.openxmlformats-officedocument.drawing+xml"/>
  <Override PartName="/xl/charts/chart116.xml" ContentType="application/vnd.openxmlformats-officedocument.drawingml.chart+xml"/>
  <Override PartName="/xl/drawings/drawing124.xml" ContentType="application/vnd.openxmlformats-officedocument.drawing+xml"/>
  <Override PartName="/xl/comments4.xml" ContentType="application/vnd.openxmlformats-officedocument.spreadsheetml.comments+xml"/>
  <Override PartName="/xl/charts/chart117.xml" ContentType="application/vnd.openxmlformats-officedocument.drawingml.chart+xml"/>
  <Override PartName="/xl/drawings/drawing125.xml" ContentType="application/vnd.openxmlformats-officedocument.drawing+xml"/>
  <Override PartName="/xl/charts/chart118.xml" ContentType="application/vnd.openxmlformats-officedocument.drawingml.chart+xml"/>
  <Override PartName="/xl/drawings/drawing126.xml" ContentType="application/vnd.openxmlformats-officedocument.drawing+xml"/>
  <Override PartName="/xl/charts/chart119.xml" ContentType="application/vnd.openxmlformats-officedocument.drawingml.chart+xml"/>
  <Override PartName="/xl/drawings/drawing127.xml" ContentType="application/vnd.openxmlformats-officedocument.drawing+xml"/>
  <Override PartName="/xl/comments5.xml" ContentType="application/vnd.openxmlformats-officedocument.spreadsheetml.comments+xml"/>
  <Override PartName="/xl/charts/chart120.xml" ContentType="application/vnd.openxmlformats-officedocument.drawingml.chart+xml"/>
  <Override PartName="/xl/drawings/drawing128.xml" ContentType="application/vnd.openxmlformats-officedocument.drawing+xml"/>
  <Override PartName="/xl/charts/chart1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9.xml" ContentType="application/vnd.openxmlformats-officedocument.drawing+xml"/>
  <Override PartName="/xl/charts/chart122.xml" ContentType="application/vnd.openxmlformats-officedocument.drawingml.chart+xml"/>
  <Override PartName="/xl/drawings/drawing130.xml" ContentType="application/vnd.openxmlformats-officedocument.drawing+xml"/>
  <Override PartName="/xl/charts/chart123.xml" ContentType="application/vnd.openxmlformats-officedocument.drawingml.chart+xml"/>
  <Override PartName="/xl/drawings/drawing131.xml" ContentType="application/vnd.openxmlformats-officedocument.drawing+xml"/>
  <Override PartName="/xl/comments6.xml" ContentType="application/vnd.openxmlformats-officedocument.spreadsheetml.comments+xml"/>
  <Override PartName="/xl/charts/chart12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https://newstreet1385.sharepoint.com/sites/Corp/Shared/TELECOMS/Interactive models/Valuation model/"/>
    </mc:Choice>
  </mc:AlternateContent>
  <xr:revisionPtr revIDLastSave="5287" documentId="13_ncr:1_{3A696AC5-CE40-455E-BFF4-CC6AF9EABA84}" xr6:coauthVersionLast="47" xr6:coauthVersionMax="47" xr10:uidLastSave="{A7908497-3734-4A71-8DD1-4DE763847785}"/>
  <bookViews>
    <workbookView xWindow="15360" yWindow="0" windowWidth="15480" windowHeight="16656" tabRatio="866" firstSheet="1" activeTab="1" xr2:uid="{00000000-000D-0000-FFFF-FFFF00000000}"/>
  </bookViews>
  <sheets>
    <sheet name="__FDSCACHE__" sheetId="357" state="veryHidden" r:id="rId1"/>
    <sheet name="Cover" sheetId="363" r:id="rId2"/>
    <sheet name="Prices" sheetId="5" r:id="rId3"/>
    <sheet name="DM Multiples" sheetId="209" r:id="rId4"/>
    <sheet name="EM Multiples" sheetId="246" r:id="rId5"/>
    <sheet name="Tower Multiples" sheetId="294" r:id="rId6"/>
    <sheet name="Sectors" sheetId="292" r:id="rId7"/>
    <sheet name="Disclaimer" sheetId="25" r:id="rId8"/>
    <sheet name="AAF" sheetId="359" r:id="rId9"/>
    <sheet name="ADVANCED" sheetId="194" r:id="rId10"/>
    <sheet name="AMT" sheetId="288" r:id="rId11"/>
    <sheet name="AMX" sheetId="156" r:id="rId12"/>
    <sheet name="ATCUS" sheetId="347" r:id="rId13"/>
    <sheet name="ATT" sheetId="214" r:id="rId14"/>
    <sheet name="AXI" sheetId="160" r:id="rId15"/>
    <sheet name="BHART" sheetId="126" r:id="rId16"/>
    <sheet name="BHIN" sheetId="293" r:id="rId17"/>
    <sheet name="BOUY" sheetId="370" r:id="rId18"/>
    <sheet name="BT" sheetId="16" r:id="rId19"/>
    <sheet name="CCI" sheetId="289" r:id="rId20"/>
    <sheet name="ChinaTow" sheetId="349" r:id="rId21"/>
    <sheet name="CHTR" sheetId="221" r:id="rId22"/>
    <sheet name="CMCSA" sheetId="220" r:id="rId23"/>
    <sheet name="CLNX" sheetId="324" r:id="rId24"/>
    <sheet name="_CM" sheetId="151" r:id="rId25"/>
    <sheet name="_CT" sheetId="165" r:id="rId26"/>
    <sheet name="_CU" sheetId="166" r:id="rId27"/>
    <sheet name="DIGI" sheetId="188" r:id="rId28"/>
    <sheet name="DRI" sheetId="338" r:id="rId29"/>
    <sheet name="DT" sheetId="15" r:id="rId30"/>
    <sheet name="ELISA" sheetId="123" r:id="rId31"/>
    <sheet name="ENTEL" sheetId="279" r:id="rId32"/>
    <sheet name="ETL" sheetId="365" r:id="rId33"/>
    <sheet name="HTWS" sheetId="367" r:id="rId34"/>
    <sheet name="IDEA" sheetId="141" r:id="rId35"/>
    <sheet name="IHS" sheetId="360" r:id="rId36"/>
    <sheet name="INWIT" sheetId="325" r:id="rId37"/>
    <sheet name="INDO" sheetId="137" r:id="rId38"/>
    <sheet name="KDDI" sheetId="219" r:id="rId39"/>
    <sheet name="KPN" sheetId="14" r:id="rId40"/>
    <sheet name="_KT" sheetId="187" r:id="rId41"/>
    <sheet name="_LG" sheetId="195" r:id="rId42"/>
    <sheet name="LBTY" sheetId="72" r:id="rId43"/>
    <sheet name="LiLAC" sheetId="313" r:id="rId44"/>
    <sheet name="MAXI" sheetId="189" r:id="rId45"/>
    <sheet name="MEGA" sheetId="307" r:id="rId46"/>
    <sheet name="MILLI" sheetId="95" r:id="rId47"/>
    <sheet name="MITRA" sheetId="362" r:id="rId48"/>
    <sheet name="MTN" sheetId="99" r:id="rId49"/>
    <sheet name="NOS" sheetId="196" r:id="rId50"/>
    <sheet name="NTT" sheetId="215" r:id="rId51"/>
    <sheet name="OBEL" sheetId="154" r:id="rId52"/>
    <sheet name="ORA" sheetId="4" r:id="rId53"/>
    <sheet name="OTE" sheetId="13" r:id="rId54"/>
    <sheet name="PROX" sheetId="125" r:id="rId55"/>
    <sheet name="PTT" sheetId="139" r:id="rId56"/>
    <sheet name="RAK" sheetId="353" r:id="rId57"/>
    <sheet name="SAF" sheetId="271" r:id="rId58"/>
    <sheet name="SATS" sheetId="241" r:id="rId59"/>
    <sheet name="SBAC" sheetId="290" r:id="rId60"/>
    <sheet name="SBKK" sheetId="178" r:id="rId61"/>
    <sheet name="SES" sheetId="372" r:id="rId62"/>
    <sheet name="SINGTEL" sheetId="162" r:id="rId63"/>
    <sheet name="SITES" sheetId="333" r:id="rId64"/>
    <sheet name="SKT" sheetId="146" r:id="rId65"/>
    <sheet name="SUNN" sheetId="368" r:id="rId66"/>
    <sheet name="SWISS" sheetId="11" r:id="rId67"/>
    <sheet name="TBIG" sheetId="296" r:id="rId68"/>
    <sheet name="TEF" sheetId="9" r:id="rId69"/>
    <sheet name="TELE2" sheetId="79" r:id="rId70"/>
    <sheet name="TELIA" sheetId="6" r:id="rId71"/>
    <sheet name="TI" sheetId="10" r:id="rId72"/>
    <sheet name="TIMP" sheetId="191" r:id="rId73"/>
    <sheet name="TMUS" sheetId="105" r:id="rId74"/>
    <sheet name="TNOR" sheetId="7" r:id="rId75"/>
    <sheet name="TOWR" sheetId="295" r:id="rId76"/>
    <sheet name="TRUECORP" sheetId="270" r:id="rId77"/>
    <sheet name="TVIS" sheetId="284" r:id="rId78"/>
    <sheet name="UTDI" sheetId="337" r:id="rId79"/>
    <sheet name="VIMP" sheetId="101" r:id="rId80"/>
    <sheet name="VIVO" sheetId="190" r:id="rId81"/>
    <sheet name="VODA" sheetId="176" r:id="rId82"/>
    <sheet name="VOD" sheetId="39" r:id="rId83"/>
    <sheet name="VZN" sheetId="213" r:id="rId84"/>
    <sheet name="ZEG" sheetId="369" r:id="rId85"/>
    <sheet name="XLAX" sheetId="183" r:id="rId86"/>
    <sheet name="PROPORTIONATES" sheetId="164" r:id="rId87"/>
    <sheet name="US TELCO" sheetId="247" r:id="rId88"/>
    <sheet name="US OTHER" sheetId="248" r:id="rId89"/>
    <sheet name="US TOWERS" sheetId="291" r:id="rId90"/>
    <sheet name="US AGG" sheetId="250" r:id="rId91"/>
    <sheet name="W.EUR INCUMB" sheetId="18" r:id="rId92"/>
    <sheet name="W.EUR OTHER" sheetId="44" r:id="rId93"/>
    <sheet name="W.EUR TOWERS" sheetId="326" r:id="rId94"/>
    <sheet name="W.EUR AGG" sheetId="58" r:id="rId95"/>
    <sheet name="W.EUR AGG (ex Towers)" sheetId="330" r:id="rId96"/>
    <sheet name="DM ASIA INCUMB" sheetId="212" r:id="rId97"/>
    <sheet name="DM ASIA OTHER" sheetId="225" r:id="rId98"/>
    <sheet name="AGG DM ASIA" sheetId="228" r:id="rId99"/>
    <sheet name="LATAM INCUMB" sheetId="185" r:id="rId100"/>
    <sheet name="LATAM OTHER" sheetId="186" r:id="rId101"/>
    <sheet name="LATAM AGG" sheetId="184" r:id="rId102"/>
    <sheet name="EMEA CELLULAR" sheetId="104" r:id="rId103"/>
    <sheet name="EMEA AGG" sheetId="84" r:id="rId104"/>
    <sheet name="EM ASIA INCUMB" sheetId="223" r:id="rId105"/>
    <sheet name="EM ASIA CELLULAR" sheetId="226" r:id="rId106"/>
    <sheet name="AGG EM ASIA" sheetId="231" r:id="rId107"/>
    <sheet name="AGG ASIA INCUMB" sheetId="173" r:id="rId108"/>
    <sheet name="AGG ASIA CELLULAR" sheetId="170" r:id="rId109"/>
    <sheet name="AGG ASIA" sheetId="175" r:id="rId110"/>
    <sheet name="AGG DM INCUMB" sheetId="327" r:id="rId111"/>
    <sheet name="AGG DM CELLULAR" sheetId="328" r:id="rId112"/>
    <sheet name="AGG DM" sheetId="229" r:id="rId113"/>
    <sheet name="EM INCUMB" sheetId="171" r:id="rId114"/>
    <sheet name="EM CELLULAR" sheetId="172" r:id="rId115"/>
    <sheet name="EM TOWERS" sheetId="361" r:id="rId116"/>
    <sheet name="AGG EM" sheetId="174" r:id="rId117"/>
    <sheet name="AXISOP" sheetId="161" r:id="rId118"/>
    <sheet name="BHARTSOP" sheetId="129" r:id="rId119"/>
    <sheet name="BOUYSOP" sheetId="371" r:id="rId120"/>
    <sheet name="DTSOP" sheetId="27" r:id="rId121"/>
    <sheet name="ELISASOP" sheetId="124" r:id="rId122"/>
    <sheet name="IDEASOP" sheetId="142" r:id="rId123"/>
    <sheet name="KPNSOP" sheetId="29" r:id="rId124"/>
    <sheet name="MTNSOP" sheetId="100" r:id="rId125"/>
    <sheet name="OBELSOP" sheetId="155" r:id="rId126"/>
    <sheet name="ORASOP" sheetId="28" r:id="rId127"/>
    <sheet name="OTESOP" sheetId="30" r:id="rId128"/>
    <sheet name="PROXSOP" sheetId="70" r:id="rId129"/>
    <sheet name="SWISSSOP" sheetId="32" r:id="rId130"/>
    <sheet name="TEFSOP" sheetId="34" r:id="rId131"/>
    <sheet name="TELE2SOP" sheetId="80" r:id="rId132"/>
    <sheet name="TNORSOP" sheetId="36" r:id="rId133"/>
    <sheet name="TELIASOP" sheetId="37" r:id="rId134"/>
    <sheet name="VODSOP" sheetId="49" r:id="rId135"/>
  </sheets>
  <externalReferences>
    <externalReference r:id="rId136"/>
  </externalReferences>
  <definedNames>
    <definedName name="__FDS_HYPERLINK_TOGGLE_STATE__" hidden="1">"ON"</definedName>
    <definedName name="_CMm1">_CM!$D$9:$G$10</definedName>
    <definedName name="_CMm2">_CM!$D$12:$G$14</definedName>
    <definedName name="_CMm3">_CM!$D$16:$G$17</definedName>
    <definedName name="_CMm4">_CM!$L$25:$O$25</definedName>
    <definedName name="_CMm5">_CM!$C$23:$G$34</definedName>
    <definedName name="_CTm1">_CT!$D$9:$G$10</definedName>
    <definedName name="_CTm2">_CT!$D$12:$G$13</definedName>
    <definedName name="_CTm3">_CT!$D$16:$G$17</definedName>
    <definedName name="_CTm4">_CT!$L$25:$O$25</definedName>
    <definedName name="_CTm5">_CT!$C$23:$G$33</definedName>
    <definedName name="_CUm1">_CU!$D$9:$G$10</definedName>
    <definedName name="_CUm2">_CU!$D$12:$G$13</definedName>
    <definedName name="_CUm3">_CU!$D$16:$G$17</definedName>
    <definedName name="_CUm4">_CU!$L$25:$O$25</definedName>
    <definedName name="_CUm5">_CU!$C$23:$G$33</definedName>
    <definedName name="_xlnm._FilterDatabase" localSheetId="3" hidden="1">'DM Multiples'!$C$8:$C$772</definedName>
    <definedName name="_xlnm._FilterDatabase" localSheetId="4" hidden="1">'EM Multiples'!$I$8:$L$669</definedName>
    <definedName name="_Key1" localSheetId="111" hidden="1">#REF!</definedName>
    <definedName name="_Key1" localSheetId="110" hidden="1">#REF!</definedName>
    <definedName name="_Key1" localSheetId="10" hidden="1">#REF!</definedName>
    <definedName name="_Key1" localSheetId="12" hidden="1">#REF!</definedName>
    <definedName name="_Key1" localSheetId="16" hidden="1">#REF!</definedName>
    <definedName name="_Key1" localSheetId="19" hidden="1">#REF!</definedName>
    <definedName name="_Key1" localSheetId="20" hidden="1">#REF!</definedName>
    <definedName name="_Key1" localSheetId="23" hidden="1">#REF!</definedName>
    <definedName name="_Key1" localSheetId="28" hidden="1">#REF!</definedName>
    <definedName name="_Key1" localSheetId="115" hidden="1">#REF!</definedName>
    <definedName name="_Key1" localSheetId="31" hidden="1">#REF!</definedName>
    <definedName name="_Key1" localSheetId="32" hidden="1">#REF!</definedName>
    <definedName name="_Key1" localSheetId="33" hidden="1">#REF!</definedName>
    <definedName name="_Key1" localSheetId="35" hidden="1">#REF!</definedName>
    <definedName name="_Key1" localSheetId="36" hidden="1">#REF!</definedName>
    <definedName name="_Key1" localSheetId="43" hidden="1">#REF!</definedName>
    <definedName name="_Key1" localSheetId="45" hidden="1">#REF!</definedName>
    <definedName name="_Key1" localSheetId="47" hidden="1">#REF!</definedName>
    <definedName name="_Key1" localSheetId="56" hidden="1">#REF!</definedName>
    <definedName name="_Key1" localSheetId="59" hidden="1">#REF!</definedName>
    <definedName name="_Key1" localSheetId="61" hidden="1">SES!#REF!</definedName>
    <definedName name="_Key1" localSheetId="63" hidden="1">#REF!</definedName>
    <definedName name="_Key1" localSheetId="67" hidden="1">#REF!</definedName>
    <definedName name="_Key1" localSheetId="75" hidden="1">#REF!</definedName>
    <definedName name="_Key1" localSheetId="77" hidden="1">#REF!</definedName>
    <definedName name="_Key1" localSheetId="89" hidden="1">#REF!</definedName>
    <definedName name="_Key1" localSheetId="78" hidden="1">#REF!</definedName>
    <definedName name="_Key1" localSheetId="95" hidden="1">#REF!</definedName>
    <definedName name="_Key1" localSheetId="93" hidden="1">#REF!</definedName>
    <definedName name="_Key1" hidden="1">#REF!</definedName>
    <definedName name="_KTm1">_KT!$D$9:$G$10</definedName>
    <definedName name="_KTm2">_KT!$D$12:$G$13</definedName>
    <definedName name="_KTm3">_KT!$D$16:$G$17</definedName>
    <definedName name="_KTm4">_KT!$L$25:$O$25</definedName>
    <definedName name="_KTm5">_KT!$C$23:$G$33</definedName>
    <definedName name="_LGm1">_LG!$D$9:$G$10</definedName>
    <definedName name="_LGm2">_LG!$D$12:$G$13</definedName>
    <definedName name="_LGm3">_LG!$D$16:$G$17</definedName>
    <definedName name="_LGm4">_LG!$L$25:$O$25</definedName>
    <definedName name="_LGm5">_LG!$C$23:$G$33</definedName>
    <definedName name="_Order1" hidden="1">255</definedName>
    <definedName name="_Sort" localSheetId="111" hidden="1">#REF!</definedName>
    <definedName name="_Sort" localSheetId="110" hidden="1">#REF!</definedName>
    <definedName name="_Sort" localSheetId="10" hidden="1">#REF!</definedName>
    <definedName name="_Sort" localSheetId="12" hidden="1">#REF!</definedName>
    <definedName name="_Sort" localSheetId="16" hidden="1">#REF!</definedName>
    <definedName name="_Sort" localSheetId="19" hidden="1">#REF!</definedName>
    <definedName name="_Sort" localSheetId="20" hidden="1">#REF!</definedName>
    <definedName name="_Sort" localSheetId="23" hidden="1">#REF!</definedName>
    <definedName name="_Sort" localSheetId="28" hidden="1">#REF!</definedName>
    <definedName name="_Sort" localSheetId="115" hidden="1">#REF!</definedName>
    <definedName name="_Sort" localSheetId="31" hidden="1">#REF!</definedName>
    <definedName name="_Sort" localSheetId="32" hidden="1">#REF!</definedName>
    <definedName name="_Sort" localSheetId="33" hidden="1">#REF!</definedName>
    <definedName name="_Sort" localSheetId="35" hidden="1">#REF!</definedName>
    <definedName name="_Sort" localSheetId="36" hidden="1">#REF!</definedName>
    <definedName name="_Sort" localSheetId="43" hidden="1">#REF!</definedName>
    <definedName name="_Sort" localSheetId="45" hidden="1">#REF!</definedName>
    <definedName name="_Sort" localSheetId="47" hidden="1">#REF!</definedName>
    <definedName name="_Sort" localSheetId="56" hidden="1">#REF!</definedName>
    <definedName name="_Sort" localSheetId="59" hidden="1">#REF!</definedName>
    <definedName name="_Sort" localSheetId="61" hidden="1">SES!#REF!</definedName>
    <definedName name="_Sort" localSheetId="63" hidden="1">#REF!</definedName>
    <definedName name="_Sort" localSheetId="67" hidden="1">#REF!</definedName>
    <definedName name="_Sort" localSheetId="75" hidden="1">#REF!</definedName>
    <definedName name="_Sort" localSheetId="77" hidden="1">#REF!</definedName>
    <definedName name="_Sort" localSheetId="89" hidden="1">#REF!</definedName>
    <definedName name="_Sort" localSheetId="78" hidden="1">#REF!</definedName>
    <definedName name="_Sort" localSheetId="95" hidden="1">#REF!</definedName>
    <definedName name="_Sort" localSheetId="93" hidden="1">#REF!</definedName>
    <definedName name="_Sort" hidden="1">#REF!</definedName>
    <definedName name="AAFm1" localSheetId="8">AAF!$D$9:$G$10</definedName>
    <definedName name="AAFm2" localSheetId="8">AAF!$D$12:$G$13</definedName>
    <definedName name="AAFm3" localSheetId="8">AAF!$D$14:$G$17</definedName>
    <definedName name="AAFm4" localSheetId="8">AAF!$L$25:$O$25</definedName>
    <definedName name="AAFm5" localSheetId="8">AAF!$C$23:$G$33</definedName>
    <definedName name="ADVANCEDm1">ADVANCED!$D$9:$G$10</definedName>
    <definedName name="ADVANCEDm2">ADVANCED!$D$12:$G$13</definedName>
    <definedName name="ADVANCEDm3">ADVANCED!$D$16:$G$17</definedName>
    <definedName name="ADVANCEDm4">ADVANCED!$L$25:$O$25</definedName>
    <definedName name="ADVANCEDm5">ADVANCED!$C$23:$G$33</definedName>
    <definedName name="AMTm1" localSheetId="10">AMT!$D$9:$G$10</definedName>
    <definedName name="AMTm2" localSheetId="10">AMT!$D$12:$G$13</definedName>
    <definedName name="AMTm3" localSheetId="10">AMT!$D$16:$G$17</definedName>
    <definedName name="AMTm4" localSheetId="10">AMT!$L$25:$O$25</definedName>
    <definedName name="AMTm5" localSheetId="10">AMT!$C$23:$G$33</definedName>
    <definedName name="AMTm6">AMT!$D$14:$G$15</definedName>
    <definedName name="AMXm1">AMX!$D$9:$G$10</definedName>
    <definedName name="AMXm2">AMX!$D$12:$G$13</definedName>
    <definedName name="AMXm3">AMX!$D$16:$G$17</definedName>
    <definedName name="AMXm4">AMX!$L$25:$O$25</definedName>
    <definedName name="AMXm5">AMX!$C$23:$G$33</definedName>
    <definedName name="anscount" hidden="1">1</definedName>
    <definedName name="ATCUSm1">ATCUS!$D$9:$G$10</definedName>
    <definedName name="ATCUSm2">ATCUS!$D$12:$G$13</definedName>
    <definedName name="ATCUSm3">ATCUS!$D$16:$G$17</definedName>
    <definedName name="ATCUSm4">ATCUS!$L$25:$O$25</definedName>
    <definedName name="ATCUSm5">ATCUS!$C$23:$G$33</definedName>
    <definedName name="ATCUSm6">ATCUS!$D$14:$G$15</definedName>
    <definedName name="ATTM1">ATT!$D$9:$G$10</definedName>
    <definedName name="ATTM2">ATT!$D$12:$G$13</definedName>
    <definedName name="ATTM3">ATT!$D$16:$G$17</definedName>
    <definedName name="ATTM4">ATT!$L$25:$O$25</definedName>
    <definedName name="ATTM5">ATT!$C$23:$G$33</definedName>
    <definedName name="ATTm6">ATT!$D$14:$G$15</definedName>
    <definedName name="axim1">AXI!$D$9:$G$10</definedName>
    <definedName name="axim2">AXI!$D$12:$G$13</definedName>
    <definedName name="axim3">AXI!$D$16:$G$17</definedName>
    <definedName name="axim4">AXI!$L$25:$O$25</definedName>
    <definedName name="axim5">AXI!$C$23:$G$33</definedName>
    <definedName name="bhartm1">BHART!$D$9:$G$10</definedName>
    <definedName name="bhartm2">BHART!$D$12:$G$13</definedName>
    <definedName name="bhartm3">BHART!$D$16:$G$17</definedName>
    <definedName name="bhartm4">BHART!$L$25:$O$25</definedName>
    <definedName name="bhartm5">BHART!$C$23:$G$33</definedName>
    <definedName name="BHINm1" localSheetId="16">BHIN!$D$9:$G$10</definedName>
    <definedName name="BHINm2" localSheetId="16">BHIN!$D$12:$G$13</definedName>
    <definedName name="BHINm3" localSheetId="16">BHIN!$D$16:$G$17</definedName>
    <definedName name="BHINm4" localSheetId="16">BHIN!$L$25:$O$25</definedName>
    <definedName name="BHINm5" localSheetId="16">BHIN!$C$23:$G$33</definedName>
    <definedName name="BHINtwr1">BHIN!$L$31:$O$31</definedName>
    <definedName name="BHINtwr2">BHIN!$L$32:$O$32</definedName>
    <definedName name="BOUY_m1">BOUY!$D$9:$G$10</definedName>
    <definedName name="BOUY_m2">BOUY!$D$12:$G$13</definedName>
    <definedName name="BOUY_m3">BOUY!$D$16:$G$17</definedName>
    <definedName name="BOUY_m4">BOUY!$L$25:$O$25</definedName>
    <definedName name="BOUY_m5">BOUY!$C$23:$G$33</definedName>
    <definedName name="BT_m1" localSheetId="17">BOUY!$D$9:$G$10</definedName>
    <definedName name="BT_m1">BT!$D$9:$G$10</definedName>
    <definedName name="BT_m2" localSheetId="17">BOUY!$D$12:$G$13</definedName>
    <definedName name="BT_m2">BT!$D$12:$G$13</definedName>
    <definedName name="BT_m3" localSheetId="17">BOUY!$D$16:$G$17</definedName>
    <definedName name="BT_m3">BT!$D$16:$G$17</definedName>
    <definedName name="BT_m4" localSheetId="17">BOUY!$L$25:$O$25</definedName>
    <definedName name="BT_m4">BT!$L$25:$O$25</definedName>
    <definedName name="BT_m5" localSheetId="17">BOUY!$C$23:$G$33</definedName>
    <definedName name="BT_m5">BT!$C$23:$G$33</definedName>
    <definedName name="BT_m6">BT!$D$14:$G$15</definedName>
    <definedName name="CCIm1" localSheetId="19">CCI!$D$9:$G$10</definedName>
    <definedName name="CCIm2" localSheetId="19">CCI!$D$12:$G$13</definedName>
    <definedName name="CCIm3" localSheetId="19">CCI!$D$16:$G$17</definedName>
    <definedName name="CCIm4" localSheetId="19">CCI!$L$25:$O$25</definedName>
    <definedName name="CCIm5" localSheetId="19">CCI!$C$23:$G$33</definedName>
    <definedName name="CCIm6">CCI!$D$14:$G$15</definedName>
    <definedName name="ChinaTowm1">ChinaTow!$D$9:$G$10</definedName>
    <definedName name="ChinaTowm2">ChinaTow!$D$12:$G$13</definedName>
    <definedName name="ChinaTowm3">ChinaTow!$D$16:$G$17</definedName>
    <definedName name="ChinaTowm4">ChinaTow!$L$25:$O$25</definedName>
    <definedName name="ChinaTowm5">ChinaTow!$C$23:$G$33</definedName>
    <definedName name="ChinaTowtwr1">ChinaTow!$L$31:$O$31</definedName>
    <definedName name="ChinaTowtwr2">ChinaTow!$L$32:$O$32</definedName>
    <definedName name="CHTRM1">CHTR!$D$9:$G$10</definedName>
    <definedName name="CHTRM2">CHTR!$D$12:$G$13</definedName>
    <definedName name="CHTRM3">CHTR!$D$16:$G$17</definedName>
    <definedName name="CHTRM4">CHTR!$L$25:$O$25</definedName>
    <definedName name="CHTRM5">CHTR!$C$23:$G$33</definedName>
    <definedName name="CHTRm6">CHTR!$D$14:$G$15</definedName>
    <definedName name="CLNX_m1">CLNX!$D$9:$G$10</definedName>
    <definedName name="CLNX_m2">CLNX!$D$12:$G$13</definedName>
    <definedName name="CLNX_m3">CLNX!$D$16:$G$17</definedName>
    <definedName name="CLNX_m4">CLNX!$L$25:$O$25</definedName>
    <definedName name="CLNX_m5">CLNX!$C$23:$G$33</definedName>
    <definedName name="CMCSAM1">CMCSA!$D$9:$G$10</definedName>
    <definedName name="CMCSAM2">CMCSA!$D$12:$G$13</definedName>
    <definedName name="CMCSAM3">CMCSA!$D$16:$G$17</definedName>
    <definedName name="CMCSAM4">CMCSA!$L$25:$O$25</definedName>
    <definedName name="CMCSAM5">CMCSA!$C$23:$G$33</definedName>
    <definedName name="CMCSAm6">CMCSA!$D$14:$G$15</definedName>
    <definedName name="DIGIm1">DIGI!$D$9:$G$10</definedName>
    <definedName name="DIGIm2">DIGI!$D$12:$G$13</definedName>
    <definedName name="DIGIm3">DIGI!$D$16:$G$17</definedName>
    <definedName name="DIGIm4">DIGI!$L$25:$O$25</definedName>
    <definedName name="DIGIm5">DIGI!$C$23:$G$33</definedName>
    <definedName name="DM_Multiples1">'DM Multiples'!$C$4:$V$57</definedName>
    <definedName name="DM_Multiples10">'DM Multiples'!$C$656:$V$706</definedName>
    <definedName name="DM_Multiples11">'DM Multiples'!$C$715:$V$765</definedName>
    <definedName name="DM_Multiples2">'DM Multiples'!$C$66:$V$116</definedName>
    <definedName name="DM_Multiples3">'DM Multiples'!$C$125:$V$175</definedName>
    <definedName name="DM_Multiples4">'DM Multiples'!$C$184:$V$234</definedName>
    <definedName name="DM_Multiples5">'DM Multiples'!$C$243:$V$293</definedName>
    <definedName name="DM_Multiples6">'DM Multiples'!$C$302:$V$352</definedName>
    <definedName name="DM_Multiples7">'DM Multiples'!$C$361:$V$411</definedName>
    <definedName name="DM_Multiples8">'DM Multiples'!$C$420:$V$470</definedName>
    <definedName name="DM_Multiples9">'DM Multiples'!$C$479:$V$529</definedName>
    <definedName name="DRI_m1">DRI!$D$9:$G$10</definedName>
    <definedName name="DRI_m2">DRI!$D$12:$G$13</definedName>
    <definedName name="DRI_m3">DRI!$D$16:$G$17</definedName>
    <definedName name="DRI_m4">DRI!$L$25:$O$25</definedName>
    <definedName name="DRI_m5">DRI!$C$23:$G$33</definedName>
    <definedName name="DT_m1">DT!$D$9:$G$10</definedName>
    <definedName name="DT_m2">DT!$D$12:$G$13</definedName>
    <definedName name="DT_m3">DT!$D$16:$G$17</definedName>
    <definedName name="DT_m4">DT!$L$25:$O$25</definedName>
    <definedName name="DT_m5">DT!$C$23:$G$33</definedName>
    <definedName name="DT_m6">DT!$D$14:$G$15</definedName>
    <definedName name="ELISA_m1">ELISA!$D$9:$G$10</definedName>
    <definedName name="ELISA_m2">ELISA!$D$12:$G$13</definedName>
    <definedName name="ELISA_m3">ELISA!$D$16:$G$17</definedName>
    <definedName name="ELISA_m4">ELISA!$L$25:$O$25</definedName>
    <definedName name="ELISA_m5">ELISA!$C$23:$G$33</definedName>
    <definedName name="EM_Multiples1">'EM Multiples'!$C$6:$V$47</definedName>
    <definedName name="EM_Multiples10">'EM Multiples'!$C$568:$V$608</definedName>
    <definedName name="EM_Multiples11">'EM Multiples'!$C$619:$V$659</definedName>
    <definedName name="EM_Multiples2">'EM Multiples'!$C$58:$V$98</definedName>
    <definedName name="EM_Multiples3">'EM Multiples'!$C$109:$V$149</definedName>
    <definedName name="EM_Multiples4">'EM Multiples'!$C$160:$V$200</definedName>
    <definedName name="EM_Multiples5">'EM Multiples'!$C$211:$V$251</definedName>
    <definedName name="EM_Multiples6">'EM Multiples'!$C$262:$V$302</definedName>
    <definedName name="EM_Multiples7">'EM Multiples'!$C$313:$V$353</definedName>
    <definedName name="EM_Multiples8">'EM Multiples'!$C$364:$V$404</definedName>
    <definedName name="EM_Multiples9">'EM Multiples'!$C$415:$V$455</definedName>
    <definedName name="ENTELm1" localSheetId="31">ENTEL!$D$9:$G$10</definedName>
    <definedName name="ENTELm2" localSheetId="31">ENTEL!$D$12:$G$13</definedName>
    <definedName name="ENTELm3" localSheetId="31">ENTEL!$D$16:$G$17</definedName>
    <definedName name="ENTELm4" localSheetId="31">ENTEL!$L$25:$O$25</definedName>
    <definedName name="ENTELm5" localSheetId="31">ENTEL!$C$23:$G$33</definedName>
    <definedName name="ETL_m1" localSheetId="32">ETL!$D$9:$G$10</definedName>
    <definedName name="ETL_m2" localSheetId="32">ETL!$D$12:$G$13</definedName>
    <definedName name="ETL_m3" localSheetId="32">ETL!$D$16:$G$17</definedName>
    <definedName name="ETL_m4" localSheetId="32">ETL!$L$25:$O$25</definedName>
    <definedName name="ETL_m5" localSheetId="32">ETL!$C$23:$G$33</definedName>
    <definedName name="export_dm_ebitda_growth">'DM Multiples'!$C$303:$S$325</definedName>
    <definedName name="export_dm_mults">'DM Multiples'!$C$8:$S$30</definedName>
    <definedName name="export_dm_rev_growth">'DM Multiples'!$C$244:$S$266</definedName>
    <definedName name="headings">AAF!$D$5:$H$5</definedName>
    <definedName name="HTWSm1">HTWS!$D$9:$G$10</definedName>
    <definedName name="HTWSm2">HTWS!$D$12:$G$13</definedName>
    <definedName name="HTWSm3">HTWS!$D$14:$G$17</definedName>
    <definedName name="HTWSm4">HTWS!$L$25:$O$25</definedName>
    <definedName name="HTWSm5">HTWS!$C$23:$G$33</definedName>
    <definedName name="HTWSm6">HTWS!$L$31:$O$32</definedName>
    <definedName name="ideam1">IDEA!$D$9:$G$10</definedName>
    <definedName name="ideam2">IDEA!$D$12:$G$13</definedName>
    <definedName name="ideam3">IDEA!$D$16:$G$17</definedName>
    <definedName name="ideam4">IDEA!$L$25:$O$25</definedName>
    <definedName name="ideam5">IDEA!$C$23:$G$33</definedName>
    <definedName name="IHSm1">IHS!$D$9:$G$10</definedName>
    <definedName name="IHSm2">IHS!$D$12:$G$17</definedName>
    <definedName name="IHSm3">IHS!$D$14:$G$17</definedName>
    <definedName name="IHSm4">IHS!$L$25:$O$25</definedName>
    <definedName name="IHSm5">IHS!$C$23:$G$33</definedName>
    <definedName name="IHSm6">IHS!$L$31:$O$32</definedName>
    <definedName name="indom1">INDO!$D$9:$G$10</definedName>
    <definedName name="indom2">INDO!$D$12:$G$13</definedName>
    <definedName name="indom3">INDO!$D$16:$G$17</definedName>
    <definedName name="indom4">INDO!$L$25:$O$25</definedName>
    <definedName name="indom5">INDO!$C$23:$G$33</definedName>
    <definedName name="INWIT_m1">INWIT!$D$9:$G$10</definedName>
    <definedName name="INWIT_m2">INWIT!$D$12:$G$13</definedName>
    <definedName name="INWIT_m3">INWIT!$D$16:$G$17</definedName>
    <definedName name="INWIT_m4">INWIT!$L$25:$O$25</definedName>
    <definedName name="INWIT_m5">INWIT!$C$23:$G$33</definedName>
    <definedName name="KDDIM1">KDDI!$D$9:$G$10</definedName>
    <definedName name="KDDIM2">KDDI!$D$12:$G$13</definedName>
    <definedName name="KDDIM3">KDDI!$D$16:$G$17</definedName>
    <definedName name="KDDIM4">KDDI!$L$25:$O$25</definedName>
    <definedName name="KDDIM5">KDDI!$C$23:$G$33</definedName>
    <definedName name="KPN_m1">KPN!$D$9:$G$10</definedName>
    <definedName name="KPN_m2">KPN!$D$12:$G$13</definedName>
    <definedName name="KPN_m3">KPN!$D$16:$G$17</definedName>
    <definedName name="KPN_m4">KPN!$L$25:$O$25</definedName>
    <definedName name="KPN_m5">KPN!$C$23:$G$33</definedName>
    <definedName name="LBTY_m1">LBTY!$D$9:$G$10</definedName>
    <definedName name="LBTY_m2">LBTY!$D$12:$G$13</definedName>
    <definedName name="LBTY_m3">LBTY!$D$16:$G$17</definedName>
    <definedName name="LBTY_m4">LBTY!$L$25:$O$25</definedName>
    <definedName name="LBTY_m5">LBTY!$C$23:$G$33</definedName>
    <definedName name="LiLACm1">LiLAC!$D$10:$G$10</definedName>
    <definedName name="LiLACm2">LiLAC!$D$12:$G$14</definedName>
    <definedName name="LiLACm3" localSheetId="43">LiLAC!$D$16:$G$17</definedName>
    <definedName name="LiLACm4" localSheetId="43">LiLAC!$L$25:$O$25</definedName>
    <definedName name="LiLACm5" localSheetId="43">LiLAC!$C$23:$G$33</definedName>
    <definedName name="limcount" hidden="1">1</definedName>
    <definedName name="MAXIm1">MAXI!$D$9:$G$10</definedName>
    <definedName name="MAXIm2">MAXI!$D$12:$G$13</definedName>
    <definedName name="MAXIm3">MAXI!$D$16:$G$17</definedName>
    <definedName name="MAXIm4">MAXI!$L$25:$O$25</definedName>
    <definedName name="MAXIm5">MAXI!$C$23:$G$33</definedName>
    <definedName name="MAXISm1">[1]MAXIS!$D$11:$G$12</definedName>
    <definedName name="MAXISm2">[1]MAXIS!$D$14:$G$15</definedName>
    <definedName name="MAXISm3">[1]MAXIS!$D$18:$G$19</definedName>
    <definedName name="MAXISm4">[1]MAXIS!$L$24:$O$24</definedName>
    <definedName name="MAXISm5">[1]MAXIS!$C$24:$G$33</definedName>
    <definedName name="MAXISmnsr1">[1]MAXIS!$AF$12:$AI$13</definedName>
    <definedName name="MAXISmnsr2">[1]MAXIS!$AF$14:$AI$15</definedName>
    <definedName name="MAXISmnsr3">[1]MAXIS!$AF$16:$AI$17</definedName>
    <definedName name="MAXISmnsr4">[1]MAXIS!$AF$18:$AI$18</definedName>
    <definedName name="MAXISmnsr5">[1]MAXIS!$AE$19:$AI$29</definedName>
    <definedName name="MAXISmuser1">[1]MAXIS!$AM$12:$AP$13</definedName>
    <definedName name="MAXISmuser2">[1]MAXIS!$AM$14:$AP$15</definedName>
    <definedName name="MAXISmuser3">[1]MAXIS!$AM$16:$AP$17</definedName>
    <definedName name="MAXISmuser4">[1]MAXIS!$AM$18:$AP$18</definedName>
    <definedName name="MAXISmuser5">[1]MAXIS!$AL$19:$AP$29</definedName>
    <definedName name="MAXISnsrmult">[1]MAXIS!$AE$12:$AI$29</definedName>
    <definedName name="MAXISusermult">[1]MAXIS!$AL$12:$AP$29</definedName>
    <definedName name="MEGAm1" localSheetId="45">MEGA!$D$9:$G$10</definedName>
    <definedName name="MEGAm2" localSheetId="45">MEGA!$D$12:$G$13</definedName>
    <definedName name="MEGAm3" localSheetId="45">MEGA!$D$16:$G$17</definedName>
    <definedName name="MEGAm4" localSheetId="45">MEGA!$L$25:$O$25</definedName>
    <definedName name="MEGAm5" localSheetId="45">MEGA!$C$23:$G$33</definedName>
    <definedName name="MILLIm1" localSheetId="46">MILLI!$D$9:$G$10</definedName>
    <definedName name="MILLIm2" localSheetId="46">MILLI!$D$12:$G$13</definedName>
    <definedName name="MILLIm3" localSheetId="46">MILLI!$D$16:$G$17</definedName>
    <definedName name="MILLIm4" localSheetId="46">MILLI!$L$25:$O$25</definedName>
    <definedName name="MILLIm5" localSheetId="46">MILLI!$C$23:$G$33</definedName>
    <definedName name="MITRAm1" localSheetId="47">MITRA!$D$9:$G$10</definedName>
    <definedName name="MITRAm2" localSheetId="47">MITRA!$D$12:$G$13</definedName>
    <definedName name="MITRAm3" localSheetId="47">MITRA!$D$16:$G$17</definedName>
    <definedName name="MITRAm4" localSheetId="47">MITRA!$L$25:$O$25</definedName>
    <definedName name="MITRAm5" localSheetId="47">MITRA!$C$23:$G$33</definedName>
    <definedName name="MITRAtwr1" localSheetId="47">MITRA!$L$31:$O$31</definedName>
    <definedName name="MITRAtwr2" localSheetId="47">MITRA!$L$32:$O$32</definedName>
    <definedName name="MTNm1" localSheetId="48">MTN!$D$9:$G$10</definedName>
    <definedName name="MTNm2" localSheetId="48">MTN!$D$12:$G$13</definedName>
    <definedName name="MTNm3" localSheetId="48">MTN!$D$16:$G$17</definedName>
    <definedName name="MTNm4" localSheetId="48">MTN!$L$25:$O$25</definedName>
    <definedName name="MTNm5" localSheetId="48">MTN!$C$23:$G$33</definedName>
    <definedName name="mult1" localSheetId="3">'DM Multiples'!$B$4:$AC$102</definedName>
    <definedName name="mult1" localSheetId="4">'EM Multiples'!$B$6:$AC$95</definedName>
    <definedName name="mult2" localSheetId="3">'DM Multiples'!$B$104:$AC$198</definedName>
    <definedName name="mult2" localSheetId="4">'EM Multiples'!$B$96:$AC$212</definedName>
    <definedName name="mult3" localSheetId="3">'DM Multiples'!$B$203:$AC$310</definedName>
    <definedName name="mult3" localSheetId="4">'EM Multiples'!$B$216:$AC$341</definedName>
    <definedName name="mult4" localSheetId="3">'DM Multiples'!$B$314:$AC$348</definedName>
    <definedName name="mult4" localSheetId="4">'EM Multiples'!$B$346:$AC$380</definedName>
    <definedName name="mult5" localSheetId="3">'DM Multiples'!$B$351:$AC$434</definedName>
    <definedName name="mult5" localSheetId="4">'EM Multiples'!$B$381:$AC$582</definedName>
    <definedName name="mult6" localSheetId="3">'DM Multiples'!$B$435:$AC$514</definedName>
    <definedName name="mult6" localSheetId="4">'EM Multiples'!$B$584:$AC$669</definedName>
    <definedName name="mult7" localSheetId="3">'DM Multiples'!$B$514:$AC$706</definedName>
    <definedName name="NOS_m1">NOS!$D$9:$G$10</definedName>
    <definedName name="NOS_m2">NOS!$D$12:$G$13</definedName>
    <definedName name="NOS_m3">NOS!$D$16:$G$17</definedName>
    <definedName name="NOS_m4">NOS!$L$25:$O$25</definedName>
    <definedName name="NOS_m5">NOS!$C$23:$G$33</definedName>
    <definedName name="NTTM1">NTT!$D$9:$G$10</definedName>
    <definedName name="NTTM2">NTT!$D$12:$G$13</definedName>
    <definedName name="NTTM3">NTT!$D$16:$G$17</definedName>
    <definedName name="NTTM4">NTT!$L$25:$O$25</definedName>
    <definedName name="NTTM5">NTT!$C$23:$G$33</definedName>
    <definedName name="OBEL_m1">OBEL!$D$9:$G$10</definedName>
    <definedName name="OBEL_m2">OBEL!$D$12:$G$13</definedName>
    <definedName name="OBEL_m3">OBEL!$D$16:$G$17</definedName>
    <definedName name="OBEL_m4">OBEL!$L$25:$O$25</definedName>
    <definedName name="OBEL_m5">OBEL!$C$23:$G$33</definedName>
    <definedName name="ORA_m1">ORA!$D$9:$G$10</definedName>
    <definedName name="ORA_m2">ORA!$D$12:$G$13</definedName>
    <definedName name="ORA_m3">ORA!$D$16:$G$17</definedName>
    <definedName name="ORA_m4">ORA!$L$25:$O$25</definedName>
    <definedName name="ORA_m5">ORA!$C$23:$G$33</definedName>
    <definedName name="OTE_m1">OTE!$D$9:$G$10</definedName>
    <definedName name="OTE_m2">OTE!$D$12:$G$13</definedName>
    <definedName name="OTE_m3">OTE!$D$16:$G$17</definedName>
    <definedName name="OTE_m4">OTE!$L$25:$O$25</definedName>
    <definedName name="OTE_m5">OTE!$C$23:$G$33</definedName>
    <definedName name="poop" localSheetId="111" hidden="1">#REF!</definedName>
    <definedName name="poop" localSheetId="110" hidden="1">#REF!</definedName>
    <definedName name="poop" localSheetId="12" hidden="1">#REF!</definedName>
    <definedName name="poop" localSheetId="20" hidden="1">#REF!</definedName>
    <definedName name="poop" localSheetId="23" hidden="1">#REF!</definedName>
    <definedName name="poop" localSheetId="28" hidden="1">#REF!</definedName>
    <definedName name="poop" localSheetId="115" hidden="1">#REF!</definedName>
    <definedName name="poop" localSheetId="32" hidden="1">#REF!</definedName>
    <definedName name="poop" localSheetId="33" hidden="1">#REF!</definedName>
    <definedName name="poop" localSheetId="36" hidden="1">#REF!</definedName>
    <definedName name="poop" localSheetId="56" hidden="1">#REF!</definedName>
    <definedName name="poop" localSheetId="61" hidden="1">SES!#REF!</definedName>
    <definedName name="poop" localSheetId="63" hidden="1">#REF!</definedName>
    <definedName name="poop" localSheetId="78" hidden="1">#REF!</definedName>
    <definedName name="poop" localSheetId="95" hidden="1">#REF!</definedName>
    <definedName name="poop" localSheetId="93" hidden="1">#REF!</definedName>
    <definedName name="poop" hidden="1">#REF!</definedName>
    <definedName name="prices.fx_eur">Prices!$E$128:$F$167</definedName>
    <definedName name="prices.fx_usd">Prices!$B$128:$C$167</definedName>
    <definedName name="_xlnm.Print_Area" localSheetId="8">AAF!$A$2:$Q$49</definedName>
    <definedName name="_xlnm.Print_Area" localSheetId="9">ADVANCED!$A$2:$Q$49</definedName>
    <definedName name="_xlnm.Print_Area" localSheetId="109">'AGG ASIA'!$A$3:$Q$46</definedName>
    <definedName name="_xlnm.Print_Area" localSheetId="108">'AGG ASIA CELLULAR'!$A$3:$Q$46</definedName>
    <definedName name="_xlnm.Print_Area" localSheetId="107">'AGG ASIA INCUMB'!$A$3:$Q$46</definedName>
    <definedName name="_xlnm.Print_Area" localSheetId="112">'AGG DM'!$A$3:$Q$46</definedName>
    <definedName name="_xlnm.Print_Area" localSheetId="98">'AGG DM ASIA'!$A$3:$Q$46</definedName>
    <definedName name="_xlnm.Print_Area" localSheetId="111">'AGG DM CELLULAR'!$A$3:$Q$46</definedName>
    <definedName name="_xlnm.Print_Area" localSheetId="110">'AGG DM INCUMB'!$A$3:$Q$46</definedName>
    <definedName name="_xlnm.Print_Area" localSheetId="116">'AGG EM'!$A$3:$Q$46</definedName>
    <definedName name="_xlnm.Print_Area" localSheetId="106">'AGG EM ASIA'!$A$3:$Q$46</definedName>
    <definedName name="_xlnm.Print_Area" localSheetId="10">AMT!$A$2:$Q$49</definedName>
    <definedName name="_xlnm.Print_Area" localSheetId="11">AMX!$A$2:$Q$49</definedName>
    <definedName name="_xlnm.Print_Area" localSheetId="12">ATCUS!$A$2:$Q$50</definedName>
    <definedName name="_xlnm.Print_Area" localSheetId="13">ATT!$A$2:$Q$47</definedName>
    <definedName name="_xlnm.Print_Area" localSheetId="14">AXI!$A$2:$Q$48</definedName>
    <definedName name="_xlnm.Print_Area" localSheetId="117">AXISOP!$A$1:$X$43</definedName>
    <definedName name="_xlnm.Print_Area" localSheetId="15">BHART!$A$2:$Q$47</definedName>
    <definedName name="_xlnm.Print_Area" localSheetId="118">BHARTSOP!$A$1:$X$43</definedName>
    <definedName name="_xlnm.Print_Area" localSheetId="16">BHIN!$A$2:$Q$47</definedName>
    <definedName name="_xlnm.Print_Area" localSheetId="17">BOUY!$A$2:$Q$47</definedName>
    <definedName name="_xlnm.Print_Area" localSheetId="119">BOUYSOP!$A$1:$X$54</definedName>
    <definedName name="_xlnm.Print_Area" localSheetId="18">BT!$A$2:$Q$47</definedName>
    <definedName name="_xlnm.Print_Area" localSheetId="19">CCI!$A$2:$Q$48</definedName>
    <definedName name="_xlnm.Print_Area" localSheetId="20">ChinaTow!$A$2:$Q$47</definedName>
    <definedName name="_xlnm.Print_Area" localSheetId="21">CHTR!$A$2:$Q$47</definedName>
    <definedName name="_xlnm.Print_Area" localSheetId="23">CLNX!$A$2:$Q$47</definedName>
    <definedName name="_xlnm.Print_Area" localSheetId="22">CMCSA!$A$2:$Q$47</definedName>
    <definedName name="_xlnm.Print_Area" localSheetId="1">Cover!$A$1:$O$39</definedName>
    <definedName name="_xlnm.Print_Area" localSheetId="27">DIGI!$A$2:$Q$47</definedName>
    <definedName name="_xlnm.Print_Area" localSheetId="7">Disclaimer!$A$6:$U$35</definedName>
    <definedName name="_xlnm.Print_Area" localSheetId="3">'DM Multiples'!$A$1:$W$772</definedName>
    <definedName name="_xlnm.Print_Area" localSheetId="28">DRI!$A$2:$R$50</definedName>
    <definedName name="_xlnm.Print_Area" localSheetId="29">DT!$A$2:$Q$50</definedName>
    <definedName name="_xlnm.Print_Area" localSheetId="120">DTSOP!$A$1:$X$59</definedName>
    <definedName name="_xlnm.Print_Area" localSheetId="30">ELISA!$A$2:$Q$49</definedName>
    <definedName name="_xlnm.Print_Area" localSheetId="121">ELISASOP!$A$1:$X$48</definedName>
    <definedName name="_xlnm.Print_Area" localSheetId="104">'EM ASIA INCUMB'!$A$3:$Q$46</definedName>
    <definedName name="_xlnm.Print_Area" localSheetId="114">'EM CELLULAR'!$A$3:$Q$46</definedName>
    <definedName name="_xlnm.Print_Area" localSheetId="113">'EM INCUMB'!$A$3:$Q$46</definedName>
    <definedName name="_xlnm.Print_Area" localSheetId="4">'EM Multiples'!$A$1:$W$668</definedName>
    <definedName name="_xlnm.Print_Area" localSheetId="115">'EM TOWERS'!$A$3:$Q$46</definedName>
    <definedName name="_xlnm.Print_Area" localSheetId="103">'EMEA AGG'!$A$3:$Q$46</definedName>
    <definedName name="_xlnm.Print_Area" localSheetId="102">'EMEA CELLULAR'!$A$3:$Q$46</definedName>
    <definedName name="_xlnm.Print_Area" localSheetId="31">ENTEL!$A$2:$Q$47</definedName>
    <definedName name="_xlnm.Print_Area" localSheetId="32">ETL!$A$2:$R$50</definedName>
    <definedName name="_xlnm.Print_Area" localSheetId="34">IDEA!$A$2:$Q$47</definedName>
    <definedName name="_xlnm.Print_Area" localSheetId="122">IDEASOP!$A$1:$X$40</definedName>
    <definedName name="_xlnm.Print_Area" localSheetId="35">IHS!$A$2:$Q$47</definedName>
    <definedName name="_xlnm.Print_Area" localSheetId="37">INDO!$A$2:$Q$47</definedName>
    <definedName name="_xlnm.Print_Area" localSheetId="38">KDDI!$A$2:$Q$47</definedName>
    <definedName name="_xlnm.Print_Area" localSheetId="39">KPN!$A$2:$Q$49</definedName>
    <definedName name="_xlnm.Print_Area" localSheetId="123">KPNSOP!$A$1:$X$61</definedName>
    <definedName name="_xlnm.Print_Area" localSheetId="101">'LATAM AGG'!$A$3:$Q$46</definedName>
    <definedName name="_xlnm.Print_Area" localSheetId="99">'LATAM INCUMB'!$A$3:$Q$46</definedName>
    <definedName name="_xlnm.Print_Area" localSheetId="100">'LATAM OTHER'!$A$3:$Q$46</definedName>
    <definedName name="_xlnm.Print_Area" localSheetId="42">LBTY!$A$2:$Q$47</definedName>
    <definedName name="_xlnm.Print_Area" localSheetId="43">LiLAC!$A$2:$Q$48</definedName>
    <definedName name="_xlnm.Print_Area" localSheetId="44">MAXI!$A$2:$Q$47</definedName>
    <definedName name="_xlnm.Print_Area" localSheetId="45">MEGA!$A$2:$Q$47</definedName>
    <definedName name="_xlnm.Print_Area" localSheetId="46">MILLI!$A$2:$Q$47</definedName>
    <definedName name="_xlnm.Print_Area" localSheetId="47">MITRA!$A$2:$Q$47</definedName>
    <definedName name="_xlnm.Print_Area" localSheetId="48">MTN!$A$2:$Q$47</definedName>
    <definedName name="_xlnm.Print_Area" localSheetId="124">MTNSOP!$A$1:$X$51</definedName>
    <definedName name="_xlnm.Print_Area" localSheetId="49">NOS!$A$2:$Q$47</definedName>
    <definedName name="_xlnm.Print_Area" localSheetId="50">NTT!$A$2:$Q$47</definedName>
    <definedName name="_xlnm.Print_Area" localSheetId="51">OBEL!$A$2:$Q$49</definedName>
    <definedName name="_xlnm.Print_Area" localSheetId="125">OBELSOP!$A$1:$X$49</definedName>
    <definedName name="_xlnm.Print_Area" localSheetId="52">ORA!$A$2:$Q$49</definedName>
    <definedName name="_xlnm.Print_Area" localSheetId="126">ORASOP!$A$1:$X$52</definedName>
    <definedName name="_xlnm.Print_Area" localSheetId="53">OTE!$A$2:$Q$49</definedName>
    <definedName name="_xlnm.Print_Area" localSheetId="127">OTESOP!$A$1:$X$57</definedName>
    <definedName name="_xlnm.Print_Area" localSheetId="2">Prices!$A$1:$J$168</definedName>
    <definedName name="_xlnm.Print_Area" localSheetId="86">PROPORTIONATES!$A$1:$K$37</definedName>
    <definedName name="_xlnm.Print_Area" localSheetId="54">PROX!$A$2:$Q$48</definedName>
    <definedName name="_xlnm.Print_Area" localSheetId="128">PROXSOP!$A$1:$X$55</definedName>
    <definedName name="_xlnm.Print_Area" localSheetId="55">PTT!$A$2:$Q$47</definedName>
    <definedName name="_xlnm.Print_Area" localSheetId="56">RAK!$A$2:$Q$47</definedName>
    <definedName name="_xlnm.Print_Area" localSheetId="59">SBAC!$A$2:$Q$47</definedName>
    <definedName name="_xlnm.Print_Area" localSheetId="60">SBKK!$A$2:$Q$47</definedName>
    <definedName name="_xlnm.Print_Area" localSheetId="6">Sectors!$A$1:$W$41</definedName>
    <definedName name="_xlnm.Print_Area" localSheetId="61">SES!$A$2:$R$50</definedName>
    <definedName name="_xlnm.Print_Area" localSheetId="62">SINGTEL!$A$2:$Q$47</definedName>
    <definedName name="_xlnm.Print_Area" localSheetId="63">SITES!$A$2:$Q$47</definedName>
    <definedName name="_xlnm.Print_Area" localSheetId="64">SKT!$A$2:$Q$47</definedName>
    <definedName name="_xlnm.Print_Area" localSheetId="65">SUNN!$A$2:$Q$47</definedName>
    <definedName name="_xlnm.Print_Area" localSheetId="66">SWISS!$A$2:$Q$47</definedName>
    <definedName name="_xlnm.Print_Area" localSheetId="129">SWISSSOP!$A$1:$X$46</definedName>
    <definedName name="_xlnm.Print_Area" localSheetId="68">TEF!$A$2:$Q$47</definedName>
    <definedName name="_xlnm.Print_Area" localSheetId="130">TEFSOP!$A$1:$X$53</definedName>
    <definedName name="_xlnm.Print_Area" localSheetId="69">TELE2!$A$2:$Q$50</definedName>
    <definedName name="_xlnm.Print_Area" localSheetId="131">TELE2SOP!$A$1:$X$46</definedName>
    <definedName name="_xlnm.Print_Area" localSheetId="70">TELIA!$A$2:$Q$49</definedName>
    <definedName name="_xlnm.Print_Area" localSheetId="133">TELIASOP!$A$1:$X$87</definedName>
    <definedName name="_xlnm.Print_Area" localSheetId="71">TI!$A$2:$Q$47</definedName>
    <definedName name="_xlnm.Print_Area" localSheetId="72">TIMP!$A$2:$Q$47</definedName>
    <definedName name="_xlnm.Print_Area" localSheetId="73">TMUS!$A$2:$Q$47</definedName>
    <definedName name="_xlnm.Print_Area" localSheetId="74">TNOR!$A$2:$Q$49</definedName>
    <definedName name="_xlnm.Print_Area" localSheetId="132">TNORSOP!$A$1:$X$68</definedName>
    <definedName name="_xlnm.Print_Area" localSheetId="5">'Tower Multiples'!$A$1:$V$145</definedName>
    <definedName name="_xlnm.Print_Area" localSheetId="76">TRUECORP!$A$2:$Q$47</definedName>
    <definedName name="_xlnm.Print_Area" localSheetId="77">TVIS!$A$2:$Q$47</definedName>
    <definedName name="_xlnm.Print_Area" localSheetId="78">UTDI!$A$2:$Q$49</definedName>
    <definedName name="_xlnm.Print_Area" localSheetId="79">VIMP!$A$2:$Q$47</definedName>
    <definedName name="_xlnm.Print_Area" localSheetId="80">VIVO!$A$2:$Q$47</definedName>
    <definedName name="_xlnm.Print_Area" localSheetId="82">VOD!$A$2:$Q$47</definedName>
    <definedName name="_xlnm.Print_Area" localSheetId="81">VODA!$A$2:$Q$47</definedName>
    <definedName name="_xlnm.Print_Area" localSheetId="134">VODSOP!$A$1:$X$43</definedName>
    <definedName name="_xlnm.Print_Area" localSheetId="83">VZN!$A$2:$Q$47</definedName>
    <definedName name="_xlnm.Print_Area" localSheetId="94">'W.EUR AGG'!$A$3:$Q$46</definedName>
    <definedName name="_xlnm.Print_Area" localSheetId="95">'W.EUR AGG (ex Towers)'!$A$3:$Q$46</definedName>
    <definedName name="_xlnm.Print_Area" localSheetId="91">'W.EUR INCUMB'!$A$3:$Q$46</definedName>
    <definedName name="_xlnm.Print_Area" localSheetId="92">'W.EUR OTHER'!$A$3:$Q$46</definedName>
    <definedName name="_xlnm.Print_Area" localSheetId="93">'W.EUR TOWERS'!$A$3:$Q$46</definedName>
    <definedName name="_xlnm.Print_Area" localSheetId="85">XLAX!$A$2:$Q$47</definedName>
    <definedName name="_xlnm.Print_Area" localSheetId="84">ZEG!$A$2:$Q$47</definedName>
    <definedName name="_xlnm.Print_Titles" localSheetId="3">'DM Multiples'!$1:$5</definedName>
    <definedName name="_xlnm.Print_Titles" localSheetId="4">'EM Multiples'!$1:$5</definedName>
    <definedName name="_xlnm.Print_Titles" localSheetId="2">Prices!$1:$5</definedName>
    <definedName name="_xlnm.Print_Titles" localSheetId="6">Sectors!$1:$5</definedName>
    <definedName name="_xlnm.Print_Titles" localSheetId="5">'Tower Multiples'!$1:$5</definedName>
    <definedName name="PROX_m1" localSheetId="54">PROX!$D$9:$G$10</definedName>
    <definedName name="PROX_m2" localSheetId="54">PROX!$D$12:$G$13</definedName>
    <definedName name="PROX_m3" localSheetId="54">PROX!$D$16:$G$17</definedName>
    <definedName name="PROX_m4" localSheetId="54">PROX!$L$25:$O$25</definedName>
    <definedName name="PROX_m5" localSheetId="54">PROX!$C$23:$G$33</definedName>
    <definedName name="proxvalue">PROXSOP!$X$46:$X$48</definedName>
    <definedName name="pttm1">PTT!$D$9:$G$10</definedName>
    <definedName name="pttm2">PTT!$D$12:$G$13</definedName>
    <definedName name="pttm3">PTT!$D$16:$G$17</definedName>
    <definedName name="pttm4">PTT!$L$25:$O$25</definedName>
    <definedName name="pttm5">PTT!$C$23:$G$33</definedName>
    <definedName name="puff" localSheetId="111" hidden="1">#REF!</definedName>
    <definedName name="puff" localSheetId="110" hidden="1">#REF!</definedName>
    <definedName name="puff" localSheetId="12" hidden="1">#REF!</definedName>
    <definedName name="puff" localSheetId="20" hidden="1">#REF!</definedName>
    <definedName name="puff" localSheetId="23" hidden="1">#REF!</definedName>
    <definedName name="puff" localSheetId="28" hidden="1">#REF!</definedName>
    <definedName name="puff" localSheetId="115" hidden="1">#REF!</definedName>
    <definedName name="puff" localSheetId="32" hidden="1">#REF!</definedName>
    <definedName name="puff" localSheetId="33" hidden="1">#REF!</definedName>
    <definedName name="puff" localSheetId="36" hidden="1">#REF!</definedName>
    <definedName name="puff" localSheetId="56" hidden="1">#REF!</definedName>
    <definedName name="puff" localSheetId="61" hidden="1">SES!#REF!</definedName>
    <definedName name="puff" localSheetId="63" hidden="1">#REF!</definedName>
    <definedName name="puff" localSheetId="78" hidden="1">#REF!</definedName>
    <definedName name="puff" localSheetId="95" hidden="1">#REF!</definedName>
    <definedName name="puff" localSheetId="93" hidden="1">#REF!</definedName>
    <definedName name="puff" hidden="1">#REF!</definedName>
    <definedName name="put" localSheetId="111" hidden="1">#REF!</definedName>
    <definedName name="put" localSheetId="110" hidden="1">#REF!</definedName>
    <definedName name="put" localSheetId="12" hidden="1">#REF!</definedName>
    <definedName name="put" localSheetId="20" hidden="1">#REF!</definedName>
    <definedName name="put" localSheetId="23" hidden="1">#REF!</definedName>
    <definedName name="put" localSheetId="28" hidden="1">#REF!</definedName>
    <definedName name="put" localSheetId="115" hidden="1">#REF!</definedName>
    <definedName name="put" localSheetId="32" hidden="1">#REF!</definedName>
    <definedName name="put" localSheetId="33" hidden="1">#REF!</definedName>
    <definedName name="put" localSheetId="36" hidden="1">#REF!</definedName>
    <definedName name="put" localSheetId="56" hidden="1">#REF!</definedName>
    <definedName name="put" localSheetId="61" hidden="1">SES!#REF!</definedName>
    <definedName name="put" localSheetId="63" hidden="1">#REF!</definedName>
    <definedName name="put" localSheetId="78" hidden="1">#REF!</definedName>
    <definedName name="put" localSheetId="95" hidden="1">#REF!</definedName>
    <definedName name="put" localSheetId="93" hidden="1">#REF!</definedName>
    <definedName name="put" hidden="1">#REF!</definedName>
    <definedName name="RAKm1">RAK!$D$9:$G$10</definedName>
    <definedName name="RAKm2">RAK!$D$12:$G$13</definedName>
    <definedName name="RAKm3">RAK!$D$12:$G$15</definedName>
    <definedName name="RAKm4">RAK!$L$25:$O$25</definedName>
    <definedName name="RAKm5">RAK!$C$23:$G$33</definedName>
    <definedName name="ratings_asia_1">Prices!$D$64:$E$66</definedName>
    <definedName name="ratings_asia_2">Prices!$D$69:$E$71</definedName>
    <definedName name="ratings_asia_3">Prices!$D$74:$E$86</definedName>
    <definedName name="ratings_asia_4">Prices!$D$89:$E$93</definedName>
    <definedName name="ratings_asia_ntt">Prices!$D$60:$E$60</definedName>
    <definedName name="ratings_asia_singtel">Prices!$D$61:$E$61</definedName>
    <definedName name="ratings_emea_cellular">Prices!$D$96:$E$100</definedName>
    <definedName name="ratings_emea_towers">Prices!$D$103:$E$104</definedName>
    <definedName name="ratings_eu_incumb">Prices!$D$8:$E$19</definedName>
    <definedName name="ratings_eu_other">Prices!$D$22:$E$37</definedName>
    <definedName name="ratings_eu_towers">Prices!$D$40:$E$41</definedName>
    <definedName name="ratings_latam_altnet">Prices!$D$115:$E$118</definedName>
    <definedName name="ratings_latam_cellular">Prices!$D$112:$E$114</definedName>
    <definedName name="ratings_latam_incumb">Prices!$D$107:$E$109</definedName>
    <definedName name="ratings_latam_towers">Prices!$D$121:$E$121</definedName>
    <definedName name="SAFm1">SAF!$D$9:$G$10</definedName>
    <definedName name="SAFm2">SAF!$D$12:$G$13</definedName>
    <definedName name="SAFm3">SAF!$D$16:$G$17</definedName>
    <definedName name="SAFm4">SAF!$L$25:$O$25</definedName>
    <definedName name="SAFm5">SAF!$C$23:$G$33</definedName>
    <definedName name="SATSm1">SATS!$D$9:$G$10</definedName>
    <definedName name="SATSm2">SATS!$D$12:$G$13</definedName>
    <definedName name="SATSm3">SATS!$D$16:$G$17</definedName>
    <definedName name="SATSm4">SATS!$L$25:$O$25</definedName>
    <definedName name="SATSm5">SATS!$C$23:$G$33</definedName>
    <definedName name="SATSm6">SATS!$D$14:$G$15</definedName>
    <definedName name="SBACm1" localSheetId="59">SBAC!$D$9:$G$10</definedName>
    <definedName name="SBACm2" localSheetId="59">SBAC!$D$12:$G$13</definedName>
    <definedName name="SBACm3" localSheetId="59">SBAC!$D$16:$G$17</definedName>
    <definedName name="SBACm4" localSheetId="59">SBAC!$L$25:$O$25</definedName>
    <definedName name="SBACm5" localSheetId="59">SBAC!$C$23:$G$33</definedName>
    <definedName name="SBACm6">SBAC!$D$14:$G$15</definedName>
    <definedName name="sbkkm1" localSheetId="56">RAK!$D$9:$G$10</definedName>
    <definedName name="sbkkm1">SBKK!$D$9:$G$10</definedName>
    <definedName name="sbkkm2" localSheetId="56">RAK!$D$12:$G$13</definedName>
    <definedName name="sbkkm2">SBKK!$D$12:$G$13</definedName>
    <definedName name="sbkkm3" localSheetId="56">RAK!$D$16:$G$17</definedName>
    <definedName name="sbkkm3">SBKK!$D$16:$G$17</definedName>
    <definedName name="sbkkm4" localSheetId="56">RAK!$L$25:$O$25</definedName>
    <definedName name="sbkkm4">SBKK!$L$25:$O$25</definedName>
    <definedName name="sbkkm5" localSheetId="56">RAK!$C$23:$G$33</definedName>
    <definedName name="sbkkm5">SBKK!$C$23:$G$33</definedName>
    <definedName name="SecretArchiveNumber" hidden="1">1</definedName>
    <definedName name="sencount" hidden="1">1</definedName>
    <definedName name="ses_m1">SES!$D$9:$G$10</definedName>
    <definedName name="ses_m2">SES!$D$12:$G$13</definedName>
    <definedName name="ses_m3">SES!$D$16:$G$17</definedName>
    <definedName name="ses_m4">SES!$L$25:$O$25</definedName>
    <definedName name="ses_m5">SES!$C$23:$G$33</definedName>
    <definedName name="SINGTELm1">SINGTEL!$D$9:$G$10</definedName>
    <definedName name="SINGTELm2">SINGTEL!$D$12:$G$13</definedName>
    <definedName name="SINGTELm3">SINGTEL!$D$16:$G$17</definedName>
    <definedName name="SINGTELm4">SINGTEL!$L$25:$O$25</definedName>
    <definedName name="SINGTELm5">SINGTEL!$C$23:$G$33</definedName>
    <definedName name="SINGTELMM6">PROPORTIONATES!$G$45:$J$46</definedName>
    <definedName name="SINGTELMM7">PROPORTIONATES!$G$48:$J$49</definedName>
    <definedName name="SINGTELMM8">PROPORTIONATES!$G$52:$J$53</definedName>
    <definedName name="SINGTELMM9">PROPORTIONATES!$F$60:$J$62</definedName>
    <definedName name="SITESm1">SITES!$D$9:$G$10</definedName>
    <definedName name="SITESm2">SITES!$D$12:$G$14</definedName>
    <definedName name="SITESm3">SITES!$D$16:$G$17</definedName>
    <definedName name="SITESm4">SITES!$L$25:$O$25</definedName>
    <definedName name="SITESm5">SITES!$C$23:$G$33</definedName>
    <definedName name="SITESm6">SITES!$L$31:$O$32</definedName>
    <definedName name="SITEStwr1">SITES!$L$31:$O$31</definedName>
    <definedName name="SITEStwr2">SITES!$L$32:$O$32</definedName>
    <definedName name="SKTm1">SKT!$D$9:$G$10</definedName>
    <definedName name="SKTm2">SKT!$D$12:$G$13</definedName>
    <definedName name="SKTm3">SKT!$D$16:$G$17</definedName>
    <definedName name="SKTm4">SKT!$L$25:$O$25</definedName>
    <definedName name="SKTm5">SKT!$C$23:$G$33</definedName>
    <definedName name="sop" localSheetId="117">AXISOP!$A$5:$D$7</definedName>
    <definedName name="sop" localSheetId="118">BHARTSOP!$A$5:$D$7</definedName>
    <definedName name="sop" localSheetId="120">DTSOP!$A$5:$D$7</definedName>
    <definedName name="sop" localSheetId="122">IDEASOP!$A$5:$D$7</definedName>
    <definedName name="sop" localSheetId="123">KPNSOP!$A$5:$D$7</definedName>
    <definedName name="sop" localSheetId="124">MTNSOP!$A$5:$D$7</definedName>
    <definedName name="sop" localSheetId="126">ORASOP!$A$5:$D$7</definedName>
    <definedName name="sop" localSheetId="127">OTESOP!$A$5:$D$7</definedName>
    <definedName name="sop" localSheetId="128">PROXSOP!$A$5:$D$7</definedName>
    <definedName name="sop" localSheetId="129">SWISSSOP!$A$5:$D$7</definedName>
    <definedName name="sop" localSheetId="130">TEFSOP!$A$5:$D$7</definedName>
    <definedName name="sop" localSheetId="131">TELE2SOP!$A$5:$D$8</definedName>
    <definedName name="sop" localSheetId="133">TELIASOP!$A$5:$D$7</definedName>
    <definedName name="sop" localSheetId="132">TNORSOP!$A$5:$D$7</definedName>
    <definedName name="SUNN_m1">SUNN!$D$9:$G$10</definedName>
    <definedName name="SUNN_m2">SUNN!$D$12:$G$13</definedName>
    <definedName name="SUNN_m3">SUNN!$D$16:$G$17</definedName>
    <definedName name="SUNN_m4">SUNN!$L$25:$O$25</definedName>
    <definedName name="SUNN_m5">SUNN!$C$23:$G$33</definedName>
    <definedName name="SWISS_m1" localSheetId="65">SUNN!$D$9:$G$10</definedName>
    <definedName name="SWISS_m1">SWISS!$D$9:$G$10</definedName>
    <definedName name="SWISS_m2" localSheetId="65">SUNN!$D$12:$G$13</definedName>
    <definedName name="SWISS_m2">SWISS!$D$12:$G$13</definedName>
    <definedName name="SWISS_m3" localSheetId="65">SUNN!$D$16:$G$17</definedName>
    <definedName name="SWISS_m3">SWISS!$D$16:$G$17</definedName>
    <definedName name="SWISS_m4" localSheetId="65">SUNN!$L$25:$O$25</definedName>
    <definedName name="SWISS_m4">SWISS!$L$25:$O$25</definedName>
    <definedName name="SWISS_m5" localSheetId="65">SUNN!$C$23:$G$33</definedName>
    <definedName name="SWISS_m5">SWISS!$C$23:$G$33</definedName>
    <definedName name="TBIGm1">TBIG!$D$9:$G$10</definedName>
    <definedName name="TBIGm2">TBIG!$D$12:$G$13</definedName>
    <definedName name="TBIGm3">TBIG!$D$16:$G$17</definedName>
    <definedName name="TBIGm4">TBIG!$L$25:$O$25</definedName>
    <definedName name="TBIGm5">TBIG!$C$23:$G$33</definedName>
    <definedName name="TBIGtwr1">TBIG!$L$31:$O$31</definedName>
    <definedName name="TBIGtwr2">TBIG!$L$32:$O$32</definedName>
    <definedName name="TEF_m1">TEF!$D$9:$G$10</definedName>
    <definedName name="TEF_m2">TEF!$D$12:$G$13</definedName>
    <definedName name="TEF_m3">TEF!$D$16:$G$17</definedName>
    <definedName name="TEF_m4">TEF!$L$25:$O$25</definedName>
    <definedName name="TEF_m5">TEF!$C$23:$G$33</definedName>
    <definedName name="TELE2_m1">TELE2!$D$9:$G$10</definedName>
    <definedName name="TELE2_m2">TELE2!$D$12:$G$13</definedName>
    <definedName name="TELE2_m3">TELE2!$D$16:$G$17</definedName>
    <definedName name="TELE2_m4">TELE2!$L$25:$O$25</definedName>
    <definedName name="TELE2_m5">TELE2!$C$23:$G$33</definedName>
    <definedName name="TELIA_m1">TELIA!$D$9:$G$10</definedName>
    <definedName name="TELIA_m2">TELIA!$D$12:$G$13</definedName>
    <definedName name="TELIA_m3">TELIA!$D$16:$G$17</definedName>
    <definedName name="TELIA_m4">TELIA!$L$25:$O$25</definedName>
    <definedName name="TELIA_m5">TELIA!$C$23:$G$33</definedName>
    <definedName name="TI_m1">TI!$D$9:$G$10</definedName>
    <definedName name="TI_m2">TI!$D$12:$G$13</definedName>
    <definedName name="TI_m3">TI!$D$16:$G$17</definedName>
    <definedName name="TI_m4">TI!$L$25:$O$25</definedName>
    <definedName name="TI_m5">TI!$C$23:$G$33</definedName>
    <definedName name="TIMPm1">TIMP!$D$9:$G$10</definedName>
    <definedName name="TIMPm2">TIMP!$D$12:$G$13</definedName>
    <definedName name="TIMPm3">TIMP!$D$16:$G$17</definedName>
    <definedName name="TIMPm4">TIMP!$L$25:$O$25</definedName>
    <definedName name="TIMPm5">TIMP!$C$23:$G$33</definedName>
    <definedName name="TMUSm1">TMUS!$D$9:$G$10</definedName>
    <definedName name="TMUSm2">TMUS!$D$12:$G$13</definedName>
    <definedName name="TMUSm3">TMUS!$D$16:$G$17</definedName>
    <definedName name="TMUSm4">TMUS!$L$25:$O$25</definedName>
    <definedName name="TMUSm5">TMUS!$C$23:$G$33</definedName>
    <definedName name="TMUSm6">TMUS!$D$14:$G$15</definedName>
    <definedName name="TNOR_m1">TNOR!$D$9:$G$10</definedName>
    <definedName name="TNOR_m2">TNOR!$D$12:$G$13</definedName>
    <definedName name="TNOR_m3">TNOR!$D$16:$G$17</definedName>
    <definedName name="TNOR_m4">TNOR!$L$25:$O$25</definedName>
    <definedName name="TNOR_m5">TNOR!$C$23:$G$33</definedName>
    <definedName name="TOWRM1" localSheetId="75">TOWR!$D$9:$G$10</definedName>
    <definedName name="TOWRM2" localSheetId="75">TOWR!$D$12:$G$13</definedName>
    <definedName name="TOWRM3" localSheetId="75">TOWR!$D$16:$G$17</definedName>
    <definedName name="TOWRM4" localSheetId="75">TOWR!$L$25:$O$25</definedName>
    <definedName name="TOWRM5" localSheetId="75">TOWR!$C$23:$G$33</definedName>
    <definedName name="TOWRtwr1">TOWR!$L$31:$O$31</definedName>
    <definedName name="TOWRtwr2">TOWR!$L$32:$O$32</definedName>
    <definedName name="TRUECORPm1" localSheetId="76">TRUECORP!$D$9:$G$10</definedName>
    <definedName name="TRUECORPm2" localSheetId="76">TRUECORP!$D$12:$G$13</definedName>
    <definedName name="TRUECORPm3" localSheetId="76">TRUECORP!$D$16:$G$17</definedName>
    <definedName name="TRUECORPm4" localSheetId="76">TRUECORP!$L$25:$O$25</definedName>
    <definedName name="TRUECORPm5" localSheetId="76">TRUECORP!$C$23:$G$33</definedName>
    <definedName name="TVISm1" localSheetId="77">TVIS!$D$9:$G$10</definedName>
    <definedName name="TVISm2" localSheetId="77">TVIS!$D$12:$G$13</definedName>
    <definedName name="TVISm3" localSheetId="77">TVIS!$D$16:$G$17</definedName>
    <definedName name="TVISm4" localSheetId="77">TVIS!$L$25:$O$25</definedName>
    <definedName name="TVISm5" localSheetId="77">TVIS!$C$23:$G$33</definedName>
    <definedName name="US_P1">Prices!$D$44:$E$46</definedName>
    <definedName name="US_P2">Prices!$D$49:$E$52</definedName>
    <definedName name="US_P3">Prices!$D$55:$E$57</definedName>
    <definedName name="UTDI_m1">UTDI!$D$9:$G$10</definedName>
    <definedName name="UTDI_m2">UTDI!$D$12:$G$13</definedName>
    <definedName name="UTDI_m3">UTDI!$D$16:$G$17</definedName>
    <definedName name="UTDI_m4">UTDI!$L$25:$O$25</definedName>
    <definedName name="UTDI_m5">UTDI!$C$23:$G$33</definedName>
    <definedName name="VIMPm1" localSheetId="79">VIMP!$D$9:$G$10</definedName>
    <definedName name="VIMPm2" localSheetId="79">VIMP!$D$12:$G$13</definedName>
    <definedName name="VIMPm3" localSheetId="79">VIMP!$D$16:$G$17</definedName>
    <definedName name="VIMPm4" localSheetId="79">VIMP!$L$25:$O$25</definedName>
    <definedName name="VIMPm5" localSheetId="79">VIMP!$C$23:$G$33</definedName>
    <definedName name="VIVOm1">VIVO!$D$9:$G$10</definedName>
    <definedName name="VIVOm2">VIVO!$D$12:$G$13</definedName>
    <definedName name="VIVOm3">VIVO!$D$16:$G$17</definedName>
    <definedName name="VIVOm4">VIVO!$L$25:$O$25</definedName>
    <definedName name="VIVOm5">VIVO!$C$23:$G$33</definedName>
    <definedName name="VOD_m1">VOD!$D$9:$G$10</definedName>
    <definedName name="VOD_m2">VOD!$D$12:$G$13</definedName>
    <definedName name="VOD_m3">VOD!$D$16:$G$17</definedName>
    <definedName name="VOD_m4">VOD!$L$25:$O$25</definedName>
    <definedName name="VOD_m5">VOD!$C$23:$G$33</definedName>
    <definedName name="vod_m6">VOD!$D$14:$G$15</definedName>
    <definedName name="VODAm1">VODA!$D$9:$G$10</definedName>
    <definedName name="VODAm2">VODA!$D$12:$G$13</definedName>
    <definedName name="VODAm3">VODA!$D$16:$G$17</definedName>
    <definedName name="VODAm4">VODA!$L$25:$O$25</definedName>
    <definedName name="VODAm5">VODA!$C$23:$G$33</definedName>
    <definedName name="vodpm6">PROPORTIONATES!$G$11:$J$12</definedName>
    <definedName name="vodpm7">PROPORTIONATES!$G$14:$J$15</definedName>
    <definedName name="vodpm8">PROPORTIONATES!$G$18:$J$19</definedName>
    <definedName name="vodpm9">PROPORTIONATES!$F$26:$J$28</definedName>
    <definedName name="VZNm1">VZN!$D$9:$G$10</definedName>
    <definedName name="VZNm2">VZN!$D$12:$G$13</definedName>
    <definedName name="VZNm3">VZN!$D$16:$G$17</definedName>
    <definedName name="VZNm4">VZN!$L$25:$O$25</definedName>
    <definedName name="VZNm5">VZN!$C$23:$G$33</definedName>
    <definedName name="VZNm6">VZN!$D$14:$G$15</definedName>
    <definedName name="WE_EQ_MULTIPLES" localSheetId="3">'DM Multiples'!$C$118:$Z$172</definedName>
    <definedName name="WE_EQ_MULTIPLES" localSheetId="4">'EM Multiples'!$C$212:$Z$313</definedName>
    <definedName name="WE_EV_MULTIPLES" localSheetId="3">'DM Multiples'!$C$4:$AB$109</definedName>
    <definedName name="WE_EV_MULTIPLES" localSheetId="4">'EM Multiples'!$C$6:$AB$104</definedName>
    <definedName name="WE_GEARING" localSheetId="3">'DM Multiples'!$C$437:$Z$491</definedName>
    <definedName name="WE_GROWTH" localSheetId="3">'DM Multiples'!$C$283:$Z$329</definedName>
    <definedName name="WE_GROWTH" localSheetId="4">'EM Multiples'!$C$622:$Z$669</definedName>
    <definedName name="WE_MARGINS" localSheetId="3">'DM Multiples'!$C$333:$Z$380</definedName>
    <definedName name="WE_PROFIT" localSheetId="3">'DM Multiples'!$C$231:$Z$281</definedName>
    <definedName name="WE_PROFIT" localSheetId="4">'EM Multiples'!$C$423:$Z$619</definedName>
    <definedName name="WE_SIZE" localSheetId="3">'DM Multiples'!$C$492:$Z$662</definedName>
    <definedName name="wrn.PandL." hidden="1">{"P&amp;L",#N/A,FALSE,"annual"}</definedName>
    <definedName name="wrn.Vodafone._.printout." hidden="1">{"Groupannual",#N/A,FALSE,"Groupannual";"VodMann",#N/A,FALSE,"VodMann";"Data",#N/A,FALSE,"Data";"Group International",#N/A,FALSE,"Group International";"BellAir",#N/A,FALSE,"BellAir";"DCF sum of parts",#N/A,FALSE,"DCF sum of parts";"licences",#N/A,FALSE,"licences"}</definedName>
    <definedName name="xft" localSheetId="12" hidden="1">#REF!</definedName>
    <definedName name="xft" localSheetId="20" hidden="1">#REF!</definedName>
    <definedName name="xft" localSheetId="56" hidden="1">#REF!</definedName>
    <definedName name="xft" hidden="1">#REF!</definedName>
    <definedName name="xfttt" localSheetId="12" hidden="1">#REF!</definedName>
    <definedName name="xfttt" localSheetId="20" hidden="1">#REF!</definedName>
    <definedName name="xfttt" localSheetId="56" hidden="1">#REF!</definedName>
    <definedName name="xfttt" hidden="1">#REF!</definedName>
    <definedName name="XLAXm1">XLAX!$D$9:$G$10</definedName>
    <definedName name="XLAXm2">XLAX!$D$12:$G$13</definedName>
    <definedName name="XLAXm3">XLAX!$D$16:$G$17</definedName>
    <definedName name="XLAXm4">XLAX!$L$25:$O$25</definedName>
    <definedName name="XLAXm5">XLAX!$C$23:$G$33</definedName>
    <definedName name="xx" localSheetId="12" hidden="1">#REF!</definedName>
    <definedName name="xx" localSheetId="20" hidden="1">#REF!</definedName>
    <definedName name="xx" localSheetId="56" hidden="1">#REF!</definedName>
    <definedName name="xx" hidden="1">#REF!</definedName>
    <definedName name="yum" localSheetId="12" hidden="1">#REF!</definedName>
    <definedName name="yum" localSheetId="20" hidden="1">#REF!</definedName>
    <definedName name="yum" localSheetId="56" hidden="1">#REF!</definedName>
    <definedName name="yum" hidden="1">#REF!</definedName>
    <definedName name="yumyum" localSheetId="12" hidden="1">#REF!</definedName>
    <definedName name="yumyum" localSheetId="20" hidden="1">#REF!</definedName>
    <definedName name="yumyum" localSheetId="56" hidden="1">#REF!</definedName>
    <definedName name="yumyum" hidden="1">#REF!</definedName>
    <definedName name="ZEG_m1" localSheetId="84">ZEG!$D$9:$G$10</definedName>
    <definedName name="ZEG_m2" localSheetId="84">ZEG!$D$12:$G$13</definedName>
    <definedName name="ZEG_m3" localSheetId="84">ZEG!$D$16:$G$17</definedName>
    <definedName name="ZEG_m4" localSheetId="84">ZEG!$L$25:$O$25</definedName>
    <definedName name="ZEG_m5" localSheetId="84">ZEG!$C$23:$G$33</definedName>
  </definedNames>
  <calcPr calcId="191029"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 i="70" l="1"/>
  <c r="I150" i="5" a="1"/>
  <c r="I78" i="5" a="1"/>
  <c r="I52" i="5" a="1"/>
  <c r="I30" i="5" a="1"/>
  <c r="I22" i="5" a="1"/>
  <c r="I12" i="5" a="1"/>
  <c r="I36" i="5" a="1"/>
  <c r="I26" i="5" a="1"/>
  <c r="I137" i="5" a="1"/>
  <c r="I33" i="5" a="1"/>
  <c r="I44" i="5" a="1"/>
  <c r="I167" i="5" a="1"/>
  <c r="I159" i="5" a="1"/>
  <c r="I151" i="5" a="1"/>
  <c r="I143" i="5" a="1"/>
  <c r="I135" i="5" a="1"/>
  <c r="I125" i="5" a="1"/>
  <c r="I113" i="5" a="1"/>
  <c r="I99" i="5" a="1"/>
  <c r="I89" i="5" a="1"/>
  <c r="I79" i="5" a="1"/>
  <c r="I69" i="5" a="1"/>
  <c r="I55" i="5" a="1"/>
  <c r="I41" i="5" a="1"/>
  <c r="I31" i="5" a="1"/>
  <c r="I23" i="5" a="1"/>
  <c r="I13" i="5" a="1"/>
  <c r="I142" i="5" a="1"/>
  <c r="I134" i="5" a="1"/>
  <c r="I124" i="5" a="1"/>
  <c r="I25" i="5" a="1"/>
  <c r="I158" i="5" a="1"/>
  <c r="I115" i="5" a="1"/>
  <c r="I57" i="5" a="1"/>
  <c r="I166" i="5" a="1"/>
  <c r="I112" i="5" a="1"/>
  <c r="I98" i="5" a="1"/>
  <c r="I86" i="5" a="1"/>
  <c r="I66" i="5" a="1"/>
  <c r="I40" i="5" a="1"/>
  <c r="I108" i="5" a="1"/>
  <c r="I64" i="5" a="1"/>
  <c r="I18" i="5" a="1"/>
  <c r="I145" i="5" a="1"/>
  <c r="I71" i="5" a="1"/>
  <c r="I56" i="5" a="1"/>
  <c r="I14" i="5" a="1"/>
  <c r="I109" i="5" a="1"/>
  <c r="I97" i="5" a="1"/>
  <c r="I77" i="5" a="1"/>
  <c r="I51" i="5" a="1"/>
  <c r="I19" i="5" a="1"/>
  <c r="I76" i="5" a="1"/>
  <c r="I16" i="5" a="1"/>
  <c r="I8" i="5" a="1"/>
  <c r="I165" i="5" a="1"/>
  <c r="I157" i="5" a="1"/>
  <c r="I149" i="5" a="1"/>
  <c r="I141" i="5" a="1"/>
  <c r="I133" i="5" a="1"/>
  <c r="I121" i="5" a="1"/>
  <c r="I85" i="5" a="1"/>
  <c r="I65" i="5" a="1"/>
  <c r="I37" i="5" a="1"/>
  <c r="I29" i="5" a="1"/>
  <c r="I11" i="5" a="1"/>
  <c r="I96" i="5" a="1"/>
  <c r="I28" i="5" a="1"/>
  <c r="I129" i="5" a="1"/>
  <c r="I156" i="5" a="1"/>
  <c r="I118" i="5" a="1"/>
  <c r="I84" i="5" a="1"/>
  <c r="I50" i="5" a="1"/>
  <c r="I10" i="5" a="1"/>
  <c r="I91" i="5" a="1"/>
  <c r="I164" i="5" a="1"/>
  <c r="I148" i="5" a="1"/>
  <c r="I140" i="5" a="1"/>
  <c r="I132" i="5" a="1"/>
  <c r="I139" i="5" a="1"/>
  <c r="I163" i="5" a="1"/>
  <c r="I155" i="5" a="1"/>
  <c r="I147" i="5" a="1"/>
  <c r="I131" i="5" a="1"/>
  <c r="I117" i="5" a="1"/>
  <c r="I107" i="5" a="1"/>
  <c r="I93" i="5" a="1"/>
  <c r="I83" i="5" a="1"/>
  <c r="I75" i="5" a="1"/>
  <c r="I61" i="5" a="1"/>
  <c r="I49" i="5" a="1"/>
  <c r="I35" i="5" a="1"/>
  <c r="I27" i="5" a="1"/>
  <c r="I17" i="5" a="1"/>
  <c r="I9" i="5" a="1"/>
  <c r="I46" i="5" a="1"/>
  <c r="I81" i="5" a="1"/>
  <c r="I45" i="5" a="1"/>
  <c r="I70" i="5" a="1"/>
  <c r="I154" i="5" a="1"/>
  <c r="I80" i="5" a="1"/>
  <c r="I162" i="5" a="1"/>
  <c r="I146" i="5" a="1"/>
  <c r="I138" i="5" a="1"/>
  <c r="I130" i="5" a="1"/>
  <c r="I116" i="5" a="1"/>
  <c r="I104" i="5" a="1"/>
  <c r="I92" i="5" a="1"/>
  <c r="I82" i="5" a="1"/>
  <c r="I74" i="5" a="1"/>
  <c r="I60" i="5" a="1"/>
  <c r="I34" i="5" a="1"/>
  <c r="I15" i="5" a="1"/>
  <c r="I24" i="5" a="1"/>
  <c r="I153" i="5" a="1"/>
  <c r="I161" i="5" a="1"/>
  <c r="I103" i="5" a="1"/>
  <c r="I152" i="5" a="1"/>
  <c r="I144" i="5" a="1"/>
  <c r="I136" i="5" a="1"/>
  <c r="I128" i="5" a="1"/>
  <c r="I100" i="5" a="1"/>
  <c r="I90" i="5" a="1"/>
  <c r="I32" i="5" a="1"/>
  <c r="I160" i="5" a="1"/>
  <c r="I114" i="5" a="1"/>
  <c r="I114" i="5" l="1"/>
  <c r="I160" i="5"/>
  <c r="I32" i="5"/>
  <c r="I90" i="5"/>
  <c r="I100" i="5"/>
  <c r="I128" i="5"/>
  <c r="I136" i="5"/>
  <c r="I144" i="5"/>
  <c r="I152" i="5"/>
  <c r="I103" i="5"/>
  <c r="I161" i="5"/>
  <c r="I153" i="5"/>
  <c r="I24" i="5"/>
  <c r="I15" i="5"/>
  <c r="I34" i="5"/>
  <c r="I60" i="5"/>
  <c r="I74" i="5"/>
  <c r="I82" i="5"/>
  <c r="I92" i="5"/>
  <c r="I104" i="5"/>
  <c r="I116" i="5"/>
  <c r="I130" i="5"/>
  <c r="I138" i="5"/>
  <c r="I146" i="5"/>
  <c r="I162" i="5"/>
  <c r="I80" i="5"/>
  <c r="I154" i="5"/>
  <c r="I70" i="5"/>
  <c r="I45" i="5"/>
  <c r="I81" i="5"/>
  <c r="I46" i="5"/>
  <c r="I9" i="5"/>
  <c r="I17" i="5"/>
  <c r="I27" i="5"/>
  <c r="I35" i="5"/>
  <c r="I49" i="5"/>
  <c r="I61" i="5"/>
  <c r="I75" i="5"/>
  <c r="I83" i="5"/>
  <c r="I93" i="5"/>
  <c r="I107" i="5"/>
  <c r="I117" i="5"/>
  <c r="I131" i="5"/>
  <c r="I147" i="5"/>
  <c r="I155" i="5"/>
  <c r="I163" i="5"/>
  <c r="I139" i="5"/>
  <c r="I132" i="5"/>
  <c r="I140" i="5"/>
  <c r="I148" i="5"/>
  <c r="I164" i="5"/>
  <c r="I91" i="5"/>
  <c r="I10" i="5"/>
  <c r="I50" i="5"/>
  <c r="I84" i="5"/>
  <c r="I118" i="5"/>
  <c r="I156" i="5"/>
  <c r="I129" i="5"/>
  <c r="I28" i="5"/>
  <c r="I96" i="5"/>
  <c r="I11" i="5"/>
  <c r="I29" i="5"/>
  <c r="I37" i="5"/>
  <c r="I65" i="5"/>
  <c r="I85" i="5"/>
  <c r="I121" i="5"/>
  <c r="I133" i="5"/>
  <c r="I141" i="5"/>
  <c r="I149" i="5"/>
  <c r="I157" i="5"/>
  <c r="I165" i="5"/>
  <c r="I8" i="5"/>
  <c r="I16" i="5"/>
  <c r="I76" i="5"/>
  <c r="I19" i="5"/>
  <c r="I51" i="5"/>
  <c r="I77" i="5"/>
  <c r="I97" i="5"/>
  <c r="I109" i="5"/>
  <c r="I14" i="5"/>
  <c r="I56" i="5"/>
  <c r="I71" i="5"/>
  <c r="I145" i="5"/>
  <c r="I18" i="5"/>
  <c r="I64" i="5"/>
  <c r="I108" i="5"/>
  <c r="I40" i="5"/>
  <c r="I66" i="5"/>
  <c r="I86" i="5"/>
  <c r="I98" i="5"/>
  <c r="I112" i="5"/>
  <c r="I166" i="5"/>
  <c r="I57" i="5"/>
  <c r="I115" i="5"/>
  <c r="I158" i="5"/>
  <c r="I25" i="5"/>
  <c r="I124" i="5"/>
  <c r="I134" i="5"/>
  <c r="I142" i="5"/>
  <c r="I13" i="5"/>
  <c r="I23" i="5"/>
  <c r="I31" i="5"/>
  <c r="I41" i="5"/>
  <c r="I55" i="5"/>
  <c r="I69" i="5"/>
  <c r="I79" i="5"/>
  <c r="I89" i="5"/>
  <c r="I99" i="5"/>
  <c r="I113" i="5"/>
  <c r="I125" i="5"/>
  <c r="I135" i="5"/>
  <c r="I143" i="5"/>
  <c r="I151" i="5"/>
  <c r="I159" i="5"/>
  <c r="I167" i="5"/>
  <c r="I44" i="5"/>
  <c r="I33" i="5"/>
  <c r="I137" i="5"/>
  <c r="I26" i="5"/>
  <c r="I36" i="5"/>
  <c r="I12" i="5"/>
  <c r="I22" i="5"/>
  <c r="I30" i="5"/>
  <c r="I52" i="5"/>
  <c r="I78" i="5"/>
  <c r="I150" i="5"/>
  <c r="E11" i="30"/>
  <c r="G33" i="248" l="1"/>
  <c r="F33" i="248"/>
  <c r="E33" i="248"/>
  <c r="D33" i="248"/>
  <c r="C33" i="248"/>
  <c r="G32" i="248"/>
  <c r="F32" i="248"/>
  <c r="E32" i="248"/>
  <c r="D32" i="248"/>
  <c r="C32" i="248"/>
  <c r="G31" i="248"/>
  <c r="F31" i="248"/>
  <c r="E31" i="248"/>
  <c r="D31" i="248"/>
  <c r="C31" i="248"/>
  <c r="G30" i="248"/>
  <c r="F30" i="248"/>
  <c r="E30" i="248"/>
  <c r="D30" i="248"/>
  <c r="C30" i="248"/>
  <c r="G29" i="248"/>
  <c r="F29" i="248"/>
  <c r="E29" i="248"/>
  <c r="D29" i="248"/>
  <c r="C29" i="248"/>
  <c r="G28" i="248"/>
  <c r="F28" i="248"/>
  <c r="E28" i="248"/>
  <c r="D28" i="248"/>
  <c r="C28" i="248"/>
  <c r="G27" i="248"/>
  <c r="F27" i="248"/>
  <c r="E27" i="248"/>
  <c r="D27" i="248"/>
  <c r="C27" i="248"/>
  <c r="G26" i="248"/>
  <c r="F26" i="248"/>
  <c r="E26" i="248"/>
  <c r="D26" i="248"/>
  <c r="C26" i="248"/>
  <c r="G25" i="248"/>
  <c r="F25" i="248"/>
  <c r="E25" i="248"/>
  <c r="D25" i="248"/>
  <c r="C25" i="248"/>
  <c r="G24" i="248"/>
  <c r="F24" i="248"/>
  <c r="E24" i="248"/>
  <c r="D24" i="248"/>
  <c r="C24" i="248"/>
  <c r="G23" i="248"/>
  <c r="F23" i="248"/>
  <c r="E23" i="248"/>
  <c r="D23" i="248"/>
  <c r="C23" i="248"/>
  <c r="G17" i="248"/>
  <c r="F17" i="248"/>
  <c r="E17" i="248"/>
  <c r="D17" i="248"/>
  <c r="G16" i="248"/>
  <c r="F16" i="248"/>
  <c r="E16" i="248"/>
  <c r="D16" i="248"/>
  <c r="G15" i="248"/>
  <c r="F15" i="248"/>
  <c r="E15" i="248"/>
  <c r="D15" i="248"/>
  <c r="G14" i="248"/>
  <c r="F14" i="248"/>
  <c r="E14" i="248"/>
  <c r="D14" i="248"/>
  <c r="G13" i="248"/>
  <c r="F13" i="248"/>
  <c r="E13" i="248"/>
  <c r="D13" i="248"/>
  <c r="G12" i="248"/>
  <c r="F12" i="248"/>
  <c r="E12" i="248"/>
  <c r="D12" i="248"/>
  <c r="F22" i="294" l="1"/>
  <c r="H24" i="79" l="1"/>
  <c r="H38" i="79" s="1"/>
  <c r="J49" i="27" l="1"/>
  <c r="R34" i="27"/>
  <c r="N33" i="27"/>
  <c r="E11" i="27"/>
  <c r="E27" i="27"/>
  <c r="E26" i="27"/>
  <c r="E25" i="27"/>
  <c r="E20" i="27"/>
  <c r="E19" i="27"/>
  <c r="E18" i="27"/>
  <c r="E17" i="27"/>
  <c r="E16" i="27"/>
  <c r="E15" i="27"/>
  <c r="E14" i="27"/>
  <c r="J17" i="49" l="1"/>
  <c r="J18" i="49"/>
  <c r="E18" i="49"/>
  <c r="E17" i="49"/>
  <c r="R23" i="34" l="1"/>
  <c r="T23" i="34" s="1"/>
  <c r="R22" i="34"/>
  <c r="N27" i="34"/>
  <c r="N26" i="34"/>
  <c r="N25" i="34"/>
  <c r="N24" i="34"/>
  <c r="E22" i="34"/>
  <c r="E16" i="34"/>
  <c r="E15" i="34"/>
  <c r="E14" i="34"/>
  <c r="E12" i="34"/>
  <c r="E11" i="34"/>
  <c r="R19" i="34"/>
  <c r="T19" i="34" s="1"/>
  <c r="N13" i="34"/>
  <c r="N12" i="34"/>
  <c r="J58" i="37"/>
  <c r="E34" i="37"/>
  <c r="E36" i="37"/>
  <c r="E35" i="37"/>
  <c r="E27" i="37"/>
  <c r="E24" i="37"/>
  <c r="E23" i="37"/>
  <c r="E20" i="37"/>
  <c r="E19" i="37"/>
  <c r="E16" i="37"/>
  <c r="E15" i="37"/>
  <c r="E12" i="37"/>
  <c r="E11" i="37"/>
  <c r="R28" i="34" l="1"/>
  <c r="N28" i="34"/>
  <c r="J55" i="36"/>
  <c r="E29" i="36"/>
  <c r="E28" i="36"/>
  <c r="E27" i="36"/>
  <c r="E23" i="36"/>
  <c r="E22" i="36"/>
  <c r="E20" i="36"/>
  <c r="E17" i="36"/>
  <c r="E16" i="36"/>
  <c r="E11" i="36"/>
  <c r="E10" i="36"/>
  <c r="J23" i="80" l="1"/>
  <c r="E14" i="80"/>
  <c r="E13" i="80"/>
  <c r="E12" i="80"/>
  <c r="E11" i="80"/>
  <c r="J18" i="32" l="1"/>
  <c r="J24" i="32"/>
  <c r="E13" i="32"/>
  <c r="E11" i="32"/>
  <c r="J31" i="70" l="1"/>
  <c r="L18" i="70" s="1"/>
  <c r="E16" i="70"/>
  <c r="E11" i="70"/>
  <c r="J30" i="371" l="1"/>
  <c r="J29" i="124"/>
  <c r="J40" i="29"/>
  <c r="J26" i="155"/>
  <c r="J55" i="28"/>
  <c r="J33" i="30"/>
  <c r="J24" i="30"/>
  <c r="L19" i="30" s="1"/>
  <c r="N15" i="30"/>
  <c r="R15" i="30" s="1"/>
  <c r="J16" i="30"/>
  <c r="N18" i="30"/>
  <c r="E12" i="30"/>
  <c r="T15" i="30" l="1"/>
  <c r="R18" i="30"/>
  <c r="T18" i="30" s="1"/>
  <c r="J44" i="28"/>
  <c r="R39" i="28"/>
  <c r="E28" i="28"/>
  <c r="E25" i="28"/>
  <c r="E23" i="28"/>
  <c r="E21" i="28"/>
  <c r="E16" i="28"/>
  <c r="E15" i="28"/>
  <c r="J21" i="28"/>
  <c r="E13" i="28"/>
  <c r="N21" i="28" l="1"/>
  <c r="R21" i="28" s="1"/>
  <c r="T21" i="28" s="1"/>
  <c r="J19" i="155" l="1"/>
  <c r="E12" i="155"/>
  <c r="E11" i="155"/>
  <c r="J29" i="29" l="1"/>
  <c r="E16" i="29"/>
  <c r="E15" i="29"/>
  <c r="E14" i="29"/>
  <c r="E13" i="29"/>
  <c r="E12" i="29"/>
  <c r="E11" i="29"/>
  <c r="J22" i="124" l="1"/>
  <c r="E17" i="124"/>
  <c r="E15" i="124"/>
  <c r="E12" i="124"/>
  <c r="E11" i="124"/>
  <c r="J24" i="371" l="1"/>
  <c r="I5" i="209" l="1" a="1"/>
  <c r="I5" i="209" s="1"/>
  <c r="E14" i="126"/>
  <c r="F14" i="126" s="1"/>
  <c r="G14" i="126" s="1"/>
  <c r="C9" i="7"/>
  <c r="D63" i="36"/>
  <c r="D65" i="36"/>
  <c r="V39" i="36" s="1"/>
  <c r="X39" i="36" s="1"/>
  <c r="J10" i="36"/>
  <c r="N10" i="36" s="1"/>
  <c r="R10" i="36" s="1"/>
  <c r="J11" i="36"/>
  <c r="N11" i="36" s="1"/>
  <c r="R11" i="36" s="1"/>
  <c r="T11" i="36" s="1"/>
  <c r="N13" i="36"/>
  <c r="T13" i="36" s="1"/>
  <c r="J16" i="36"/>
  <c r="N16" i="36" s="1"/>
  <c r="J17" i="36"/>
  <c r="N17" i="36" s="1"/>
  <c r="J22" i="36"/>
  <c r="N22" i="36" s="1"/>
  <c r="R22" i="36" s="1"/>
  <c r="T22" i="36" s="1"/>
  <c r="J23" i="36"/>
  <c r="N23" i="36" s="1"/>
  <c r="D68" i="36"/>
  <c r="N33" i="36"/>
  <c r="R33" i="36" s="1"/>
  <c r="R20" i="80"/>
  <c r="J29" i="80" s="1"/>
  <c r="D14" i="79" s="1"/>
  <c r="E14" i="79" s="1"/>
  <c r="F14" i="79" s="1"/>
  <c r="G14" i="79" s="1"/>
  <c r="H46" i="369"/>
  <c r="S634" i="209" s="1"/>
  <c r="J16" i="70"/>
  <c r="R688" i="209"/>
  <c r="Q688" i="209"/>
  <c r="P688" i="209"/>
  <c r="O688" i="209"/>
  <c r="R570" i="209"/>
  <c r="Q570" i="209"/>
  <c r="P570" i="209"/>
  <c r="O570" i="209"/>
  <c r="L570" i="209"/>
  <c r="K570" i="209"/>
  <c r="J570" i="209"/>
  <c r="I570" i="209"/>
  <c r="R511" i="209"/>
  <c r="Q511" i="209"/>
  <c r="P511" i="209"/>
  <c r="O511" i="209"/>
  <c r="L511" i="209"/>
  <c r="K511" i="209"/>
  <c r="J511" i="209"/>
  <c r="I511" i="209"/>
  <c r="R452" i="209"/>
  <c r="Q452" i="209"/>
  <c r="P452" i="209"/>
  <c r="O452" i="209"/>
  <c r="L452" i="209"/>
  <c r="K452" i="209"/>
  <c r="J452" i="209"/>
  <c r="I452" i="209"/>
  <c r="R393" i="209"/>
  <c r="Q393" i="209"/>
  <c r="P393" i="209"/>
  <c r="O393" i="209"/>
  <c r="L393" i="209"/>
  <c r="K393" i="209"/>
  <c r="J393" i="209"/>
  <c r="I393" i="209"/>
  <c r="R334" i="209"/>
  <c r="Q334" i="209"/>
  <c r="P334" i="209"/>
  <c r="O334" i="209"/>
  <c r="L334" i="209"/>
  <c r="K334" i="209"/>
  <c r="J334" i="209"/>
  <c r="I334" i="209"/>
  <c r="R275" i="209"/>
  <c r="Q275" i="209"/>
  <c r="P275" i="209"/>
  <c r="O275" i="209"/>
  <c r="V98" i="209"/>
  <c r="V157" i="209" s="1"/>
  <c r="V216" i="209" s="1"/>
  <c r="V275" i="209" s="1"/>
  <c r="V334" i="209" s="1"/>
  <c r="V393" i="209" s="1"/>
  <c r="V452" i="209" s="1"/>
  <c r="V511" i="209" s="1"/>
  <c r="V570" i="209" s="1"/>
  <c r="V629" i="209" s="1"/>
  <c r="V688" i="209" s="1"/>
  <c r="V747" i="209" s="1"/>
  <c r="C98" i="209"/>
  <c r="C157" i="209" s="1"/>
  <c r="C216" i="209" s="1"/>
  <c r="C275" i="209" s="1"/>
  <c r="C334" i="209" s="1"/>
  <c r="C393" i="209" s="1"/>
  <c r="C452" i="209" s="1"/>
  <c r="C511" i="209" s="1"/>
  <c r="C570" i="209" s="1"/>
  <c r="C629" i="209" s="1"/>
  <c r="C688" i="209" s="1"/>
  <c r="C747" i="209" s="1"/>
  <c r="D39" i="209"/>
  <c r="E39" i="209"/>
  <c r="E98" i="209" s="1"/>
  <c r="E157" i="209" s="1"/>
  <c r="E216" i="209" s="1"/>
  <c r="E275" i="209" s="1"/>
  <c r="E334" i="209" s="1"/>
  <c r="E393" i="209" s="1"/>
  <c r="E452" i="209" s="1"/>
  <c r="E511" i="209" s="1"/>
  <c r="E570" i="209" s="1"/>
  <c r="E629" i="209" s="1"/>
  <c r="E688" i="209" s="1"/>
  <c r="E747" i="209" s="1"/>
  <c r="G39" i="209"/>
  <c r="G98" i="209" s="1"/>
  <c r="G157" i="209" s="1"/>
  <c r="G216" i="209" s="1"/>
  <c r="G275" i="209" s="1"/>
  <c r="G334" i="209" s="1"/>
  <c r="G393" i="209" s="1"/>
  <c r="G452" i="209" s="1"/>
  <c r="G511" i="209" s="1"/>
  <c r="G570" i="209" s="1"/>
  <c r="G629" i="209" s="1"/>
  <c r="G688" i="209" s="1"/>
  <c r="G747" i="209" s="1"/>
  <c r="C9" i="372"/>
  <c r="D11" i="372" s="1"/>
  <c r="L5" i="372" a="1"/>
  <c r="N7" i="372" s="1"/>
  <c r="D5" i="372" a="1"/>
  <c r="H46" i="372"/>
  <c r="S629" i="209" s="1"/>
  <c r="D48" i="372"/>
  <c r="E48" i="372"/>
  <c r="F48" i="372"/>
  <c r="G48" i="372"/>
  <c r="H23" i="372"/>
  <c r="H37" i="372" s="1"/>
  <c r="S216" i="209" s="1"/>
  <c r="H24" i="372"/>
  <c r="H25" i="372"/>
  <c r="H39" i="372" s="1"/>
  <c r="S39" i="209" s="1"/>
  <c r="P25" i="372"/>
  <c r="H26" i="372"/>
  <c r="H40" i="372" s="1"/>
  <c r="M98" i="209" s="1"/>
  <c r="H27" i="372"/>
  <c r="H41" i="372" s="1"/>
  <c r="M216" i="209" s="1"/>
  <c r="H28" i="372"/>
  <c r="H42" i="372" s="1"/>
  <c r="M275" i="209" s="1"/>
  <c r="H29" i="372"/>
  <c r="H30" i="372"/>
  <c r="H44" i="372" s="1"/>
  <c r="S98" i="209" s="1"/>
  <c r="H31" i="372"/>
  <c r="H45" i="372" s="1"/>
  <c r="M157" i="209" s="1"/>
  <c r="H32" i="372"/>
  <c r="M629" i="209" s="1"/>
  <c r="H33" i="372"/>
  <c r="P20" i="372"/>
  <c r="F31" i="5"/>
  <c r="F39" i="209" s="1"/>
  <c r="F98" i="209" s="1"/>
  <c r="F157" i="209" s="1"/>
  <c r="F216" i="209" s="1"/>
  <c r="F275" i="209" s="1"/>
  <c r="F334" i="209" s="1"/>
  <c r="F393" i="209" s="1"/>
  <c r="F452" i="209" s="1"/>
  <c r="F511" i="209" s="1"/>
  <c r="F570" i="209" s="1"/>
  <c r="F629" i="209" s="1"/>
  <c r="F688" i="209" s="1"/>
  <c r="F747" i="209" s="1"/>
  <c r="H25" i="95"/>
  <c r="H39" i="95" s="1"/>
  <c r="S29" i="246" s="1"/>
  <c r="C9" i="99"/>
  <c r="F11" i="99" s="1"/>
  <c r="K583" i="246" s="1"/>
  <c r="Y11" i="359"/>
  <c r="X11" i="359"/>
  <c r="W11" i="359"/>
  <c r="V11" i="359"/>
  <c r="U11" i="359"/>
  <c r="Y10" i="359"/>
  <c r="X10" i="359"/>
  <c r="W10" i="359"/>
  <c r="V10" i="359"/>
  <c r="U10" i="359"/>
  <c r="Y9" i="359"/>
  <c r="X9" i="359"/>
  <c r="W9" i="359"/>
  <c r="U9" i="359"/>
  <c r="V9" i="359"/>
  <c r="J15" i="124"/>
  <c r="N15" i="124" s="1"/>
  <c r="J13" i="32"/>
  <c r="N13" i="32" s="1"/>
  <c r="C9" i="196"/>
  <c r="D11" i="196" s="1"/>
  <c r="D18" i="196" s="1"/>
  <c r="D37" i="196" s="1"/>
  <c r="O214" i="209" s="1"/>
  <c r="O25" i="212"/>
  <c r="N25" i="212"/>
  <c r="M25" i="212"/>
  <c r="L25" i="212"/>
  <c r="G33" i="186"/>
  <c r="F33" i="186"/>
  <c r="E33" i="186"/>
  <c r="D33" i="186"/>
  <c r="C33" i="186"/>
  <c r="G32" i="186"/>
  <c r="F32" i="186"/>
  <c r="E32" i="186"/>
  <c r="D32" i="186"/>
  <c r="C32" i="186"/>
  <c r="G31" i="186"/>
  <c r="F31" i="186"/>
  <c r="E31" i="186"/>
  <c r="D31" i="186"/>
  <c r="C31" i="186"/>
  <c r="G30" i="186"/>
  <c r="F30" i="186"/>
  <c r="E30" i="292" s="1"/>
  <c r="E30" i="186"/>
  <c r="D30" i="186"/>
  <c r="C30" i="186"/>
  <c r="G29" i="186"/>
  <c r="F29" i="186"/>
  <c r="E29" i="186"/>
  <c r="D29" i="186"/>
  <c r="C29" i="186"/>
  <c r="G28" i="186"/>
  <c r="F28" i="186"/>
  <c r="E28" i="186"/>
  <c r="D28" i="186"/>
  <c r="C28" i="186"/>
  <c r="G27" i="186"/>
  <c r="F27" i="186"/>
  <c r="E27" i="186"/>
  <c r="D27" i="186"/>
  <c r="C27" i="186"/>
  <c r="G26" i="186"/>
  <c r="F26" i="186"/>
  <c r="E26" i="186"/>
  <c r="D26" i="186"/>
  <c r="C26" i="186"/>
  <c r="G25" i="186"/>
  <c r="F25" i="186"/>
  <c r="E25" i="186"/>
  <c r="D25" i="186"/>
  <c r="C25" i="186"/>
  <c r="G24" i="186"/>
  <c r="F24" i="186"/>
  <c r="E24" i="186"/>
  <c r="D24" i="186"/>
  <c r="C24" i="186"/>
  <c r="G23" i="186"/>
  <c r="F23" i="186"/>
  <c r="E23" i="186"/>
  <c r="D23" i="186"/>
  <c r="C23" i="186"/>
  <c r="G17" i="186"/>
  <c r="F17" i="186"/>
  <c r="E17" i="186"/>
  <c r="D17" i="186"/>
  <c r="G16" i="186"/>
  <c r="F16" i="186"/>
  <c r="E16" i="186"/>
  <c r="D16" i="186"/>
  <c r="D15" i="186"/>
  <c r="D14" i="186"/>
  <c r="G13" i="186"/>
  <c r="F13" i="186"/>
  <c r="E13" i="186"/>
  <c r="D13" i="186"/>
  <c r="G12" i="186"/>
  <c r="F12" i="186"/>
  <c r="E12" i="186"/>
  <c r="D12" i="186"/>
  <c r="G33" i="225"/>
  <c r="F33" i="225"/>
  <c r="E33" i="225"/>
  <c r="D33" i="225"/>
  <c r="C33" i="225"/>
  <c r="G32" i="225"/>
  <c r="F32" i="225"/>
  <c r="E32" i="225"/>
  <c r="D32" i="225"/>
  <c r="C32" i="225"/>
  <c r="G31" i="225"/>
  <c r="F31" i="225"/>
  <c r="G21" i="292" s="1"/>
  <c r="E31" i="225"/>
  <c r="D31" i="225"/>
  <c r="C31" i="225"/>
  <c r="G30" i="225"/>
  <c r="F30" i="225"/>
  <c r="E30" i="225"/>
  <c r="D30" i="225"/>
  <c r="C30" i="225"/>
  <c r="G29" i="225"/>
  <c r="F29" i="225"/>
  <c r="E29" i="225"/>
  <c r="D29" i="225"/>
  <c r="C29" i="225"/>
  <c r="G28" i="225"/>
  <c r="F28" i="225"/>
  <c r="E28" i="225"/>
  <c r="D28" i="225"/>
  <c r="C28" i="225"/>
  <c r="G27" i="225"/>
  <c r="F27" i="225"/>
  <c r="E27" i="225"/>
  <c r="D27" i="225"/>
  <c r="C27" i="225"/>
  <c r="G26" i="225"/>
  <c r="F26" i="225"/>
  <c r="E26" i="225"/>
  <c r="D26" i="225"/>
  <c r="C26" i="225"/>
  <c r="G25" i="225"/>
  <c r="F25" i="225"/>
  <c r="E25" i="225"/>
  <c r="D25" i="225"/>
  <c r="C25" i="225"/>
  <c r="G24" i="225"/>
  <c r="F24" i="225"/>
  <c r="E24" i="225"/>
  <c r="D24" i="225"/>
  <c r="C24" i="225"/>
  <c r="G23" i="225"/>
  <c r="F23" i="225"/>
  <c r="C21" i="292" s="1"/>
  <c r="E23" i="225"/>
  <c r="D23" i="225"/>
  <c r="C23" i="225"/>
  <c r="G17" i="225"/>
  <c r="F17" i="225"/>
  <c r="E17" i="225"/>
  <c r="D17" i="225"/>
  <c r="G16" i="225"/>
  <c r="F16" i="225"/>
  <c r="E16" i="225"/>
  <c r="D16" i="225"/>
  <c r="D15" i="225"/>
  <c r="D14" i="225"/>
  <c r="G13" i="225"/>
  <c r="F13" i="225"/>
  <c r="E13" i="225"/>
  <c r="D13" i="225"/>
  <c r="G12" i="225"/>
  <c r="R699" i="209" s="1"/>
  <c r="F12" i="225"/>
  <c r="E12" i="225"/>
  <c r="P699" i="209" s="1"/>
  <c r="D12" i="225"/>
  <c r="O699" i="209" s="1"/>
  <c r="G33" i="212"/>
  <c r="F33" i="212"/>
  <c r="E33" i="212"/>
  <c r="D33" i="212"/>
  <c r="C33" i="212"/>
  <c r="G32" i="212"/>
  <c r="F32" i="212"/>
  <c r="E32" i="212"/>
  <c r="D32" i="212"/>
  <c r="C32" i="212"/>
  <c r="G31" i="212"/>
  <c r="F31" i="212"/>
  <c r="E31" i="212"/>
  <c r="D31" i="212"/>
  <c r="C31" i="212"/>
  <c r="G30" i="212"/>
  <c r="F30" i="212"/>
  <c r="E30" i="212"/>
  <c r="D30" i="212"/>
  <c r="C30" i="212"/>
  <c r="G29" i="212"/>
  <c r="F29" i="212"/>
  <c r="E29" i="212"/>
  <c r="D29" i="212"/>
  <c r="C29" i="212"/>
  <c r="G28" i="212"/>
  <c r="F28" i="212"/>
  <c r="E28" i="212"/>
  <c r="D28" i="212"/>
  <c r="C28" i="212"/>
  <c r="G27" i="212"/>
  <c r="F27" i="212"/>
  <c r="E27" i="212"/>
  <c r="D27" i="212"/>
  <c r="C27" i="212"/>
  <c r="G26" i="212"/>
  <c r="F26" i="212"/>
  <c r="F20" i="292" s="1"/>
  <c r="E26" i="212"/>
  <c r="D26" i="212"/>
  <c r="C26" i="212"/>
  <c r="G25" i="212"/>
  <c r="F25" i="212"/>
  <c r="E25" i="212"/>
  <c r="D25" i="212"/>
  <c r="C25" i="212"/>
  <c r="G24" i="212"/>
  <c r="F24" i="212"/>
  <c r="D20" i="292" s="1"/>
  <c r="E24" i="212"/>
  <c r="D24" i="212"/>
  <c r="C24" i="212"/>
  <c r="G23" i="212"/>
  <c r="F23" i="212"/>
  <c r="E23" i="212"/>
  <c r="D23" i="212"/>
  <c r="C23" i="212"/>
  <c r="G17" i="212"/>
  <c r="F17" i="212"/>
  <c r="E17" i="212"/>
  <c r="D17" i="212"/>
  <c r="G16" i="212"/>
  <c r="F16" i="212"/>
  <c r="E16" i="212"/>
  <c r="D16" i="212"/>
  <c r="D15" i="212"/>
  <c r="D14" i="212"/>
  <c r="G13" i="212"/>
  <c r="F13" i="212"/>
  <c r="E13" i="212"/>
  <c r="D13" i="212"/>
  <c r="G12" i="212"/>
  <c r="F12" i="212"/>
  <c r="N20" i="292" s="1"/>
  <c r="E12" i="212"/>
  <c r="P677" i="209" s="1"/>
  <c r="D12" i="212"/>
  <c r="C9" i="370"/>
  <c r="G11" i="370" s="1"/>
  <c r="R623" i="209" s="1"/>
  <c r="D14" i="370"/>
  <c r="E14" i="370" s="1"/>
  <c r="F14" i="370" s="1"/>
  <c r="G14" i="370" s="1"/>
  <c r="J31" i="80"/>
  <c r="L14" i="32"/>
  <c r="L18" i="124"/>
  <c r="J11" i="80"/>
  <c r="N11" i="80" s="1"/>
  <c r="R11" i="80" s="1"/>
  <c r="J12" i="80"/>
  <c r="N12" i="80" s="1"/>
  <c r="R12" i="80" s="1"/>
  <c r="J13" i="80"/>
  <c r="N13" i="80" s="1"/>
  <c r="R13" i="80" s="1"/>
  <c r="T13" i="80" s="1"/>
  <c r="J14" i="80"/>
  <c r="N14" i="80" s="1"/>
  <c r="R14" i="80" s="1"/>
  <c r="C10" i="79"/>
  <c r="C9" i="79"/>
  <c r="C9" i="39"/>
  <c r="D11" i="39" s="1"/>
  <c r="L26" i="39" s="1"/>
  <c r="D43" i="39" s="1"/>
  <c r="D47" i="39" s="1"/>
  <c r="O161" i="209" s="1"/>
  <c r="F133" i="5"/>
  <c r="Q751" i="209" s="1"/>
  <c r="C9" i="123"/>
  <c r="G11" i="123" s="1"/>
  <c r="O26" i="123" s="1"/>
  <c r="R742" i="209" s="1"/>
  <c r="C9" i="365"/>
  <c r="G11" i="365" s="1"/>
  <c r="G45" i="365" s="1"/>
  <c r="L153" i="209" s="1"/>
  <c r="F138" i="5"/>
  <c r="Q667" i="209" s="1"/>
  <c r="C9" i="154"/>
  <c r="G11" i="154" s="1"/>
  <c r="O26" i="154" s="1"/>
  <c r="G43" i="154" s="1"/>
  <c r="G47" i="154" s="1"/>
  <c r="R156" i="209" s="1"/>
  <c r="C10" i="72"/>
  <c r="C9" i="72"/>
  <c r="C9" i="337"/>
  <c r="D11" i="337" s="1"/>
  <c r="O632" i="209" s="1"/>
  <c r="C9" i="368"/>
  <c r="D11" i="368" s="1"/>
  <c r="D18" i="368" s="1"/>
  <c r="F128" i="5"/>
  <c r="O663" i="209" s="1"/>
  <c r="C9" i="16"/>
  <c r="D11" i="16" s="1"/>
  <c r="C9" i="15"/>
  <c r="C9" i="4"/>
  <c r="D11" i="4" s="1"/>
  <c r="I660" i="209" s="1"/>
  <c r="C9" i="14"/>
  <c r="C9" i="13"/>
  <c r="C9" i="11"/>
  <c r="E11" i="11" s="1"/>
  <c r="C10" i="10"/>
  <c r="G46" i="10" s="1"/>
  <c r="C9" i="10"/>
  <c r="C9" i="9"/>
  <c r="D11" i="9" s="1"/>
  <c r="D45" i="9" s="1"/>
  <c r="I134" i="209" s="1"/>
  <c r="F137" i="5"/>
  <c r="O666" i="209" s="1"/>
  <c r="C9" i="6"/>
  <c r="G11" i="6" s="1"/>
  <c r="C9" i="125"/>
  <c r="F11" i="125" s="1"/>
  <c r="C9" i="325"/>
  <c r="C9" i="324"/>
  <c r="D11" i="324" s="1"/>
  <c r="D46" i="324" s="1"/>
  <c r="C92" i="209"/>
  <c r="C151" i="209" s="1"/>
  <c r="C210" i="209" s="1"/>
  <c r="C269" i="209" s="1"/>
  <c r="C328" i="209" s="1"/>
  <c r="C387" i="209" s="1"/>
  <c r="C446" i="209" s="1"/>
  <c r="C505" i="209" s="1"/>
  <c r="C564" i="209" s="1"/>
  <c r="C623" i="209" s="1"/>
  <c r="C682" i="209" s="1"/>
  <c r="C741" i="209" s="1"/>
  <c r="D33" i="209"/>
  <c r="D92" i="209" s="1"/>
  <c r="D151" i="209" s="1"/>
  <c r="D210" i="209" s="1"/>
  <c r="D269" i="209" s="1"/>
  <c r="D328" i="209" s="1"/>
  <c r="D387" i="209" s="1"/>
  <c r="D446" i="209" s="1"/>
  <c r="D505" i="209" s="1"/>
  <c r="D564" i="209" s="1"/>
  <c r="D623" i="209" s="1"/>
  <c r="D682" i="209" s="1"/>
  <c r="D741" i="209" s="1"/>
  <c r="E33" i="209"/>
  <c r="E92" i="209" s="1"/>
  <c r="E151" i="209" s="1"/>
  <c r="E210" i="209" s="1"/>
  <c r="E269" i="209" s="1"/>
  <c r="E328" i="209" s="1"/>
  <c r="E387" i="209" s="1"/>
  <c r="E446" i="209" s="1"/>
  <c r="E505" i="209" s="1"/>
  <c r="E564" i="209" s="1"/>
  <c r="E623" i="209" s="1"/>
  <c r="E682" i="209" s="1"/>
  <c r="E741" i="209" s="1"/>
  <c r="F23" i="5"/>
  <c r="F33" i="209" s="1"/>
  <c r="F92" i="209" s="1"/>
  <c r="F151" i="209" s="1"/>
  <c r="F210" i="209" s="1"/>
  <c r="F269" i="209" s="1"/>
  <c r="F328" i="209" s="1"/>
  <c r="F387" i="209" s="1"/>
  <c r="F446" i="209" s="1"/>
  <c r="F505" i="209" s="1"/>
  <c r="F564" i="209" s="1"/>
  <c r="F623" i="209" s="1"/>
  <c r="F682" i="209" s="1"/>
  <c r="F741" i="209" s="1"/>
  <c r="G33" i="209"/>
  <c r="G92" i="209" s="1"/>
  <c r="G151" i="209" s="1"/>
  <c r="G210" i="209" s="1"/>
  <c r="G269" i="209" s="1"/>
  <c r="G328" i="209" s="1"/>
  <c r="G387" i="209" s="1"/>
  <c r="G446" i="209" s="1"/>
  <c r="G505" i="209" s="1"/>
  <c r="G564" i="209" s="1"/>
  <c r="G623" i="209" s="1"/>
  <c r="G682" i="209" s="1"/>
  <c r="G741" i="209" s="1"/>
  <c r="V92" i="209"/>
  <c r="V151" i="209" s="1"/>
  <c r="V210" i="209" s="1"/>
  <c r="V269" i="209" s="1"/>
  <c r="V328" i="209" s="1"/>
  <c r="V387" i="209" s="1"/>
  <c r="V446" i="209" s="1"/>
  <c r="V505" i="209" s="1"/>
  <c r="V564" i="209" s="1"/>
  <c r="V623" i="209" s="1"/>
  <c r="V682" i="209" s="1"/>
  <c r="V741" i="209" s="1"/>
  <c r="R682" i="209"/>
  <c r="Q682" i="209"/>
  <c r="P682" i="209"/>
  <c r="O682" i="209"/>
  <c r="H46" i="370"/>
  <c r="S623" i="209" s="1"/>
  <c r="H32" i="370"/>
  <c r="M623" i="209" s="1"/>
  <c r="R564" i="209"/>
  <c r="Q564" i="209"/>
  <c r="P564" i="209"/>
  <c r="O564" i="209"/>
  <c r="L564" i="209"/>
  <c r="K564" i="209"/>
  <c r="J564" i="209"/>
  <c r="I564" i="209"/>
  <c r="R505" i="209"/>
  <c r="Q505" i="209"/>
  <c r="P505" i="209"/>
  <c r="O505" i="209"/>
  <c r="L505" i="209"/>
  <c r="K505" i="209"/>
  <c r="J505" i="209"/>
  <c r="I505" i="209"/>
  <c r="R446" i="209"/>
  <c r="Q446" i="209"/>
  <c r="P446" i="209"/>
  <c r="O446" i="209"/>
  <c r="L446" i="209"/>
  <c r="K446" i="209"/>
  <c r="J446" i="209"/>
  <c r="I446" i="209"/>
  <c r="R387" i="209"/>
  <c r="Q387" i="209"/>
  <c r="P387" i="209"/>
  <c r="O387" i="209"/>
  <c r="L387" i="209"/>
  <c r="K387" i="209"/>
  <c r="J387" i="209"/>
  <c r="I387" i="209"/>
  <c r="H25" i="370"/>
  <c r="S328" i="209" s="1"/>
  <c r="R328" i="209"/>
  <c r="Q328" i="209"/>
  <c r="P328" i="209"/>
  <c r="O328" i="209"/>
  <c r="H24" i="370"/>
  <c r="H38" i="370" s="1"/>
  <c r="M33" i="209" s="1"/>
  <c r="L328" i="209"/>
  <c r="K328" i="209"/>
  <c r="J328" i="209"/>
  <c r="I328" i="209"/>
  <c r="H23" i="370"/>
  <c r="H37" i="370" s="1"/>
  <c r="S210" i="209" s="1"/>
  <c r="R269" i="209"/>
  <c r="Q269" i="209"/>
  <c r="P269" i="209"/>
  <c r="O269" i="209"/>
  <c r="H28" i="370"/>
  <c r="H42" i="370" s="1"/>
  <c r="M269" i="209" s="1"/>
  <c r="H27" i="370"/>
  <c r="H41" i="370" s="1"/>
  <c r="M210" i="209" s="1"/>
  <c r="H29" i="370"/>
  <c r="H47" i="370" s="1"/>
  <c r="S151" i="209" s="1"/>
  <c r="H31" i="370"/>
  <c r="H45" i="370" s="1"/>
  <c r="M151" i="209" s="1"/>
  <c r="H30" i="370"/>
  <c r="H44" i="370" s="1"/>
  <c r="S92" i="209" s="1"/>
  <c r="H26" i="370"/>
  <c r="J11" i="371"/>
  <c r="N11" i="371" s="1"/>
  <c r="R11" i="371" s="1"/>
  <c r="T11" i="371" s="1"/>
  <c r="J12" i="371"/>
  <c r="N12" i="371" s="1"/>
  <c r="R12" i="371" s="1"/>
  <c r="T12" i="371" s="1"/>
  <c r="J13" i="371"/>
  <c r="N13" i="371" s="1"/>
  <c r="R13" i="371" s="1"/>
  <c r="T13" i="371" s="1"/>
  <c r="J14" i="371"/>
  <c r="N14" i="371" s="1"/>
  <c r="R14" i="371" s="1"/>
  <c r="J15" i="371"/>
  <c r="N15" i="371" s="1"/>
  <c r="R15" i="371" s="1"/>
  <c r="N16" i="371"/>
  <c r="J16" i="371" s="1"/>
  <c r="J17" i="371"/>
  <c r="N17" i="371" s="1"/>
  <c r="R17" i="371" s="1"/>
  <c r="J18" i="371"/>
  <c r="N18" i="371" s="1"/>
  <c r="R18" i="371" s="1"/>
  <c r="T18" i="371" s="1"/>
  <c r="J37" i="371"/>
  <c r="P20" i="370"/>
  <c r="G48" i="370"/>
  <c r="F48" i="370"/>
  <c r="E48" i="370"/>
  <c r="D48" i="370"/>
  <c r="D5" i="370" a="1"/>
  <c r="H33" i="370"/>
  <c r="P25" i="370"/>
  <c r="L5" i="370" a="1"/>
  <c r="O7" i="370" s="1"/>
  <c r="V103" i="209"/>
  <c r="V162" i="209" s="1"/>
  <c r="V221" i="209" s="1"/>
  <c r="V280" i="209" s="1"/>
  <c r="V339" i="209" s="1"/>
  <c r="V398" i="209" s="1"/>
  <c r="V457" i="209" s="1"/>
  <c r="V516" i="209" s="1"/>
  <c r="V575" i="209" s="1"/>
  <c r="V634" i="209" s="1"/>
  <c r="V693" i="209" s="1"/>
  <c r="V752" i="209" s="1"/>
  <c r="V102" i="209"/>
  <c r="V161" i="209" s="1"/>
  <c r="V220" i="209" s="1"/>
  <c r="V279" i="209" s="1"/>
  <c r="V338" i="209" s="1"/>
  <c r="V397" i="209" s="1"/>
  <c r="V456" i="209" s="1"/>
  <c r="V515" i="209" s="1"/>
  <c r="V574" i="209" s="1"/>
  <c r="V633" i="209" s="1"/>
  <c r="V692" i="209" s="1"/>
  <c r="V751" i="209" s="1"/>
  <c r="R575" i="209"/>
  <c r="Q575" i="209"/>
  <c r="P575" i="209"/>
  <c r="O575" i="209"/>
  <c r="L575" i="209"/>
  <c r="K575" i="209"/>
  <c r="I516" i="209"/>
  <c r="R516" i="209"/>
  <c r="Q516" i="209"/>
  <c r="P516" i="209"/>
  <c r="O516" i="209"/>
  <c r="L516" i="209"/>
  <c r="K516" i="209"/>
  <c r="J516" i="209"/>
  <c r="R457" i="209"/>
  <c r="Q457" i="209"/>
  <c r="P457" i="209"/>
  <c r="O457" i="209"/>
  <c r="L457" i="209"/>
  <c r="K457" i="209"/>
  <c r="J457" i="209"/>
  <c r="I457" i="209"/>
  <c r="R398" i="209"/>
  <c r="Q398" i="209"/>
  <c r="P398" i="209"/>
  <c r="O398" i="209"/>
  <c r="L398" i="209"/>
  <c r="K398" i="209"/>
  <c r="J398" i="209"/>
  <c r="I398" i="209"/>
  <c r="R339" i="209"/>
  <c r="Q339" i="209"/>
  <c r="P339" i="209"/>
  <c r="O339" i="209"/>
  <c r="L339" i="209"/>
  <c r="K339" i="209"/>
  <c r="J339" i="209"/>
  <c r="I339" i="209"/>
  <c r="R280" i="209"/>
  <c r="Q280" i="209"/>
  <c r="P280" i="209"/>
  <c r="O280" i="209"/>
  <c r="C103" i="209"/>
  <c r="C162" i="209" s="1"/>
  <c r="C221" i="209" s="1"/>
  <c r="C280" i="209" s="1"/>
  <c r="C339" i="209" s="1"/>
  <c r="C398" i="209" s="1"/>
  <c r="C457" i="209" s="1"/>
  <c r="C516" i="209" s="1"/>
  <c r="C575" i="209" s="1"/>
  <c r="C634" i="209" s="1"/>
  <c r="C693" i="209" s="1"/>
  <c r="C752" i="209" s="1"/>
  <c r="G44" i="209"/>
  <c r="G103" i="209" s="1"/>
  <c r="G162" i="209" s="1"/>
  <c r="G221" i="209" s="1"/>
  <c r="G280" i="209" s="1"/>
  <c r="G339" i="209" s="1"/>
  <c r="G398" i="209" s="1"/>
  <c r="G457" i="209" s="1"/>
  <c r="G516" i="209" s="1"/>
  <c r="G575" i="209" s="1"/>
  <c r="G634" i="209" s="1"/>
  <c r="G693" i="209" s="1"/>
  <c r="G752" i="209" s="1"/>
  <c r="E44" i="209"/>
  <c r="E103" i="209" s="1"/>
  <c r="E162" i="209" s="1"/>
  <c r="E221" i="209" s="1"/>
  <c r="E280" i="209" s="1"/>
  <c r="E339" i="209" s="1"/>
  <c r="E398" i="209" s="1"/>
  <c r="E457" i="209" s="1"/>
  <c r="E516" i="209" s="1"/>
  <c r="E575" i="209" s="1"/>
  <c r="E634" i="209" s="1"/>
  <c r="E693" i="209" s="1"/>
  <c r="E752" i="209" s="1"/>
  <c r="D44" i="209"/>
  <c r="U44" i="209" s="1"/>
  <c r="U103" i="209" s="1"/>
  <c r="U162" i="209" s="1"/>
  <c r="U221" i="209" s="1"/>
  <c r="U280" i="209" s="1"/>
  <c r="U339" i="209" s="1"/>
  <c r="U398" i="209" s="1"/>
  <c r="U457" i="209" s="1"/>
  <c r="U516" i="209" s="1"/>
  <c r="U575" i="209" s="1"/>
  <c r="U634" i="209" s="1"/>
  <c r="U693" i="209" s="1"/>
  <c r="U752" i="209" s="1"/>
  <c r="G48" i="369"/>
  <c r="F48" i="369"/>
  <c r="E48" i="369"/>
  <c r="D48" i="369"/>
  <c r="H33" i="369"/>
  <c r="H32" i="369"/>
  <c r="M634" i="209" s="1"/>
  <c r="H31" i="369"/>
  <c r="H45" i="369" s="1"/>
  <c r="M162" i="209" s="1"/>
  <c r="H30" i="369"/>
  <c r="H44" i="369" s="1"/>
  <c r="S103" i="209" s="1"/>
  <c r="H29" i="369"/>
  <c r="H47" i="369" s="1"/>
  <c r="S162" i="209" s="1"/>
  <c r="H28" i="369"/>
  <c r="H42" i="369" s="1"/>
  <c r="M280" i="209" s="1"/>
  <c r="H27" i="369"/>
  <c r="H41" i="369" s="1"/>
  <c r="M221" i="209" s="1"/>
  <c r="H26" i="369"/>
  <c r="H40" i="369" s="1"/>
  <c r="M103" i="209" s="1"/>
  <c r="P25" i="369"/>
  <c r="H25" i="369"/>
  <c r="H39" i="369" s="1"/>
  <c r="S44" i="209" s="1"/>
  <c r="H24" i="369"/>
  <c r="M339" i="209" s="1"/>
  <c r="H23" i="369"/>
  <c r="S280" i="209" s="1"/>
  <c r="P20" i="369"/>
  <c r="L5" i="369" a="1"/>
  <c r="O7" i="369" s="1"/>
  <c r="D5" i="369" a="1"/>
  <c r="H21" i="369" s="1"/>
  <c r="P23" i="369" s="1"/>
  <c r="F37" i="5"/>
  <c r="F44" i="209" s="1"/>
  <c r="F103" i="209" s="1"/>
  <c r="F162" i="209" s="1"/>
  <c r="F221" i="209" s="1"/>
  <c r="F280" i="209" s="1"/>
  <c r="F339" i="209" s="1"/>
  <c r="F398" i="209" s="1"/>
  <c r="F457" i="209" s="1"/>
  <c r="F516" i="209" s="1"/>
  <c r="F575" i="209" s="1"/>
  <c r="F634" i="209" s="1"/>
  <c r="F693" i="209" s="1"/>
  <c r="F752" i="209" s="1"/>
  <c r="J24" i="28"/>
  <c r="N24" i="28" s="1"/>
  <c r="R24" i="28" s="1"/>
  <c r="J15" i="29"/>
  <c r="N15" i="29" s="1"/>
  <c r="R22" i="29"/>
  <c r="D8" i="10"/>
  <c r="E8" i="10"/>
  <c r="F8" i="10"/>
  <c r="G8" i="10"/>
  <c r="E42" i="37"/>
  <c r="E31" i="37"/>
  <c r="D32" i="226"/>
  <c r="O25" i="226"/>
  <c r="N25" i="226"/>
  <c r="M25" i="226"/>
  <c r="L25" i="226"/>
  <c r="P25" i="226" s="1"/>
  <c r="G33" i="226"/>
  <c r="F33" i="226"/>
  <c r="E33" i="226"/>
  <c r="D33" i="226"/>
  <c r="C33" i="226"/>
  <c r="G32" i="226"/>
  <c r="F32" i="226"/>
  <c r="E32" i="226"/>
  <c r="C32" i="226"/>
  <c r="G31" i="226"/>
  <c r="F31" i="226"/>
  <c r="G34" i="292" s="1"/>
  <c r="E31" i="226"/>
  <c r="D31" i="226"/>
  <c r="C31" i="226"/>
  <c r="G30" i="226"/>
  <c r="F30" i="226"/>
  <c r="E34" i="292" s="1"/>
  <c r="E30" i="226"/>
  <c r="D30" i="226"/>
  <c r="C30" i="226"/>
  <c r="G29" i="226"/>
  <c r="F29" i="226"/>
  <c r="E29" i="226"/>
  <c r="D29" i="226"/>
  <c r="C29" i="226"/>
  <c r="G28" i="226"/>
  <c r="F28" i="226"/>
  <c r="E28" i="226"/>
  <c r="D28" i="226"/>
  <c r="C28" i="226"/>
  <c r="G27" i="226"/>
  <c r="F27" i="226"/>
  <c r="E27" i="226"/>
  <c r="D27" i="226"/>
  <c r="C27" i="226"/>
  <c r="G26" i="226"/>
  <c r="F26" i="226"/>
  <c r="E26" i="226"/>
  <c r="D26" i="226"/>
  <c r="C26" i="226"/>
  <c r="G25" i="226"/>
  <c r="F25" i="226"/>
  <c r="E25" i="226"/>
  <c r="D25" i="226"/>
  <c r="C25" i="226"/>
  <c r="G24" i="226"/>
  <c r="F24" i="226"/>
  <c r="D34" i="292" s="1"/>
  <c r="E24" i="226"/>
  <c r="D24" i="226"/>
  <c r="C24" i="226"/>
  <c r="G23" i="226"/>
  <c r="F23" i="226"/>
  <c r="E23" i="226"/>
  <c r="D23" i="226"/>
  <c r="C23" i="226"/>
  <c r="G17" i="226"/>
  <c r="F17" i="226"/>
  <c r="E17" i="226"/>
  <c r="D17" i="226"/>
  <c r="G16" i="226"/>
  <c r="F16" i="226"/>
  <c r="E16" i="226"/>
  <c r="D16" i="226"/>
  <c r="G13" i="226"/>
  <c r="F13" i="226"/>
  <c r="E13" i="226"/>
  <c r="D13" i="226"/>
  <c r="G12" i="226"/>
  <c r="F12" i="226"/>
  <c r="Q608" i="246" s="1"/>
  <c r="E12" i="226"/>
  <c r="D12" i="226"/>
  <c r="O25" i="104"/>
  <c r="O25" i="84" s="1"/>
  <c r="N25" i="104"/>
  <c r="N25" i="84" s="1"/>
  <c r="M25" i="104"/>
  <c r="M25" i="84" s="1"/>
  <c r="L25" i="104"/>
  <c r="L25" i="84" s="1"/>
  <c r="P25" i="84" s="1"/>
  <c r="G33" i="104"/>
  <c r="F33" i="104"/>
  <c r="E33" i="104"/>
  <c r="D33" i="104"/>
  <c r="D33" i="84" s="1"/>
  <c r="C33" i="104"/>
  <c r="C33" i="84" s="1"/>
  <c r="G32" i="104"/>
  <c r="G32" i="84" s="1"/>
  <c r="F32" i="104"/>
  <c r="F32" i="84" s="1"/>
  <c r="E32" i="104"/>
  <c r="D32" i="104"/>
  <c r="D32" i="84" s="1"/>
  <c r="C32" i="104"/>
  <c r="C32" i="84" s="1"/>
  <c r="G31" i="104"/>
  <c r="F31" i="104"/>
  <c r="F31" i="84" s="1"/>
  <c r="E31" i="104"/>
  <c r="D31" i="104"/>
  <c r="D31" i="84" s="1"/>
  <c r="C31" i="104"/>
  <c r="C31" i="84" s="1"/>
  <c r="G30" i="104"/>
  <c r="G30" i="84" s="1"/>
  <c r="F30" i="104"/>
  <c r="E26" i="292" s="1"/>
  <c r="E30" i="104"/>
  <c r="E30" i="84" s="1"/>
  <c r="D30" i="104"/>
  <c r="D30" i="84" s="1"/>
  <c r="C30" i="104"/>
  <c r="C30" i="84" s="1"/>
  <c r="G29" i="104"/>
  <c r="F29" i="104"/>
  <c r="F29" i="84" s="1"/>
  <c r="E29" i="104"/>
  <c r="D29" i="104"/>
  <c r="D29" i="84" s="1"/>
  <c r="C29" i="104"/>
  <c r="C29" i="84" s="1"/>
  <c r="G28" i="104"/>
  <c r="G28" i="84" s="1"/>
  <c r="F28" i="104"/>
  <c r="F28" i="84" s="1"/>
  <c r="E28" i="104"/>
  <c r="E28" i="84" s="1"/>
  <c r="D28" i="104"/>
  <c r="D28" i="84" s="1"/>
  <c r="C28" i="104"/>
  <c r="C28" i="84" s="1"/>
  <c r="G27" i="104"/>
  <c r="F27" i="104"/>
  <c r="F27" i="84" s="1"/>
  <c r="E27" i="104"/>
  <c r="E27" i="84" s="1"/>
  <c r="D27" i="104"/>
  <c r="D27" i="84" s="1"/>
  <c r="C27" i="104"/>
  <c r="C27" i="84" s="1"/>
  <c r="G26" i="104"/>
  <c r="G26" i="84" s="1"/>
  <c r="F26" i="104"/>
  <c r="F26" i="84" s="1"/>
  <c r="F27" i="292" s="1"/>
  <c r="E26" i="104"/>
  <c r="E26" i="84" s="1"/>
  <c r="D26" i="104"/>
  <c r="C26" i="104"/>
  <c r="C26" i="84" s="1"/>
  <c r="G25" i="104"/>
  <c r="G25" i="84" s="1"/>
  <c r="F25" i="104"/>
  <c r="F25" i="84" s="1"/>
  <c r="E25" i="104"/>
  <c r="E25" i="84" s="1"/>
  <c r="D25" i="104"/>
  <c r="D25" i="84" s="1"/>
  <c r="C25" i="104"/>
  <c r="C25" i="84" s="1"/>
  <c r="G24" i="104"/>
  <c r="F24" i="104"/>
  <c r="D26" i="292" s="1"/>
  <c r="E24" i="104"/>
  <c r="E24" i="84" s="1"/>
  <c r="D24" i="104"/>
  <c r="C24" i="104"/>
  <c r="C24" i="84" s="1"/>
  <c r="G23" i="104"/>
  <c r="G23" i="84" s="1"/>
  <c r="F23" i="104"/>
  <c r="E23" i="104"/>
  <c r="E23" i="84" s="1"/>
  <c r="D23" i="104"/>
  <c r="C23" i="104"/>
  <c r="C23" i="84" s="1"/>
  <c r="G17" i="104"/>
  <c r="G17" i="84" s="1"/>
  <c r="F17" i="104"/>
  <c r="F17" i="84" s="1"/>
  <c r="E17" i="104"/>
  <c r="E17" i="84" s="1"/>
  <c r="D17" i="104"/>
  <c r="D17" i="84" s="1"/>
  <c r="G16" i="104"/>
  <c r="G16" i="84" s="1"/>
  <c r="F16" i="104"/>
  <c r="E16" i="104"/>
  <c r="E16" i="84" s="1"/>
  <c r="D16" i="104"/>
  <c r="D16" i="84" s="1"/>
  <c r="D15" i="104"/>
  <c r="D15" i="84" s="1"/>
  <c r="D14" i="104"/>
  <c r="D14" i="84" s="1"/>
  <c r="G13" i="104"/>
  <c r="G13" i="84" s="1"/>
  <c r="F13" i="104"/>
  <c r="F13" i="84" s="1"/>
  <c r="E13" i="104"/>
  <c r="D13" i="104"/>
  <c r="D13" i="84" s="1"/>
  <c r="G12" i="104"/>
  <c r="F12" i="104"/>
  <c r="F12" i="84" s="1"/>
  <c r="Q612" i="246" s="1"/>
  <c r="E12" i="104"/>
  <c r="E12" i="84" s="1"/>
  <c r="D12" i="104"/>
  <c r="O587" i="246" s="1"/>
  <c r="O25" i="223"/>
  <c r="N25" i="223"/>
  <c r="M25" i="223"/>
  <c r="M25" i="173" s="1"/>
  <c r="L25" i="223"/>
  <c r="G33" i="223"/>
  <c r="F33" i="223"/>
  <c r="E33" i="223"/>
  <c r="D33" i="223"/>
  <c r="C33" i="223"/>
  <c r="G32" i="223"/>
  <c r="F32" i="223"/>
  <c r="E32" i="223"/>
  <c r="D32" i="223"/>
  <c r="C32" i="223"/>
  <c r="G31" i="223"/>
  <c r="G30" i="223"/>
  <c r="F31" i="223"/>
  <c r="E31" i="223"/>
  <c r="D31" i="223"/>
  <c r="C31" i="223"/>
  <c r="F30" i="223"/>
  <c r="E33" i="292" s="1"/>
  <c r="E30" i="223"/>
  <c r="D30" i="223"/>
  <c r="C30" i="223"/>
  <c r="G29" i="223"/>
  <c r="F29" i="223"/>
  <c r="E29" i="223"/>
  <c r="D29" i="223"/>
  <c r="C29" i="223"/>
  <c r="G28" i="223"/>
  <c r="F28" i="223"/>
  <c r="E28" i="223"/>
  <c r="D28" i="223"/>
  <c r="C28" i="223"/>
  <c r="G27" i="223"/>
  <c r="F27" i="223"/>
  <c r="E27" i="223"/>
  <c r="D27" i="223"/>
  <c r="C27" i="223"/>
  <c r="G26" i="223"/>
  <c r="F26" i="223"/>
  <c r="F33" i="292" s="1"/>
  <c r="E26" i="223"/>
  <c r="D26" i="223"/>
  <c r="C26" i="223"/>
  <c r="G25" i="223"/>
  <c r="F25" i="223"/>
  <c r="E25" i="223"/>
  <c r="D25" i="223"/>
  <c r="C25" i="223"/>
  <c r="G24" i="223"/>
  <c r="F24" i="223"/>
  <c r="E24" i="223"/>
  <c r="D24" i="223"/>
  <c r="C24" i="223"/>
  <c r="G23" i="223"/>
  <c r="F23" i="223"/>
  <c r="E23" i="223"/>
  <c r="D23" i="223"/>
  <c r="C23" i="223"/>
  <c r="G17" i="223"/>
  <c r="F17" i="223"/>
  <c r="E17" i="223"/>
  <c r="D17" i="223"/>
  <c r="G16" i="223"/>
  <c r="F16" i="223"/>
  <c r="E16" i="223"/>
  <c r="D16" i="223"/>
  <c r="D15" i="223"/>
  <c r="D14" i="223"/>
  <c r="G13" i="223"/>
  <c r="G13" i="173" s="1"/>
  <c r="F13" i="223"/>
  <c r="E13" i="223"/>
  <c r="D13" i="223"/>
  <c r="G12" i="223"/>
  <c r="F12" i="223"/>
  <c r="E12" i="223"/>
  <c r="D12" i="223"/>
  <c r="O25" i="185"/>
  <c r="N25" i="185"/>
  <c r="M25" i="185"/>
  <c r="L25" i="185"/>
  <c r="G33" i="185"/>
  <c r="F33" i="185"/>
  <c r="E33" i="185"/>
  <c r="D33" i="185"/>
  <c r="C33" i="185"/>
  <c r="G32" i="185"/>
  <c r="F32" i="185"/>
  <c r="E32" i="185"/>
  <c r="D32" i="185"/>
  <c r="C32" i="185"/>
  <c r="G31" i="185"/>
  <c r="F31" i="185"/>
  <c r="G29" i="292" s="1"/>
  <c r="E31" i="185"/>
  <c r="D31" i="185"/>
  <c r="D29" i="185"/>
  <c r="C31" i="185"/>
  <c r="C31" i="184" s="1"/>
  <c r="G30" i="185"/>
  <c r="F30" i="185"/>
  <c r="E30" i="185"/>
  <c r="D30" i="185"/>
  <c r="C30" i="185"/>
  <c r="G29" i="185"/>
  <c r="F29" i="185"/>
  <c r="E29" i="185"/>
  <c r="C29" i="185"/>
  <c r="G28" i="185"/>
  <c r="F28" i="185"/>
  <c r="E28" i="185"/>
  <c r="D28" i="185"/>
  <c r="D28" i="184" s="1"/>
  <c r="C28" i="185"/>
  <c r="G27" i="185"/>
  <c r="F27" i="185"/>
  <c r="E27" i="185"/>
  <c r="D27" i="185"/>
  <c r="C27" i="185"/>
  <c r="G26" i="185"/>
  <c r="F26" i="185"/>
  <c r="F29" i="292" s="1"/>
  <c r="E26" i="185"/>
  <c r="D26" i="185"/>
  <c r="C26" i="185"/>
  <c r="G25" i="185"/>
  <c r="F25" i="185"/>
  <c r="E25" i="185"/>
  <c r="D25" i="185"/>
  <c r="C25" i="185"/>
  <c r="G24" i="185"/>
  <c r="F24" i="185"/>
  <c r="E24" i="185"/>
  <c r="D24" i="185"/>
  <c r="C24" i="185"/>
  <c r="G23" i="185"/>
  <c r="F23" i="185"/>
  <c r="C29" i="292" s="1"/>
  <c r="E23" i="185"/>
  <c r="D23" i="185"/>
  <c r="C23" i="185"/>
  <c r="G17" i="185"/>
  <c r="F17" i="185"/>
  <c r="E17" i="185"/>
  <c r="D17" i="185"/>
  <c r="G16" i="185"/>
  <c r="F16" i="185"/>
  <c r="E16" i="185"/>
  <c r="D16" i="185"/>
  <c r="D15" i="185"/>
  <c r="D14" i="185"/>
  <c r="G13" i="185"/>
  <c r="F13" i="185"/>
  <c r="E13" i="185"/>
  <c r="D13" i="185"/>
  <c r="G12" i="185"/>
  <c r="F12" i="185"/>
  <c r="E12" i="185"/>
  <c r="D12" i="185"/>
  <c r="O572" i="246" s="1"/>
  <c r="C9" i="101"/>
  <c r="G11" i="101" s="1"/>
  <c r="R689" i="209"/>
  <c r="Q689" i="209"/>
  <c r="P689" i="209"/>
  <c r="O689" i="209"/>
  <c r="R571" i="209"/>
  <c r="Q571" i="209"/>
  <c r="P571" i="209"/>
  <c r="O571" i="209"/>
  <c r="L571" i="209"/>
  <c r="K571" i="209"/>
  <c r="J571" i="209"/>
  <c r="I571" i="209"/>
  <c r="R512" i="209"/>
  <c r="Q512" i="209"/>
  <c r="P512" i="209"/>
  <c r="O512" i="209"/>
  <c r="L512" i="209"/>
  <c r="K512" i="209"/>
  <c r="J512" i="209"/>
  <c r="I512" i="209"/>
  <c r="R453" i="209"/>
  <c r="Q453" i="209"/>
  <c r="P453" i="209"/>
  <c r="O453" i="209"/>
  <c r="L453" i="209"/>
  <c r="K453" i="209"/>
  <c r="J453" i="209"/>
  <c r="I453" i="209"/>
  <c r="R394" i="209"/>
  <c r="Q394" i="209"/>
  <c r="P394" i="209"/>
  <c r="O394" i="209"/>
  <c r="L394" i="209"/>
  <c r="K394" i="209"/>
  <c r="J394" i="209"/>
  <c r="I394" i="209"/>
  <c r="R335" i="209"/>
  <c r="Q335" i="209"/>
  <c r="P335" i="209"/>
  <c r="O335" i="209"/>
  <c r="L335" i="209"/>
  <c r="K335" i="209"/>
  <c r="J335" i="209"/>
  <c r="I335" i="209"/>
  <c r="R276" i="209"/>
  <c r="Q276" i="209"/>
  <c r="P276" i="209"/>
  <c r="O276" i="209"/>
  <c r="V99" i="209"/>
  <c r="V158" i="209" s="1"/>
  <c r="V217" i="209" s="1"/>
  <c r="V276" i="209" s="1"/>
  <c r="V335" i="209" s="1"/>
  <c r="V394" i="209" s="1"/>
  <c r="V453" i="209" s="1"/>
  <c r="V512" i="209" s="1"/>
  <c r="V571" i="209" s="1"/>
  <c r="V630" i="209" s="1"/>
  <c r="V689" i="209" s="1"/>
  <c r="V748" i="209" s="1"/>
  <c r="C99" i="209"/>
  <c r="C158" i="209" s="1"/>
  <c r="C217" i="209" s="1"/>
  <c r="C276" i="209" s="1"/>
  <c r="C335" i="209" s="1"/>
  <c r="C394" i="209" s="1"/>
  <c r="C453" i="209" s="1"/>
  <c r="C512" i="209" s="1"/>
  <c r="C571" i="209" s="1"/>
  <c r="C630" i="209" s="1"/>
  <c r="C689" i="209" s="1"/>
  <c r="C748" i="209" s="1"/>
  <c r="G40" i="209"/>
  <c r="G99" i="209" s="1"/>
  <c r="G158" i="209" s="1"/>
  <c r="G217" i="209" s="1"/>
  <c r="G276" i="209" s="1"/>
  <c r="G335" i="209" s="1"/>
  <c r="G394" i="209" s="1"/>
  <c r="G453" i="209" s="1"/>
  <c r="G512" i="209" s="1"/>
  <c r="G571" i="209" s="1"/>
  <c r="G630" i="209" s="1"/>
  <c r="G689" i="209" s="1"/>
  <c r="G748" i="209" s="1"/>
  <c r="E40" i="209"/>
  <c r="E99" i="209" s="1"/>
  <c r="E158" i="209" s="1"/>
  <c r="E217" i="209" s="1"/>
  <c r="E276" i="209" s="1"/>
  <c r="E335" i="209" s="1"/>
  <c r="E394" i="209" s="1"/>
  <c r="E453" i="209" s="1"/>
  <c r="E512" i="209" s="1"/>
  <c r="E571" i="209" s="1"/>
  <c r="E630" i="209" s="1"/>
  <c r="E689" i="209" s="1"/>
  <c r="E748" i="209" s="1"/>
  <c r="D40" i="209"/>
  <c r="D99" i="209" s="1"/>
  <c r="D158" i="209" s="1"/>
  <c r="D217" i="209" s="1"/>
  <c r="D276" i="209" s="1"/>
  <c r="D335" i="209" s="1"/>
  <c r="D394" i="209" s="1"/>
  <c r="D453" i="209" s="1"/>
  <c r="D512" i="209" s="1"/>
  <c r="D571" i="209" s="1"/>
  <c r="D630" i="209" s="1"/>
  <c r="D689" i="209" s="1"/>
  <c r="D748" i="209" s="1"/>
  <c r="H46" i="368"/>
  <c r="S630" i="209" s="1"/>
  <c r="H23" i="368"/>
  <c r="S276" i="209" s="1"/>
  <c r="H24" i="368"/>
  <c r="H38" i="368" s="1"/>
  <c r="M40" i="209" s="1"/>
  <c r="H25" i="368"/>
  <c r="S335" i="209" s="1"/>
  <c r="H26" i="368"/>
  <c r="H40" i="368" s="1"/>
  <c r="M99" i="209" s="1"/>
  <c r="H27" i="368"/>
  <c r="H41" i="368" s="1"/>
  <c r="M217" i="209" s="1"/>
  <c r="H28" i="368"/>
  <c r="H42" i="368" s="1"/>
  <c r="M276" i="209" s="1"/>
  <c r="H29" i="368"/>
  <c r="H47" i="368" s="1"/>
  <c r="S158" i="209" s="1"/>
  <c r="H30" i="368"/>
  <c r="H44" i="368" s="1"/>
  <c r="S99" i="209" s="1"/>
  <c r="H31" i="368"/>
  <c r="H45" i="368" s="1"/>
  <c r="M158" i="209" s="1"/>
  <c r="H32" i="368"/>
  <c r="M630" i="209" s="1"/>
  <c r="H33" i="368"/>
  <c r="P20" i="368"/>
  <c r="F32" i="5"/>
  <c r="F40" i="209" s="1"/>
  <c r="F99" i="209" s="1"/>
  <c r="F158" i="209" s="1"/>
  <c r="F217" i="209" s="1"/>
  <c r="F276" i="209" s="1"/>
  <c r="F335" i="209" s="1"/>
  <c r="F394" i="209" s="1"/>
  <c r="F453" i="209" s="1"/>
  <c r="F512" i="209" s="1"/>
  <c r="F571" i="209" s="1"/>
  <c r="F630" i="209" s="1"/>
  <c r="F689" i="209" s="1"/>
  <c r="F748" i="209" s="1"/>
  <c r="G48" i="368"/>
  <c r="F48" i="368"/>
  <c r="E48" i="368"/>
  <c r="D48" i="368"/>
  <c r="P25" i="368"/>
  <c r="L5" i="368" a="1"/>
  <c r="M7" i="368" s="1"/>
  <c r="D5" i="368" a="1"/>
  <c r="F7" i="368" s="1"/>
  <c r="G33" i="361"/>
  <c r="F33" i="361"/>
  <c r="E33" i="361"/>
  <c r="D33" i="361"/>
  <c r="C33" i="361"/>
  <c r="G32" i="361"/>
  <c r="F32" i="361"/>
  <c r="E32" i="361"/>
  <c r="D32" i="361"/>
  <c r="C32" i="361"/>
  <c r="G31" i="361"/>
  <c r="F31" i="361"/>
  <c r="E31" i="361"/>
  <c r="D31" i="361"/>
  <c r="C31" i="361"/>
  <c r="G30" i="361"/>
  <c r="D30" i="361"/>
  <c r="F30" i="361"/>
  <c r="E30" i="361"/>
  <c r="C30" i="361"/>
  <c r="G29" i="361"/>
  <c r="F29" i="361"/>
  <c r="E29" i="361"/>
  <c r="D29" i="361"/>
  <c r="C29" i="361"/>
  <c r="G28" i="361"/>
  <c r="F28" i="361"/>
  <c r="E28" i="361"/>
  <c r="D28" i="361"/>
  <c r="C28" i="361"/>
  <c r="G27" i="361"/>
  <c r="F27" i="361"/>
  <c r="E27" i="361"/>
  <c r="D27" i="361"/>
  <c r="C27" i="361"/>
  <c r="G26" i="361"/>
  <c r="F26" i="361"/>
  <c r="E26" i="361"/>
  <c r="D26" i="361"/>
  <c r="C26" i="361"/>
  <c r="G25" i="361"/>
  <c r="F25" i="361"/>
  <c r="E25" i="361"/>
  <c r="D25" i="361"/>
  <c r="C25" i="361"/>
  <c r="G24" i="361"/>
  <c r="F24" i="361"/>
  <c r="E24" i="361"/>
  <c r="D24" i="361"/>
  <c r="C24" i="361"/>
  <c r="G23" i="361"/>
  <c r="F23" i="361"/>
  <c r="E23" i="361"/>
  <c r="D23" i="361"/>
  <c r="C23" i="361"/>
  <c r="G17" i="361"/>
  <c r="F17" i="361"/>
  <c r="E17" i="361"/>
  <c r="D17" i="361"/>
  <c r="G16" i="361"/>
  <c r="F16" i="361"/>
  <c r="E16" i="361"/>
  <c r="D16" i="361"/>
  <c r="G15" i="361"/>
  <c r="F15" i="361"/>
  <c r="E15" i="361"/>
  <c r="D15" i="361"/>
  <c r="G14" i="361"/>
  <c r="F14" i="361"/>
  <c r="E14" i="361"/>
  <c r="D14" i="361"/>
  <c r="G13" i="361"/>
  <c r="F13" i="361"/>
  <c r="E13" i="361"/>
  <c r="D13" i="361"/>
  <c r="G12" i="361"/>
  <c r="F12" i="361"/>
  <c r="E12" i="361"/>
  <c r="D12" i="361"/>
  <c r="P20" i="367"/>
  <c r="C9" i="367"/>
  <c r="E11" i="367" s="1"/>
  <c r="E44" i="367" s="1"/>
  <c r="S42" i="294" s="1"/>
  <c r="D22" i="294"/>
  <c r="D42" i="294" s="1"/>
  <c r="D62" i="294" s="1"/>
  <c r="D82" i="294" s="1"/>
  <c r="D102" i="294" s="1"/>
  <c r="D122" i="294" s="1"/>
  <c r="D142" i="294" s="1"/>
  <c r="C22" i="294"/>
  <c r="C42" i="294" s="1"/>
  <c r="C62" i="294" s="1"/>
  <c r="C82" i="294" s="1"/>
  <c r="C102" i="294" s="1"/>
  <c r="C122" i="294" s="1"/>
  <c r="C142" i="294" s="1"/>
  <c r="F42" i="294"/>
  <c r="F62" i="294" s="1"/>
  <c r="F82" i="294" s="1"/>
  <c r="F102" i="294" s="1"/>
  <c r="F122" i="294" s="1"/>
  <c r="F142" i="294" s="1"/>
  <c r="F104" i="5"/>
  <c r="F103" i="5"/>
  <c r="K142" i="294"/>
  <c r="J142" i="294"/>
  <c r="I142" i="294"/>
  <c r="H142" i="294"/>
  <c r="U122" i="294"/>
  <c r="T122" i="294"/>
  <c r="S122" i="294"/>
  <c r="R122" i="294"/>
  <c r="P122" i="294"/>
  <c r="O122" i="294"/>
  <c r="N122" i="294"/>
  <c r="M122" i="294"/>
  <c r="K122" i="294"/>
  <c r="J122" i="294"/>
  <c r="I122" i="294"/>
  <c r="H122" i="294"/>
  <c r="U102" i="294"/>
  <c r="T102" i="294"/>
  <c r="S102" i="294"/>
  <c r="R102" i="294"/>
  <c r="P102" i="294"/>
  <c r="O102" i="294"/>
  <c r="N102" i="294"/>
  <c r="M102" i="294"/>
  <c r="K102" i="294"/>
  <c r="J102" i="294"/>
  <c r="I102" i="294"/>
  <c r="H102" i="294"/>
  <c r="U82" i="294"/>
  <c r="T82" i="294"/>
  <c r="S82" i="294"/>
  <c r="R82" i="294"/>
  <c r="B42" i="294"/>
  <c r="B62" i="294" s="1"/>
  <c r="B82" i="294" s="1"/>
  <c r="B102" i="294" s="1"/>
  <c r="B122" i="294" s="1"/>
  <c r="B142" i="294" s="1"/>
  <c r="G48" i="367"/>
  <c r="F48" i="367"/>
  <c r="E48" i="367"/>
  <c r="D48" i="367"/>
  <c r="H46" i="367"/>
  <c r="H33" i="367"/>
  <c r="H32" i="367"/>
  <c r="H31" i="367"/>
  <c r="H45" i="367" s="1"/>
  <c r="H30" i="367"/>
  <c r="H44" i="367" s="1"/>
  <c r="H29" i="367"/>
  <c r="H47" i="367" s="1"/>
  <c r="H28" i="367"/>
  <c r="H42" i="367" s="1"/>
  <c r="H27" i="367"/>
  <c r="H41" i="367" s="1"/>
  <c r="H26" i="367"/>
  <c r="H40" i="367" s="1"/>
  <c r="P25" i="367"/>
  <c r="H25" i="367"/>
  <c r="H39" i="367" s="1"/>
  <c r="H24" i="367"/>
  <c r="H38" i="367" s="1"/>
  <c r="H23" i="367"/>
  <c r="H37" i="367" s="1"/>
  <c r="L5" i="367" a="1"/>
  <c r="D5" i="367" a="1"/>
  <c r="H21" i="367" s="1"/>
  <c r="R684" i="209"/>
  <c r="Q684" i="209"/>
  <c r="P684" i="209"/>
  <c r="O684" i="209"/>
  <c r="R566" i="209"/>
  <c r="Q566" i="209"/>
  <c r="P566" i="209"/>
  <c r="O566" i="209"/>
  <c r="L566" i="209"/>
  <c r="K566" i="209"/>
  <c r="J566" i="209"/>
  <c r="I566" i="209"/>
  <c r="R507" i="209"/>
  <c r="Q507" i="209"/>
  <c r="P507" i="209"/>
  <c r="O507" i="209"/>
  <c r="L507" i="209"/>
  <c r="K507" i="209"/>
  <c r="J507" i="209"/>
  <c r="I507" i="209"/>
  <c r="R448" i="209"/>
  <c r="Q448" i="209"/>
  <c r="P448" i="209"/>
  <c r="O448" i="209"/>
  <c r="L448" i="209"/>
  <c r="K448" i="209"/>
  <c r="J448" i="209"/>
  <c r="I448" i="209"/>
  <c r="R389" i="209"/>
  <c r="Q389" i="209"/>
  <c r="P389" i="209"/>
  <c r="O389" i="209"/>
  <c r="L389" i="209"/>
  <c r="K389" i="209"/>
  <c r="J389" i="209"/>
  <c r="I389" i="209"/>
  <c r="R330" i="209"/>
  <c r="Q330" i="209"/>
  <c r="P330" i="209"/>
  <c r="O330" i="209"/>
  <c r="L330" i="209"/>
  <c r="K330" i="209"/>
  <c r="J330" i="209"/>
  <c r="I330" i="209"/>
  <c r="R271" i="209"/>
  <c r="Q271" i="209"/>
  <c r="P271" i="209"/>
  <c r="O271" i="209"/>
  <c r="V684" i="209"/>
  <c r="C94" i="209"/>
  <c r="C153" i="209" s="1"/>
  <c r="C212" i="209" s="1"/>
  <c r="C271" i="209" s="1"/>
  <c r="C330" i="209" s="1"/>
  <c r="C389" i="209" s="1"/>
  <c r="C448" i="209" s="1"/>
  <c r="C507" i="209" s="1"/>
  <c r="C566" i="209" s="1"/>
  <c r="C625" i="209" s="1"/>
  <c r="C684" i="209" s="1"/>
  <c r="C743" i="209" s="1"/>
  <c r="G35" i="209"/>
  <c r="G94" i="209" s="1"/>
  <c r="G153" i="209" s="1"/>
  <c r="G212" i="209" s="1"/>
  <c r="G271" i="209" s="1"/>
  <c r="G330" i="209" s="1"/>
  <c r="G389" i="209" s="1"/>
  <c r="G448" i="209" s="1"/>
  <c r="G507" i="209" s="1"/>
  <c r="G566" i="209" s="1"/>
  <c r="G625" i="209" s="1"/>
  <c r="G684" i="209" s="1"/>
  <c r="G743" i="209" s="1"/>
  <c r="E35" i="209"/>
  <c r="E94" i="209" s="1"/>
  <c r="E153" i="209" s="1"/>
  <c r="E212" i="209" s="1"/>
  <c r="E271" i="209" s="1"/>
  <c r="E330" i="209" s="1"/>
  <c r="E389" i="209" s="1"/>
  <c r="E448" i="209" s="1"/>
  <c r="E507" i="209" s="1"/>
  <c r="E566" i="209" s="1"/>
  <c r="E625" i="209" s="1"/>
  <c r="E684" i="209" s="1"/>
  <c r="E743" i="209" s="1"/>
  <c r="D35" i="209"/>
  <c r="D94" i="209" s="1"/>
  <c r="D153" i="209" s="1"/>
  <c r="D212" i="209" s="1"/>
  <c r="D271" i="209" s="1"/>
  <c r="D330" i="209" s="1"/>
  <c r="D389" i="209" s="1"/>
  <c r="D448" i="209" s="1"/>
  <c r="D507" i="209" s="1"/>
  <c r="D566" i="209" s="1"/>
  <c r="D625" i="209" s="1"/>
  <c r="D684" i="209" s="1"/>
  <c r="D743" i="209" s="1"/>
  <c r="F25" i="5"/>
  <c r="F35" i="209" s="1"/>
  <c r="F94" i="209" s="1"/>
  <c r="F153" i="209" s="1"/>
  <c r="F212" i="209" s="1"/>
  <c r="F271" i="209" s="1"/>
  <c r="F330" i="209" s="1"/>
  <c r="F389" i="209" s="1"/>
  <c r="F448" i="209" s="1"/>
  <c r="F507" i="209" s="1"/>
  <c r="F566" i="209" s="1"/>
  <c r="F625" i="209" s="1"/>
  <c r="F684" i="209" s="1"/>
  <c r="F743" i="209" s="1"/>
  <c r="G48" i="365"/>
  <c r="F48" i="365"/>
  <c r="E48" i="365"/>
  <c r="D48" i="365"/>
  <c r="H46" i="365"/>
  <c r="S625" i="209" s="1"/>
  <c r="H33" i="365"/>
  <c r="H32" i="365"/>
  <c r="M625" i="209" s="1"/>
  <c r="H31" i="365"/>
  <c r="H45" i="365" s="1"/>
  <c r="M153" i="209" s="1"/>
  <c r="H30" i="365"/>
  <c r="H44" i="365" s="1"/>
  <c r="S94" i="209" s="1"/>
  <c r="H29" i="365"/>
  <c r="H28" i="365"/>
  <c r="H42" i="365" s="1"/>
  <c r="M271" i="209" s="1"/>
  <c r="H27" i="365"/>
  <c r="H41" i="365" s="1"/>
  <c r="M212" i="209" s="1"/>
  <c r="H26" i="365"/>
  <c r="H40" i="365" s="1"/>
  <c r="M94" i="209" s="1"/>
  <c r="P25" i="365"/>
  <c r="H25" i="365"/>
  <c r="S330" i="209" s="1"/>
  <c r="H24" i="365"/>
  <c r="H38" i="365" s="1"/>
  <c r="M35" i="209" s="1"/>
  <c r="H23" i="365"/>
  <c r="P20" i="365"/>
  <c r="L5" i="365" a="1"/>
  <c r="L5" i="365" s="1"/>
  <c r="L7" i="365" s="1"/>
  <c r="D5" i="365" a="1"/>
  <c r="E35" i="365" s="1"/>
  <c r="R576" i="246"/>
  <c r="Q576" i="246"/>
  <c r="P576" i="246"/>
  <c r="O576" i="246"/>
  <c r="L36" i="36"/>
  <c r="N15" i="70"/>
  <c r="N14" i="70"/>
  <c r="R14" i="70" s="1"/>
  <c r="N13" i="70"/>
  <c r="R13" i="70" s="1"/>
  <c r="J12" i="164"/>
  <c r="I12" i="164"/>
  <c r="H12" i="164"/>
  <c r="G12" i="164"/>
  <c r="G16" i="292"/>
  <c r="F16" i="292"/>
  <c r="D16" i="292"/>
  <c r="C16" i="292"/>
  <c r="R705" i="209"/>
  <c r="Q705" i="209"/>
  <c r="P705" i="209"/>
  <c r="O705" i="209"/>
  <c r="C9" i="214"/>
  <c r="F11" i="214" s="1"/>
  <c r="F44" i="214" s="1"/>
  <c r="Q80" i="209" s="1"/>
  <c r="C9" i="220"/>
  <c r="F11" i="220" s="1"/>
  <c r="K703" i="209" s="1"/>
  <c r="F135" i="5"/>
  <c r="D49" i="29" s="1"/>
  <c r="F167" i="5"/>
  <c r="F166" i="5"/>
  <c r="F165" i="5"/>
  <c r="F164" i="5"/>
  <c r="F163" i="5"/>
  <c r="F162" i="5"/>
  <c r="F161" i="5"/>
  <c r="F160" i="5"/>
  <c r="F159" i="5"/>
  <c r="F158" i="5"/>
  <c r="F157" i="5"/>
  <c r="F156" i="5"/>
  <c r="F155" i="5"/>
  <c r="F154" i="5"/>
  <c r="F153" i="5"/>
  <c r="F152" i="5"/>
  <c r="F151" i="5"/>
  <c r="D64" i="28" s="1"/>
  <c r="F150" i="5"/>
  <c r="F149" i="5"/>
  <c r="F148" i="5"/>
  <c r="F147" i="5"/>
  <c r="F146" i="5"/>
  <c r="F145" i="5"/>
  <c r="F144" i="5"/>
  <c r="F143" i="5"/>
  <c r="F142" i="5"/>
  <c r="D63" i="28" s="1"/>
  <c r="F141" i="5"/>
  <c r="F140" i="5"/>
  <c r="F139" i="5"/>
  <c r="F136" i="5"/>
  <c r="F134" i="5"/>
  <c r="F132" i="5"/>
  <c r="F131" i="5"/>
  <c r="F130" i="5"/>
  <c r="F129" i="5"/>
  <c r="L5" i="173" a="1"/>
  <c r="N23" i="173" s="1"/>
  <c r="L5" i="170" a="1"/>
  <c r="L5" i="170" s="1"/>
  <c r="L23" i="170" s="1"/>
  <c r="L5" i="175" a="1"/>
  <c r="L5" i="327" a="1"/>
  <c r="L5" i="328" a="1"/>
  <c r="N23" i="328" s="1"/>
  <c r="L5" i="229" a="1"/>
  <c r="O23" i="229" s="1"/>
  <c r="L5" i="171" a="1"/>
  <c r="P23" i="171" s="1"/>
  <c r="L5" i="172" a="1"/>
  <c r="N23" i="172" s="1"/>
  <c r="L5" i="361" a="1"/>
  <c r="P23" i="361" s="1"/>
  <c r="L5" i="174" a="1"/>
  <c r="L5" i="231" a="1"/>
  <c r="O23" i="231" s="1"/>
  <c r="D5" i="173" a="1"/>
  <c r="E35" i="173" s="1"/>
  <c r="D5" i="170" a="1"/>
  <c r="E35" i="170" s="1"/>
  <c r="D5" i="175" a="1"/>
  <c r="H35" i="175" s="1"/>
  <c r="D5" i="327" a="1"/>
  <c r="H21" i="327" s="1"/>
  <c r="D5" i="328" a="1"/>
  <c r="G35" i="328" s="1"/>
  <c r="D5" i="229" a="1"/>
  <c r="D5" i="171" a="1"/>
  <c r="D5" i="171" s="1"/>
  <c r="D21" i="171" s="1"/>
  <c r="D5" i="172" a="1"/>
  <c r="E35" i="172" s="1"/>
  <c r="D5" i="361" a="1"/>
  <c r="D5" i="361" s="1"/>
  <c r="D5" i="174" a="1"/>
  <c r="D5" i="231" a="1"/>
  <c r="G21" i="231" s="1"/>
  <c r="L5" i="226" a="1"/>
  <c r="O23" i="226" s="1"/>
  <c r="D5" i="226" a="1"/>
  <c r="F35" i="226" s="1"/>
  <c r="L5" i="223" a="1"/>
  <c r="L5" i="223" s="1"/>
  <c r="L23" i="223" s="1"/>
  <c r="D5" i="223" a="1"/>
  <c r="G35" i="223" s="1"/>
  <c r="L5" i="84" a="1"/>
  <c r="M23" i="84" s="1"/>
  <c r="D5" i="84" a="1"/>
  <c r="F21" i="84" s="1"/>
  <c r="L5" i="104" a="1"/>
  <c r="L5" i="104" s="1"/>
  <c r="L23" i="104" s="1"/>
  <c r="D5" i="104" a="1"/>
  <c r="H21" i="104" s="1"/>
  <c r="L5" i="184" a="1"/>
  <c r="O23" i="184" s="1"/>
  <c r="D5" i="184" a="1"/>
  <c r="G21" i="184" s="1"/>
  <c r="L5" i="186" a="1"/>
  <c r="D5" i="186" a="1"/>
  <c r="F21" i="186" s="1"/>
  <c r="L5" i="185" a="1"/>
  <c r="M23" i="185" s="1"/>
  <c r="D5" i="185" a="1"/>
  <c r="D5" i="185" s="1"/>
  <c r="L5" i="228" a="1"/>
  <c r="P23" i="228" s="1"/>
  <c r="D5" i="228" a="1"/>
  <c r="F35" i="228" s="1"/>
  <c r="L5" i="225" a="1"/>
  <c r="N23" i="225" s="1"/>
  <c r="D5" i="225" a="1"/>
  <c r="H21" i="225" s="1"/>
  <c r="L5" i="212" a="1"/>
  <c r="P23" i="212" s="1"/>
  <c r="D5" i="212" a="1"/>
  <c r="H21" i="212" s="1"/>
  <c r="L5" i="330" a="1"/>
  <c r="D5" i="330" a="1"/>
  <c r="H35" i="330" s="1"/>
  <c r="L5" i="58" a="1"/>
  <c r="O23" i="58" s="1"/>
  <c r="D5" i="58" a="1"/>
  <c r="G35" i="58" s="1"/>
  <c r="L5" i="326" a="1"/>
  <c r="N23" i="326" s="1"/>
  <c r="D5" i="326" a="1"/>
  <c r="E35" i="326" s="1"/>
  <c r="L5" i="44" a="1"/>
  <c r="P23" i="44" s="1"/>
  <c r="D5" i="44" a="1"/>
  <c r="F35" i="44" s="1"/>
  <c r="L5" i="18" a="1"/>
  <c r="L5" i="18" s="1"/>
  <c r="L23" i="18" s="1"/>
  <c r="D5" i="18" a="1"/>
  <c r="L5" i="250" a="1"/>
  <c r="M23" i="250" s="1"/>
  <c r="D5" i="250" a="1"/>
  <c r="D5" i="291" a="1"/>
  <c r="L5" i="291" a="1"/>
  <c r="P23" i="291" s="1"/>
  <c r="L5" i="247" a="1"/>
  <c r="L5" i="247" s="1"/>
  <c r="L23" i="247" s="1"/>
  <c r="L5" i="248" a="1"/>
  <c r="P23" i="248" s="1"/>
  <c r="D5" i="248" a="1"/>
  <c r="F21" i="248" s="1"/>
  <c r="D5" i="247" a="1"/>
  <c r="E35" i="247" s="1"/>
  <c r="O25" i="225"/>
  <c r="N25" i="225"/>
  <c r="M25" i="225"/>
  <c r="M25" i="228" s="1"/>
  <c r="L25" i="225"/>
  <c r="J27" i="36"/>
  <c r="N27" i="36" s="1"/>
  <c r="R27" i="36" s="1"/>
  <c r="J28" i="36"/>
  <c r="N28" i="36" s="1"/>
  <c r="R28" i="36" s="1"/>
  <c r="AA7" i="292"/>
  <c r="I7" i="292"/>
  <c r="V7" i="292"/>
  <c r="U7" i="292"/>
  <c r="T7" i="292"/>
  <c r="S7" i="292"/>
  <c r="R7" i="292"/>
  <c r="G7" i="292"/>
  <c r="F7" i="292"/>
  <c r="E7" i="292"/>
  <c r="D7" i="292"/>
  <c r="C7" i="292"/>
  <c r="U5" i="294"/>
  <c r="T5" i="294"/>
  <c r="S5" i="294"/>
  <c r="R5" i="294"/>
  <c r="P5" i="294"/>
  <c r="O5" i="294"/>
  <c r="N5" i="294"/>
  <c r="M5" i="294"/>
  <c r="K5" i="294"/>
  <c r="J5" i="294"/>
  <c r="I5" i="294"/>
  <c r="H5" i="294"/>
  <c r="O5" i="246" a="1"/>
  <c r="O5" i="246" s="1"/>
  <c r="I5" i="246" a="1"/>
  <c r="I5" i="246" s="1"/>
  <c r="O5" i="209" a="1"/>
  <c r="O5" i="209" s="1"/>
  <c r="C9" i="194"/>
  <c r="G11" i="194" s="1"/>
  <c r="C9" i="160"/>
  <c r="E11" i="160" s="1"/>
  <c r="C9" i="126"/>
  <c r="F11" i="126" s="1"/>
  <c r="K547" i="246" s="1"/>
  <c r="C9" i="151"/>
  <c r="D11" i="151" s="1"/>
  <c r="I548" i="246" s="1"/>
  <c r="C9" i="188"/>
  <c r="E11" i="188" s="1"/>
  <c r="E18" i="188" s="1"/>
  <c r="C9" i="141"/>
  <c r="C9" i="137"/>
  <c r="G11" i="137" s="1"/>
  <c r="C9" i="195"/>
  <c r="G11" i="195" s="1"/>
  <c r="G45" i="195" s="1"/>
  <c r="L144" i="246" s="1"/>
  <c r="C9" i="189"/>
  <c r="F11" i="189" s="1"/>
  <c r="F45" i="189" s="1"/>
  <c r="K145" i="246" s="1"/>
  <c r="C9" i="146"/>
  <c r="F11" i="146" s="1"/>
  <c r="C9" i="183"/>
  <c r="D11" i="183" s="1"/>
  <c r="D46" i="183" s="1"/>
  <c r="C9" i="270"/>
  <c r="G11" i="270" s="1"/>
  <c r="G46" i="270" s="1"/>
  <c r="E14" i="194"/>
  <c r="F14" i="194" s="1"/>
  <c r="G14" i="194" s="1"/>
  <c r="E15" i="194"/>
  <c r="F15" i="194" s="1"/>
  <c r="G15" i="194" s="1"/>
  <c r="N11" i="129"/>
  <c r="R11" i="129" s="1"/>
  <c r="T11" i="129" s="1"/>
  <c r="N12" i="129"/>
  <c r="R12" i="129" s="1"/>
  <c r="T12" i="129" s="1"/>
  <c r="N13" i="129"/>
  <c r="R13" i="129" s="1"/>
  <c r="T13" i="129" s="1"/>
  <c r="N14" i="129"/>
  <c r="R14" i="129" s="1"/>
  <c r="T14" i="129" s="1"/>
  <c r="N15" i="129"/>
  <c r="R15" i="129" s="1"/>
  <c r="T15" i="129" s="1"/>
  <c r="N16" i="129"/>
  <c r="R16" i="129" s="1"/>
  <c r="N17" i="129"/>
  <c r="N18" i="129"/>
  <c r="R18" i="129" s="1"/>
  <c r="T18" i="129" s="1"/>
  <c r="N19" i="129"/>
  <c r="E15" i="151"/>
  <c r="F15" i="151" s="1"/>
  <c r="G15" i="151" s="1"/>
  <c r="D14" i="141"/>
  <c r="D14" i="226" s="1"/>
  <c r="D15" i="141"/>
  <c r="E15" i="141" s="1"/>
  <c r="F15" i="141" s="1"/>
  <c r="G15" i="141" s="1"/>
  <c r="E14" i="137"/>
  <c r="F14" i="137" s="1"/>
  <c r="G14" i="137" s="1"/>
  <c r="E15" i="137"/>
  <c r="F15" i="137" s="1"/>
  <c r="G15" i="137" s="1"/>
  <c r="E14" i="195"/>
  <c r="E15" i="195"/>
  <c r="F15" i="195" s="1"/>
  <c r="G15" i="195" s="1"/>
  <c r="E14" i="189"/>
  <c r="F14" i="189" s="1"/>
  <c r="G14" i="189" s="1"/>
  <c r="E15" i="189"/>
  <c r="F15" i="189" s="1"/>
  <c r="G15" i="189" s="1"/>
  <c r="E15" i="146"/>
  <c r="F15" i="146" s="1"/>
  <c r="G15" i="146" s="1"/>
  <c r="E14" i="183"/>
  <c r="F14" i="183" s="1"/>
  <c r="G14" i="183" s="1"/>
  <c r="E15" i="183"/>
  <c r="F15" i="183" s="1"/>
  <c r="G15" i="183" s="1"/>
  <c r="E14" i="270"/>
  <c r="F14" i="270" s="1"/>
  <c r="G14" i="270" s="1"/>
  <c r="E15" i="270"/>
  <c r="F15" i="270" s="1"/>
  <c r="G15" i="270" s="1"/>
  <c r="J37" i="49"/>
  <c r="H13" i="49"/>
  <c r="E13" i="49" s="1"/>
  <c r="H12" i="49"/>
  <c r="E12" i="49" s="1"/>
  <c r="H11" i="49"/>
  <c r="E11" i="49" s="1"/>
  <c r="N32" i="27"/>
  <c r="N31" i="27"/>
  <c r="O25" i="326"/>
  <c r="N25" i="326"/>
  <c r="M25" i="326"/>
  <c r="L25" i="326"/>
  <c r="P25" i="326" s="1"/>
  <c r="G33" i="326"/>
  <c r="F33" i="326"/>
  <c r="E33" i="326"/>
  <c r="D33" i="326"/>
  <c r="C33" i="326"/>
  <c r="G32" i="326"/>
  <c r="F32" i="326"/>
  <c r="E32" i="326"/>
  <c r="D32" i="326"/>
  <c r="H32" i="326" s="1"/>
  <c r="C32" i="326"/>
  <c r="G31" i="326"/>
  <c r="F31" i="326"/>
  <c r="G12" i="292" s="1"/>
  <c r="E31" i="326"/>
  <c r="D31" i="326"/>
  <c r="C31" i="326"/>
  <c r="G30" i="326"/>
  <c r="F30" i="326"/>
  <c r="E12" i="292" s="1"/>
  <c r="E30" i="326"/>
  <c r="D30" i="326"/>
  <c r="C30" i="326"/>
  <c r="G29" i="326"/>
  <c r="F29" i="326"/>
  <c r="E29" i="326"/>
  <c r="D29" i="326"/>
  <c r="C29" i="326"/>
  <c r="G28" i="326"/>
  <c r="F28" i="326"/>
  <c r="E28" i="326"/>
  <c r="D28" i="326"/>
  <c r="C28" i="326"/>
  <c r="G27" i="326"/>
  <c r="F27" i="326"/>
  <c r="E27" i="326"/>
  <c r="D27" i="326"/>
  <c r="C27" i="326"/>
  <c r="G26" i="326"/>
  <c r="F26" i="326"/>
  <c r="F12" i="292" s="1"/>
  <c r="E26" i="326"/>
  <c r="D26" i="326"/>
  <c r="C26" i="326"/>
  <c r="G25" i="326"/>
  <c r="F25" i="326"/>
  <c r="E25" i="326"/>
  <c r="D25" i="326"/>
  <c r="C25" i="326"/>
  <c r="G24" i="326"/>
  <c r="F24" i="326"/>
  <c r="D12" i="292" s="1"/>
  <c r="E24" i="326"/>
  <c r="D24" i="326"/>
  <c r="C24" i="326"/>
  <c r="G23" i="326"/>
  <c r="F23" i="326"/>
  <c r="C12" i="292" s="1"/>
  <c r="E23" i="326"/>
  <c r="D23" i="326"/>
  <c r="C23" i="326"/>
  <c r="G17" i="326"/>
  <c r="F17" i="326"/>
  <c r="E17" i="326"/>
  <c r="D17" i="326"/>
  <c r="G16" i="326"/>
  <c r="F16" i="326"/>
  <c r="E16" i="326"/>
  <c r="D16" i="326"/>
  <c r="G15" i="326"/>
  <c r="F15" i="326"/>
  <c r="E15" i="326"/>
  <c r="D15" i="326"/>
  <c r="G14" i="326"/>
  <c r="F14" i="326"/>
  <c r="E14" i="326"/>
  <c r="D14" i="326"/>
  <c r="G13" i="326"/>
  <c r="F13" i="326"/>
  <c r="E13" i="326"/>
  <c r="D13" i="326"/>
  <c r="G12" i="326"/>
  <c r="F12" i="326"/>
  <c r="N12" i="292" s="1"/>
  <c r="E12" i="326"/>
  <c r="D12" i="326"/>
  <c r="R20" i="70"/>
  <c r="R21" i="70"/>
  <c r="R22" i="70"/>
  <c r="R23" i="70"/>
  <c r="R18" i="34"/>
  <c r="N18" i="28"/>
  <c r="R18" i="28" s="1"/>
  <c r="T18" i="28" s="1"/>
  <c r="N14" i="36"/>
  <c r="F13" i="30"/>
  <c r="T25" i="34"/>
  <c r="P20" i="295"/>
  <c r="P20" i="296"/>
  <c r="B21" i="363"/>
  <c r="D14" i="123"/>
  <c r="E14" i="123" s="1"/>
  <c r="F14" i="123" s="1"/>
  <c r="K139" i="294"/>
  <c r="J139" i="294"/>
  <c r="I139" i="294"/>
  <c r="H139" i="294"/>
  <c r="U119" i="294"/>
  <c r="T119" i="294"/>
  <c r="S119" i="294"/>
  <c r="R119" i="294"/>
  <c r="P119" i="294"/>
  <c r="O119" i="294"/>
  <c r="N119" i="294"/>
  <c r="M119" i="294"/>
  <c r="K119" i="294"/>
  <c r="J119" i="294"/>
  <c r="I119" i="294"/>
  <c r="H119" i="294"/>
  <c r="U99" i="294"/>
  <c r="T99" i="294"/>
  <c r="S99" i="294"/>
  <c r="R99" i="294"/>
  <c r="P99" i="294"/>
  <c r="O99" i="294"/>
  <c r="N99" i="294"/>
  <c r="M99" i="294"/>
  <c r="K99" i="294"/>
  <c r="J99" i="294"/>
  <c r="I99" i="294"/>
  <c r="H99" i="294"/>
  <c r="U79" i="294"/>
  <c r="T79" i="294"/>
  <c r="S79" i="294"/>
  <c r="R79" i="294"/>
  <c r="F19" i="294"/>
  <c r="F39" i="294" s="1"/>
  <c r="F59" i="294" s="1"/>
  <c r="F79" i="294" s="1"/>
  <c r="F99" i="294" s="1"/>
  <c r="F119" i="294" s="1"/>
  <c r="F139" i="294" s="1"/>
  <c r="D19" i="294"/>
  <c r="D39" i="294" s="1"/>
  <c r="D59" i="294" s="1"/>
  <c r="D79" i="294" s="1"/>
  <c r="D99" i="294" s="1"/>
  <c r="D119" i="294" s="1"/>
  <c r="D139" i="294" s="1"/>
  <c r="C19" i="294"/>
  <c r="C39" i="294" s="1"/>
  <c r="C59" i="294" s="1"/>
  <c r="C79" i="294" s="1"/>
  <c r="C99" i="294" s="1"/>
  <c r="C119" i="294" s="1"/>
  <c r="C139" i="294" s="1"/>
  <c r="J30" i="28"/>
  <c r="N30" i="28" s="1"/>
  <c r="J43" i="34"/>
  <c r="T26" i="34"/>
  <c r="N14" i="34"/>
  <c r="R14" i="34" s="1"/>
  <c r="C11" i="164"/>
  <c r="D23" i="246"/>
  <c r="J34" i="37"/>
  <c r="N34" i="37" s="1"/>
  <c r="R34" i="37" s="1"/>
  <c r="T34" i="37" s="1"/>
  <c r="C9" i="362"/>
  <c r="G11" i="362" s="1"/>
  <c r="P139" i="294" s="1"/>
  <c r="G48" i="362"/>
  <c r="F48" i="362"/>
  <c r="E48" i="362"/>
  <c r="D48" i="362"/>
  <c r="H46" i="362"/>
  <c r="H33" i="362"/>
  <c r="H32" i="362"/>
  <c r="H31" i="362"/>
  <c r="H45" i="362" s="1"/>
  <c r="H30" i="362"/>
  <c r="H44" i="362" s="1"/>
  <c r="H29" i="362"/>
  <c r="H43" i="362" s="1"/>
  <c r="H28" i="362"/>
  <c r="H42" i="362" s="1"/>
  <c r="H27" i="362"/>
  <c r="H41" i="362" s="1"/>
  <c r="H26" i="362"/>
  <c r="H40" i="362" s="1"/>
  <c r="P25" i="362"/>
  <c r="H25" i="362"/>
  <c r="H39" i="362" s="1"/>
  <c r="H24" i="362"/>
  <c r="H38" i="362" s="1"/>
  <c r="H23" i="362"/>
  <c r="H37" i="362" s="1"/>
  <c r="P20" i="362"/>
  <c r="F93" i="5"/>
  <c r="E19" i="294" s="1"/>
  <c r="E39" i="294" s="1"/>
  <c r="E59" i="294" s="1"/>
  <c r="E79" i="294" s="1"/>
  <c r="E99" i="294" s="1"/>
  <c r="E119" i="294" s="1"/>
  <c r="E139" i="294" s="1"/>
  <c r="K141" i="294"/>
  <c r="J141" i="294"/>
  <c r="I141" i="294"/>
  <c r="H141" i="294"/>
  <c r="U121" i="294"/>
  <c r="T121" i="294"/>
  <c r="S121" i="294"/>
  <c r="R121" i="294"/>
  <c r="P121" i="294"/>
  <c r="O121" i="294"/>
  <c r="N121" i="294"/>
  <c r="M121" i="294"/>
  <c r="K121" i="294"/>
  <c r="J121" i="294"/>
  <c r="I121" i="294"/>
  <c r="H121" i="294"/>
  <c r="U101" i="294"/>
  <c r="T101" i="294"/>
  <c r="S101" i="294"/>
  <c r="R101" i="294"/>
  <c r="P101" i="294"/>
  <c r="O101" i="294"/>
  <c r="N101" i="294"/>
  <c r="M101" i="294"/>
  <c r="K101" i="294"/>
  <c r="J101" i="294"/>
  <c r="I101" i="294"/>
  <c r="H101" i="294"/>
  <c r="U81" i="294"/>
  <c r="T81" i="294"/>
  <c r="S81" i="294"/>
  <c r="R81" i="294"/>
  <c r="F21" i="294"/>
  <c r="F41" i="294" s="1"/>
  <c r="F61" i="294" s="1"/>
  <c r="F81" i="294" s="1"/>
  <c r="F101" i="294" s="1"/>
  <c r="F121" i="294" s="1"/>
  <c r="F141" i="294" s="1"/>
  <c r="D21" i="294"/>
  <c r="D41" i="294" s="1"/>
  <c r="D61" i="294" s="1"/>
  <c r="D81" i="294" s="1"/>
  <c r="D101" i="294" s="1"/>
  <c r="D121" i="294" s="1"/>
  <c r="D141" i="294" s="1"/>
  <c r="C21" i="294"/>
  <c r="C41" i="294" s="1"/>
  <c r="C61" i="294" s="1"/>
  <c r="C81" i="294" s="1"/>
  <c r="C101" i="294" s="1"/>
  <c r="C121" i="294" s="1"/>
  <c r="C141" i="294" s="1"/>
  <c r="P20" i="360"/>
  <c r="M25" i="361"/>
  <c r="N25" i="361"/>
  <c r="O25" i="361"/>
  <c r="L25" i="361"/>
  <c r="P25" i="361" s="1"/>
  <c r="P20" i="361"/>
  <c r="C9" i="360"/>
  <c r="D11" i="360" s="1"/>
  <c r="D46" i="360" s="1"/>
  <c r="G48" i="360"/>
  <c r="F48" i="360"/>
  <c r="E48" i="360"/>
  <c r="D48" i="360"/>
  <c r="H46" i="360"/>
  <c r="H33" i="360"/>
  <c r="H32" i="360"/>
  <c r="H31" i="360"/>
  <c r="H45" i="360" s="1"/>
  <c r="H30" i="360"/>
  <c r="H44" i="360" s="1"/>
  <c r="H29" i="360"/>
  <c r="H28" i="360"/>
  <c r="H42" i="360" s="1"/>
  <c r="H27" i="360"/>
  <c r="H41" i="360" s="1"/>
  <c r="H26" i="360"/>
  <c r="H40" i="360" s="1"/>
  <c r="P25" i="360"/>
  <c r="H25" i="360"/>
  <c r="H39" i="360" s="1"/>
  <c r="H24" i="360"/>
  <c r="H38" i="360" s="1"/>
  <c r="H23" i="360"/>
  <c r="H37" i="360" s="1"/>
  <c r="C102" i="209"/>
  <c r="C161" i="209" s="1"/>
  <c r="C220" i="209" s="1"/>
  <c r="C279" i="209" s="1"/>
  <c r="C338" i="209" s="1"/>
  <c r="C397" i="209" s="1"/>
  <c r="C456" i="209" s="1"/>
  <c r="C515" i="209" s="1"/>
  <c r="C574" i="209" s="1"/>
  <c r="C633" i="209" s="1"/>
  <c r="C692" i="209" s="1"/>
  <c r="C751" i="209" s="1"/>
  <c r="P20" i="337"/>
  <c r="P20" i="79"/>
  <c r="P20" i="338"/>
  <c r="P20" i="105"/>
  <c r="P20" i="290"/>
  <c r="P20" i="196"/>
  <c r="P20" i="72"/>
  <c r="P20" i="289"/>
  <c r="P20" i="288"/>
  <c r="R582" i="246"/>
  <c r="Q582" i="246"/>
  <c r="P582" i="246"/>
  <c r="O582" i="246"/>
  <c r="I480" i="246"/>
  <c r="R480" i="246"/>
  <c r="Q480" i="246"/>
  <c r="P480" i="246"/>
  <c r="O480" i="246"/>
  <c r="L480" i="246"/>
  <c r="K480" i="246"/>
  <c r="J480" i="246"/>
  <c r="I429" i="246"/>
  <c r="R429" i="246"/>
  <c r="Q429" i="246"/>
  <c r="P429" i="246"/>
  <c r="O429" i="246"/>
  <c r="L429" i="246"/>
  <c r="K429" i="246"/>
  <c r="J429" i="246"/>
  <c r="I378" i="246"/>
  <c r="R378" i="246"/>
  <c r="Q378" i="246"/>
  <c r="P378" i="246"/>
  <c r="O378" i="246"/>
  <c r="L378" i="246"/>
  <c r="K378" i="246"/>
  <c r="J378" i="246"/>
  <c r="I327" i="246"/>
  <c r="R327" i="246"/>
  <c r="Q327" i="246"/>
  <c r="P327" i="246"/>
  <c r="O327" i="246"/>
  <c r="L327" i="246"/>
  <c r="K327" i="246"/>
  <c r="J327" i="246"/>
  <c r="I276" i="246"/>
  <c r="R276" i="246"/>
  <c r="Q276" i="246"/>
  <c r="P276" i="246"/>
  <c r="O276" i="246"/>
  <c r="L276" i="246"/>
  <c r="K276" i="246"/>
  <c r="J276" i="246"/>
  <c r="R225" i="246"/>
  <c r="Q225" i="246"/>
  <c r="P225" i="246"/>
  <c r="O225" i="246"/>
  <c r="V72" i="246"/>
  <c r="V123" i="246" s="1"/>
  <c r="V174" i="246" s="1"/>
  <c r="V225" i="246" s="1"/>
  <c r="V276" i="246" s="1"/>
  <c r="V327" i="246" s="1"/>
  <c r="V378" i="246" s="1"/>
  <c r="V429" i="246" s="1"/>
  <c r="V480" i="246" s="1"/>
  <c r="V531" i="246" s="1"/>
  <c r="V582" i="246" s="1"/>
  <c r="C72" i="246"/>
  <c r="C123" i="246" s="1"/>
  <c r="C174" i="246" s="1"/>
  <c r="C225" i="246" s="1"/>
  <c r="C276" i="246" s="1"/>
  <c r="C327" i="246" s="1"/>
  <c r="C378" i="246" s="1"/>
  <c r="C429" i="246" s="1"/>
  <c r="C480" i="246" s="1"/>
  <c r="C531" i="246" s="1"/>
  <c r="C582" i="246" s="1"/>
  <c r="C633" i="246" s="1"/>
  <c r="G21" i="246"/>
  <c r="G72" i="246" s="1"/>
  <c r="G123" i="246" s="1"/>
  <c r="G174" i="246" s="1"/>
  <c r="G225" i="246" s="1"/>
  <c r="G276" i="246" s="1"/>
  <c r="G327" i="246" s="1"/>
  <c r="G378" i="246" s="1"/>
  <c r="G429" i="246" s="1"/>
  <c r="G480" i="246" s="1"/>
  <c r="G531" i="246" s="1"/>
  <c r="G582" i="246" s="1"/>
  <c r="G633" i="246" s="1"/>
  <c r="E21" i="246"/>
  <c r="E72" i="246" s="1"/>
  <c r="E123" i="246" s="1"/>
  <c r="E174" i="246" s="1"/>
  <c r="E225" i="246" s="1"/>
  <c r="E276" i="246" s="1"/>
  <c r="E327" i="246" s="1"/>
  <c r="E378" i="246" s="1"/>
  <c r="E429" i="246" s="1"/>
  <c r="E480" i="246" s="1"/>
  <c r="E531" i="246" s="1"/>
  <c r="E582" i="246" s="1"/>
  <c r="E633" i="246" s="1"/>
  <c r="D21" i="246"/>
  <c r="U21" i="246" s="1"/>
  <c r="U72" i="246" s="1"/>
  <c r="U123" i="246" s="1"/>
  <c r="U174" i="246" s="1"/>
  <c r="U225" i="246" s="1"/>
  <c r="U276" i="246" s="1"/>
  <c r="U327" i="246" s="1"/>
  <c r="U378" i="246" s="1"/>
  <c r="U429" i="246" s="1"/>
  <c r="U480" i="246" s="1"/>
  <c r="U531" i="246" s="1"/>
  <c r="U582" i="246" s="1"/>
  <c r="C9" i="359"/>
  <c r="D11" i="359" s="1"/>
  <c r="L26" i="359" s="1"/>
  <c r="D43" i="359" s="1"/>
  <c r="D47" i="359" s="1"/>
  <c r="O123" i="246" s="1"/>
  <c r="F96" i="5"/>
  <c r="F21" i="246" s="1"/>
  <c r="F72" i="246" s="1"/>
  <c r="F123" i="246" s="1"/>
  <c r="F174" i="246" s="1"/>
  <c r="F225" i="246" s="1"/>
  <c r="F276" i="246" s="1"/>
  <c r="F327" i="246" s="1"/>
  <c r="F378" i="246" s="1"/>
  <c r="F429" i="246" s="1"/>
  <c r="F480" i="246" s="1"/>
  <c r="F531" i="246" s="1"/>
  <c r="F582" i="246" s="1"/>
  <c r="F633" i="246" s="1"/>
  <c r="G48" i="359"/>
  <c r="F48" i="359"/>
  <c r="E48" i="359"/>
  <c r="D48" i="359"/>
  <c r="H46" i="359"/>
  <c r="S531" i="246" s="1"/>
  <c r="H33" i="359"/>
  <c r="H32" i="359"/>
  <c r="M531" i="246" s="1"/>
  <c r="H31" i="359"/>
  <c r="H45" i="359" s="1"/>
  <c r="M123" i="246" s="1"/>
  <c r="H30" i="359"/>
  <c r="H44" i="359" s="1"/>
  <c r="S72" i="246" s="1"/>
  <c r="H29" i="359"/>
  <c r="H28" i="359"/>
  <c r="H42" i="359" s="1"/>
  <c r="M225" i="246" s="1"/>
  <c r="H27" i="359"/>
  <c r="H41" i="359" s="1"/>
  <c r="M174" i="246" s="1"/>
  <c r="H26" i="359"/>
  <c r="H40" i="359" s="1"/>
  <c r="M72" i="246" s="1"/>
  <c r="P25" i="359"/>
  <c r="H25" i="359"/>
  <c r="H39" i="359" s="1"/>
  <c r="S21" i="246" s="1"/>
  <c r="H24" i="359"/>
  <c r="H38" i="359" s="1"/>
  <c r="M21" i="246" s="1"/>
  <c r="H23" i="359"/>
  <c r="S225" i="246" s="1"/>
  <c r="P20" i="359"/>
  <c r="N16" i="49"/>
  <c r="R16" i="49" s="1"/>
  <c r="R38" i="28"/>
  <c r="R40" i="28" s="1"/>
  <c r="J53" i="28" s="1"/>
  <c r="R24" i="70"/>
  <c r="T24" i="70" s="1"/>
  <c r="J17" i="124"/>
  <c r="O25" i="247"/>
  <c r="N25" i="247"/>
  <c r="M25" i="247"/>
  <c r="L25" i="247"/>
  <c r="P25" i="247" s="1"/>
  <c r="C33" i="247"/>
  <c r="C32" i="247"/>
  <c r="C31" i="247"/>
  <c r="C30" i="247"/>
  <c r="C29" i="247"/>
  <c r="C28" i="247"/>
  <c r="C27" i="247"/>
  <c r="C26" i="247"/>
  <c r="C25" i="247"/>
  <c r="C24" i="247"/>
  <c r="C23" i="247"/>
  <c r="G9" i="246"/>
  <c r="G60" i="246" s="1"/>
  <c r="G111" i="246" s="1"/>
  <c r="G162" i="246" s="1"/>
  <c r="G213" i="246" s="1"/>
  <c r="G264" i="246" s="1"/>
  <c r="G315" i="246" s="1"/>
  <c r="G366" i="246" s="1"/>
  <c r="G417" i="246" s="1"/>
  <c r="G468" i="246" s="1"/>
  <c r="G519" i="246" s="1"/>
  <c r="G570" i="246" s="1"/>
  <c r="G621" i="246" s="1"/>
  <c r="E9" i="246"/>
  <c r="E60" i="246" s="1"/>
  <c r="E111" i="246" s="1"/>
  <c r="E162" i="246" s="1"/>
  <c r="E213" i="246" s="1"/>
  <c r="E264" i="246" s="1"/>
  <c r="E315" i="246" s="1"/>
  <c r="E366" i="246" s="1"/>
  <c r="E417" i="246" s="1"/>
  <c r="E468" i="246" s="1"/>
  <c r="E519" i="246" s="1"/>
  <c r="E570" i="246" s="1"/>
  <c r="E621" i="246" s="1"/>
  <c r="D9" i="246"/>
  <c r="J40" i="49"/>
  <c r="N17" i="49"/>
  <c r="R17" i="49" s="1"/>
  <c r="N12" i="49"/>
  <c r="R12" i="49" s="1"/>
  <c r="D75" i="37"/>
  <c r="J62" i="37"/>
  <c r="L37" i="37"/>
  <c r="J42" i="37"/>
  <c r="N42" i="37" s="1"/>
  <c r="R42" i="37" s="1"/>
  <c r="R43" i="37" s="1"/>
  <c r="J54" i="37" s="1"/>
  <c r="J36" i="37"/>
  <c r="N36" i="37" s="1"/>
  <c r="R36" i="37" s="1"/>
  <c r="T36" i="37" s="1"/>
  <c r="J35" i="37"/>
  <c r="N35" i="37" s="1"/>
  <c r="R35" i="37" s="1"/>
  <c r="T35" i="37" s="1"/>
  <c r="J31" i="37"/>
  <c r="N28" i="37"/>
  <c r="J27" i="37"/>
  <c r="N27" i="37" s="1"/>
  <c r="L24" i="37"/>
  <c r="J24" i="37"/>
  <c r="J23" i="37"/>
  <c r="N23" i="37" s="1"/>
  <c r="R23" i="37" s="1"/>
  <c r="J20" i="37"/>
  <c r="N20" i="37" s="1"/>
  <c r="J19" i="37"/>
  <c r="N19" i="37" s="1"/>
  <c r="J16" i="37"/>
  <c r="N16" i="37" s="1"/>
  <c r="R16" i="37" s="1"/>
  <c r="T16" i="37" s="1"/>
  <c r="J15" i="37"/>
  <c r="N15" i="37" s="1"/>
  <c r="R15" i="37" s="1"/>
  <c r="T15" i="37" s="1"/>
  <c r="J12" i="37"/>
  <c r="N12" i="37" s="1"/>
  <c r="R12" i="37" s="1"/>
  <c r="J11" i="37"/>
  <c r="N11" i="37" s="1"/>
  <c r="R11" i="37" s="1"/>
  <c r="D67" i="36"/>
  <c r="D66" i="36"/>
  <c r="J59" i="36"/>
  <c r="J29" i="36"/>
  <c r="N29" i="36" s="1"/>
  <c r="R29" i="36" s="1"/>
  <c r="J20" i="36"/>
  <c r="N20" i="36" s="1"/>
  <c r="T50" i="80"/>
  <c r="T49" i="80"/>
  <c r="T48" i="80"/>
  <c r="T47" i="80"/>
  <c r="J36" i="80"/>
  <c r="J47" i="34"/>
  <c r="L30" i="34"/>
  <c r="N15" i="34"/>
  <c r="R13" i="34"/>
  <c r="T13" i="34" s="1"/>
  <c r="J17" i="34"/>
  <c r="J30" i="34" s="1"/>
  <c r="J33" i="34" s="1"/>
  <c r="N16" i="34"/>
  <c r="R16" i="34" s="1"/>
  <c r="T16" i="34" s="1"/>
  <c r="R12" i="34"/>
  <c r="T12" i="34" s="1"/>
  <c r="N11" i="34"/>
  <c r="J28" i="32"/>
  <c r="J22" i="32"/>
  <c r="J11" i="32"/>
  <c r="N11" i="32" s="1"/>
  <c r="R11" i="32" s="1"/>
  <c r="T11" i="32" s="1"/>
  <c r="J43" i="70"/>
  <c r="H27" i="70" s="1"/>
  <c r="N27" i="70" s="1"/>
  <c r="R27" i="70" s="1"/>
  <c r="R28" i="70" s="1"/>
  <c r="J11" i="70"/>
  <c r="N11" i="70" s="1"/>
  <c r="R11" i="70" s="1"/>
  <c r="T11" i="70" s="1"/>
  <c r="J39" i="30"/>
  <c r="J12" i="30"/>
  <c r="N12" i="30" s="1"/>
  <c r="R12" i="30" s="1"/>
  <c r="J11" i="30"/>
  <c r="J60" i="28"/>
  <c r="J28" i="28"/>
  <c r="N28" i="28" s="1"/>
  <c r="J25" i="28"/>
  <c r="N25" i="28" s="1"/>
  <c r="R25" i="28" s="1"/>
  <c r="T25" i="28" s="1"/>
  <c r="J23" i="28"/>
  <c r="N23" i="28" s="1"/>
  <c r="R23" i="28" s="1"/>
  <c r="T23" i="28" s="1"/>
  <c r="J16" i="28"/>
  <c r="N16" i="28" s="1"/>
  <c r="J15" i="28"/>
  <c r="N15" i="28" s="1"/>
  <c r="J13" i="28"/>
  <c r="N12" i="28"/>
  <c r="R12" i="28" s="1"/>
  <c r="N11" i="28"/>
  <c r="R11" i="28" s="1"/>
  <c r="T11" i="28" s="1"/>
  <c r="J30" i="155"/>
  <c r="T39" i="155"/>
  <c r="T38" i="155"/>
  <c r="L13" i="155"/>
  <c r="J12" i="155"/>
  <c r="N12" i="155" s="1"/>
  <c r="J11" i="155"/>
  <c r="N11" i="155" s="1"/>
  <c r="J38" i="100"/>
  <c r="J22" i="100"/>
  <c r="L18" i="100" s="1"/>
  <c r="J17" i="100"/>
  <c r="N17" i="100" s="1"/>
  <c r="E17" i="100"/>
  <c r="J16" i="100"/>
  <c r="N16" i="100" s="1"/>
  <c r="R16" i="100" s="1"/>
  <c r="E16" i="100"/>
  <c r="J15" i="100"/>
  <c r="N15" i="100" s="1"/>
  <c r="R15" i="100" s="1"/>
  <c r="E15" i="100"/>
  <c r="J14" i="100"/>
  <c r="N14" i="100" s="1"/>
  <c r="R14" i="100" s="1"/>
  <c r="E14" i="100"/>
  <c r="J13" i="100"/>
  <c r="N13" i="100" s="1"/>
  <c r="E13" i="100"/>
  <c r="J12" i="100"/>
  <c r="N12" i="100" s="1"/>
  <c r="E12" i="100"/>
  <c r="J11" i="100"/>
  <c r="N11" i="100" s="1"/>
  <c r="R11" i="100" s="1"/>
  <c r="E11" i="100"/>
  <c r="J45" i="29"/>
  <c r="R25" i="29"/>
  <c r="J16" i="29"/>
  <c r="N16" i="29" s="1"/>
  <c r="J14" i="29"/>
  <c r="N14" i="29" s="1"/>
  <c r="R14" i="29" s="1"/>
  <c r="J13" i="29"/>
  <c r="N13" i="29" s="1"/>
  <c r="R13" i="29" s="1"/>
  <c r="J12" i="29"/>
  <c r="N12" i="29" s="1"/>
  <c r="R12" i="29" s="1"/>
  <c r="J11" i="29"/>
  <c r="N11" i="29" s="1"/>
  <c r="R11" i="29" s="1"/>
  <c r="J29" i="142"/>
  <c r="J24" i="142"/>
  <c r="J22" i="142"/>
  <c r="J20" i="142"/>
  <c r="L13" i="142" s="1"/>
  <c r="J12" i="142"/>
  <c r="N12" i="142" s="1"/>
  <c r="R12" i="142" s="1"/>
  <c r="T12" i="142" s="1"/>
  <c r="T13" i="142" s="1"/>
  <c r="J21" i="142" s="1"/>
  <c r="E12" i="142"/>
  <c r="J11" i="142"/>
  <c r="N11" i="142" s="1"/>
  <c r="E11" i="142"/>
  <c r="J33" i="124"/>
  <c r="J12" i="124"/>
  <c r="N12" i="124" s="1"/>
  <c r="R12" i="124" s="1"/>
  <c r="J11" i="124"/>
  <c r="N11" i="124" s="1"/>
  <c r="D57" i="27"/>
  <c r="J53" i="27"/>
  <c r="J27" i="27"/>
  <c r="N27" i="27" s="1"/>
  <c r="J26" i="27"/>
  <c r="N26" i="27" s="1"/>
  <c r="R26" i="27" s="1"/>
  <c r="J25" i="27"/>
  <c r="N25" i="27" s="1"/>
  <c r="R25" i="27" s="1"/>
  <c r="N23" i="27"/>
  <c r="R23" i="27" s="1"/>
  <c r="J20" i="27"/>
  <c r="N20" i="27" s="1"/>
  <c r="R20" i="27" s="1"/>
  <c r="J19" i="27"/>
  <c r="N19" i="27" s="1"/>
  <c r="R19" i="27" s="1"/>
  <c r="J18" i="27"/>
  <c r="N18" i="27" s="1"/>
  <c r="R18" i="27" s="1"/>
  <c r="J17" i="27"/>
  <c r="N17" i="27" s="1"/>
  <c r="J16" i="27"/>
  <c r="N16" i="27" s="1"/>
  <c r="J15" i="27"/>
  <c r="N15" i="27" s="1"/>
  <c r="J14" i="27"/>
  <c r="N14" i="27" s="1"/>
  <c r="R14" i="27" s="1"/>
  <c r="J13" i="27"/>
  <c r="N13" i="27" s="1"/>
  <c r="J11" i="27"/>
  <c r="N11" i="27" s="1"/>
  <c r="T50" i="129"/>
  <c r="T49" i="129"/>
  <c r="T48" i="129"/>
  <c r="T47" i="129"/>
  <c r="T46" i="129"/>
  <c r="T45" i="129"/>
  <c r="T44" i="129"/>
  <c r="T43" i="129"/>
  <c r="T42" i="129"/>
  <c r="J34" i="129"/>
  <c r="J29" i="129"/>
  <c r="J24" i="129"/>
  <c r="L20" i="129" s="1"/>
  <c r="J20" i="129"/>
  <c r="J23" i="129" s="1"/>
  <c r="H17" i="129"/>
  <c r="E17" i="129" s="1"/>
  <c r="H16" i="129"/>
  <c r="E16" i="129" s="1"/>
  <c r="H15" i="129"/>
  <c r="E15" i="129" s="1"/>
  <c r="H14" i="129"/>
  <c r="E14" i="129" s="1"/>
  <c r="H13" i="129"/>
  <c r="E13" i="129" s="1"/>
  <c r="H12" i="129"/>
  <c r="E12" i="129" s="1"/>
  <c r="H11" i="129"/>
  <c r="E11" i="129" s="1"/>
  <c r="T56" i="161"/>
  <c r="T55" i="161"/>
  <c r="D44" i="161"/>
  <c r="T54" i="161"/>
  <c r="D43" i="161"/>
  <c r="T53" i="161"/>
  <c r="T52" i="161"/>
  <c r="T51" i="161"/>
  <c r="T50" i="161"/>
  <c r="T49" i="161"/>
  <c r="J38" i="161"/>
  <c r="T48" i="161"/>
  <c r="J33" i="161"/>
  <c r="J28" i="161"/>
  <c r="L19" i="161" s="1"/>
  <c r="N24" i="161"/>
  <c r="R24" i="161" s="1"/>
  <c r="E24" i="161"/>
  <c r="N23" i="161"/>
  <c r="R23" i="161" s="1"/>
  <c r="E23" i="161"/>
  <c r="J19" i="161"/>
  <c r="J27" i="161" s="1"/>
  <c r="N18" i="161"/>
  <c r="N17" i="161"/>
  <c r="R17" i="161" s="1"/>
  <c r="T17" i="161" s="1"/>
  <c r="H17" i="161"/>
  <c r="E17" i="161" s="1"/>
  <c r="N16" i="161"/>
  <c r="R16" i="161" s="1"/>
  <c r="T16" i="161" s="1"/>
  <c r="H16" i="161"/>
  <c r="E16" i="161" s="1"/>
  <c r="N15" i="161"/>
  <c r="R15" i="161" s="1"/>
  <c r="T15" i="161" s="1"/>
  <c r="H15" i="161"/>
  <c r="E15" i="161" s="1"/>
  <c r="N14" i="161"/>
  <c r="R14" i="161" s="1"/>
  <c r="T14" i="161" s="1"/>
  <c r="H14" i="161"/>
  <c r="E14" i="161" s="1"/>
  <c r="N13" i="161"/>
  <c r="R13" i="161" s="1"/>
  <c r="T13" i="161" s="1"/>
  <c r="H13" i="161"/>
  <c r="E13" i="161" s="1"/>
  <c r="N12" i="161"/>
  <c r="R12" i="161" s="1"/>
  <c r="T12" i="161" s="1"/>
  <c r="H12" i="161"/>
  <c r="E12" i="161" s="1"/>
  <c r="N11" i="161"/>
  <c r="R11" i="161" s="1"/>
  <c r="H11" i="161"/>
  <c r="E11" i="161" s="1"/>
  <c r="P20" i="174"/>
  <c r="P20" i="172"/>
  <c r="P20" i="171"/>
  <c r="P20" i="229"/>
  <c r="P20" i="328"/>
  <c r="P20" i="327"/>
  <c r="P20" i="175"/>
  <c r="P20" i="170"/>
  <c r="P20" i="173"/>
  <c r="P20" i="231"/>
  <c r="P20" i="226"/>
  <c r="P20" i="223"/>
  <c r="P20" i="84"/>
  <c r="P20" i="104"/>
  <c r="P20" i="184"/>
  <c r="O25" i="186"/>
  <c r="N25" i="186"/>
  <c r="M25" i="186"/>
  <c r="L25" i="186"/>
  <c r="P20" i="186"/>
  <c r="P20" i="185"/>
  <c r="P20" i="228"/>
  <c r="P20" i="225"/>
  <c r="P20" i="212"/>
  <c r="P20" i="330"/>
  <c r="P20" i="58"/>
  <c r="P20" i="326"/>
  <c r="P20" i="44"/>
  <c r="P20" i="18"/>
  <c r="P20" i="250"/>
  <c r="G33" i="291"/>
  <c r="F33" i="291"/>
  <c r="E33" i="291"/>
  <c r="D33" i="291"/>
  <c r="C33" i="291"/>
  <c r="G32" i="291"/>
  <c r="F32" i="291"/>
  <c r="E32" i="291"/>
  <c r="D32" i="291"/>
  <c r="C32" i="291"/>
  <c r="G31" i="291"/>
  <c r="F31" i="291"/>
  <c r="G17" i="292" s="1"/>
  <c r="E31" i="291"/>
  <c r="D31" i="291"/>
  <c r="C31" i="291"/>
  <c r="G30" i="291"/>
  <c r="F30" i="291"/>
  <c r="E17" i="292" s="1"/>
  <c r="E30" i="291"/>
  <c r="D30" i="291"/>
  <c r="C30" i="291"/>
  <c r="G29" i="291"/>
  <c r="F29" i="291"/>
  <c r="E29" i="291"/>
  <c r="D29" i="291"/>
  <c r="C29" i="291"/>
  <c r="G28" i="291"/>
  <c r="F28" i="291"/>
  <c r="E28" i="291"/>
  <c r="D28" i="291"/>
  <c r="C28" i="291"/>
  <c r="G27" i="291"/>
  <c r="F27" i="291"/>
  <c r="E27" i="291"/>
  <c r="D27" i="291"/>
  <c r="C27" i="291"/>
  <c r="G26" i="291"/>
  <c r="F26" i="291"/>
  <c r="F17" i="292" s="1"/>
  <c r="E26" i="291"/>
  <c r="D26" i="291"/>
  <c r="C26" i="291"/>
  <c r="O25" i="291"/>
  <c r="N25" i="291"/>
  <c r="M25" i="291"/>
  <c r="L25" i="291"/>
  <c r="P25" i="291" s="1"/>
  <c r="G25" i="291"/>
  <c r="F25" i="291"/>
  <c r="E25" i="291"/>
  <c r="D25" i="291"/>
  <c r="C25" i="291"/>
  <c r="G24" i="291"/>
  <c r="D24" i="291"/>
  <c r="F24" i="291"/>
  <c r="D17" i="292" s="1"/>
  <c r="E24" i="291"/>
  <c r="C24" i="291"/>
  <c r="G23" i="291"/>
  <c r="F23" i="291"/>
  <c r="C17" i="292" s="1"/>
  <c r="E23" i="291"/>
  <c r="D23" i="291"/>
  <c r="C23" i="291"/>
  <c r="P20" i="291"/>
  <c r="G17" i="291"/>
  <c r="F17" i="291"/>
  <c r="E17" i="291"/>
  <c r="D17" i="291"/>
  <c r="G16" i="291"/>
  <c r="F16" i="291"/>
  <c r="E16" i="291"/>
  <c r="D16" i="291"/>
  <c r="G15" i="291"/>
  <c r="F15" i="291"/>
  <c r="E15" i="291"/>
  <c r="D15" i="291"/>
  <c r="G14" i="291"/>
  <c r="F14" i="291"/>
  <c r="E14" i="291"/>
  <c r="D14" i="291"/>
  <c r="G13" i="291"/>
  <c r="F13" i="291"/>
  <c r="E13" i="291"/>
  <c r="D13" i="291"/>
  <c r="G12" i="291"/>
  <c r="F12" i="291"/>
  <c r="N17" i="292" s="1"/>
  <c r="E12" i="291"/>
  <c r="D12" i="291"/>
  <c r="O25" i="248"/>
  <c r="N25" i="248"/>
  <c r="M25" i="248"/>
  <c r="L25" i="248"/>
  <c r="P25" i="248" s="1"/>
  <c r="P20" i="248"/>
  <c r="G33" i="247"/>
  <c r="F33" i="247"/>
  <c r="E33" i="247"/>
  <c r="D33" i="247"/>
  <c r="G32" i="247"/>
  <c r="F32" i="247"/>
  <c r="E32" i="247"/>
  <c r="D32" i="247"/>
  <c r="G31" i="247"/>
  <c r="F31" i="247"/>
  <c r="G15" i="292" s="1"/>
  <c r="E31" i="247"/>
  <c r="D31" i="247"/>
  <c r="G30" i="247"/>
  <c r="F30" i="247"/>
  <c r="E30" i="247"/>
  <c r="D30" i="247"/>
  <c r="G29" i="247"/>
  <c r="F29" i="247"/>
  <c r="E29" i="247"/>
  <c r="D29" i="247"/>
  <c r="G28" i="247"/>
  <c r="F28" i="247"/>
  <c r="E28" i="247"/>
  <c r="D28" i="247"/>
  <c r="G27" i="247"/>
  <c r="F27" i="247"/>
  <c r="E27" i="247"/>
  <c r="D27" i="247"/>
  <c r="G26" i="247"/>
  <c r="F26" i="247"/>
  <c r="F15" i="292" s="1"/>
  <c r="E26" i="247"/>
  <c r="D26" i="247"/>
  <c r="G25" i="247"/>
  <c r="F25" i="247"/>
  <c r="E25" i="247"/>
  <c r="D25" i="247"/>
  <c r="I496" i="209" s="1"/>
  <c r="E23" i="247"/>
  <c r="G24" i="247"/>
  <c r="F24" i="247"/>
  <c r="D15" i="292" s="1"/>
  <c r="E24" i="247"/>
  <c r="D24" i="247"/>
  <c r="G23" i="247"/>
  <c r="F23" i="247"/>
  <c r="C15" i="292" s="1"/>
  <c r="D23" i="247"/>
  <c r="P20" i="247"/>
  <c r="G17" i="247"/>
  <c r="F17" i="247"/>
  <c r="E17" i="247"/>
  <c r="D17" i="247"/>
  <c r="G16" i="247"/>
  <c r="F16" i="247"/>
  <c r="E16" i="247"/>
  <c r="D16" i="247"/>
  <c r="G15" i="247"/>
  <c r="F15" i="247"/>
  <c r="E15" i="247"/>
  <c r="D15" i="247"/>
  <c r="G14" i="247"/>
  <c r="F14" i="247"/>
  <c r="E14" i="247"/>
  <c r="D14" i="247"/>
  <c r="G13" i="247"/>
  <c r="F13" i="247"/>
  <c r="E13" i="247"/>
  <c r="D13" i="247"/>
  <c r="G12" i="247"/>
  <c r="R673" i="209" s="1"/>
  <c r="F12" i="247"/>
  <c r="Q673" i="209" s="1"/>
  <c r="E12" i="247"/>
  <c r="P673" i="209" s="1"/>
  <c r="D12" i="247"/>
  <c r="O673" i="209" s="1"/>
  <c r="K62" i="164"/>
  <c r="K69" i="164" s="1"/>
  <c r="K28" i="164"/>
  <c r="K35" i="164" s="1"/>
  <c r="K61" i="164"/>
  <c r="K68" i="164" s="1"/>
  <c r="K27" i="164"/>
  <c r="K34" i="164" s="1"/>
  <c r="K60" i="164"/>
  <c r="K67" i="164" s="1"/>
  <c r="K26" i="164"/>
  <c r="K33" i="164" s="1"/>
  <c r="C45" i="164"/>
  <c r="H47" i="164" s="1"/>
  <c r="H54" i="164" s="1"/>
  <c r="H69" i="164" s="1"/>
  <c r="J86" i="209" s="1"/>
  <c r="G48" i="183"/>
  <c r="F48" i="183"/>
  <c r="E48" i="183"/>
  <c r="D48" i="183"/>
  <c r="H46" i="183"/>
  <c r="S556" i="246" s="1"/>
  <c r="H33" i="183"/>
  <c r="H32" i="183"/>
  <c r="M556" i="246" s="1"/>
  <c r="H31" i="183"/>
  <c r="H45" i="183" s="1"/>
  <c r="M148" i="246" s="1"/>
  <c r="H30" i="183"/>
  <c r="H44" i="183" s="1"/>
  <c r="S97" i="246" s="1"/>
  <c r="H29" i="183"/>
  <c r="H28" i="183"/>
  <c r="H42" i="183" s="1"/>
  <c r="M250" i="246" s="1"/>
  <c r="H27" i="183"/>
  <c r="H41" i="183" s="1"/>
  <c r="M199" i="246" s="1"/>
  <c r="H26" i="183"/>
  <c r="H40" i="183" s="1"/>
  <c r="M97" i="246" s="1"/>
  <c r="P25" i="183"/>
  <c r="H25" i="183"/>
  <c r="S301" i="246" s="1"/>
  <c r="H24" i="183"/>
  <c r="H38" i="183" s="1"/>
  <c r="M46" i="246" s="1"/>
  <c r="H23" i="183"/>
  <c r="H37" i="183" s="1"/>
  <c r="S199" i="246" s="1"/>
  <c r="P20" i="183"/>
  <c r="G48" i="213"/>
  <c r="F48" i="213"/>
  <c r="E48" i="213"/>
  <c r="D48" i="213"/>
  <c r="H46" i="213"/>
  <c r="S613" i="209" s="1"/>
  <c r="H33" i="213"/>
  <c r="H32" i="213"/>
  <c r="M613" i="209" s="1"/>
  <c r="H31" i="213"/>
  <c r="H45" i="213" s="1"/>
  <c r="M141" i="209" s="1"/>
  <c r="H30" i="213"/>
  <c r="H44" i="213" s="1"/>
  <c r="S82" i="209" s="1"/>
  <c r="H29" i="213"/>
  <c r="H43" i="213" s="1"/>
  <c r="H28" i="213"/>
  <c r="H42" i="213" s="1"/>
  <c r="M259" i="209" s="1"/>
  <c r="H27" i="213"/>
  <c r="H41" i="213" s="1"/>
  <c r="M200" i="209" s="1"/>
  <c r="H26" i="213"/>
  <c r="H40" i="213" s="1"/>
  <c r="M82" i="209" s="1"/>
  <c r="P25" i="213"/>
  <c r="H25" i="213"/>
  <c r="H39" i="213" s="1"/>
  <c r="S23" i="209" s="1"/>
  <c r="H24" i="213"/>
  <c r="M318" i="209" s="1"/>
  <c r="H23" i="213"/>
  <c r="P20" i="213"/>
  <c r="G11" i="213"/>
  <c r="O26" i="213" s="1"/>
  <c r="G43" i="213" s="1"/>
  <c r="G47" i="213" s="1"/>
  <c r="R141" i="209" s="1"/>
  <c r="F11" i="213"/>
  <c r="E11" i="213"/>
  <c r="E44" i="213" s="1"/>
  <c r="P82" i="209" s="1"/>
  <c r="D11" i="213"/>
  <c r="I613" i="209" s="1"/>
  <c r="G48" i="39"/>
  <c r="F48" i="39"/>
  <c r="E48" i="39"/>
  <c r="D48" i="39"/>
  <c r="H46" i="39"/>
  <c r="S633" i="209" s="1"/>
  <c r="H33" i="39"/>
  <c r="H32" i="39"/>
  <c r="M633" i="209" s="1"/>
  <c r="H31" i="39"/>
  <c r="H45" i="39" s="1"/>
  <c r="M161" i="209" s="1"/>
  <c r="H30" i="39"/>
  <c r="H44" i="39" s="1"/>
  <c r="S102" i="209" s="1"/>
  <c r="H29" i="39"/>
  <c r="H28" i="39"/>
  <c r="H42" i="39" s="1"/>
  <c r="M279" i="209" s="1"/>
  <c r="H27" i="39"/>
  <c r="H41" i="39" s="1"/>
  <c r="M220" i="209" s="1"/>
  <c r="H26" i="39"/>
  <c r="H40" i="39" s="1"/>
  <c r="M102" i="209" s="1"/>
  <c r="P25" i="39"/>
  <c r="H25" i="39"/>
  <c r="H39" i="39" s="1"/>
  <c r="S43" i="209" s="1"/>
  <c r="H24" i="39"/>
  <c r="H38" i="39" s="1"/>
  <c r="M43" i="209" s="1"/>
  <c r="H23" i="39"/>
  <c r="H37" i="39" s="1"/>
  <c r="S220" i="209" s="1"/>
  <c r="P20" i="39"/>
  <c r="G48" i="176"/>
  <c r="F48" i="176"/>
  <c r="E48" i="176"/>
  <c r="D48" i="176"/>
  <c r="H46" i="176"/>
  <c r="S535" i="246" s="1"/>
  <c r="H33" i="176"/>
  <c r="H32" i="176"/>
  <c r="M535" i="246" s="1"/>
  <c r="H31" i="176"/>
  <c r="H45" i="176" s="1"/>
  <c r="M127" i="246" s="1"/>
  <c r="H30" i="176"/>
  <c r="H44" i="176" s="1"/>
  <c r="S76" i="246" s="1"/>
  <c r="H29" i="176"/>
  <c r="H47" i="176" s="1"/>
  <c r="S127" i="246" s="1"/>
  <c r="H28" i="176"/>
  <c r="H42" i="176" s="1"/>
  <c r="M229" i="246" s="1"/>
  <c r="H27" i="176"/>
  <c r="H41" i="176" s="1"/>
  <c r="M178" i="246" s="1"/>
  <c r="H26" i="176"/>
  <c r="H40" i="176" s="1"/>
  <c r="M76" i="246" s="1"/>
  <c r="P25" i="176"/>
  <c r="H25" i="176"/>
  <c r="H39" i="176" s="1"/>
  <c r="S25" i="246" s="1"/>
  <c r="H24" i="176"/>
  <c r="H38" i="176" s="1"/>
  <c r="M25" i="246" s="1"/>
  <c r="H23" i="176"/>
  <c r="H37" i="176" s="1"/>
  <c r="S178" i="246" s="1"/>
  <c r="P20" i="176"/>
  <c r="E15" i="176"/>
  <c r="E15" i="104" s="1"/>
  <c r="E15" i="84" s="1"/>
  <c r="E14" i="176"/>
  <c r="E14" i="104" s="1"/>
  <c r="E14" i="84" s="1"/>
  <c r="C9" i="176"/>
  <c r="G48" i="190"/>
  <c r="F48" i="190"/>
  <c r="E48" i="190"/>
  <c r="D48" i="190"/>
  <c r="H46" i="190"/>
  <c r="S519" i="246" s="1"/>
  <c r="H33" i="190"/>
  <c r="H32" i="190"/>
  <c r="M519" i="246" s="1"/>
  <c r="H31" i="190"/>
  <c r="H45" i="190" s="1"/>
  <c r="M111" i="246" s="1"/>
  <c r="H30" i="190"/>
  <c r="H44" i="190" s="1"/>
  <c r="S60" i="246" s="1"/>
  <c r="H29" i="190"/>
  <c r="H43" i="190" s="1"/>
  <c r="H28" i="190"/>
  <c r="H42" i="190" s="1"/>
  <c r="M213" i="246" s="1"/>
  <c r="H27" i="190"/>
  <c r="H41" i="190" s="1"/>
  <c r="M162" i="246" s="1"/>
  <c r="H26" i="190"/>
  <c r="H40" i="190" s="1"/>
  <c r="M60" i="246" s="1"/>
  <c r="P25" i="190"/>
  <c r="H25" i="190"/>
  <c r="H39" i="190" s="1"/>
  <c r="S9" i="246" s="1"/>
  <c r="H24" i="190"/>
  <c r="H38" i="190" s="1"/>
  <c r="M9" i="246" s="1"/>
  <c r="H23" i="190"/>
  <c r="S213" i="246" s="1"/>
  <c r="P20" i="190"/>
  <c r="E15" i="190"/>
  <c r="F15" i="190" s="1"/>
  <c r="G15" i="190" s="1"/>
  <c r="E14" i="190"/>
  <c r="F14" i="190" s="1"/>
  <c r="G14" i="190" s="1"/>
  <c r="C9" i="190"/>
  <c r="F11" i="190" s="1"/>
  <c r="Q519" i="246" s="1"/>
  <c r="G48" i="101"/>
  <c r="F48" i="101"/>
  <c r="E48" i="101"/>
  <c r="D48" i="101"/>
  <c r="H46" i="101"/>
  <c r="S534" i="246" s="1"/>
  <c r="H33" i="101"/>
  <c r="H32" i="101"/>
  <c r="M534" i="246" s="1"/>
  <c r="H31" i="101"/>
  <c r="H45" i="101" s="1"/>
  <c r="M126" i="246" s="1"/>
  <c r="H30" i="101"/>
  <c r="H44" i="101" s="1"/>
  <c r="S75" i="246" s="1"/>
  <c r="H29" i="101"/>
  <c r="H28" i="101"/>
  <c r="H42" i="101" s="1"/>
  <c r="M228" i="246" s="1"/>
  <c r="H27" i="101"/>
  <c r="H41" i="101" s="1"/>
  <c r="M177" i="246" s="1"/>
  <c r="H26" i="101"/>
  <c r="H40" i="101" s="1"/>
  <c r="M75" i="246" s="1"/>
  <c r="P25" i="101"/>
  <c r="H25" i="101"/>
  <c r="H39" i="101" s="1"/>
  <c r="S24" i="246" s="1"/>
  <c r="H24" i="101"/>
  <c r="H38" i="101" s="1"/>
  <c r="M24" i="246" s="1"/>
  <c r="H23" i="101"/>
  <c r="S228" i="246" s="1"/>
  <c r="P20" i="101"/>
  <c r="G48" i="337"/>
  <c r="F48" i="337"/>
  <c r="E48" i="337"/>
  <c r="D48" i="337"/>
  <c r="H46" i="337"/>
  <c r="S632" i="209" s="1"/>
  <c r="H33" i="337"/>
  <c r="H32" i="337"/>
  <c r="M632" i="209" s="1"/>
  <c r="H31" i="337"/>
  <c r="H45" i="337" s="1"/>
  <c r="M160" i="209" s="1"/>
  <c r="H30" i="337"/>
  <c r="H44" i="337" s="1"/>
  <c r="S101" i="209" s="1"/>
  <c r="H29" i="337"/>
  <c r="H47" i="337" s="1"/>
  <c r="S160" i="209" s="1"/>
  <c r="H28" i="337"/>
  <c r="H42" i="337" s="1"/>
  <c r="M278" i="209" s="1"/>
  <c r="H27" i="337"/>
  <c r="H41" i="337" s="1"/>
  <c r="M219" i="209" s="1"/>
  <c r="H26" i="337"/>
  <c r="H40" i="337" s="1"/>
  <c r="M101" i="209" s="1"/>
  <c r="P25" i="337"/>
  <c r="H25" i="337"/>
  <c r="H39" i="337" s="1"/>
  <c r="S42" i="209" s="1"/>
  <c r="H24" i="337"/>
  <c r="H23" i="337"/>
  <c r="G48" i="284"/>
  <c r="F48" i="284"/>
  <c r="E48" i="284"/>
  <c r="D48" i="284"/>
  <c r="H46" i="284"/>
  <c r="S520" i="246" s="1"/>
  <c r="H33" i="284"/>
  <c r="H32" i="284"/>
  <c r="M520" i="246" s="1"/>
  <c r="H31" i="284"/>
  <c r="H45" i="284" s="1"/>
  <c r="M112" i="246" s="1"/>
  <c r="H30" i="284"/>
  <c r="H44" i="284" s="1"/>
  <c r="S61" i="246" s="1"/>
  <c r="H29" i="284"/>
  <c r="H47" i="284" s="1"/>
  <c r="S112" i="246" s="1"/>
  <c r="H28" i="284"/>
  <c r="H42" i="284" s="1"/>
  <c r="M214" i="246" s="1"/>
  <c r="H27" i="284"/>
  <c r="H41" i="284" s="1"/>
  <c r="M163" i="246" s="1"/>
  <c r="H26" i="284"/>
  <c r="H40" i="284" s="1"/>
  <c r="M61" i="246" s="1"/>
  <c r="P25" i="284"/>
  <c r="H25" i="284"/>
  <c r="H39" i="284" s="1"/>
  <c r="S10" i="246" s="1"/>
  <c r="H24" i="284"/>
  <c r="H38" i="284" s="1"/>
  <c r="M10" i="246" s="1"/>
  <c r="H23" i="284"/>
  <c r="H37" i="284" s="1"/>
  <c r="S163" i="246" s="1"/>
  <c r="P20" i="284"/>
  <c r="C9" i="284"/>
  <c r="E11" i="284" s="1"/>
  <c r="E44" i="284" s="1"/>
  <c r="P61" i="246" s="1"/>
  <c r="G48" i="6"/>
  <c r="F48" i="6"/>
  <c r="E48" i="6"/>
  <c r="D48" i="6"/>
  <c r="H46" i="6"/>
  <c r="S608" i="209" s="1"/>
  <c r="H33" i="6"/>
  <c r="H32" i="6"/>
  <c r="M608" i="209" s="1"/>
  <c r="H31" i="6"/>
  <c r="H45" i="6" s="1"/>
  <c r="M136" i="209" s="1"/>
  <c r="H30" i="6"/>
  <c r="H44" i="6" s="1"/>
  <c r="S77" i="209" s="1"/>
  <c r="H29" i="6"/>
  <c r="H28" i="6"/>
  <c r="H42" i="6" s="1"/>
  <c r="M254" i="209" s="1"/>
  <c r="H27" i="6"/>
  <c r="H41" i="6" s="1"/>
  <c r="M195" i="209" s="1"/>
  <c r="H26" i="6"/>
  <c r="H40" i="6" s="1"/>
  <c r="M77" i="209" s="1"/>
  <c r="P25" i="6"/>
  <c r="H25" i="6"/>
  <c r="H24" i="6"/>
  <c r="H38" i="6" s="1"/>
  <c r="M18" i="209" s="1"/>
  <c r="H23" i="6"/>
  <c r="S254" i="209" s="1"/>
  <c r="P20" i="6"/>
  <c r="G48" i="270"/>
  <c r="F48" i="270"/>
  <c r="E48" i="270"/>
  <c r="D48" i="270"/>
  <c r="H46" i="270"/>
  <c r="S555" i="246" s="1"/>
  <c r="H33" i="270"/>
  <c r="H32" i="270"/>
  <c r="M555" i="246" s="1"/>
  <c r="H31" i="270"/>
  <c r="H45" i="270" s="1"/>
  <c r="M147" i="246" s="1"/>
  <c r="H30" i="270"/>
  <c r="H44" i="270" s="1"/>
  <c r="S96" i="246" s="1"/>
  <c r="H29" i="270"/>
  <c r="H28" i="270"/>
  <c r="H42" i="270" s="1"/>
  <c r="M249" i="246" s="1"/>
  <c r="H27" i="270"/>
  <c r="H41" i="270" s="1"/>
  <c r="M198" i="246" s="1"/>
  <c r="H26" i="270"/>
  <c r="H40" i="270" s="1"/>
  <c r="M96" i="246" s="1"/>
  <c r="P25" i="270"/>
  <c r="H25" i="270"/>
  <c r="H39" i="270" s="1"/>
  <c r="S45" i="246" s="1"/>
  <c r="H24" i="270"/>
  <c r="H38" i="270" s="1"/>
  <c r="M45" i="246" s="1"/>
  <c r="H23" i="270"/>
  <c r="H37" i="270" s="1"/>
  <c r="S198" i="246" s="1"/>
  <c r="G48" i="295"/>
  <c r="F48" i="295"/>
  <c r="E48" i="295"/>
  <c r="D48" i="295"/>
  <c r="H46" i="295"/>
  <c r="H33" i="295"/>
  <c r="H32" i="295"/>
  <c r="H31" i="295"/>
  <c r="H45" i="295" s="1"/>
  <c r="H30" i="295"/>
  <c r="H44" i="295" s="1"/>
  <c r="H29" i="295"/>
  <c r="H47" i="295" s="1"/>
  <c r="H28" i="295"/>
  <c r="H42" i="295" s="1"/>
  <c r="H27" i="295"/>
  <c r="H41" i="295" s="1"/>
  <c r="H26" i="295"/>
  <c r="H40" i="295" s="1"/>
  <c r="P25" i="295"/>
  <c r="H25" i="295"/>
  <c r="H39" i="295" s="1"/>
  <c r="H24" i="295"/>
  <c r="H38" i="295" s="1"/>
  <c r="H23" i="295"/>
  <c r="H37" i="295" s="1"/>
  <c r="C9" i="295"/>
  <c r="G11" i="295" s="1"/>
  <c r="G46" i="295" s="1"/>
  <c r="G48" i="7"/>
  <c r="F48" i="7"/>
  <c r="E48" i="7"/>
  <c r="D48" i="7"/>
  <c r="H46" i="7"/>
  <c r="S607" i="209" s="1"/>
  <c r="H33" i="7"/>
  <c r="H32" i="7"/>
  <c r="M607" i="209" s="1"/>
  <c r="H31" i="7"/>
  <c r="H45" i="7" s="1"/>
  <c r="M135" i="209" s="1"/>
  <c r="H30" i="7"/>
  <c r="H44" i="7" s="1"/>
  <c r="S76" i="209" s="1"/>
  <c r="H29" i="7"/>
  <c r="H47" i="7" s="1"/>
  <c r="S135" i="209" s="1"/>
  <c r="H28" i="7"/>
  <c r="H42" i="7" s="1"/>
  <c r="M253" i="209" s="1"/>
  <c r="H27" i="7"/>
  <c r="H41" i="7" s="1"/>
  <c r="M194" i="209" s="1"/>
  <c r="H26" i="7"/>
  <c r="H40" i="7" s="1"/>
  <c r="M76" i="209" s="1"/>
  <c r="P25" i="7"/>
  <c r="H25" i="7"/>
  <c r="H24" i="7"/>
  <c r="H23" i="7"/>
  <c r="P20" i="7"/>
  <c r="G48" i="105"/>
  <c r="F48" i="105"/>
  <c r="E48" i="105"/>
  <c r="D48" i="105"/>
  <c r="H33" i="105"/>
  <c r="H32" i="105"/>
  <c r="H46" i="105" s="1"/>
  <c r="S612" i="209" s="1"/>
  <c r="H31" i="105"/>
  <c r="H45" i="105" s="1"/>
  <c r="M140" i="209" s="1"/>
  <c r="H30" i="105"/>
  <c r="H44" i="105" s="1"/>
  <c r="S81" i="209" s="1"/>
  <c r="H29" i="105"/>
  <c r="H47" i="105" s="1"/>
  <c r="S140" i="209" s="1"/>
  <c r="H28" i="105"/>
  <c r="H42" i="105" s="1"/>
  <c r="M258" i="209" s="1"/>
  <c r="H27" i="105"/>
  <c r="H41" i="105" s="1"/>
  <c r="M199" i="209" s="1"/>
  <c r="H26" i="105"/>
  <c r="H40" i="105" s="1"/>
  <c r="M81" i="209" s="1"/>
  <c r="P25" i="105"/>
  <c r="H25" i="105"/>
  <c r="H39" i="105" s="1"/>
  <c r="S22" i="209" s="1"/>
  <c r="H24" i="105"/>
  <c r="H38" i="105" s="1"/>
  <c r="M22" i="209" s="1"/>
  <c r="H23" i="105"/>
  <c r="S258" i="209" s="1"/>
  <c r="C9" i="105"/>
  <c r="G48" i="191"/>
  <c r="F48" i="191"/>
  <c r="E48" i="191"/>
  <c r="D48" i="191"/>
  <c r="H46" i="191"/>
  <c r="S540" i="246" s="1"/>
  <c r="H33" i="191"/>
  <c r="H32" i="191"/>
  <c r="M540" i="246" s="1"/>
  <c r="H31" i="191"/>
  <c r="H45" i="191" s="1"/>
  <c r="M132" i="246" s="1"/>
  <c r="H30" i="191"/>
  <c r="H44" i="191" s="1"/>
  <c r="S81" i="246" s="1"/>
  <c r="H29" i="191"/>
  <c r="H47" i="191" s="1"/>
  <c r="S132" i="246" s="1"/>
  <c r="H28" i="191"/>
  <c r="H42" i="191" s="1"/>
  <c r="M234" i="246" s="1"/>
  <c r="H27" i="191"/>
  <c r="H41" i="191" s="1"/>
  <c r="M183" i="246" s="1"/>
  <c r="H26" i="191"/>
  <c r="H40" i="191" s="1"/>
  <c r="M81" i="246" s="1"/>
  <c r="P25" i="191"/>
  <c r="H25" i="191"/>
  <c r="H39" i="191" s="1"/>
  <c r="S30" i="246" s="1"/>
  <c r="H24" i="191"/>
  <c r="H38" i="191" s="1"/>
  <c r="M30" i="246" s="1"/>
  <c r="H23" i="191"/>
  <c r="H37" i="191" s="1"/>
  <c r="S183" i="246" s="1"/>
  <c r="P20" i="191"/>
  <c r="E15" i="191"/>
  <c r="F15" i="191" s="1"/>
  <c r="G15" i="191" s="1"/>
  <c r="E14" i="191"/>
  <c r="F14" i="191" s="1"/>
  <c r="G11" i="191"/>
  <c r="G44" i="191" s="1"/>
  <c r="R81" i="246" s="1"/>
  <c r="F11" i="191"/>
  <c r="F46" i="191" s="1"/>
  <c r="E11" i="191"/>
  <c r="E44" i="191" s="1"/>
  <c r="P81" i="246" s="1"/>
  <c r="D11" i="191"/>
  <c r="D44" i="191" s="1"/>
  <c r="O81" i="246" s="1"/>
  <c r="G48" i="10"/>
  <c r="F48" i="10"/>
  <c r="E48" i="10"/>
  <c r="D48" i="10"/>
  <c r="H33" i="10"/>
  <c r="H32" i="10"/>
  <c r="H31" i="10"/>
  <c r="H45" i="10" s="1"/>
  <c r="M133" i="209" s="1"/>
  <c r="H30" i="10"/>
  <c r="H44" i="10" s="1"/>
  <c r="S74" i="209" s="1"/>
  <c r="H29" i="10"/>
  <c r="H28" i="10"/>
  <c r="H42" i="10" s="1"/>
  <c r="M251" i="209" s="1"/>
  <c r="H27" i="10"/>
  <c r="H41" i="10" s="1"/>
  <c r="M192" i="209" s="1"/>
  <c r="H26" i="10"/>
  <c r="H40" i="10" s="1"/>
  <c r="M74" i="209" s="1"/>
  <c r="P25" i="10"/>
  <c r="H25" i="10"/>
  <c r="H39" i="10" s="1"/>
  <c r="S15" i="209" s="1"/>
  <c r="H24" i="10"/>
  <c r="H38" i="10" s="1"/>
  <c r="M15" i="209" s="1"/>
  <c r="H23" i="10"/>
  <c r="P20" i="10"/>
  <c r="G48" i="9"/>
  <c r="F48" i="9"/>
  <c r="E48" i="9"/>
  <c r="D48" i="9"/>
  <c r="H46" i="9"/>
  <c r="S606" i="209" s="1"/>
  <c r="H33" i="9"/>
  <c r="H32" i="9"/>
  <c r="M606" i="209" s="1"/>
  <c r="H31" i="9"/>
  <c r="H45" i="9" s="1"/>
  <c r="M134" i="209" s="1"/>
  <c r="H30" i="9"/>
  <c r="H44" i="9" s="1"/>
  <c r="S75" i="209" s="1"/>
  <c r="H29" i="9"/>
  <c r="H47" i="9" s="1"/>
  <c r="S134" i="209" s="1"/>
  <c r="H28" i="9"/>
  <c r="H42" i="9" s="1"/>
  <c r="M252" i="209" s="1"/>
  <c r="H27" i="9"/>
  <c r="H41" i="9" s="1"/>
  <c r="M193" i="209" s="1"/>
  <c r="H26" i="9"/>
  <c r="H40" i="9" s="1"/>
  <c r="M75" i="209" s="1"/>
  <c r="P25" i="9"/>
  <c r="H25" i="9"/>
  <c r="H24" i="9"/>
  <c r="H23" i="9"/>
  <c r="H37" i="9" s="1"/>
  <c r="S193" i="209" s="1"/>
  <c r="P20" i="9"/>
  <c r="G48" i="79"/>
  <c r="F48" i="79"/>
  <c r="E48" i="79"/>
  <c r="D48" i="79"/>
  <c r="H46" i="79"/>
  <c r="S631" i="209" s="1"/>
  <c r="H33" i="79"/>
  <c r="H32" i="79"/>
  <c r="M631" i="209" s="1"/>
  <c r="H31" i="79"/>
  <c r="H45" i="79" s="1"/>
  <c r="M159" i="209" s="1"/>
  <c r="H30" i="79"/>
  <c r="H44" i="79" s="1"/>
  <c r="S100" i="209" s="1"/>
  <c r="H29" i="79"/>
  <c r="H47" i="79" s="1"/>
  <c r="S159" i="209" s="1"/>
  <c r="H28" i="79"/>
  <c r="H42" i="79" s="1"/>
  <c r="M277" i="209" s="1"/>
  <c r="H27" i="79"/>
  <c r="H41" i="79" s="1"/>
  <c r="M218" i="209" s="1"/>
  <c r="H26" i="79"/>
  <c r="H40" i="79" s="1"/>
  <c r="M100" i="209" s="1"/>
  <c r="P25" i="79"/>
  <c r="H25" i="79"/>
  <c r="S336" i="209" s="1"/>
  <c r="M41" i="209"/>
  <c r="H23" i="79"/>
  <c r="G48" i="296"/>
  <c r="F48" i="296"/>
  <c r="E48" i="296"/>
  <c r="D48" i="296"/>
  <c r="H46" i="296"/>
  <c r="H33" i="296"/>
  <c r="H32" i="296"/>
  <c r="H31" i="296"/>
  <c r="H45" i="296" s="1"/>
  <c r="H30" i="296"/>
  <c r="H44" i="296" s="1"/>
  <c r="H29" i="296"/>
  <c r="H43" i="296" s="1"/>
  <c r="H28" i="296"/>
  <c r="H42" i="296" s="1"/>
  <c r="H27" i="296"/>
  <c r="H41" i="296" s="1"/>
  <c r="H26" i="296"/>
  <c r="H40" i="296" s="1"/>
  <c r="P25" i="296"/>
  <c r="H25" i="296"/>
  <c r="H39" i="296" s="1"/>
  <c r="H24" i="296"/>
  <c r="H38" i="296" s="1"/>
  <c r="H23" i="296"/>
  <c r="H37" i="296" s="1"/>
  <c r="C9" i="296"/>
  <c r="G48" i="11"/>
  <c r="F48" i="11"/>
  <c r="E48" i="11"/>
  <c r="D48" i="11"/>
  <c r="H46" i="11"/>
  <c r="S604" i="209" s="1"/>
  <c r="H33" i="11"/>
  <c r="H32" i="11"/>
  <c r="M604" i="209" s="1"/>
  <c r="H31" i="11"/>
  <c r="H45" i="11" s="1"/>
  <c r="M132" i="209" s="1"/>
  <c r="H30" i="11"/>
  <c r="H44" i="11" s="1"/>
  <c r="S73" i="209" s="1"/>
  <c r="H29" i="11"/>
  <c r="H28" i="11"/>
  <c r="H42" i="11" s="1"/>
  <c r="M250" i="209" s="1"/>
  <c r="H27" i="11"/>
  <c r="H41" i="11" s="1"/>
  <c r="M191" i="209" s="1"/>
  <c r="H26" i="11"/>
  <c r="H40" i="11" s="1"/>
  <c r="M73" i="209" s="1"/>
  <c r="P25" i="11"/>
  <c r="H25" i="11"/>
  <c r="S309" i="209" s="1"/>
  <c r="H24" i="11"/>
  <c r="H23" i="11"/>
  <c r="S250" i="209" s="1"/>
  <c r="P20" i="11"/>
  <c r="D14" i="11"/>
  <c r="E14" i="11" s="1"/>
  <c r="F14" i="11" s="1"/>
  <c r="G14" i="11" s="1"/>
  <c r="G48" i="146"/>
  <c r="F48" i="146"/>
  <c r="E48" i="146"/>
  <c r="D48" i="146"/>
  <c r="H46" i="146"/>
  <c r="S554" i="246" s="1"/>
  <c r="H33" i="146"/>
  <c r="H32" i="146"/>
  <c r="M554" i="246" s="1"/>
  <c r="H31" i="146"/>
  <c r="H45" i="146" s="1"/>
  <c r="M146" i="246" s="1"/>
  <c r="H30" i="146"/>
  <c r="H44" i="146" s="1"/>
  <c r="S95" i="246" s="1"/>
  <c r="H29" i="146"/>
  <c r="H43" i="146" s="1"/>
  <c r="H28" i="146"/>
  <c r="H42" i="146" s="1"/>
  <c r="M248" i="246" s="1"/>
  <c r="H27" i="146"/>
  <c r="H41" i="146" s="1"/>
  <c r="M197" i="246" s="1"/>
  <c r="H26" i="146"/>
  <c r="H40" i="146" s="1"/>
  <c r="M95" i="246" s="1"/>
  <c r="P25" i="146"/>
  <c r="H25" i="146"/>
  <c r="H24" i="146"/>
  <c r="H23" i="146"/>
  <c r="H37" i="146" s="1"/>
  <c r="S197" i="246" s="1"/>
  <c r="P20" i="146"/>
  <c r="G48" i="333"/>
  <c r="F48" i="333"/>
  <c r="E48" i="333"/>
  <c r="D48" i="333"/>
  <c r="H46" i="333"/>
  <c r="H33" i="333"/>
  <c r="H32" i="333"/>
  <c r="H31" i="333"/>
  <c r="H45" i="333" s="1"/>
  <c r="H30" i="333"/>
  <c r="H44" i="333" s="1"/>
  <c r="H29" i="333"/>
  <c r="H43" i="333" s="1"/>
  <c r="H28" i="333"/>
  <c r="H42" i="333" s="1"/>
  <c r="H27" i="333"/>
  <c r="H41" i="333" s="1"/>
  <c r="H26" i="333"/>
  <c r="H40" i="333" s="1"/>
  <c r="P25" i="333"/>
  <c r="H25" i="333"/>
  <c r="H39" i="333" s="1"/>
  <c r="H24" i="333"/>
  <c r="H38" i="333" s="1"/>
  <c r="H23" i="333"/>
  <c r="H37" i="333" s="1"/>
  <c r="C9" i="333"/>
  <c r="F11" i="333" s="1"/>
  <c r="O144" i="294" s="1"/>
  <c r="G48" i="162"/>
  <c r="F48" i="162"/>
  <c r="E48" i="162"/>
  <c r="D48" i="162"/>
  <c r="H46" i="162"/>
  <c r="S617" i="209" s="1"/>
  <c r="H33" i="162"/>
  <c r="H32" i="162"/>
  <c r="M617" i="209" s="1"/>
  <c r="H31" i="162"/>
  <c r="H45" i="162" s="1"/>
  <c r="M145" i="209" s="1"/>
  <c r="H30" i="162"/>
  <c r="H44" i="162" s="1"/>
  <c r="S86" i="209" s="1"/>
  <c r="H29" i="162"/>
  <c r="H47" i="162" s="1"/>
  <c r="S145" i="209" s="1"/>
  <c r="H28" i="162"/>
  <c r="H42" i="162" s="1"/>
  <c r="M263" i="209" s="1"/>
  <c r="H27" i="162"/>
  <c r="H41" i="162" s="1"/>
  <c r="M204" i="209" s="1"/>
  <c r="H26" i="162"/>
  <c r="H40" i="162" s="1"/>
  <c r="M86" i="209" s="1"/>
  <c r="P25" i="162"/>
  <c r="H25" i="162"/>
  <c r="S322" i="209" s="1"/>
  <c r="H24" i="162"/>
  <c r="H23" i="162"/>
  <c r="P20" i="162"/>
  <c r="E14" i="162"/>
  <c r="C9" i="162"/>
  <c r="F11" i="162" s="1"/>
  <c r="N26" i="162" s="1"/>
  <c r="G48" i="178"/>
  <c r="F48" i="178"/>
  <c r="E48" i="178"/>
  <c r="D48" i="178"/>
  <c r="H46" i="178"/>
  <c r="S639" i="209" s="1"/>
  <c r="H33" i="178"/>
  <c r="H32" i="178"/>
  <c r="M639" i="209" s="1"/>
  <c r="H31" i="178"/>
  <c r="H45" i="178" s="1"/>
  <c r="M167" i="209" s="1"/>
  <c r="H30" i="178"/>
  <c r="H44" i="178" s="1"/>
  <c r="S108" i="209" s="1"/>
  <c r="H29" i="178"/>
  <c r="H47" i="178" s="1"/>
  <c r="S167" i="209" s="1"/>
  <c r="H28" i="178"/>
  <c r="H42" i="178" s="1"/>
  <c r="M285" i="209" s="1"/>
  <c r="H27" i="178"/>
  <c r="H41" i="178" s="1"/>
  <c r="M226" i="209" s="1"/>
  <c r="H26" i="178"/>
  <c r="H40" i="178" s="1"/>
  <c r="M108" i="209" s="1"/>
  <c r="P25" i="178"/>
  <c r="H25" i="178"/>
  <c r="H39" i="178" s="1"/>
  <c r="S49" i="209" s="1"/>
  <c r="H24" i="178"/>
  <c r="H38" i="178" s="1"/>
  <c r="M49" i="209" s="1"/>
  <c r="H23" i="178"/>
  <c r="S285" i="209" s="1"/>
  <c r="P20" i="178"/>
  <c r="E15" i="178"/>
  <c r="E15" i="225" s="1"/>
  <c r="E14" i="178"/>
  <c r="E14" i="225" s="1"/>
  <c r="C9" i="178"/>
  <c r="D11" i="178" s="1"/>
  <c r="D18" i="178" s="1"/>
  <c r="G48" i="290"/>
  <c r="F48" i="290"/>
  <c r="E48" i="290"/>
  <c r="D48" i="290"/>
  <c r="H33" i="290"/>
  <c r="H32" i="290"/>
  <c r="H31" i="290"/>
  <c r="H45" i="290" s="1"/>
  <c r="H30" i="290"/>
  <c r="H44" i="290" s="1"/>
  <c r="H29" i="290"/>
  <c r="H47" i="290" s="1"/>
  <c r="H28" i="290"/>
  <c r="H42" i="290" s="1"/>
  <c r="H27" i="290"/>
  <c r="H41" i="290" s="1"/>
  <c r="H26" i="290"/>
  <c r="H40" i="290" s="1"/>
  <c r="P25" i="290"/>
  <c r="H25" i="290"/>
  <c r="H39" i="290" s="1"/>
  <c r="H24" i="290"/>
  <c r="H38" i="290" s="1"/>
  <c r="H23" i="290"/>
  <c r="H37" i="290" s="1"/>
  <c r="C9" i="290"/>
  <c r="D11" i="290" s="1"/>
  <c r="D18" i="290" s="1"/>
  <c r="R133" i="294" s="1"/>
  <c r="G48" i="271"/>
  <c r="F48" i="271"/>
  <c r="E48" i="271"/>
  <c r="D48" i="271"/>
  <c r="H46" i="271"/>
  <c r="S533" i="246" s="1"/>
  <c r="H33" i="271"/>
  <c r="H32" i="271"/>
  <c r="M533" i="246" s="1"/>
  <c r="H31" i="271"/>
  <c r="H45" i="271" s="1"/>
  <c r="M125" i="246" s="1"/>
  <c r="H30" i="271"/>
  <c r="H44" i="271" s="1"/>
  <c r="S74" i="246" s="1"/>
  <c r="H29" i="271"/>
  <c r="H28" i="271"/>
  <c r="H42" i="271" s="1"/>
  <c r="M227" i="246" s="1"/>
  <c r="H27" i="271"/>
  <c r="H41" i="271" s="1"/>
  <c r="M176" i="246" s="1"/>
  <c r="H26" i="271"/>
  <c r="H40" i="271" s="1"/>
  <c r="M74" i="246" s="1"/>
  <c r="P25" i="271"/>
  <c r="H25" i="271"/>
  <c r="H24" i="271"/>
  <c r="M278" i="246" s="1"/>
  <c r="H23" i="271"/>
  <c r="H37" i="271" s="1"/>
  <c r="S176" i="246" s="1"/>
  <c r="P20" i="271"/>
  <c r="C9" i="271"/>
  <c r="G52" i="353"/>
  <c r="F52" i="353"/>
  <c r="E52" i="353"/>
  <c r="D52" i="353"/>
  <c r="G48" i="353"/>
  <c r="F48" i="353"/>
  <c r="E48" i="353"/>
  <c r="D48" i="353"/>
  <c r="H46" i="353"/>
  <c r="S638" i="209" s="1"/>
  <c r="H33" i="353"/>
  <c r="H32" i="353"/>
  <c r="M638" i="209" s="1"/>
  <c r="H31" i="353"/>
  <c r="H45" i="353" s="1"/>
  <c r="M166" i="209" s="1"/>
  <c r="H30" i="353"/>
  <c r="H44" i="353" s="1"/>
  <c r="S107" i="209" s="1"/>
  <c r="H29" i="353"/>
  <c r="H47" i="353" s="1"/>
  <c r="S166" i="209" s="1"/>
  <c r="H28" i="353"/>
  <c r="H42" i="353" s="1"/>
  <c r="M284" i="209" s="1"/>
  <c r="H27" i="353"/>
  <c r="H41" i="353" s="1"/>
  <c r="M225" i="209" s="1"/>
  <c r="H26" i="353"/>
  <c r="H40" i="353" s="1"/>
  <c r="M107" i="209" s="1"/>
  <c r="P25" i="353"/>
  <c r="H25" i="353"/>
  <c r="H39" i="353" s="1"/>
  <c r="S48" i="209" s="1"/>
  <c r="H24" i="353"/>
  <c r="H38" i="353" s="1"/>
  <c r="M48" i="209" s="1"/>
  <c r="H23" i="353"/>
  <c r="P20" i="353"/>
  <c r="C9" i="353"/>
  <c r="G11" i="353" s="1"/>
  <c r="G44" i="353" s="1"/>
  <c r="R107" i="209" s="1"/>
  <c r="G48" i="139"/>
  <c r="F48" i="139"/>
  <c r="E48" i="139"/>
  <c r="D48" i="139"/>
  <c r="H46" i="139"/>
  <c r="S526" i="246" s="1"/>
  <c r="H33" i="139"/>
  <c r="H32" i="139"/>
  <c r="M526" i="246" s="1"/>
  <c r="H31" i="139"/>
  <c r="H45" i="139" s="1"/>
  <c r="M118" i="246" s="1"/>
  <c r="H30" i="139"/>
  <c r="H44" i="139" s="1"/>
  <c r="S67" i="246" s="1"/>
  <c r="H29" i="139"/>
  <c r="H47" i="139" s="1"/>
  <c r="S118" i="246" s="1"/>
  <c r="H28" i="139"/>
  <c r="H42" i="139" s="1"/>
  <c r="M220" i="246" s="1"/>
  <c r="H27" i="139"/>
  <c r="H41" i="139" s="1"/>
  <c r="M169" i="246" s="1"/>
  <c r="H26" i="139"/>
  <c r="H40" i="139" s="1"/>
  <c r="M67" i="246" s="1"/>
  <c r="P25" i="139"/>
  <c r="H25" i="139"/>
  <c r="H39" i="139" s="1"/>
  <c r="S16" i="246" s="1"/>
  <c r="H24" i="139"/>
  <c r="H38" i="139" s="1"/>
  <c r="M16" i="246" s="1"/>
  <c r="H23" i="139"/>
  <c r="H37" i="139" s="1"/>
  <c r="S169" i="246" s="1"/>
  <c r="P20" i="139"/>
  <c r="C9" i="139"/>
  <c r="G11" i="139" s="1"/>
  <c r="G44" i="139" s="1"/>
  <c r="R67" i="246" s="1"/>
  <c r="G48" i="125"/>
  <c r="F48" i="125"/>
  <c r="E48" i="125"/>
  <c r="D48" i="125"/>
  <c r="H46" i="125"/>
  <c r="S603" i="209" s="1"/>
  <c r="H33" i="125"/>
  <c r="H32" i="125"/>
  <c r="M603" i="209" s="1"/>
  <c r="H31" i="125"/>
  <c r="H45" i="125" s="1"/>
  <c r="M131" i="209" s="1"/>
  <c r="H30" i="125"/>
  <c r="H44" i="125" s="1"/>
  <c r="S72" i="209" s="1"/>
  <c r="H29" i="125"/>
  <c r="H28" i="125"/>
  <c r="H42" i="125" s="1"/>
  <c r="M249" i="209" s="1"/>
  <c r="H27" i="125"/>
  <c r="H41" i="125" s="1"/>
  <c r="M190" i="209" s="1"/>
  <c r="H26" i="125"/>
  <c r="H40" i="125" s="1"/>
  <c r="M72" i="209" s="1"/>
  <c r="P25" i="125"/>
  <c r="H25" i="125"/>
  <c r="H39" i="125" s="1"/>
  <c r="S13" i="209" s="1"/>
  <c r="H24" i="125"/>
  <c r="M308" i="209" s="1"/>
  <c r="H23" i="125"/>
  <c r="P20" i="125"/>
  <c r="G48" i="13"/>
  <c r="F48" i="13"/>
  <c r="E48" i="13"/>
  <c r="D48" i="13"/>
  <c r="H46" i="13"/>
  <c r="S602" i="209" s="1"/>
  <c r="H33" i="13"/>
  <c r="H32" i="13"/>
  <c r="M602" i="209" s="1"/>
  <c r="H31" i="13"/>
  <c r="H45" i="13" s="1"/>
  <c r="M130" i="209" s="1"/>
  <c r="H30" i="13"/>
  <c r="H44" i="13" s="1"/>
  <c r="S71" i="209" s="1"/>
  <c r="H29" i="13"/>
  <c r="H28" i="13"/>
  <c r="H42" i="13" s="1"/>
  <c r="M248" i="209" s="1"/>
  <c r="H27" i="13"/>
  <c r="H41" i="13" s="1"/>
  <c r="M189" i="209" s="1"/>
  <c r="H26" i="13"/>
  <c r="H40" i="13" s="1"/>
  <c r="M71" i="209" s="1"/>
  <c r="P25" i="13"/>
  <c r="H25" i="13"/>
  <c r="H24" i="13"/>
  <c r="M307" i="209" s="1"/>
  <c r="H23" i="13"/>
  <c r="H37" i="13" s="1"/>
  <c r="S189" i="209" s="1"/>
  <c r="P20" i="13"/>
  <c r="E14" i="13"/>
  <c r="F14" i="13" s="1"/>
  <c r="G14" i="13" s="1"/>
  <c r="G48" i="215"/>
  <c r="F48" i="215"/>
  <c r="E48" i="215"/>
  <c r="D48" i="215"/>
  <c r="H46" i="215"/>
  <c r="S616" i="209" s="1"/>
  <c r="H33" i="215"/>
  <c r="H32" i="215"/>
  <c r="M616" i="209" s="1"/>
  <c r="H31" i="215"/>
  <c r="H45" i="215" s="1"/>
  <c r="M144" i="209" s="1"/>
  <c r="H30" i="215"/>
  <c r="H44" i="215" s="1"/>
  <c r="S85" i="209" s="1"/>
  <c r="H29" i="215"/>
  <c r="H47" i="215" s="1"/>
  <c r="S144" i="209" s="1"/>
  <c r="H28" i="215"/>
  <c r="H42" i="215" s="1"/>
  <c r="M262" i="209" s="1"/>
  <c r="H27" i="215"/>
  <c r="H41" i="215" s="1"/>
  <c r="M203" i="209" s="1"/>
  <c r="H26" i="215"/>
  <c r="H40" i="215" s="1"/>
  <c r="M85" i="209" s="1"/>
  <c r="P25" i="215"/>
  <c r="H25" i="215"/>
  <c r="S321" i="209" s="1"/>
  <c r="H24" i="215"/>
  <c r="M321" i="209" s="1"/>
  <c r="H23" i="215"/>
  <c r="S262" i="209" s="1"/>
  <c r="P20" i="215"/>
  <c r="C9" i="215"/>
  <c r="F11" i="215" s="1"/>
  <c r="K616" i="209" s="1"/>
  <c r="G48" i="196"/>
  <c r="F48" i="196"/>
  <c r="E48" i="196"/>
  <c r="D48" i="196"/>
  <c r="H46" i="196"/>
  <c r="S627" i="209" s="1"/>
  <c r="H33" i="196"/>
  <c r="H32" i="196"/>
  <c r="M627" i="209" s="1"/>
  <c r="H31" i="196"/>
  <c r="H45" i="196" s="1"/>
  <c r="M155" i="209" s="1"/>
  <c r="H30" i="196"/>
  <c r="H44" i="196" s="1"/>
  <c r="S96" i="209" s="1"/>
  <c r="H29" i="196"/>
  <c r="H28" i="196"/>
  <c r="H42" i="196" s="1"/>
  <c r="M273" i="209" s="1"/>
  <c r="H27" i="196"/>
  <c r="H41" i="196" s="1"/>
  <c r="M214" i="209" s="1"/>
  <c r="H26" i="196"/>
  <c r="H40" i="196" s="1"/>
  <c r="M96" i="209" s="1"/>
  <c r="P25" i="196"/>
  <c r="H25" i="196"/>
  <c r="H24" i="196"/>
  <c r="H23" i="196"/>
  <c r="H37" i="196" s="1"/>
  <c r="S214" i="209" s="1"/>
  <c r="E15" i="196"/>
  <c r="F15" i="196" s="1"/>
  <c r="G15" i="196" s="1"/>
  <c r="E14" i="196"/>
  <c r="F14" i="196" s="1"/>
  <c r="G14" i="196" s="1"/>
  <c r="G48" i="154"/>
  <c r="F48" i="154"/>
  <c r="E48" i="154"/>
  <c r="D48" i="154"/>
  <c r="H33" i="154"/>
  <c r="H32" i="154"/>
  <c r="H31" i="154"/>
  <c r="H45" i="154" s="1"/>
  <c r="M156" i="209" s="1"/>
  <c r="H30" i="154"/>
  <c r="H44" i="154" s="1"/>
  <c r="S97" i="209" s="1"/>
  <c r="H29" i="154"/>
  <c r="H47" i="154" s="1"/>
  <c r="S156" i="209" s="1"/>
  <c r="H28" i="154"/>
  <c r="H42" i="154" s="1"/>
  <c r="M274" i="209" s="1"/>
  <c r="H27" i="154"/>
  <c r="H41" i="154" s="1"/>
  <c r="M215" i="209" s="1"/>
  <c r="H26" i="154"/>
  <c r="H40" i="154" s="1"/>
  <c r="M97" i="209" s="1"/>
  <c r="P25" i="154"/>
  <c r="H25" i="154"/>
  <c r="H39" i="154" s="1"/>
  <c r="S38" i="209" s="1"/>
  <c r="H24" i="154"/>
  <c r="H23" i="154"/>
  <c r="S274" i="209" s="1"/>
  <c r="P20" i="154"/>
  <c r="D14" i="154"/>
  <c r="G48" i="99"/>
  <c r="F48" i="99"/>
  <c r="E48" i="99"/>
  <c r="D48" i="99"/>
  <c r="H46" i="99"/>
  <c r="S532" i="246" s="1"/>
  <c r="H33" i="99"/>
  <c r="H32" i="99"/>
  <c r="M532" i="246" s="1"/>
  <c r="H31" i="99"/>
  <c r="H45" i="99" s="1"/>
  <c r="M124" i="246" s="1"/>
  <c r="H30" i="99"/>
  <c r="H44" i="99" s="1"/>
  <c r="S73" i="246" s="1"/>
  <c r="H29" i="99"/>
  <c r="H47" i="99" s="1"/>
  <c r="S124" i="246" s="1"/>
  <c r="H28" i="99"/>
  <c r="H42" i="99" s="1"/>
  <c r="M226" i="246" s="1"/>
  <c r="H27" i="99"/>
  <c r="H41" i="99" s="1"/>
  <c r="M175" i="246" s="1"/>
  <c r="H26" i="99"/>
  <c r="H40" i="99" s="1"/>
  <c r="M73" i="246" s="1"/>
  <c r="P25" i="99"/>
  <c r="H25" i="99"/>
  <c r="H39" i="99" s="1"/>
  <c r="S22" i="246" s="1"/>
  <c r="H24" i="99"/>
  <c r="H38" i="99" s="1"/>
  <c r="M22" i="246" s="1"/>
  <c r="H23" i="99"/>
  <c r="H37" i="99" s="1"/>
  <c r="S175" i="246" s="1"/>
  <c r="P20" i="99"/>
  <c r="G48" i="95"/>
  <c r="F48" i="95"/>
  <c r="E48" i="95"/>
  <c r="D48" i="95"/>
  <c r="H46" i="95"/>
  <c r="S539" i="246" s="1"/>
  <c r="H33" i="95"/>
  <c r="H32" i="95"/>
  <c r="M539" i="246" s="1"/>
  <c r="H31" i="95"/>
  <c r="H45" i="95" s="1"/>
  <c r="M131" i="246" s="1"/>
  <c r="H30" i="95"/>
  <c r="H44" i="95" s="1"/>
  <c r="S80" i="246" s="1"/>
  <c r="H29" i="95"/>
  <c r="H47" i="95" s="1"/>
  <c r="S131" i="246" s="1"/>
  <c r="H28" i="95"/>
  <c r="H42" i="95" s="1"/>
  <c r="M233" i="246" s="1"/>
  <c r="H27" i="95"/>
  <c r="H41" i="95" s="1"/>
  <c r="M182" i="246" s="1"/>
  <c r="H26" i="95"/>
  <c r="H40" i="95" s="1"/>
  <c r="M80" i="246" s="1"/>
  <c r="P25" i="95"/>
  <c r="H24" i="95"/>
  <c r="H38" i="95" s="1"/>
  <c r="M29" i="246" s="1"/>
  <c r="H23" i="95"/>
  <c r="P20" i="95"/>
  <c r="E15" i="95"/>
  <c r="F15" i="95" s="1"/>
  <c r="E14" i="95"/>
  <c r="F14" i="95" s="1"/>
  <c r="G14" i="95" s="1"/>
  <c r="C9" i="95"/>
  <c r="F11" i="95" s="1"/>
  <c r="K539" i="246" s="1"/>
  <c r="G48" i="307"/>
  <c r="F48" i="307"/>
  <c r="E48" i="307"/>
  <c r="D48" i="307"/>
  <c r="H46" i="307"/>
  <c r="S541" i="246" s="1"/>
  <c r="H33" i="307"/>
  <c r="H32" i="307"/>
  <c r="M541" i="246" s="1"/>
  <c r="H31" i="307"/>
  <c r="H45" i="307" s="1"/>
  <c r="M133" i="246" s="1"/>
  <c r="H30" i="307"/>
  <c r="H44" i="307" s="1"/>
  <c r="S82" i="246" s="1"/>
  <c r="H29" i="307"/>
  <c r="H47" i="307" s="1"/>
  <c r="S133" i="246" s="1"/>
  <c r="H28" i="307"/>
  <c r="H42" i="307" s="1"/>
  <c r="M235" i="246" s="1"/>
  <c r="H27" i="307"/>
  <c r="H41" i="307" s="1"/>
  <c r="M184" i="246" s="1"/>
  <c r="H26" i="307"/>
  <c r="H40" i="307" s="1"/>
  <c r="M82" i="246" s="1"/>
  <c r="P25" i="307"/>
  <c r="H25" i="307"/>
  <c r="H24" i="307"/>
  <c r="H38" i="307" s="1"/>
  <c r="M31" i="246" s="1"/>
  <c r="H23" i="307"/>
  <c r="H37" i="307" s="1"/>
  <c r="S184" i="246" s="1"/>
  <c r="P20" i="307"/>
  <c r="C9" i="307"/>
  <c r="G48" i="189"/>
  <c r="F48" i="189"/>
  <c r="E48" i="189"/>
  <c r="D48" i="189"/>
  <c r="H46" i="189"/>
  <c r="S553" i="246" s="1"/>
  <c r="H33" i="189"/>
  <c r="H32" i="189"/>
  <c r="M553" i="246" s="1"/>
  <c r="H31" i="189"/>
  <c r="H45" i="189" s="1"/>
  <c r="M145" i="246" s="1"/>
  <c r="H30" i="189"/>
  <c r="H44" i="189" s="1"/>
  <c r="S94" i="246" s="1"/>
  <c r="H29" i="189"/>
  <c r="H43" i="189" s="1"/>
  <c r="H28" i="189"/>
  <c r="H42" i="189" s="1"/>
  <c r="M247" i="246" s="1"/>
  <c r="H27" i="189"/>
  <c r="H41" i="189" s="1"/>
  <c r="M196" i="246" s="1"/>
  <c r="H26" i="189"/>
  <c r="H40" i="189" s="1"/>
  <c r="M94" i="246" s="1"/>
  <c r="P25" i="189"/>
  <c r="H25" i="189"/>
  <c r="H39" i="189" s="1"/>
  <c r="S43" i="246" s="1"/>
  <c r="H24" i="189"/>
  <c r="H38" i="189" s="1"/>
  <c r="M43" i="246" s="1"/>
  <c r="H23" i="189"/>
  <c r="S247" i="246" s="1"/>
  <c r="P20" i="189"/>
  <c r="G48" i="313"/>
  <c r="F48" i="313"/>
  <c r="E48" i="313"/>
  <c r="D48" i="313"/>
  <c r="H46" i="313"/>
  <c r="S542" i="246" s="1"/>
  <c r="M542" i="246"/>
  <c r="H31" i="313"/>
  <c r="H45" i="313" s="1"/>
  <c r="M134" i="246" s="1"/>
  <c r="H30" i="313"/>
  <c r="H44" i="313" s="1"/>
  <c r="S83" i="246" s="1"/>
  <c r="H29" i="313"/>
  <c r="H47" i="313" s="1"/>
  <c r="S134" i="246" s="1"/>
  <c r="H28" i="313"/>
  <c r="H42" i="313" s="1"/>
  <c r="M236" i="246" s="1"/>
  <c r="H27" i="313"/>
  <c r="H41" i="313" s="1"/>
  <c r="M185" i="246" s="1"/>
  <c r="H26" i="313"/>
  <c r="H40" i="313" s="1"/>
  <c r="M83" i="246" s="1"/>
  <c r="H25" i="313"/>
  <c r="P25" i="313"/>
  <c r="H24" i="313"/>
  <c r="M287" i="246" s="1"/>
  <c r="H23" i="313"/>
  <c r="H37" i="313" s="1"/>
  <c r="S185" i="246" s="1"/>
  <c r="E15" i="313"/>
  <c r="F15" i="313" s="1"/>
  <c r="G15" i="313" s="1"/>
  <c r="C9" i="313"/>
  <c r="G48" i="72"/>
  <c r="F48" i="72"/>
  <c r="E48" i="72"/>
  <c r="D48" i="72"/>
  <c r="H46" i="72"/>
  <c r="S626" i="209" s="1"/>
  <c r="H33" i="72"/>
  <c r="H32" i="72"/>
  <c r="M626" i="209" s="1"/>
  <c r="H31" i="72"/>
  <c r="H45" i="72" s="1"/>
  <c r="M154" i="209" s="1"/>
  <c r="H30" i="72"/>
  <c r="H44" i="72" s="1"/>
  <c r="S95" i="209" s="1"/>
  <c r="H29" i="72"/>
  <c r="H28" i="72"/>
  <c r="H42" i="72" s="1"/>
  <c r="M272" i="209" s="1"/>
  <c r="H27" i="72"/>
  <c r="H41" i="72" s="1"/>
  <c r="M213" i="209" s="1"/>
  <c r="H26" i="72"/>
  <c r="H40" i="72" s="1"/>
  <c r="M95" i="209" s="1"/>
  <c r="P25" i="72"/>
  <c r="H25" i="72"/>
  <c r="H24" i="72"/>
  <c r="H38" i="72" s="1"/>
  <c r="M36" i="209" s="1"/>
  <c r="H23" i="72"/>
  <c r="H37" i="72" s="1"/>
  <c r="S213" i="209" s="1"/>
  <c r="G48" i="195"/>
  <c r="F48" i="195"/>
  <c r="E48" i="195"/>
  <c r="D48" i="195"/>
  <c r="H46" i="195"/>
  <c r="S552" i="246" s="1"/>
  <c r="H33" i="195"/>
  <c r="H32" i="195"/>
  <c r="M552" i="246" s="1"/>
  <c r="H31" i="195"/>
  <c r="H45" i="195" s="1"/>
  <c r="M144" i="246" s="1"/>
  <c r="H30" i="195"/>
  <c r="H44" i="195" s="1"/>
  <c r="S93" i="246" s="1"/>
  <c r="H29" i="195"/>
  <c r="H47" i="195" s="1"/>
  <c r="S144" i="246" s="1"/>
  <c r="H28" i="195"/>
  <c r="H42" i="195" s="1"/>
  <c r="M246" i="246" s="1"/>
  <c r="H27" i="195"/>
  <c r="H41" i="195" s="1"/>
  <c r="M195" i="246" s="1"/>
  <c r="H26" i="195"/>
  <c r="H40" i="195" s="1"/>
  <c r="M93" i="246" s="1"/>
  <c r="P25" i="195"/>
  <c r="H25" i="195"/>
  <c r="H39" i="195" s="1"/>
  <c r="S42" i="246" s="1"/>
  <c r="H24" i="195"/>
  <c r="H38" i="195" s="1"/>
  <c r="M42" i="246" s="1"/>
  <c r="H23" i="195"/>
  <c r="S246" i="246" s="1"/>
  <c r="P20" i="195"/>
  <c r="G48" i="187"/>
  <c r="F48" i="187"/>
  <c r="E48" i="187"/>
  <c r="D48" i="187"/>
  <c r="H46" i="187"/>
  <c r="S525" i="246" s="1"/>
  <c r="H33" i="187"/>
  <c r="H32" i="187"/>
  <c r="M525" i="246" s="1"/>
  <c r="H31" i="187"/>
  <c r="H45" i="187" s="1"/>
  <c r="M117" i="246" s="1"/>
  <c r="H30" i="187"/>
  <c r="H44" i="187" s="1"/>
  <c r="S66" i="246" s="1"/>
  <c r="H29" i="187"/>
  <c r="H47" i="187" s="1"/>
  <c r="S117" i="246" s="1"/>
  <c r="H28" i="187"/>
  <c r="H42" i="187" s="1"/>
  <c r="M219" i="246" s="1"/>
  <c r="H27" i="187"/>
  <c r="H41" i="187" s="1"/>
  <c r="M168" i="246" s="1"/>
  <c r="H26" i="187"/>
  <c r="H40" i="187" s="1"/>
  <c r="M66" i="246" s="1"/>
  <c r="P25" i="187"/>
  <c r="H25" i="187"/>
  <c r="H39" i="187" s="1"/>
  <c r="S15" i="246" s="1"/>
  <c r="H24" i="187"/>
  <c r="H38" i="187" s="1"/>
  <c r="M15" i="246" s="1"/>
  <c r="H23" i="187"/>
  <c r="P20" i="187"/>
  <c r="C9" i="187"/>
  <c r="D11" i="187" s="1"/>
  <c r="O525" i="246" s="1"/>
  <c r="G48" i="14"/>
  <c r="F48" i="14"/>
  <c r="E48" i="14"/>
  <c r="D48" i="14"/>
  <c r="H33" i="14"/>
  <c r="H32" i="14"/>
  <c r="H46" i="14" s="1"/>
  <c r="S600" i="209" s="1"/>
  <c r="H31" i="14"/>
  <c r="H45" i="14" s="1"/>
  <c r="M128" i="209" s="1"/>
  <c r="H30" i="14"/>
  <c r="H44" i="14" s="1"/>
  <c r="S69" i="209" s="1"/>
  <c r="H29" i="14"/>
  <c r="H47" i="14" s="1"/>
  <c r="S128" i="209" s="1"/>
  <c r="H28" i="14"/>
  <c r="H42" i="14" s="1"/>
  <c r="M246" i="209" s="1"/>
  <c r="H27" i="14"/>
  <c r="H41" i="14" s="1"/>
  <c r="M187" i="209" s="1"/>
  <c r="H26" i="14"/>
  <c r="H40" i="14" s="1"/>
  <c r="M69" i="209" s="1"/>
  <c r="P25" i="14"/>
  <c r="H25" i="14"/>
  <c r="H39" i="14" s="1"/>
  <c r="S10" i="209" s="1"/>
  <c r="H24" i="14"/>
  <c r="H23" i="14"/>
  <c r="H37" i="14" s="1"/>
  <c r="S187" i="209" s="1"/>
  <c r="P20" i="14"/>
  <c r="G48" i="219"/>
  <c r="F48" i="219"/>
  <c r="E48" i="219"/>
  <c r="D48" i="219"/>
  <c r="H46" i="219"/>
  <c r="S637" i="209" s="1"/>
  <c r="H33" i="219"/>
  <c r="H32" i="219"/>
  <c r="M637" i="209" s="1"/>
  <c r="H31" i="219"/>
  <c r="H45" i="219" s="1"/>
  <c r="M165" i="209" s="1"/>
  <c r="H30" i="219"/>
  <c r="H44" i="219" s="1"/>
  <c r="S106" i="209" s="1"/>
  <c r="H29" i="219"/>
  <c r="H47" i="219" s="1"/>
  <c r="S165" i="209" s="1"/>
  <c r="H28" i="219"/>
  <c r="H42" i="219" s="1"/>
  <c r="M283" i="209" s="1"/>
  <c r="H27" i="219"/>
  <c r="H41" i="219" s="1"/>
  <c r="M224" i="209" s="1"/>
  <c r="H26" i="219"/>
  <c r="H40" i="219" s="1"/>
  <c r="M106" i="209" s="1"/>
  <c r="P25" i="219"/>
  <c r="H25" i="219"/>
  <c r="H39" i="219" s="1"/>
  <c r="S47" i="209" s="1"/>
  <c r="H24" i="219"/>
  <c r="M342" i="209" s="1"/>
  <c r="H23" i="219"/>
  <c r="H37" i="219" s="1"/>
  <c r="S224" i="209" s="1"/>
  <c r="P20" i="219"/>
  <c r="C9" i="219"/>
  <c r="G48" i="137"/>
  <c r="F48" i="137"/>
  <c r="E48" i="137"/>
  <c r="D48" i="137"/>
  <c r="H46" i="137"/>
  <c r="S551" i="246" s="1"/>
  <c r="H33" i="137"/>
  <c r="H32" i="137"/>
  <c r="M551" i="246" s="1"/>
  <c r="H31" i="137"/>
  <c r="H45" i="137" s="1"/>
  <c r="M143" i="246" s="1"/>
  <c r="H30" i="137"/>
  <c r="H44" i="137" s="1"/>
  <c r="S92" i="246" s="1"/>
  <c r="H29" i="137"/>
  <c r="H47" i="137" s="1"/>
  <c r="S143" i="246" s="1"/>
  <c r="H28" i="137"/>
  <c r="H42" i="137" s="1"/>
  <c r="M245" i="246" s="1"/>
  <c r="H27" i="137"/>
  <c r="H41" i="137" s="1"/>
  <c r="M194" i="246" s="1"/>
  <c r="H26" i="137"/>
  <c r="H40" i="137" s="1"/>
  <c r="M92" i="246" s="1"/>
  <c r="P25" i="137"/>
  <c r="H25" i="137"/>
  <c r="H24" i="137"/>
  <c r="H38" i="137" s="1"/>
  <c r="M41" i="246" s="1"/>
  <c r="H23" i="137"/>
  <c r="H37" i="137" s="1"/>
  <c r="S194" i="246" s="1"/>
  <c r="P20" i="137"/>
  <c r="G48" i="325"/>
  <c r="F48" i="325"/>
  <c r="E48" i="325"/>
  <c r="D48" i="325"/>
  <c r="H46" i="325"/>
  <c r="H33" i="325"/>
  <c r="H32" i="325"/>
  <c r="H31" i="325"/>
  <c r="H45" i="325" s="1"/>
  <c r="H30" i="325"/>
  <c r="H44" i="325" s="1"/>
  <c r="H29" i="325"/>
  <c r="H47" i="325" s="1"/>
  <c r="H28" i="325"/>
  <c r="H42" i="325" s="1"/>
  <c r="H27" i="325"/>
  <c r="H41" i="325" s="1"/>
  <c r="H26" i="325"/>
  <c r="H40" i="325" s="1"/>
  <c r="P25" i="325"/>
  <c r="H25" i="325"/>
  <c r="H39" i="325" s="1"/>
  <c r="H24" i="325"/>
  <c r="H38" i="325" s="1"/>
  <c r="H23" i="325"/>
  <c r="H37" i="325" s="1"/>
  <c r="P20" i="325"/>
  <c r="G48" i="141"/>
  <c r="F48" i="141"/>
  <c r="E48" i="141"/>
  <c r="D48" i="141"/>
  <c r="H46" i="141"/>
  <c r="S550" i="246" s="1"/>
  <c r="H33" i="141"/>
  <c r="H32" i="141"/>
  <c r="M550" i="246" s="1"/>
  <c r="H31" i="141"/>
  <c r="H45" i="141" s="1"/>
  <c r="M142" i="246" s="1"/>
  <c r="H30" i="141"/>
  <c r="H44" i="141" s="1"/>
  <c r="S91" i="246" s="1"/>
  <c r="H29" i="141"/>
  <c r="H47" i="141" s="1"/>
  <c r="S142" i="246" s="1"/>
  <c r="H28" i="141"/>
  <c r="H42" i="141" s="1"/>
  <c r="M244" i="246" s="1"/>
  <c r="H27" i="141"/>
  <c r="H41" i="141" s="1"/>
  <c r="M193" i="246" s="1"/>
  <c r="H26" i="141"/>
  <c r="H40" i="141" s="1"/>
  <c r="M91" i="246" s="1"/>
  <c r="P25" i="141"/>
  <c r="H25" i="141"/>
  <c r="H39" i="141" s="1"/>
  <c r="S40" i="246" s="1"/>
  <c r="H24" i="141"/>
  <c r="H23" i="141"/>
  <c r="H37" i="141" s="1"/>
  <c r="S193" i="246" s="1"/>
  <c r="P20" i="141"/>
  <c r="G48" i="4"/>
  <c r="F48" i="4"/>
  <c r="E48" i="4"/>
  <c r="D48" i="4"/>
  <c r="H46" i="4"/>
  <c r="S601" i="209" s="1"/>
  <c r="H33" i="4"/>
  <c r="H32" i="4"/>
  <c r="M601" i="209" s="1"/>
  <c r="H31" i="4"/>
  <c r="H45" i="4" s="1"/>
  <c r="M129" i="209" s="1"/>
  <c r="H30" i="4"/>
  <c r="H44" i="4" s="1"/>
  <c r="S70" i="209" s="1"/>
  <c r="H29" i="4"/>
  <c r="H28" i="4"/>
  <c r="H42" i="4" s="1"/>
  <c r="M247" i="209" s="1"/>
  <c r="H27" i="4"/>
  <c r="H41" i="4" s="1"/>
  <c r="M188" i="209" s="1"/>
  <c r="H26" i="4"/>
  <c r="H40" i="4" s="1"/>
  <c r="M70" i="209" s="1"/>
  <c r="P25" i="4"/>
  <c r="H25" i="4"/>
  <c r="H24" i="4"/>
  <c r="H38" i="4" s="1"/>
  <c r="M11" i="209" s="1"/>
  <c r="H23" i="4"/>
  <c r="H37" i="4" s="1"/>
  <c r="S188" i="209" s="1"/>
  <c r="P20" i="4"/>
  <c r="G48" i="279"/>
  <c r="F48" i="279"/>
  <c r="E48" i="279"/>
  <c r="D48" i="279"/>
  <c r="H46" i="279"/>
  <c r="S538" i="246" s="1"/>
  <c r="H33" i="279"/>
  <c r="H32" i="279"/>
  <c r="M538" i="246" s="1"/>
  <c r="H31" i="279"/>
  <c r="H45" i="279" s="1"/>
  <c r="M130" i="246" s="1"/>
  <c r="H30" i="279"/>
  <c r="H44" i="279" s="1"/>
  <c r="S79" i="246" s="1"/>
  <c r="H29" i="279"/>
  <c r="H43" i="279" s="1"/>
  <c r="H28" i="279"/>
  <c r="H42" i="279" s="1"/>
  <c r="M232" i="246" s="1"/>
  <c r="H27" i="279"/>
  <c r="H41" i="279" s="1"/>
  <c r="M181" i="246" s="1"/>
  <c r="H26" i="279"/>
  <c r="H40" i="279" s="1"/>
  <c r="M79" i="246" s="1"/>
  <c r="P25" i="279"/>
  <c r="H25" i="279"/>
  <c r="H24" i="279"/>
  <c r="H38" i="279" s="1"/>
  <c r="M28" i="246" s="1"/>
  <c r="H23" i="279"/>
  <c r="H37" i="279" s="1"/>
  <c r="S181" i="246" s="1"/>
  <c r="P20" i="279"/>
  <c r="C9" i="279"/>
  <c r="D11" i="279" s="1"/>
  <c r="D45" i="279" s="1"/>
  <c r="I130" i="246" s="1"/>
  <c r="G48" i="123"/>
  <c r="F48" i="123"/>
  <c r="E48" i="123"/>
  <c r="D48" i="123"/>
  <c r="H46" i="123"/>
  <c r="S624" i="209" s="1"/>
  <c r="H33" i="123"/>
  <c r="H32" i="123"/>
  <c r="M624" i="209" s="1"/>
  <c r="H31" i="123"/>
  <c r="H45" i="123" s="1"/>
  <c r="M152" i="209" s="1"/>
  <c r="H30" i="123"/>
  <c r="H44" i="123" s="1"/>
  <c r="S93" i="209" s="1"/>
  <c r="H29" i="123"/>
  <c r="H43" i="123" s="1"/>
  <c r="H28" i="123"/>
  <c r="H42" i="123" s="1"/>
  <c r="M270" i="209" s="1"/>
  <c r="H27" i="123"/>
  <c r="H41" i="123" s="1"/>
  <c r="M211" i="209" s="1"/>
  <c r="H26" i="123"/>
  <c r="H40" i="123" s="1"/>
  <c r="M93" i="209" s="1"/>
  <c r="P25" i="123"/>
  <c r="H25" i="123"/>
  <c r="H24" i="123"/>
  <c r="H38" i="123" s="1"/>
  <c r="M34" i="209" s="1"/>
  <c r="H23" i="123"/>
  <c r="P20" i="123"/>
  <c r="G48" i="15"/>
  <c r="F48" i="15"/>
  <c r="E48" i="15"/>
  <c r="D48" i="15"/>
  <c r="H46" i="15"/>
  <c r="S599" i="209" s="1"/>
  <c r="H33" i="15"/>
  <c r="H32" i="15"/>
  <c r="M599" i="209" s="1"/>
  <c r="H31" i="15"/>
  <c r="H45" i="15" s="1"/>
  <c r="M127" i="209" s="1"/>
  <c r="H30" i="15"/>
  <c r="H44" i="15" s="1"/>
  <c r="S68" i="209" s="1"/>
  <c r="H29" i="15"/>
  <c r="H47" i="15" s="1"/>
  <c r="S127" i="209" s="1"/>
  <c r="H28" i="15"/>
  <c r="H42" i="15" s="1"/>
  <c r="M245" i="209" s="1"/>
  <c r="H27" i="15"/>
  <c r="H41" i="15" s="1"/>
  <c r="M186" i="209" s="1"/>
  <c r="H26" i="15"/>
  <c r="H40" i="15" s="1"/>
  <c r="M68" i="209" s="1"/>
  <c r="P25" i="15"/>
  <c r="H25" i="15"/>
  <c r="H24" i="15"/>
  <c r="H38" i="15" s="1"/>
  <c r="M9" i="209" s="1"/>
  <c r="H23" i="15"/>
  <c r="H37" i="15" s="1"/>
  <c r="S186" i="209" s="1"/>
  <c r="P20" i="15"/>
  <c r="G48" i="338"/>
  <c r="F48" i="338"/>
  <c r="E48" i="338"/>
  <c r="D48" i="338"/>
  <c r="H46" i="338"/>
  <c r="S622" i="209" s="1"/>
  <c r="H33" i="338"/>
  <c r="H32" i="338"/>
  <c r="M622" i="209" s="1"/>
  <c r="H31" i="338"/>
  <c r="H45" i="338" s="1"/>
  <c r="M150" i="209" s="1"/>
  <c r="H30" i="338"/>
  <c r="H44" i="338" s="1"/>
  <c r="S91" i="209" s="1"/>
  <c r="H29" i="338"/>
  <c r="H28" i="338"/>
  <c r="H42" i="338" s="1"/>
  <c r="M268" i="209" s="1"/>
  <c r="H27" i="338"/>
  <c r="H41" i="338" s="1"/>
  <c r="M209" i="209" s="1"/>
  <c r="H26" i="338"/>
  <c r="H40" i="338" s="1"/>
  <c r="M91" i="209" s="1"/>
  <c r="P25" i="338"/>
  <c r="H25" i="338"/>
  <c r="H39" i="338" s="1"/>
  <c r="S32" i="209" s="1"/>
  <c r="H24" i="338"/>
  <c r="H23" i="338"/>
  <c r="C9" i="338"/>
  <c r="E11" i="338" s="1"/>
  <c r="J622" i="209" s="1"/>
  <c r="G48" i="241"/>
  <c r="F48" i="241"/>
  <c r="E48" i="241"/>
  <c r="D48" i="241"/>
  <c r="H33" i="241"/>
  <c r="H32" i="241"/>
  <c r="H46" i="241" s="1"/>
  <c r="S645" i="209" s="1"/>
  <c r="H31" i="241"/>
  <c r="H45" i="241" s="1"/>
  <c r="M173" i="209" s="1"/>
  <c r="H30" i="241"/>
  <c r="H44" i="241" s="1"/>
  <c r="S114" i="209" s="1"/>
  <c r="H29" i="241"/>
  <c r="H28" i="241"/>
  <c r="H42" i="241" s="1"/>
  <c r="M291" i="209" s="1"/>
  <c r="H27" i="241"/>
  <c r="H41" i="241" s="1"/>
  <c r="M232" i="209" s="1"/>
  <c r="H26" i="241"/>
  <c r="H40" i="241" s="1"/>
  <c r="M114" i="209" s="1"/>
  <c r="P25" i="241"/>
  <c r="H25" i="241"/>
  <c r="S350" i="209" s="1"/>
  <c r="H24" i="241"/>
  <c r="H38" i="241" s="1"/>
  <c r="M55" i="209" s="1"/>
  <c r="H23" i="241"/>
  <c r="H37" i="241" s="1"/>
  <c r="S232" i="209" s="1"/>
  <c r="P20" i="241"/>
  <c r="C9" i="241"/>
  <c r="E11" i="241" s="1"/>
  <c r="J704" i="209" s="1"/>
  <c r="G48" i="188"/>
  <c r="F48" i="188"/>
  <c r="E48" i="188"/>
  <c r="D48" i="188"/>
  <c r="H46" i="188"/>
  <c r="S549" i="246" s="1"/>
  <c r="H33" i="188"/>
  <c r="H32" i="188"/>
  <c r="M549" i="246" s="1"/>
  <c r="H31" i="188"/>
  <c r="H45" i="188" s="1"/>
  <c r="M141" i="246" s="1"/>
  <c r="H30" i="188"/>
  <c r="H44" i="188" s="1"/>
  <c r="S90" i="246" s="1"/>
  <c r="H29" i="188"/>
  <c r="H47" i="188" s="1"/>
  <c r="S141" i="246" s="1"/>
  <c r="H28" i="188"/>
  <c r="H42" i="188" s="1"/>
  <c r="M243" i="246" s="1"/>
  <c r="H27" i="188"/>
  <c r="H41" i="188" s="1"/>
  <c r="M192" i="246" s="1"/>
  <c r="H26" i="188"/>
  <c r="H40" i="188" s="1"/>
  <c r="M90" i="246" s="1"/>
  <c r="P25" i="188"/>
  <c r="H25" i="188"/>
  <c r="S294" i="246" s="1"/>
  <c r="H24" i="188"/>
  <c r="H23" i="188"/>
  <c r="H37" i="188" s="1"/>
  <c r="S192" i="246" s="1"/>
  <c r="P20" i="188"/>
  <c r="G48" i="166"/>
  <c r="F48" i="166"/>
  <c r="E48" i="166"/>
  <c r="D48" i="166"/>
  <c r="H46" i="166"/>
  <c r="S524" i="246" s="1"/>
  <c r="H33" i="166"/>
  <c r="H32" i="166"/>
  <c r="M524" i="246" s="1"/>
  <c r="H31" i="166"/>
  <c r="H45" i="166" s="1"/>
  <c r="M116" i="246" s="1"/>
  <c r="H30" i="166"/>
  <c r="H44" i="166" s="1"/>
  <c r="S65" i="246" s="1"/>
  <c r="H29" i="166"/>
  <c r="H47" i="166" s="1"/>
  <c r="S116" i="246" s="1"/>
  <c r="H28" i="166"/>
  <c r="H42" i="166" s="1"/>
  <c r="M218" i="246" s="1"/>
  <c r="H27" i="166"/>
  <c r="H41" i="166" s="1"/>
  <c r="M167" i="246" s="1"/>
  <c r="H26" i="166"/>
  <c r="H40" i="166" s="1"/>
  <c r="M65" i="246" s="1"/>
  <c r="P25" i="166"/>
  <c r="H25" i="166"/>
  <c r="H39" i="166" s="1"/>
  <c r="S14" i="246" s="1"/>
  <c r="H24" i="166"/>
  <c r="M269" i="246" s="1"/>
  <c r="H23" i="166"/>
  <c r="S218" i="246" s="1"/>
  <c r="P20" i="166"/>
  <c r="E15" i="166"/>
  <c r="F15" i="166" s="1"/>
  <c r="C9" i="166"/>
  <c r="E11" i="166" s="1"/>
  <c r="G48" i="165"/>
  <c r="F48" i="165"/>
  <c r="E48" i="165"/>
  <c r="D48" i="165"/>
  <c r="H46" i="165"/>
  <c r="S523" i="246" s="1"/>
  <c r="H33" i="165"/>
  <c r="H32" i="165"/>
  <c r="M523" i="246" s="1"/>
  <c r="H31" i="165"/>
  <c r="H45" i="165" s="1"/>
  <c r="M115" i="246" s="1"/>
  <c r="H30" i="165"/>
  <c r="H44" i="165" s="1"/>
  <c r="S64" i="246" s="1"/>
  <c r="H29" i="165"/>
  <c r="H28" i="165"/>
  <c r="H42" i="165" s="1"/>
  <c r="M217" i="246" s="1"/>
  <c r="H27" i="165"/>
  <c r="H41" i="165" s="1"/>
  <c r="M166" i="246" s="1"/>
  <c r="H26" i="165"/>
  <c r="H40" i="165" s="1"/>
  <c r="M64" i="246" s="1"/>
  <c r="P25" i="165"/>
  <c r="H25" i="165"/>
  <c r="H39" i="165" s="1"/>
  <c r="S13" i="246" s="1"/>
  <c r="H24" i="165"/>
  <c r="H38" i="165" s="1"/>
  <c r="M13" i="246" s="1"/>
  <c r="H23" i="165"/>
  <c r="H37" i="165" s="1"/>
  <c r="S166" i="246" s="1"/>
  <c r="P20" i="165"/>
  <c r="C9" i="165"/>
  <c r="F11" i="165" s="1"/>
  <c r="Q523" i="246" s="1"/>
  <c r="G48" i="151"/>
  <c r="F48" i="151"/>
  <c r="E48" i="151"/>
  <c r="D48" i="151"/>
  <c r="H46" i="151"/>
  <c r="S548" i="246" s="1"/>
  <c r="H33" i="151"/>
  <c r="H32" i="151"/>
  <c r="M548" i="246" s="1"/>
  <c r="H31" i="151"/>
  <c r="H45" i="151" s="1"/>
  <c r="M140" i="246" s="1"/>
  <c r="H30" i="151"/>
  <c r="H44" i="151" s="1"/>
  <c r="S89" i="246" s="1"/>
  <c r="H29" i="151"/>
  <c r="H28" i="151"/>
  <c r="H42" i="151" s="1"/>
  <c r="M242" i="246" s="1"/>
  <c r="H27" i="151"/>
  <c r="H41" i="151" s="1"/>
  <c r="M191" i="246" s="1"/>
  <c r="H26" i="151"/>
  <c r="H40" i="151" s="1"/>
  <c r="M89" i="246" s="1"/>
  <c r="P25" i="151"/>
  <c r="H25" i="151"/>
  <c r="S293" i="246" s="1"/>
  <c r="H24" i="151"/>
  <c r="H38" i="151" s="1"/>
  <c r="M38" i="246" s="1"/>
  <c r="H23" i="151"/>
  <c r="H37" i="151" s="1"/>
  <c r="S191" i="246" s="1"/>
  <c r="P20" i="151"/>
  <c r="G48" i="324"/>
  <c r="F48" i="324"/>
  <c r="E48" i="324"/>
  <c r="D48" i="324"/>
  <c r="H46" i="324"/>
  <c r="H33" i="324"/>
  <c r="H32" i="324"/>
  <c r="H48" i="324" s="1"/>
  <c r="H31" i="324"/>
  <c r="H45" i="324" s="1"/>
  <c r="H30" i="324"/>
  <c r="H44" i="324" s="1"/>
  <c r="H29" i="324"/>
  <c r="H28" i="324"/>
  <c r="H42" i="324" s="1"/>
  <c r="H27" i="324"/>
  <c r="H41" i="324" s="1"/>
  <c r="H26" i="324"/>
  <c r="H40" i="324" s="1"/>
  <c r="P25" i="324"/>
  <c r="H25" i="324"/>
  <c r="H39" i="324" s="1"/>
  <c r="H24" i="324"/>
  <c r="H38" i="324" s="1"/>
  <c r="H23" i="324"/>
  <c r="H37" i="324" s="1"/>
  <c r="P20" i="324"/>
  <c r="G48" i="220"/>
  <c r="F48" i="220"/>
  <c r="E48" i="220"/>
  <c r="D48" i="220"/>
  <c r="H46" i="220"/>
  <c r="S644" i="209" s="1"/>
  <c r="H33" i="220"/>
  <c r="H32" i="220"/>
  <c r="M644" i="209" s="1"/>
  <c r="H31" i="220"/>
  <c r="H45" i="220" s="1"/>
  <c r="M172" i="209" s="1"/>
  <c r="H30" i="220"/>
  <c r="H44" i="220" s="1"/>
  <c r="S113" i="209" s="1"/>
  <c r="H29" i="220"/>
  <c r="H47" i="220" s="1"/>
  <c r="S172" i="209" s="1"/>
  <c r="H28" i="220"/>
  <c r="H42" i="220" s="1"/>
  <c r="M290" i="209" s="1"/>
  <c r="H27" i="220"/>
  <c r="H41" i="220" s="1"/>
  <c r="M231" i="209" s="1"/>
  <c r="H26" i="220"/>
  <c r="H40" i="220" s="1"/>
  <c r="M113" i="209" s="1"/>
  <c r="P25" i="220"/>
  <c r="H25" i="220"/>
  <c r="H24" i="220"/>
  <c r="H38" i="220" s="1"/>
  <c r="M54" i="209" s="1"/>
  <c r="H23" i="220"/>
  <c r="H37" i="220" s="1"/>
  <c r="S231" i="209" s="1"/>
  <c r="P20" i="220"/>
  <c r="G48" i="221"/>
  <c r="F48" i="221"/>
  <c r="E48" i="221"/>
  <c r="D48" i="221"/>
  <c r="H46" i="221"/>
  <c r="S643" i="209" s="1"/>
  <c r="H33" i="221"/>
  <c r="H32" i="221"/>
  <c r="M643" i="209" s="1"/>
  <c r="H31" i="221"/>
  <c r="H45" i="221" s="1"/>
  <c r="M171" i="209" s="1"/>
  <c r="H30" i="221"/>
  <c r="H44" i="221" s="1"/>
  <c r="S112" i="209" s="1"/>
  <c r="H29" i="221"/>
  <c r="H47" i="221" s="1"/>
  <c r="S171" i="209" s="1"/>
  <c r="H28" i="221"/>
  <c r="H42" i="221" s="1"/>
  <c r="M289" i="209" s="1"/>
  <c r="H27" i="221"/>
  <c r="H41" i="221" s="1"/>
  <c r="M230" i="209" s="1"/>
  <c r="H26" i="221"/>
  <c r="H40" i="221" s="1"/>
  <c r="M112" i="209" s="1"/>
  <c r="P25" i="221"/>
  <c r="H25" i="221"/>
  <c r="H24" i="221"/>
  <c r="H38" i="221" s="1"/>
  <c r="M53" i="209" s="1"/>
  <c r="H23" i="221"/>
  <c r="H37" i="221" s="1"/>
  <c r="S230" i="209" s="1"/>
  <c r="P20" i="221"/>
  <c r="C9" i="221"/>
  <c r="G11" i="221" s="1"/>
  <c r="G18" i="221" s="1"/>
  <c r="G37" i="221" s="1"/>
  <c r="R230" i="209" s="1"/>
  <c r="G48" i="349"/>
  <c r="F48" i="349"/>
  <c r="E48" i="349"/>
  <c r="D48" i="349"/>
  <c r="H46" i="349"/>
  <c r="H33" i="349"/>
  <c r="H32" i="349"/>
  <c r="H31" i="349"/>
  <c r="H45" i="349" s="1"/>
  <c r="H30" i="349"/>
  <c r="H44" i="349" s="1"/>
  <c r="H29" i="349"/>
  <c r="H43" i="349" s="1"/>
  <c r="H28" i="349"/>
  <c r="H42" i="349" s="1"/>
  <c r="H27" i="349"/>
  <c r="H41" i="349" s="1"/>
  <c r="H26" i="349"/>
  <c r="H40" i="349" s="1"/>
  <c r="P25" i="349"/>
  <c r="H25" i="349"/>
  <c r="H39" i="349" s="1"/>
  <c r="H24" i="349"/>
  <c r="H38" i="349" s="1"/>
  <c r="H23" i="349"/>
  <c r="H37" i="349" s="1"/>
  <c r="P20" i="349"/>
  <c r="C9" i="349"/>
  <c r="D11" i="349" s="1"/>
  <c r="M136" i="294" s="1"/>
  <c r="G48" i="289"/>
  <c r="F48" i="289"/>
  <c r="E48" i="289"/>
  <c r="D48" i="289"/>
  <c r="H46" i="289"/>
  <c r="H33" i="289"/>
  <c r="H32" i="289"/>
  <c r="H31" i="289"/>
  <c r="H45" i="289" s="1"/>
  <c r="H30" i="289"/>
  <c r="H44" i="289" s="1"/>
  <c r="H29" i="289"/>
  <c r="H43" i="289" s="1"/>
  <c r="H28" i="289"/>
  <c r="H42" i="289" s="1"/>
  <c r="H27" i="289"/>
  <c r="H41" i="289" s="1"/>
  <c r="H26" i="289"/>
  <c r="H40" i="289" s="1"/>
  <c r="P25" i="289"/>
  <c r="H25" i="289"/>
  <c r="H39" i="289" s="1"/>
  <c r="H24" i="289"/>
  <c r="H38" i="289" s="1"/>
  <c r="H23" i="289"/>
  <c r="H37" i="289" s="1"/>
  <c r="C9" i="289"/>
  <c r="D11" i="289" s="1"/>
  <c r="D46" i="289" s="1"/>
  <c r="G48" i="16"/>
  <c r="F48" i="16"/>
  <c r="E48" i="16"/>
  <c r="D48" i="16"/>
  <c r="H46" i="16"/>
  <c r="S598" i="209" s="1"/>
  <c r="H33" i="16"/>
  <c r="H32" i="16"/>
  <c r="M598" i="209" s="1"/>
  <c r="H31" i="16"/>
  <c r="H45" i="16" s="1"/>
  <c r="M126" i="209" s="1"/>
  <c r="H30" i="16"/>
  <c r="H44" i="16" s="1"/>
  <c r="S67" i="209" s="1"/>
  <c r="H29" i="16"/>
  <c r="H47" i="16" s="1"/>
  <c r="S126" i="209" s="1"/>
  <c r="H28" i="16"/>
  <c r="H42" i="16" s="1"/>
  <c r="M244" i="209" s="1"/>
  <c r="H27" i="16"/>
  <c r="H41" i="16" s="1"/>
  <c r="M185" i="209" s="1"/>
  <c r="H26" i="16"/>
  <c r="H40" i="16" s="1"/>
  <c r="M67" i="209" s="1"/>
  <c r="P25" i="16"/>
  <c r="H25" i="16"/>
  <c r="H24" i="16"/>
  <c r="H23" i="16"/>
  <c r="S244" i="209" s="1"/>
  <c r="P20" i="16"/>
  <c r="G48" i="293"/>
  <c r="F48" i="293"/>
  <c r="E48" i="293"/>
  <c r="D48" i="293"/>
  <c r="H46" i="293"/>
  <c r="H33" i="293"/>
  <c r="H32" i="293"/>
  <c r="H31" i="293"/>
  <c r="H45" i="293" s="1"/>
  <c r="H30" i="293"/>
  <c r="H44" i="293" s="1"/>
  <c r="H29" i="293"/>
  <c r="H28" i="293"/>
  <c r="H42" i="293" s="1"/>
  <c r="H27" i="293"/>
  <c r="H41" i="293" s="1"/>
  <c r="H26" i="293"/>
  <c r="H40" i="293" s="1"/>
  <c r="P25" i="293"/>
  <c r="H25" i="293"/>
  <c r="H39" i="293" s="1"/>
  <c r="H24" i="293"/>
  <c r="H38" i="293" s="1"/>
  <c r="H23" i="293"/>
  <c r="H37" i="293" s="1"/>
  <c r="P20" i="293"/>
  <c r="C9" i="293"/>
  <c r="G48" i="126"/>
  <c r="F48" i="126"/>
  <c r="E48" i="126"/>
  <c r="D48" i="126"/>
  <c r="H46" i="126"/>
  <c r="S547" i="246" s="1"/>
  <c r="H33" i="126"/>
  <c r="H32" i="126"/>
  <c r="M547" i="246" s="1"/>
  <c r="H31" i="126"/>
  <c r="H45" i="126" s="1"/>
  <c r="M139" i="246" s="1"/>
  <c r="H30" i="126"/>
  <c r="H44" i="126" s="1"/>
  <c r="S88" i="246" s="1"/>
  <c r="H29" i="126"/>
  <c r="H43" i="126" s="1"/>
  <c r="H28" i="126"/>
  <c r="H42" i="126" s="1"/>
  <c r="M241" i="246" s="1"/>
  <c r="H27" i="126"/>
  <c r="H41" i="126" s="1"/>
  <c r="M190" i="246" s="1"/>
  <c r="H26" i="126"/>
  <c r="H40" i="126" s="1"/>
  <c r="M88" i="246" s="1"/>
  <c r="P25" i="126"/>
  <c r="H25" i="126"/>
  <c r="S292" i="246" s="1"/>
  <c r="H24" i="126"/>
  <c r="H38" i="126" s="1"/>
  <c r="M37" i="246" s="1"/>
  <c r="H23" i="126"/>
  <c r="P20" i="126"/>
  <c r="G48" i="160"/>
  <c r="F48" i="160"/>
  <c r="E48" i="160"/>
  <c r="D48" i="160"/>
  <c r="H46" i="160"/>
  <c r="S546" i="246" s="1"/>
  <c r="H33" i="160"/>
  <c r="H32" i="160"/>
  <c r="M546" i="246" s="1"/>
  <c r="H31" i="160"/>
  <c r="H45" i="160" s="1"/>
  <c r="M138" i="246" s="1"/>
  <c r="H30" i="160"/>
  <c r="H44" i="160" s="1"/>
  <c r="S87" i="246" s="1"/>
  <c r="H29" i="160"/>
  <c r="H47" i="160" s="1"/>
  <c r="S138" i="246" s="1"/>
  <c r="H28" i="160"/>
  <c r="H42" i="160" s="1"/>
  <c r="M240" i="246" s="1"/>
  <c r="H27" i="160"/>
  <c r="H41" i="160" s="1"/>
  <c r="M189" i="246" s="1"/>
  <c r="H26" i="160"/>
  <c r="H40" i="160" s="1"/>
  <c r="M87" i="246" s="1"/>
  <c r="P25" i="160"/>
  <c r="H25" i="160"/>
  <c r="H39" i="160" s="1"/>
  <c r="S36" i="246" s="1"/>
  <c r="H24" i="160"/>
  <c r="H23" i="160"/>
  <c r="H37" i="160" s="1"/>
  <c r="S189" i="246" s="1"/>
  <c r="P20" i="160"/>
  <c r="G48" i="214"/>
  <c r="F48" i="214"/>
  <c r="E48" i="214"/>
  <c r="D48" i="214"/>
  <c r="H46" i="214"/>
  <c r="S611" i="209" s="1"/>
  <c r="H33" i="214"/>
  <c r="H32" i="214"/>
  <c r="M611" i="209" s="1"/>
  <c r="H31" i="214"/>
  <c r="H45" i="214" s="1"/>
  <c r="M139" i="209" s="1"/>
  <c r="H30" i="214"/>
  <c r="H44" i="214" s="1"/>
  <c r="S80" i="209" s="1"/>
  <c r="H29" i="214"/>
  <c r="H47" i="214" s="1"/>
  <c r="S139" i="209" s="1"/>
  <c r="H28" i="214"/>
  <c r="H42" i="214" s="1"/>
  <c r="M257" i="209" s="1"/>
  <c r="H27" i="214"/>
  <c r="H41" i="214" s="1"/>
  <c r="M198" i="209" s="1"/>
  <c r="H26" i="214"/>
  <c r="H40" i="214" s="1"/>
  <c r="M80" i="209" s="1"/>
  <c r="P25" i="214"/>
  <c r="H25" i="214"/>
  <c r="S316" i="209" s="1"/>
  <c r="H24" i="214"/>
  <c r="H38" i="214" s="1"/>
  <c r="M21" i="209" s="1"/>
  <c r="H23" i="214"/>
  <c r="H37" i="214" s="1"/>
  <c r="S198" i="209" s="1"/>
  <c r="P20" i="214"/>
  <c r="G48" i="347"/>
  <c r="F48" i="347"/>
  <c r="E48" i="347"/>
  <c r="D48" i="347"/>
  <c r="H46" i="347"/>
  <c r="S642" i="209" s="1"/>
  <c r="H33" i="347"/>
  <c r="H32" i="347"/>
  <c r="M642" i="209" s="1"/>
  <c r="H31" i="347"/>
  <c r="H45" i="347" s="1"/>
  <c r="M170" i="209" s="1"/>
  <c r="H30" i="347"/>
  <c r="H44" i="347" s="1"/>
  <c r="S111" i="209" s="1"/>
  <c r="H29" i="347"/>
  <c r="H47" i="347" s="1"/>
  <c r="S170" i="209" s="1"/>
  <c r="H28" i="347"/>
  <c r="H42" i="347" s="1"/>
  <c r="M288" i="209" s="1"/>
  <c r="H27" i="347"/>
  <c r="H41" i="347" s="1"/>
  <c r="M229" i="209" s="1"/>
  <c r="H26" i="347"/>
  <c r="H40" i="347" s="1"/>
  <c r="M111" i="209" s="1"/>
  <c r="P25" i="347"/>
  <c r="H25" i="347"/>
  <c r="H39" i="347" s="1"/>
  <c r="S52" i="209" s="1"/>
  <c r="H24" i="347"/>
  <c r="H38" i="347" s="1"/>
  <c r="M52" i="209" s="1"/>
  <c r="H23" i="347"/>
  <c r="H37" i="347" s="1"/>
  <c r="S229" i="209" s="1"/>
  <c r="P20" i="347"/>
  <c r="C9" i="347"/>
  <c r="F11" i="347" s="1"/>
  <c r="G48" i="156"/>
  <c r="F48" i="156"/>
  <c r="E48" i="156"/>
  <c r="D48" i="156"/>
  <c r="H46" i="156"/>
  <c r="S518" i="246" s="1"/>
  <c r="H33" i="156"/>
  <c r="H32" i="156"/>
  <c r="M518" i="246" s="1"/>
  <c r="H31" i="156"/>
  <c r="H45" i="156" s="1"/>
  <c r="M110" i="246" s="1"/>
  <c r="H30" i="156"/>
  <c r="H44" i="156" s="1"/>
  <c r="S59" i="246" s="1"/>
  <c r="H29" i="156"/>
  <c r="H47" i="156" s="1"/>
  <c r="S110" i="246" s="1"/>
  <c r="H28" i="156"/>
  <c r="H42" i="156" s="1"/>
  <c r="M212" i="246" s="1"/>
  <c r="H27" i="156"/>
  <c r="H41" i="156" s="1"/>
  <c r="M161" i="246" s="1"/>
  <c r="H26" i="156"/>
  <c r="H40" i="156" s="1"/>
  <c r="M59" i="246" s="1"/>
  <c r="P25" i="156"/>
  <c r="H25" i="156"/>
  <c r="S263" i="246" s="1"/>
  <c r="H24" i="156"/>
  <c r="M263" i="246" s="1"/>
  <c r="H23" i="156"/>
  <c r="H37" i="156" s="1"/>
  <c r="S161" i="246" s="1"/>
  <c r="P20" i="156"/>
  <c r="C9" i="156"/>
  <c r="G11" i="156" s="1"/>
  <c r="L518" i="246" s="1"/>
  <c r="G48" i="288"/>
  <c r="F48" i="288"/>
  <c r="E48" i="288"/>
  <c r="D48" i="288"/>
  <c r="H46" i="288"/>
  <c r="H33" i="288"/>
  <c r="H32" i="288"/>
  <c r="H31" i="288"/>
  <c r="H45" i="288" s="1"/>
  <c r="H30" i="288"/>
  <c r="H44" i="288" s="1"/>
  <c r="H29" i="288"/>
  <c r="H47" i="288" s="1"/>
  <c r="H28" i="288"/>
  <c r="H42" i="288" s="1"/>
  <c r="H27" i="288"/>
  <c r="H41" i="288" s="1"/>
  <c r="H26" i="288"/>
  <c r="H40" i="288" s="1"/>
  <c r="P25" i="288"/>
  <c r="H25" i="288"/>
  <c r="H39" i="288" s="1"/>
  <c r="H24" i="288"/>
  <c r="H38" i="288" s="1"/>
  <c r="H23" i="288"/>
  <c r="H37" i="288" s="1"/>
  <c r="C9" i="288"/>
  <c r="F11" i="288" s="1"/>
  <c r="O131" i="294" s="1"/>
  <c r="G48" i="194"/>
  <c r="F48" i="194"/>
  <c r="E48" i="194"/>
  <c r="D48" i="194"/>
  <c r="H46" i="194"/>
  <c r="S545" i="246" s="1"/>
  <c r="H33" i="194"/>
  <c r="M545" i="246"/>
  <c r="H31" i="194"/>
  <c r="H45" i="194" s="1"/>
  <c r="M137" i="246" s="1"/>
  <c r="H30" i="194"/>
  <c r="H44" i="194" s="1"/>
  <c r="S86" i="246" s="1"/>
  <c r="H29" i="194"/>
  <c r="H43" i="194" s="1"/>
  <c r="H28" i="194"/>
  <c r="H42" i="194" s="1"/>
  <c r="M239" i="246" s="1"/>
  <c r="H27" i="194"/>
  <c r="H41" i="194" s="1"/>
  <c r="M188" i="246" s="1"/>
  <c r="H26" i="194"/>
  <c r="H40" i="194" s="1"/>
  <c r="M86" i="246" s="1"/>
  <c r="P25" i="194"/>
  <c r="H25" i="194"/>
  <c r="H39" i="194" s="1"/>
  <c r="S35" i="246" s="1"/>
  <c r="H24" i="194"/>
  <c r="H38" i="194" s="1"/>
  <c r="M35" i="246" s="1"/>
  <c r="H23" i="194"/>
  <c r="H37" i="194" s="1"/>
  <c r="S188" i="246" s="1"/>
  <c r="P20" i="194"/>
  <c r="K144" i="294"/>
  <c r="J144" i="294"/>
  <c r="I144" i="294"/>
  <c r="H144" i="294"/>
  <c r="K138" i="294"/>
  <c r="J138" i="294"/>
  <c r="I138" i="294"/>
  <c r="H138" i="294"/>
  <c r="K137" i="294"/>
  <c r="J137" i="294"/>
  <c r="I137" i="294"/>
  <c r="H137" i="294"/>
  <c r="K136" i="294"/>
  <c r="J136" i="294"/>
  <c r="I136" i="294"/>
  <c r="H136" i="294"/>
  <c r="K135" i="294"/>
  <c r="J135" i="294"/>
  <c r="I135" i="294"/>
  <c r="H135" i="294"/>
  <c r="K133" i="294"/>
  <c r="J133" i="294"/>
  <c r="I133" i="294"/>
  <c r="H133" i="294"/>
  <c r="K132" i="294"/>
  <c r="J132" i="294"/>
  <c r="I132" i="294"/>
  <c r="H132" i="294"/>
  <c r="K131" i="294"/>
  <c r="J131" i="294"/>
  <c r="I131" i="294"/>
  <c r="H131" i="294"/>
  <c r="K129" i="294"/>
  <c r="J129" i="294"/>
  <c r="I129" i="294"/>
  <c r="H129" i="294"/>
  <c r="K128" i="294"/>
  <c r="J128" i="294"/>
  <c r="I128" i="294"/>
  <c r="H128" i="294"/>
  <c r="U124" i="294"/>
  <c r="T124" i="294"/>
  <c r="S124" i="294"/>
  <c r="R124" i="294"/>
  <c r="P124" i="294"/>
  <c r="O124" i="294"/>
  <c r="N124" i="294"/>
  <c r="M124" i="294"/>
  <c r="K124" i="294"/>
  <c r="J124" i="294"/>
  <c r="I124" i="294"/>
  <c r="H124" i="294"/>
  <c r="U118" i="294"/>
  <c r="T118" i="294"/>
  <c r="S118" i="294"/>
  <c r="R118" i="294"/>
  <c r="P118" i="294"/>
  <c r="O118" i="294"/>
  <c r="N118" i="294"/>
  <c r="M118" i="294"/>
  <c r="K118" i="294"/>
  <c r="J118" i="294"/>
  <c r="I118" i="294"/>
  <c r="H118" i="294"/>
  <c r="U117" i="294"/>
  <c r="T117" i="294"/>
  <c r="S117" i="294"/>
  <c r="R117" i="294"/>
  <c r="P117" i="294"/>
  <c r="O117" i="294"/>
  <c r="N117" i="294"/>
  <c r="M117" i="294"/>
  <c r="K117" i="294"/>
  <c r="J117" i="294"/>
  <c r="I117" i="294"/>
  <c r="H117" i="294"/>
  <c r="U116" i="294"/>
  <c r="T116" i="294"/>
  <c r="S116" i="294"/>
  <c r="R116" i="294"/>
  <c r="P116" i="294"/>
  <c r="O116" i="294"/>
  <c r="N116" i="294"/>
  <c r="M116" i="294"/>
  <c r="K116" i="294"/>
  <c r="J116" i="294"/>
  <c r="I116" i="294"/>
  <c r="H116" i="294"/>
  <c r="U115" i="294"/>
  <c r="T115" i="294"/>
  <c r="S115" i="294"/>
  <c r="R115" i="294"/>
  <c r="P115" i="294"/>
  <c r="O115" i="294"/>
  <c r="N115" i="294"/>
  <c r="M115" i="294"/>
  <c r="K115" i="294"/>
  <c r="J115" i="294"/>
  <c r="I115" i="294"/>
  <c r="H115" i="294"/>
  <c r="U113" i="294"/>
  <c r="T113" i="294"/>
  <c r="S113" i="294"/>
  <c r="R113" i="294"/>
  <c r="P113" i="294"/>
  <c r="O113" i="294"/>
  <c r="N113" i="294"/>
  <c r="M113" i="294"/>
  <c r="K113" i="294"/>
  <c r="J113" i="294"/>
  <c r="I113" i="294"/>
  <c r="H113" i="294"/>
  <c r="U112" i="294"/>
  <c r="T112" i="294"/>
  <c r="S112" i="294"/>
  <c r="R112" i="294"/>
  <c r="P112" i="294"/>
  <c r="O112" i="294"/>
  <c r="N112" i="294"/>
  <c r="M112" i="294"/>
  <c r="K112" i="294"/>
  <c r="J112" i="294"/>
  <c r="I112" i="294"/>
  <c r="H112" i="294"/>
  <c r="U111" i="294"/>
  <c r="T111" i="294"/>
  <c r="S111" i="294"/>
  <c r="R111" i="294"/>
  <c r="P111" i="294"/>
  <c r="O111" i="294"/>
  <c r="N111" i="294"/>
  <c r="M111" i="294"/>
  <c r="K111" i="294"/>
  <c r="J111" i="294"/>
  <c r="I111" i="294"/>
  <c r="H111" i="294"/>
  <c r="U109" i="294"/>
  <c r="T109" i="294"/>
  <c r="S109" i="294"/>
  <c r="R109" i="294"/>
  <c r="P109" i="294"/>
  <c r="O109" i="294"/>
  <c r="N109" i="294"/>
  <c r="M109" i="294"/>
  <c r="K109" i="294"/>
  <c r="J109" i="294"/>
  <c r="I109" i="294"/>
  <c r="H109" i="294"/>
  <c r="U108" i="294"/>
  <c r="T108" i="294"/>
  <c r="S108" i="294"/>
  <c r="R108" i="294"/>
  <c r="P108" i="294"/>
  <c r="O108" i="294"/>
  <c r="N108" i="294"/>
  <c r="M108" i="294"/>
  <c r="K108" i="294"/>
  <c r="J108" i="294"/>
  <c r="I108" i="294"/>
  <c r="H108" i="294"/>
  <c r="U104" i="294"/>
  <c r="T104" i="294"/>
  <c r="S104" i="294"/>
  <c r="R104" i="294"/>
  <c r="P104" i="294"/>
  <c r="O104" i="294"/>
  <c r="N104" i="294"/>
  <c r="M104" i="294"/>
  <c r="K104" i="294"/>
  <c r="J104" i="294"/>
  <c r="I104" i="294"/>
  <c r="H104" i="294"/>
  <c r="U98" i="294"/>
  <c r="T98" i="294"/>
  <c r="S98" i="294"/>
  <c r="R98" i="294"/>
  <c r="P98" i="294"/>
  <c r="O98" i="294"/>
  <c r="N98" i="294"/>
  <c r="M98" i="294"/>
  <c r="K98" i="294"/>
  <c r="J98" i="294"/>
  <c r="I98" i="294"/>
  <c r="H98" i="294"/>
  <c r="U97" i="294"/>
  <c r="T97" i="294"/>
  <c r="S97" i="294"/>
  <c r="R97" i="294"/>
  <c r="P97" i="294"/>
  <c r="O97" i="294"/>
  <c r="N97" i="294"/>
  <c r="M97" i="294"/>
  <c r="K97" i="294"/>
  <c r="J97" i="294"/>
  <c r="I97" i="294"/>
  <c r="H97" i="294"/>
  <c r="U96" i="294"/>
  <c r="T96" i="294"/>
  <c r="S96" i="294"/>
  <c r="R96" i="294"/>
  <c r="P96" i="294"/>
  <c r="O96" i="294"/>
  <c r="N96" i="294"/>
  <c r="M96" i="294"/>
  <c r="K96" i="294"/>
  <c r="J96" i="294"/>
  <c r="I96" i="294"/>
  <c r="H96" i="294"/>
  <c r="U95" i="294"/>
  <c r="T95" i="294"/>
  <c r="S95" i="294"/>
  <c r="R95" i="294"/>
  <c r="P95" i="294"/>
  <c r="O95" i="294"/>
  <c r="N95" i="294"/>
  <c r="M95" i="294"/>
  <c r="K95" i="294"/>
  <c r="J95" i="294"/>
  <c r="I95" i="294"/>
  <c r="H95" i="294"/>
  <c r="U93" i="294"/>
  <c r="T93" i="294"/>
  <c r="S93" i="294"/>
  <c r="R93" i="294"/>
  <c r="P93" i="294"/>
  <c r="O93" i="294"/>
  <c r="N93" i="294"/>
  <c r="M93" i="294"/>
  <c r="K93" i="294"/>
  <c r="J93" i="294"/>
  <c r="I93" i="294"/>
  <c r="H93" i="294"/>
  <c r="U92" i="294"/>
  <c r="T92" i="294"/>
  <c r="S92" i="294"/>
  <c r="R92" i="294"/>
  <c r="P92" i="294"/>
  <c r="O92" i="294"/>
  <c r="N92" i="294"/>
  <c r="M92" i="294"/>
  <c r="K92" i="294"/>
  <c r="J92" i="294"/>
  <c r="I92" i="294"/>
  <c r="H92" i="294"/>
  <c r="U91" i="294"/>
  <c r="T91" i="294"/>
  <c r="S91" i="294"/>
  <c r="R91" i="294"/>
  <c r="P91" i="294"/>
  <c r="O91" i="294"/>
  <c r="N91" i="294"/>
  <c r="M91" i="294"/>
  <c r="K91" i="294"/>
  <c r="J91" i="294"/>
  <c r="I91" i="294"/>
  <c r="H91" i="294"/>
  <c r="U89" i="294"/>
  <c r="T89" i="294"/>
  <c r="S89" i="294"/>
  <c r="R89" i="294"/>
  <c r="P89" i="294"/>
  <c r="O89" i="294"/>
  <c r="N89" i="294"/>
  <c r="M89" i="294"/>
  <c r="K89" i="294"/>
  <c r="J89" i="294"/>
  <c r="I89" i="294"/>
  <c r="H89" i="294"/>
  <c r="U88" i="294"/>
  <c r="T88" i="294"/>
  <c r="S88" i="294"/>
  <c r="R88" i="294"/>
  <c r="P88" i="294"/>
  <c r="O88" i="294"/>
  <c r="N88" i="294"/>
  <c r="M88" i="294"/>
  <c r="K88" i="294"/>
  <c r="J88" i="294"/>
  <c r="I88" i="294"/>
  <c r="H88" i="294"/>
  <c r="U84" i="294"/>
  <c r="T84" i="294"/>
  <c r="S84" i="294"/>
  <c r="R84" i="294"/>
  <c r="U78" i="294"/>
  <c r="T78" i="294"/>
  <c r="S78" i="294"/>
  <c r="R78" i="294"/>
  <c r="U77" i="294"/>
  <c r="T77" i="294"/>
  <c r="S77" i="294"/>
  <c r="R77" i="294"/>
  <c r="U76" i="294"/>
  <c r="T76" i="294"/>
  <c r="S76" i="294"/>
  <c r="R76" i="294"/>
  <c r="U75" i="294"/>
  <c r="T75" i="294"/>
  <c r="S75" i="294"/>
  <c r="R75" i="294"/>
  <c r="U73" i="294"/>
  <c r="T73" i="294"/>
  <c r="S73" i="294"/>
  <c r="R73" i="294"/>
  <c r="U72" i="294"/>
  <c r="T72" i="294"/>
  <c r="S72" i="294"/>
  <c r="R72" i="294"/>
  <c r="U71" i="294"/>
  <c r="T71" i="294"/>
  <c r="S71" i="294"/>
  <c r="R71" i="294"/>
  <c r="U69" i="294"/>
  <c r="T69" i="294"/>
  <c r="S69" i="294"/>
  <c r="R69" i="294"/>
  <c r="U68" i="294"/>
  <c r="T68" i="294"/>
  <c r="S68" i="294"/>
  <c r="R68" i="294"/>
  <c r="B64" i="294"/>
  <c r="B84" i="294" s="1"/>
  <c r="B104" i="294" s="1"/>
  <c r="B124" i="294" s="1"/>
  <c r="B144" i="294" s="1"/>
  <c r="B58" i="294"/>
  <c r="B78" i="294" s="1"/>
  <c r="B98" i="294" s="1"/>
  <c r="B118" i="294" s="1"/>
  <c r="B138" i="294" s="1"/>
  <c r="B57" i="294"/>
  <c r="B77" i="294" s="1"/>
  <c r="B97" i="294" s="1"/>
  <c r="B117" i="294" s="1"/>
  <c r="B137" i="294" s="1"/>
  <c r="B56" i="294"/>
  <c r="B76" i="294" s="1"/>
  <c r="B96" i="294" s="1"/>
  <c r="B116" i="294" s="1"/>
  <c r="B136" i="294" s="1"/>
  <c r="B55" i="294"/>
  <c r="B75" i="294" s="1"/>
  <c r="B95" i="294" s="1"/>
  <c r="B115" i="294" s="1"/>
  <c r="B135" i="294" s="1"/>
  <c r="B53" i="294"/>
  <c r="B73" i="294" s="1"/>
  <c r="B93" i="294" s="1"/>
  <c r="B113" i="294" s="1"/>
  <c r="B133" i="294" s="1"/>
  <c r="B52" i="294"/>
  <c r="B72" i="294" s="1"/>
  <c r="B92" i="294" s="1"/>
  <c r="B112" i="294" s="1"/>
  <c r="B132" i="294" s="1"/>
  <c r="B51" i="294"/>
  <c r="B71" i="294" s="1"/>
  <c r="B91" i="294" s="1"/>
  <c r="B111" i="294" s="1"/>
  <c r="B131" i="294" s="1"/>
  <c r="B49" i="294"/>
  <c r="B69" i="294" s="1"/>
  <c r="B89" i="294" s="1"/>
  <c r="B109" i="294" s="1"/>
  <c r="B129" i="294" s="1"/>
  <c r="B48" i="294"/>
  <c r="B68" i="294" s="1"/>
  <c r="B88" i="294" s="1"/>
  <c r="B108" i="294" s="1"/>
  <c r="B128" i="294" s="1"/>
  <c r="B41" i="294"/>
  <c r="B61" i="294" s="1"/>
  <c r="B81" i="294" s="1"/>
  <c r="B101" i="294" s="1"/>
  <c r="B121" i="294" s="1"/>
  <c r="B141" i="294" s="1"/>
  <c r="F24" i="294"/>
  <c r="F44" i="294" s="1"/>
  <c r="F64" i="294" s="1"/>
  <c r="F84" i="294" s="1"/>
  <c r="F104" i="294" s="1"/>
  <c r="F124" i="294" s="1"/>
  <c r="F144" i="294" s="1"/>
  <c r="D24" i="294"/>
  <c r="D44" i="294" s="1"/>
  <c r="D64" i="294" s="1"/>
  <c r="D84" i="294" s="1"/>
  <c r="D104" i="294" s="1"/>
  <c r="D124" i="294" s="1"/>
  <c r="D144" i="294" s="1"/>
  <c r="C24" i="294"/>
  <c r="C44" i="294" s="1"/>
  <c r="C64" i="294" s="1"/>
  <c r="C84" i="294" s="1"/>
  <c r="C104" i="294" s="1"/>
  <c r="C124" i="294" s="1"/>
  <c r="C144" i="294" s="1"/>
  <c r="F18" i="294"/>
  <c r="F38" i="294" s="1"/>
  <c r="F58" i="294" s="1"/>
  <c r="F78" i="294" s="1"/>
  <c r="F98" i="294" s="1"/>
  <c r="F118" i="294" s="1"/>
  <c r="F138" i="294" s="1"/>
  <c r="D18" i="294"/>
  <c r="D38" i="294" s="1"/>
  <c r="D58" i="294" s="1"/>
  <c r="D78" i="294" s="1"/>
  <c r="D98" i="294" s="1"/>
  <c r="D118" i="294" s="1"/>
  <c r="D138" i="294" s="1"/>
  <c r="C18" i="294"/>
  <c r="C38" i="294" s="1"/>
  <c r="C58" i="294" s="1"/>
  <c r="C78" i="294" s="1"/>
  <c r="C98" i="294" s="1"/>
  <c r="C118" i="294" s="1"/>
  <c r="C138" i="294" s="1"/>
  <c r="F17" i="294"/>
  <c r="F37" i="294" s="1"/>
  <c r="F57" i="294" s="1"/>
  <c r="F77" i="294" s="1"/>
  <c r="F97" i="294" s="1"/>
  <c r="F117" i="294" s="1"/>
  <c r="F137" i="294" s="1"/>
  <c r="D17" i="294"/>
  <c r="D37" i="294" s="1"/>
  <c r="D57" i="294" s="1"/>
  <c r="D77" i="294" s="1"/>
  <c r="D97" i="294" s="1"/>
  <c r="D117" i="294" s="1"/>
  <c r="D137" i="294" s="1"/>
  <c r="C17" i="294"/>
  <c r="C37" i="294" s="1"/>
  <c r="C57" i="294" s="1"/>
  <c r="C77" i="294" s="1"/>
  <c r="C97" i="294" s="1"/>
  <c r="C117" i="294" s="1"/>
  <c r="C137" i="294" s="1"/>
  <c r="F16" i="294"/>
  <c r="F36" i="294" s="1"/>
  <c r="F56" i="294" s="1"/>
  <c r="F76" i="294" s="1"/>
  <c r="F96" i="294" s="1"/>
  <c r="F116" i="294" s="1"/>
  <c r="F136" i="294" s="1"/>
  <c r="D16" i="294"/>
  <c r="D36" i="294" s="1"/>
  <c r="D56" i="294" s="1"/>
  <c r="D76" i="294" s="1"/>
  <c r="D96" i="294" s="1"/>
  <c r="D116" i="294" s="1"/>
  <c r="D136" i="294" s="1"/>
  <c r="C16" i="294"/>
  <c r="C36" i="294" s="1"/>
  <c r="C56" i="294" s="1"/>
  <c r="C76" i="294" s="1"/>
  <c r="C96" i="294" s="1"/>
  <c r="C116" i="294" s="1"/>
  <c r="C136" i="294" s="1"/>
  <c r="F15" i="294"/>
  <c r="F35" i="294" s="1"/>
  <c r="F55" i="294" s="1"/>
  <c r="F75" i="294" s="1"/>
  <c r="F95" i="294" s="1"/>
  <c r="F115" i="294" s="1"/>
  <c r="F135" i="294" s="1"/>
  <c r="D15" i="294"/>
  <c r="D35" i="294" s="1"/>
  <c r="D55" i="294" s="1"/>
  <c r="D75" i="294" s="1"/>
  <c r="D95" i="294" s="1"/>
  <c r="D115" i="294" s="1"/>
  <c r="D135" i="294" s="1"/>
  <c r="C15" i="294"/>
  <c r="C35" i="294" s="1"/>
  <c r="C55" i="294" s="1"/>
  <c r="C75" i="294" s="1"/>
  <c r="C95" i="294" s="1"/>
  <c r="C115" i="294" s="1"/>
  <c r="C135" i="294" s="1"/>
  <c r="F13" i="294"/>
  <c r="F33" i="294" s="1"/>
  <c r="F53" i="294" s="1"/>
  <c r="F73" i="294" s="1"/>
  <c r="F93" i="294" s="1"/>
  <c r="F113" i="294" s="1"/>
  <c r="F133" i="294" s="1"/>
  <c r="D13" i="294"/>
  <c r="D33" i="294" s="1"/>
  <c r="D53" i="294" s="1"/>
  <c r="D73" i="294" s="1"/>
  <c r="D93" i="294" s="1"/>
  <c r="D113" i="294" s="1"/>
  <c r="D133" i="294" s="1"/>
  <c r="C13" i="294"/>
  <c r="C33" i="294" s="1"/>
  <c r="C53" i="294" s="1"/>
  <c r="C73" i="294" s="1"/>
  <c r="C93" i="294" s="1"/>
  <c r="C113" i="294" s="1"/>
  <c r="C133" i="294" s="1"/>
  <c r="F12" i="294"/>
  <c r="F32" i="294" s="1"/>
  <c r="F52" i="294" s="1"/>
  <c r="F72" i="294" s="1"/>
  <c r="F92" i="294" s="1"/>
  <c r="F112" i="294" s="1"/>
  <c r="F132" i="294" s="1"/>
  <c r="D12" i="294"/>
  <c r="D32" i="294" s="1"/>
  <c r="D52" i="294" s="1"/>
  <c r="D72" i="294" s="1"/>
  <c r="D92" i="294" s="1"/>
  <c r="D112" i="294" s="1"/>
  <c r="D132" i="294" s="1"/>
  <c r="C12" i="294"/>
  <c r="C32" i="294" s="1"/>
  <c r="C52" i="294" s="1"/>
  <c r="C72" i="294" s="1"/>
  <c r="C92" i="294" s="1"/>
  <c r="C112" i="294" s="1"/>
  <c r="C132" i="294" s="1"/>
  <c r="F11" i="294"/>
  <c r="F31" i="294" s="1"/>
  <c r="F51" i="294" s="1"/>
  <c r="F71" i="294" s="1"/>
  <c r="F91" i="294" s="1"/>
  <c r="F111" i="294" s="1"/>
  <c r="F131" i="294" s="1"/>
  <c r="D11" i="294"/>
  <c r="D31" i="294" s="1"/>
  <c r="D51" i="294" s="1"/>
  <c r="D71" i="294" s="1"/>
  <c r="D91" i="294" s="1"/>
  <c r="D111" i="294" s="1"/>
  <c r="D131" i="294" s="1"/>
  <c r="C11" i="294"/>
  <c r="C31" i="294" s="1"/>
  <c r="C51" i="294" s="1"/>
  <c r="C71" i="294" s="1"/>
  <c r="C91" i="294" s="1"/>
  <c r="C111" i="294" s="1"/>
  <c r="C131" i="294" s="1"/>
  <c r="F9" i="294"/>
  <c r="F29" i="294" s="1"/>
  <c r="F49" i="294" s="1"/>
  <c r="F69" i="294" s="1"/>
  <c r="F89" i="294" s="1"/>
  <c r="F109" i="294" s="1"/>
  <c r="F129" i="294" s="1"/>
  <c r="D9" i="294"/>
  <c r="D29" i="294" s="1"/>
  <c r="D49" i="294" s="1"/>
  <c r="D69" i="294" s="1"/>
  <c r="D89" i="294" s="1"/>
  <c r="D109" i="294" s="1"/>
  <c r="D129" i="294" s="1"/>
  <c r="C9" i="294"/>
  <c r="C29" i="294" s="1"/>
  <c r="C49" i="294" s="1"/>
  <c r="C69" i="294" s="1"/>
  <c r="C89" i="294" s="1"/>
  <c r="C109" i="294" s="1"/>
  <c r="C129" i="294" s="1"/>
  <c r="F8" i="294"/>
  <c r="F28" i="294" s="1"/>
  <c r="F48" i="294" s="1"/>
  <c r="F68" i="294" s="1"/>
  <c r="F88" i="294" s="1"/>
  <c r="F108" i="294" s="1"/>
  <c r="F128" i="294" s="1"/>
  <c r="D8" i="294"/>
  <c r="D28" i="294" s="1"/>
  <c r="D48" i="294" s="1"/>
  <c r="D68" i="294" s="1"/>
  <c r="D88" i="294" s="1"/>
  <c r="D108" i="294" s="1"/>
  <c r="D128" i="294" s="1"/>
  <c r="C8" i="294"/>
  <c r="C28" i="294" s="1"/>
  <c r="C48" i="294" s="1"/>
  <c r="C68" i="294" s="1"/>
  <c r="C88" i="294" s="1"/>
  <c r="C108" i="294" s="1"/>
  <c r="C128" i="294" s="1"/>
  <c r="G644" i="246"/>
  <c r="E644" i="246"/>
  <c r="D644" i="246"/>
  <c r="G643" i="246"/>
  <c r="E643" i="246"/>
  <c r="D643" i="246"/>
  <c r="V593" i="246"/>
  <c r="R593" i="246"/>
  <c r="Q593" i="246"/>
  <c r="P593" i="246"/>
  <c r="O593" i="246"/>
  <c r="G593" i="246"/>
  <c r="E593" i="246"/>
  <c r="D593" i="246"/>
  <c r="U593" i="246" s="1"/>
  <c r="V592" i="246"/>
  <c r="R592" i="246"/>
  <c r="Q592" i="246"/>
  <c r="P592" i="246"/>
  <c r="O592" i="246"/>
  <c r="G592" i="246"/>
  <c r="E592" i="246"/>
  <c r="D592" i="246"/>
  <c r="U592" i="246" s="1"/>
  <c r="R607" i="246"/>
  <c r="O607" i="246"/>
  <c r="Q607" i="246"/>
  <c r="P607" i="246"/>
  <c r="R606" i="246"/>
  <c r="Q606" i="246"/>
  <c r="P606" i="246"/>
  <c r="O606" i="246"/>
  <c r="R605" i="246"/>
  <c r="O605" i="246"/>
  <c r="Q605" i="246"/>
  <c r="P605" i="246"/>
  <c r="R604" i="246"/>
  <c r="Q604" i="246"/>
  <c r="P604" i="246"/>
  <c r="O604" i="246"/>
  <c r="R603" i="246"/>
  <c r="O603" i="246"/>
  <c r="Q603" i="246"/>
  <c r="P603" i="246"/>
  <c r="R602" i="246"/>
  <c r="O602" i="246"/>
  <c r="Q602" i="246"/>
  <c r="P602" i="246"/>
  <c r="R601" i="246"/>
  <c r="O601" i="246"/>
  <c r="Q601" i="246"/>
  <c r="P601" i="246"/>
  <c r="R600" i="246"/>
  <c r="Q600" i="246"/>
  <c r="P600" i="246"/>
  <c r="O600" i="246"/>
  <c r="R599" i="246"/>
  <c r="O599" i="246"/>
  <c r="Q599" i="246"/>
  <c r="P599" i="246"/>
  <c r="R598" i="246"/>
  <c r="O598" i="246"/>
  <c r="Q598" i="246"/>
  <c r="P598" i="246"/>
  <c r="R597" i="246"/>
  <c r="O597" i="246"/>
  <c r="Q597" i="246"/>
  <c r="P597" i="246"/>
  <c r="R596" i="246"/>
  <c r="O596" i="246"/>
  <c r="Q596" i="246"/>
  <c r="P596" i="246"/>
  <c r="R591" i="246"/>
  <c r="O591" i="246"/>
  <c r="Q591" i="246"/>
  <c r="P591" i="246"/>
  <c r="R590" i="246"/>
  <c r="O590" i="246"/>
  <c r="Q590" i="246"/>
  <c r="P590" i="246"/>
  <c r="R589" i="246"/>
  <c r="O589" i="246"/>
  <c r="Q589" i="246"/>
  <c r="P589" i="246"/>
  <c r="R586" i="246"/>
  <c r="Q586" i="246"/>
  <c r="P586" i="246"/>
  <c r="O586" i="246"/>
  <c r="R585" i="246"/>
  <c r="O585" i="246"/>
  <c r="Q585" i="246"/>
  <c r="P585" i="246"/>
  <c r="R584" i="246"/>
  <c r="Q584" i="246"/>
  <c r="P584" i="246"/>
  <c r="O584" i="246"/>
  <c r="R583" i="246"/>
  <c r="O583" i="246"/>
  <c r="Q583" i="246"/>
  <c r="P583" i="246"/>
  <c r="R577" i="246"/>
  <c r="Q577" i="246"/>
  <c r="P577" i="246"/>
  <c r="O577" i="246"/>
  <c r="R575" i="246"/>
  <c r="O575" i="246"/>
  <c r="Q575" i="246"/>
  <c r="P575" i="246"/>
  <c r="R574" i="246"/>
  <c r="O574" i="246"/>
  <c r="Q574" i="246"/>
  <c r="P574" i="246"/>
  <c r="R571" i="246"/>
  <c r="Q571" i="246"/>
  <c r="P571" i="246"/>
  <c r="O571" i="246"/>
  <c r="R570" i="246"/>
  <c r="Q570" i="246"/>
  <c r="P570" i="246"/>
  <c r="O570" i="246"/>
  <c r="R569" i="246"/>
  <c r="Q569" i="246"/>
  <c r="P569" i="246"/>
  <c r="O569" i="246"/>
  <c r="V542" i="246"/>
  <c r="G542" i="246"/>
  <c r="E542" i="246"/>
  <c r="D542" i="246"/>
  <c r="U542" i="246" s="1"/>
  <c r="V541" i="246"/>
  <c r="G541" i="246"/>
  <c r="E541" i="246"/>
  <c r="D541" i="246"/>
  <c r="U541" i="246" s="1"/>
  <c r="V491" i="246"/>
  <c r="R491" i="246"/>
  <c r="Q491" i="246"/>
  <c r="P491" i="246"/>
  <c r="O491" i="246"/>
  <c r="L491" i="246"/>
  <c r="K491" i="246"/>
  <c r="J491" i="246"/>
  <c r="I491" i="246"/>
  <c r="G491" i="246"/>
  <c r="E491" i="246"/>
  <c r="D491" i="246"/>
  <c r="U491" i="246" s="1"/>
  <c r="V490" i="246"/>
  <c r="R490" i="246"/>
  <c r="Q490" i="246"/>
  <c r="P490" i="246"/>
  <c r="O490" i="246"/>
  <c r="L490" i="246"/>
  <c r="K490" i="246"/>
  <c r="J490" i="246"/>
  <c r="I490" i="246"/>
  <c r="G490" i="246"/>
  <c r="E490" i="246"/>
  <c r="D490" i="246"/>
  <c r="U490" i="246" s="1"/>
  <c r="R505" i="246"/>
  <c r="Q505" i="246"/>
  <c r="P505" i="246"/>
  <c r="O505" i="246"/>
  <c r="L505" i="246"/>
  <c r="K505" i="246"/>
  <c r="J505" i="246"/>
  <c r="I505" i="246"/>
  <c r="R504" i="246"/>
  <c r="Q504" i="246"/>
  <c r="P504" i="246"/>
  <c r="O504" i="246"/>
  <c r="L504" i="246"/>
  <c r="K504" i="246"/>
  <c r="J504" i="246"/>
  <c r="I504" i="246"/>
  <c r="R503" i="246"/>
  <c r="Q503" i="246"/>
  <c r="P503" i="246"/>
  <c r="O503" i="246"/>
  <c r="L503" i="246"/>
  <c r="K503" i="246"/>
  <c r="J503" i="246"/>
  <c r="I503" i="246"/>
  <c r="R502" i="246"/>
  <c r="Q502" i="246"/>
  <c r="P502" i="246"/>
  <c r="O502" i="246"/>
  <c r="L502" i="246"/>
  <c r="K502" i="246"/>
  <c r="J502" i="246"/>
  <c r="I502" i="246"/>
  <c r="R501" i="246"/>
  <c r="Q501" i="246"/>
  <c r="P501" i="246"/>
  <c r="O501" i="246"/>
  <c r="L501" i="246"/>
  <c r="K501" i="246"/>
  <c r="J501" i="246"/>
  <c r="I501" i="246"/>
  <c r="R500" i="246"/>
  <c r="Q500" i="246"/>
  <c r="P500" i="246"/>
  <c r="O500" i="246"/>
  <c r="L500" i="246"/>
  <c r="K500" i="246"/>
  <c r="J500" i="246"/>
  <c r="I500" i="246"/>
  <c r="R499" i="246"/>
  <c r="Q499" i="246"/>
  <c r="P499" i="246"/>
  <c r="O499" i="246"/>
  <c r="L499" i="246"/>
  <c r="K499" i="246"/>
  <c r="J499" i="246"/>
  <c r="I499" i="246"/>
  <c r="R498" i="246"/>
  <c r="Q498" i="246"/>
  <c r="P498" i="246"/>
  <c r="O498" i="246"/>
  <c r="L498" i="246"/>
  <c r="K498" i="246"/>
  <c r="J498" i="246"/>
  <c r="I498" i="246"/>
  <c r="R497" i="246"/>
  <c r="Q497" i="246"/>
  <c r="P497" i="246"/>
  <c r="O497" i="246"/>
  <c r="L497" i="246"/>
  <c r="K497" i="246"/>
  <c r="J497" i="246"/>
  <c r="I497" i="246"/>
  <c r="R496" i="246"/>
  <c r="Q496" i="246"/>
  <c r="P496" i="246"/>
  <c r="O496" i="246"/>
  <c r="L496" i="246"/>
  <c r="K496" i="246"/>
  <c r="J496" i="246"/>
  <c r="I496" i="246"/>
  <c r="R495" i="246"/>
  <c r="Q495" i="246"/>
  <c r="P495" i="246"/>
  <c r="O495" i="246"/>
  <c r="L495" i="246"/>
  <c r="K495" i="246"/>
  <c r="J495" i="246"/>
  <c r="I495" i="246"/>
  <c r="R494" i="246"/>
  <c r="Q494" i="246"/>
  <c r="P494" i="246"/>
  <c r="O494" i="246"/>
  <c r="L494" i="246"/>
  <c r="K494" i="246"/>
  <c r="J494" i="246"/>
  <c r="I494" i="246"/>
  <c r="R489" i="246"/>
  <c r="Q489" i="246"/>
  <c r="P489" i="246"/>
  <c r="O489" i="246"/>
  <c r="L489" i="246"/>
  <c r="K489" i="246"/>
  <c r="J489" i="246"/>
  <c r="I489" i="246"/>
  <c r="R488" i="246"/>
  <c r="Q488" i="246"/>
  <c r="P488" i="246"/>
  <c r="O488" i="246"/>
  <c r="L488" i="246"/>
  <c r="K488" i="246"/>
  <c r="J488" i="246"/>
  <c r="I488" i="246"/>
  <c r="R487" i="246"/>
  <c r="Q487" i="246"/>
  <c r="P487" i="246"/>
  <c r="O487" i="246"/>
  <c r="L487" i="246"/>
  <c r="K487" i="246"/>
  <c r="J487" i="246"/>
  <c r="I487" i="246"/>
  <c r="R484" i="246"/>
  <c r="Q484" i="246"/>
  <c r="P484" i="246"/>
  <c r="O484" i="246"/>
  <c r="L484" i="246"/>
  <c r="K484" i="246"/>
  <c r="J484" i="246"/>
  <c r="I484" i="246"/>
  <c r="R483" i="246"/>
  <c r="Q483" i="246"/>
  <c r="P483" i="246"/>
  <c r="O483" i="246"/>
  <c r="L483" i="246"/>
  <c r="K483" i="246"/>
  <c r="J483" i="246"/>
  <c r="I483" i="246"/>
  <c r="R482" i="246"/>
  <c r="Q482" i="246"/>
  <c r="P482" i="246"/>
  <c r="O482" i="246"/>
  <c r="L482" i="246"/>
  <c r="K482" i="246"/>
  <c r="J482" i="246"/>
  <c r="I482" i="246"/>
  <c r="R481" i="246"/>
  <c r="Q481" i="246"/>
  <c r="P481" i="246"/>
  <c r="O481" i="246"/>
  <c r="L481" i="246"/>
  <c r="K481" i="246"/>
  <c r="J481" i="246"/>
  <c r="I481" i="246"/>
  <c r="R475" i="246"/>
  <c r="Q475" i="246"/>
  <c r="P475" i="246"/>
  <c r="O475" i="246"/>
  <c r="L475" i="246"/>
  <c r="K475" i="246"/>
  <c r="J475" i="246"/>
  <c r="I475" i="246"/>
  <c r="R474" i="246"/>
  <c r="O474" i="246"/>
  <c r="Q474" i="246"/>
  <c r="P474" i="246"/>
  <c r="L474" i="246"/>
  <c r="K474" i="246"/>
  <c r="J474" i="246"/>
  <c r="I474" i="246"/>
  <c r="R473" i="246"/>
  <c r="Q473" i="246"/>
  <c r="P473" i="246"/>
  <c r="O473" i="246"/>
  <c r="L473" i="246"/>
  <c r="K473" i="246"/>
  <c r="J473" i="246"/>
  <c r="I473" i="246"/>
  <c r="R472" i="246"/>
  <c r="Q472" i="246"/>
  <c r="P472" i="246"/>
  <c r="O472" i="246"/>
  <c r="L472" i="246"/>
  <c r="K472" i="246"/>
  <c r="J472" i="246"/>
  <c r="I472" i="246"/>
  <c r="R469" i="246"/>
  <c r="Q469" i="246"/>
  <c r="P469" i="246"/>
  <c r="O469" i="246"/>
  <c r="L469" i="246"/>
  <c r="K469" i="246"/>
  <c r="J469" i="246"/>
  <c r="I469" i="246"/>
  <c r="R468" i="246"/>
  <c r="Q468" i="246"/>
  <c r="P468" i="246"/>
  <c r="O468" i="246"/>
  <c r="L468" i="246"/>
  <c r="K468" i="246"/>
  <c r="J468" i="246"/>
  <c r="I468" i="246"/>
  <c r="R467" i="246"/>
  <c r="O467" i="246"/>
  <c r="Q467" i="246"/>
  <c r="P467" i="246"/>
  <c r="L467" i="246"/>
  <c r="K467" i="246"/>
  <c r="J467" i="246"/>
  <c r="I467" i="246"/>
  <c r="V440" i="246"/>
  <c r="R440" i="246"/>
  <c r="Q440" i="246"/>
  <c r="P440" i="246"/>
  <c r="O440" i="246"/>
  <c r="L440" i="246"/>
  <c r="K440" i="246"/>
  <c r="J440" i="246"/>
  <c r="I440" i="246"/>
  <c r="G440" i="246"/>
  <c r="E440" i="246"/>
  <c r="D440" i="246"/>
  <c r="U440" i="246" s="1"/>
  <c r="V439" i="246"/>
  <c r="R439" i="246"/>
  <c r="Q439" i="246"/>
  <c r="P439" i="246"/>
  <c r="O439" i="246"/>
  <c r="L439" i="246"/>
  <c r="K439" i="246"/>
  <c r="J439" i="246"/>
  <c r="I439" i="246"/>
  <c r="G439" i="246"/>
  <c r="E439" i="246"/>
  <c r="D439" i="246"/>
  <c r="U439" i="246" s="1"/>
  <c r="R454" i="246"/>
  <c r="Q454" i="246"/>
  <c r="P454" i="246"/>
  <c r="O454" i="246"/>
  <c r="L454" i="246"/>
  <c r="K454" i="246"/>
  <c r="J454" i="246"/>
  <c r="I454" i="246"/>
  <c r="R453" i="246"/>
  <c r="Q453" i="246"/>
  <c r="P453" i="246"/>
  <c r="O453" i="246"/>
  <c r="L453" i="246"/>
  <c r="K453" i="246"/>
  <c r="J453" i="246"/>
  <c r="I453" i="246"/>
  <c r="R452" i="246"/>
  <c r="Q452" i="246"/>
  <c r="P452" i="246"/>
  <c r="O452" i="246"/>
  <c r="L452" i="246"/>
  <c r="K452" i="246"/>
  <c r="J452" i="246"/>
  <c r="I452" i="246"/>
  <c r="R451" i="246"/>
  <c r="Q451" i="246"/>
  <c r="P451" i="246"/>
  <c r="O451" i="246"/>
  <c r="L451" i="246"/>
  <c r="K451" i="246"/>
  <c r="J451" i="246"/>
  <c r="I451" i="246"/>
  <c r="R450" i="246"/>
  <c r="Q450" i="246"/>
  <c r="P450" i="246"/>
  <c r="O450" i="246"/>
  <c r="L450" i="246"/>
  <c r="K450" i="246"/>
  <c r="J450" i="246"/>
  <c r="I450" i="246"/>
  <c r="R449" i="246"/>
  <c r="Q449" i="246"/>
  <c r="P449" i="246"/>
  <c r="O449" i="246"/>
  <c r="L449" i="246"/>
  <c r="K449" i="246"/>
  <c r="J449" i="246"/>
  <c r="I449" i="246"/>
  <c r="R448" i="246"/>
  <c r="Q448" i="246"/>
  <c r="P448" i="246"/>
  <c r="O448" i="246"/>
  <c r="L448" i="246"/>
  <c r="K448" i="246"/>
  <c r="J448" i="246"/>
  <c r="I448" i="246"/>
  <c r="R447" i="246"/>
  <c r="Q447" i="246"/>
  <c r="P447" i="246"/>
  <c r="O447" i="246"/>
  <c r="L447" i="246"/>
  <c r="K447" i="246"/>
  <c r="J447" i="246"/>
  <c r="I447" i="246"/>
  <c r="R446" i="246"/>
  <c r="Q446" i="246"/>
  <c r="P446" i="246"/>
  <c r="O446" i="246"/>
  <c r="L446" i="246"/>
  <c r="K446" i="246"/>
  <c r="J446" i="246"/>
  <c r="I446" i="246"/>
  <c r="R445" i="246"/>
  <c r="Q445" i="246"/>
  <c r="P445" i="246"/>
  <c r="O445" i="246"/>
  <c r="L445" i="246"/>
  <c r="K445" i="246"/>
  <c r="J445" i="246"/>
  <c r="I445" i="246"/>
  <c r="R444" i="246"/>
  <c r="Q444" i="246"/>
  <c r="P444" i="246"/>
  <c r="O444" i="246"/>
  <c r="L444" i="246"/>
  <c r="K444" i="246"/>
  <c r="J444" i="246"/>
  <c r="I444" i="246"/>
  <c r="R443" i="246"/>
  <c r="Q443" i="246"/>
  <c r="P443" i="246"/>
  <c r="O443" i="246"/>
  <c r="L443" i="246"/>
  <c r="K443" i="246"/>
  <c r="J443" i="246"/>
  <c r="I443" i="246"/>
  <c r="R438" i="246"/>
  <c r="Q438" i="246"/>
  <c r="P438" i="246"/>
  <c r="O438" i="246"/>
  <c r="L438" i="246"/>
  <c r="K438" i="246"/>
  <c r="J438" i="246"/>
  <c r="I438" i="246"/>
  <c r="R437" i="246"/>
  <c r="Q437" i="246"/>
  <c r="P437" i="246"/>
  <c r="O437" i="246"/>
  <c r="L437" i="246"/>
  <c r="K437" i="246"/>
  <c r="J437" i="246"/>
  <c r="I437" i="246"/>
  <c r="R436" i="246"/>
  <c r="Q436" i="246"/>
  <c r="P436" i="246"/>
  <c r="O436" i="246"/>
  <c r="L436" i="246"/>
  <c r="K436" i="246"/>
  <c r="J436" i="246"/>
  <c r="I436" i="246"/>
  <c r="R433" i="246"/>
  <c r="Q433" i="246"/>
  <c r="P433" i="246"/>
  <c r="O433" i="246"/>
  <c r="L433" i="246"/>
  <c r="K433" i="246"/>
  <c r="J433" i="246"/>
  <c r="I433" i="246"/>
  <c r="R432" i="246"/>
  <c r="Q432" i="246"/>
  <c r="P432" i="246"/>
  <c r="O432" i="246"/>
  <c r="L432" i="246"/>
  <c r="K432" i="246"/>
  <c r="J432" i="246"/>
  <c r="I432" i="246"/>
  <c r="R431" i="246"/>
  <c r="Q431" i="246"/>
  <c r="P431" i="246"/>
  <c r="O431" i="246"/>
  <c r="L431" i="246"/>
  <c r="K431" i="246"/>
  <c r="J431" i="246"/>
  <c r="I431" i="246"/>
  <c r="R430" i="246"/>
  <c r="Q430" i="246"/>
  <c r="P430" i="246"/>
  <c r="O430" i="246"/>
  <c r="L430" i="246"/>
  <c r="K430" i="246"/>
  <c r="J430" i="246"/>
  <c r="I430" i="246"/>
  <c r="R424" i="246"/>
  <c r="Q424" i="246"/>
  <c r="P424" i="246"/>
  <c r="O424" i="246"/>
  <c r="L424" i="246"/>
  <c r="K424" i="246"/>
  <c r="J424" i="246"/>
  <c r="I424" i="246"/>
  <c r="R423" i="246"/>
  <c r="Q423" i="246"/>
  <c r="P423" i="246"/>
  <c r="O423" i="246"/>
  <c r="L423" i="246"/>
  <c r="K423" i="246"/>
  <c r="J423" i="246"/>
  <c r="I423" i="246"/>
  <c r="R422" i="246"/>
  <c r="Q422" i="246"/>
  <c r="P422" i="246"/>
  <c r="O422" i="246"/>
  <c r="L422" i="246"/>
  <c r="K422" i="246"/>
  <c r="J422" i="246"/>
  <c r="I422" i="246"/>
  <c r="R421" i="246"/>
  <c r="Q421" i="246"/>
  <c r="P421" i="246"/>
  <c r="O421" i="246"/>
  <c r="L421" i="246"/>
  <c r="K421" i="246"/>
  <c r="J421" i="246"/>
  <c r="I421" i="246"/>
  <c r="R418" i="246"/>
  <c r="Q418" i="246"/>
  <c r="P418" i="246"/>
  <c r="O418" i="246"/>
  <c r="L418" i="246"/>
  <c r="K418" i="246"/>
  <c r="J418" i="246"/>
  <c r="I418" i="246"/>
  <c r="C418" i="246"/>
  <c r="C469" i="246" s="1"/>
  <c r="C520" i="246" s="1"/>
  <c r="C571" i="246" s="1"/>
  <c r="C622" i="246" s="1"/>
  <c r="R417" i="246"/>
  <c r="Q417" i="246"/>
  <c r="P417" i="246"/>
  <c r="O417" i="246"/>
  <c r="L417" i="246"/>
  <c r="K417" i="246"/>
  <c r="J417" i="246"/>
  <c r="I417" i="246"/>
  <c r="R416" i="246"/>
  <c r="Q416" i="246"/>
  <c r="P416" i="246"/>
  <c r="O416" i="246"/>
  <c r="L416" i="246"/>
  <c r="K416" i="246"/>
  <c r="J416" i="246"/>
  <c r="I416" i="246"/>
  <c r="V389" i="246"/>
  <c r="R389" i="246"/>
  <c r="Q389" i="246"/>
  <c r="P389" i="246"/>
  <c r="O389" i="246"/>
  <c r="L389" i="246"/>
  <c r="K389" i="246"/>
  <c r="J389" i="246"/>
  <c r="I389" i="246"/>
  <c r="G389" i="246"/>
  <c r="E389" i="246"/>
  <c r="D389" i="246"/>
  <c r="U389" i="246" s="1"/>
  <c r="V388" i="246"/>
  <c r="R388" i="246"/>
  <c r="Q388" i="246"/>
  <c r="P388" i="246"/>
  <c r="O388" i="246"/>
  <c r="L388" i="246"/>
  <c r="K388" i="246"/>
  <c r="J388" i="246"/>
  <c r="I388" i="246"/>
  <c r="G388" i="246"/>
  <c r="E388" i="246"/>
  <c r="D388" i="246"/>
  <c r="U388" i="246" s="1"/>
  <c r="R403" i="246"/>
  <c r="Q403" i="246"/>
  <c r="P403" i="246"/>
  <c r="O403" i="246"/>
  <c r="L403" i="246"/>
  <c r="K403" i="246"/>
  <c r="J403" i="246"/>
  <c r="I403" i="246"/>
  <c r="R402" i="246"/>
  <c r="Q402" i="246"/>
  <c r="P402" i="246"/>
  <c r="O402" i="246"/>
  <c r="L402" i="246"/>
  <c r="K402" i="246"/>
  <c r="J402" i="246"/>
  <c r="I402" i="246"/>
  <c r="R401" i="246"/>
  <c r="Q401" i="246"/>
  <c r="P401" i="246"/>
  <c r="O401" i="246"/>
  <c r="L401" i="246"/>
  <c r="K401" i="246"/>
  <c r="J401" i="246"/>
  <c r="I401" i="246"/>
  <c r="R400" i="246"/>
  <c r="Q400" i="246"/>
  <c r="P400" i="246"/>
  <c r="O400" i="246"/>
  <c r="L400" i="246"/>
  <c r="K400" i="246"/>
  <c r="J400" i="246"/>
  <c r="I400" i="246"/>
  <c r="R399" i="246"/>
  <c r="Q399" i="246"/>
  <c r="P399" i="246"/>
  <c r="O399" i="246"/>
  <c r="L399" i="246"/>
  <c r="K399" i="246"/>
  <c r="J399" i="246"/>
  <c r="I399" i="246"/>
  <c r="R398" i="246"/>
  <c r="Q398" i="246"/>
  <c r="P398" i="246"/>
  <c r="O398" i="246"/>
  <c r="L398" i="246"/>
  <c r="K398" i="246"/>
  <c r="J398" i="246"/>
  <c r="I398" i="246"/>
  <c r="R397" i="246"/>
  <c r="Q397" i="246"/>
  <c r="P397" i="246"/>
  <c r="O397" i="246"/>
  <c r="L397" i="246"/>
  <c r="K397" i="246"/>
  <c r="J397" i="246"/>
  <c r="I397" i="246"/>
  <c r="R396" i="246"/>
  <c r="Q396" i="246"/>
  <c r="P396" i="246"/>
  <c r="O396" i="246"/>
  <c r="L396" i="246"/>
  <c r="K396" i="246"/>
  <c r="J396" i="246"/>
  <c r="I396" i="246"/>
  <c r="R395" i="246"/>
  <c r="Q395" i="246"/>
  <c r="P395" i="246"/>
  <c r="O395" i="246"/>
  <c r="L395" i="246"/>
  <c r="K395" i="246"/>
  <c r="J395" i="246"/>
  <c r="I395" i="246"/>
  <c r="R394" i="246"/>
  <c r="Q394" i="246"/>
  <c r="P394" i="246"/>
  <c r="O394" i="246"/>
  <c r="L394" i="246"/>
  <c r="K394" i="246"/>
  <c r="J394" i="246"/>
  <c r="I394" i="246"/>
  <c r="R393" i="246"/>
  <c r="Q393" i="246"/>
  <c r="P393" i="246"/>
  <c r="O393" i="246"/>
  <c r="L393" i="246"/>
  <c r="K393" i="246"/>
  <c r="J393" i="246"/>
  <c r="I393" i="246"/>
  <c r="R392" i="246"/>
  <c r="Q392" i="246"/>
  <c r="P392" i="246"/>
  <c r="O392" i="246"/>
  <c r="L392" i="246"/>
  <c r="K392" i="246"/>
  <c r="J392" i="246"/>
  <c r="I392" i="246"/>
  <c r="R387" i="246"/>
  <c r="Q387" i="246"/>
  <c r="P387" i="246"/>
  <c r="O387" i="246"/>
  <c r="L387" i="246"/>
  <c r="K387" i="246"/>
  <c r="J387" i="246"/>
  <c r="I387" i="246"/>
  <c r="R386" i="246"/>
  <c r="Q386" i="246"/>
  <c r="P386" i="246"/>
  <c r="O386" i="246"/>
  <c r="L386" i="246"/>
  <c r="K386" i="246"/>
  <c r="J386" i="246"/>
  <c r="I386" i="246"/>
  <c r="R385" i="246"/>
  <c r="Q385" i="246"/>
  <c r="P385" i="246"/>
  <c r="O385" i="246"/>
  <c r="L385" i="246"/>
  <c r="K385" i="246"/>
  <c r="J385" i="246"/>
  <c r="I385" i="246"/>
  <c r="R382" i="246"/>
  <c r="Q382" i="246"/>
  <c r="P382" i="246"/>
  <c r="O382" i="246"/>
  <c r="L382" i="246"/>
  <c r="K382" i="246"/>
  <c r="J382" i="246"/>
  <c r="I382" i="246"/>
  <c r="R381" i="246"/>
  <c r="Q381" i="246"/>
  <c r="P381" i="246"/>
  <c r="O381" i="246"/>
  <c r="L381" i="246"/>
  <c r="K381" i="246"/>
  <c r="J381" i="246"/>
  <c r="I381" i="246"/>
  <c r="R380" i="246"/>
  <c r="Q380" i="246"/>
  <c r="P380" i="246"/>
  <c r="O380" i="246"/>
  <c r="L380" i="246"/>
  <c r="K380" i="246"/>
  <c r="J380" i="246"/>
  <c r="I380" i="246"/>
  <c r="R379" i="246"/>
  <c r="Q379" i="246"/>
  <c r="P379" i="246"/>
  <c r="O379" i="246"/>
  <c r="L379" i="246"/>
  <c r="K379" i="246"/>
  <c r="J379" i="246"/>
  <c r="I379" i="246"/>
  <c r="R373" i="246"/>
  <c r="Q373" i="246"/>
  <c r="P373" i="246"/>
  <c r="O373" i="246"/>
  <c r="L373" i="246"/>
  <c r="K373" i="246"/>
  <c r="J373" i="246"/>
  <c r="I373" i="246"/>
  <c r="R372" i="246"/>
  <c r="Q372" i="246"/>
  <c r="P372" i="246"/>
  <c r="O372" i="246"/>
  <c r="L372" i="246"/>
  <c r="K372" i="246"/>
  <c r="J372" i="246"/>
  <c r="I372" i="246"/>
  <c r="R371" i="246"/>
  <c r="Q371" i="246"/>
  <c r="P371" i="246"/>
  <c r="O371" i="246"/>
  <c r="L371" i="246"/>
  <c r="K371" i="246"/>
  <c r="J371" i="246"/>
  <c r="I371" i="246"/>
  <c r="R370" i="246"/>
  <c r="Q370" i="246"/>
  <c r="P370" i="246"/>
  <c r="O370" i="246"/>
  <c r="L370" i="246"/>
  <c r="K370" i="246"/>
  <c r="J370" i="246"/>
  <c r="I370" i="246"/>
  <c r="R367" i="246"/>
  <c r="Q367" i="246"/>
  <c r="P367" i="246"/>
  <c r="O367" i="246"/>
  <c r="L367" i="246"/>
  <c r="K367" i="246"/>
  <c r="J367" i="246"/>
  <c r="I367" i="246"/>
  <c r="R366" i="246"/>
  <c r="Q366" i="246"/>
  <c r="P366" i="246"/>
  <c r="O366" i="246"/>
  <c r="L366" i="246"/>
  <c r="K366" i="246"/>
  <c r="J366" i="246"/>
  <c r="I366" i="246"/>
  <c r="R365" i="246"/>
  <c r="Q365" i="246"/>
  <c r="P365" i="246"/>
  <c r="O365" i="246"/>
  <c r="L365" i="246"/>
  <c r="K365" i="246"/>
  <c r="J365" i="246"/>
  <c r="I365" i="246"/>
  <c r="V338" i="246"/>
  <c r="R338" i="246"/>
  <c r="Q338" i="246"/>
  <c r="P338" i="246"/>
  <c r="O338" i="246"/>
  <c r="L338" i="246"/>
  <c r="K338" i="246"/>
  <c r="J338" i="246"/>
  <c r="I338" i="246"/>
  <c r="G338" i="246"/>
  <c r="E338" i="246"/>
  <c r="D338" i="246"/>
  <c r="U338" i="246" s="1"/>
  <c r="V337" i="246"/>
  <c r="R337" i="246"/>
  <c r="Q337" i="246"/>
  <c r="P337" i="246"/>
  <c r="O337" i="246"/>
  <c r="L337" i="246"/>
  <c r="K337" i="246"/>
  <c r="J337" i="246"/>
  <c r="I337" i="246"/>
  <c r="G337" i="246"/>
  <c r="E337" i="246"/>
  <c r="D337" i="246"/>
  <c r="U337" i="246" s="1"/>
  <c r="R352" i="246"/>
  <c r="Q352" i="246"/>
  <c r="P352" i="246"/>
  <c r="O352" i="246"/>
  <c r="L352" i="246"/>
  <c r="K352" i="246"/>
  <c r="J352" i="246"/>
  <c r="I352" i="246"/>
  <c r="R351" i="246"/>
  <c r="Q351" i="246"/>
  <c r="P351" i="246"/>
  <c r="O351" i="246"/>
  <c r="L351" i="246"/>
  <c r="K351" i="246"/>
  <c r="J351" i="246"/>
  <c r="I351" i="246"/>
  <c r="R350" i="246"/>
  <c r="Q350" i="246"/>
  <c r="P350" i="246"/>
  <c r="O350" i="246"/>
  <c r="L350" i="246"/>
  <c r="K350" i="246"/>
  <c r="J350" i="246"/>
  <c r="I350" i="246"/>
  <c r="R349" i="246"/>
  <c r="Q349" i="246"/>
  <c r="P349" i="246"/>
  <c r="O349" i="246"/>
  <c r="L349" i="246"/>
  <c r="K349" i="246"/>
  <c r="J349" i="246"/>
  <c r="I349" i="246"/>
  <c r="R348" i="246"/>
  <c r="Q348" i="246"/>
  <c r="P348" i="246"/>
  <c r="O348" i="246"/>
  <c r="L348" i="246"/>
  <c r="K348" i="246"/>
  <c r="J348" i="246"/>
  <c r="I348" i="246"/>
  <c r="R347" i="246"/>
  <c r="Q347" i="246"/>
  <c r="P347" i="246"/>
  <c r="O347" i="246"/>
  <c r="L347" i="246"/>
  <c r="K347" i="246"/>
  <c r="J347" i="246"/>
  <c r="I347" i="246"/>
  <c r="R346" i="246"/>
  <c r="Q346" i="246"/>
  <c r="P346" i="246"/>
  <c r="O346" i="246"/>
  <c r="L346" i="246"/>
  <c r="K346" i="246"/>
  <c r="J346" i="246"/>
  <c r="I346" i="246"/>
  <c r="R345" i="246"/>
  <c r="Q345" i="246"/>
  <c r="P345" i="246"/>
  <c r="O345" i="246"/>
  <c r="L345" i="246"/>
  <c r="K345" i="246"/>
  <c r="J345" i="246"/>
  <c r="I345" i="246"/>
  <c r="R344" i="246"/>
  <c r="Q344" i="246"/>
  <c r="P344" i="246"/>
  <c r="O344" i="246"/>
  <c r="L344" i="246"/>
  <c r="K344" i="246"/>
  <c r="J344" i="246"/>
  <c r="I344" i="246"/>
  <c r="R343" i="246"/>
  <c r="Q343" i="246"/>
  <c r="P343" i="246"/>
  <c r="O343" i="246"/>
  <c r="L343" i="246"/>
  <c r="K343" i="246"/>
  <c r="J343" i="246"/>
  <c r="I343" i="246"/>
  <c r="R342" i="246"/>
  <c r="Q342" i="246"/>
  <c r="P342" i="246"/>
  <c r="O342" i="246"/>
  <c r="L342" i="246"/>
  <c r="K342" i="246"/>
  <c r="J342" i="246"/>
  <c r="I342" i="246"/>
  <c r="R341" i="246"/>
  <c r="Q341" i="246"/>
  <c r="P341" i="246"/>
  <c r="O341" i="246"/>
  <c r="L341" i="246"/>
  <c r="K341" i="246"/>
  <c r="J341" i="246"/>
  <c r="I341" i="246"/>
  <c r="R336" i="246"/>
  <c r="Q336" i="246"/>
  <c r="P336" i="246"/>
  <c r="O336" i="246"/>
  <c r="L336" i="246"/>
  <c r="K336" i="246"/>
  <c r="J336" i="246"/>
  <c r="I336" i="246"/>
  <c r="R335" i="246"/>
  <c r="Q335" i="246"/>
  <c r="P335" i="246"/>
  <c r="O335" i="246"/>
  <c r="L335" i="246"/>
  <c r="K335" i="246"/>
  <c r="J335" i="246"/>
  <c r="I335" i="246"/>
  <c r="R334" i="246"/>
  <c r="Q334" i="246"/>
  <c r="P334" i="246"/>
  <c r="O334" i="246"/>
  <c r="L334" i="246"/>
  <c r="K334" i="246"/>
  <c r="J334" i="246"/>
  <c r="I334" i="246"/>
  <c r="R331" i="246"/>
  <c r="Q331" i="246"/>
  <c r="P331" i="246"/>
  <c r="O331" i="246"/>
  <c r="L331" i="246"/>
  <c r="K331" i="246"/>
  <c r="J331" i="246"/>
  <c r="I331" i="246"/>
  <c r="R330" i="246"/>
  <c r="Q330" i="246"/>
  <c r="P330" i="246"/>
  <c r="O330" i="246"/>
  <c r="L330" i="246"/>
  <c r="K330" i="246"/>
  <c r="J330" i="246"/>
  <c r="I330" i="246"/>
  <c r="R329" i="246"/>
  <c r="Q329" i="246"/>
  <c r="P329" i="246"/>
  <c r="O329" i="246"/>
  <c r="L329" i="246"/>
  <c r="K329" i="246"/>
  <c r="J329" i="246"/>
  <c r="I329" i="246"/>
  <c r="R328" i="246"/>
  <c r="Q328" i="246"/>
  <c r="P328" i="246"/>
  <c r="O328" i="246"/>
  <c r="L328" i="246"/>
  <c r="K328" i="246"/>
  <c r="J328" i="246"/>
  <c r="I328" i="246"/>
  <c r="R322" i="246"/>
  <c r="Q322" i="246"/>
  <c r="P322" i="246"/>
  <c r="O322" i="246"/>
  <c r="L322" i="246"/>
  <c r="K322" i="246"/>
  <c r="J322" i="246"/>
  <c r="I322" i="246"/>
  <c r="R321" i="246"/>
  <c r="Q321" i="246"/>
  <c r="P321" i="246"/>
  <c r="O321" i="246"/>
  <c r="L321" i="246"/>
  <c r="I321" i="246"/>
  <c r="K321" i="246"/>
  <c r="J321" i="246"/>
  <c r="R320" i="246"/>
  <c r="Q320" i="246"/>
  <c r="P320" i="246"/>
  <c r="O320" i="246"/>
  <c r="L320" i="246"/>
  <c r="K320" i="246"/>
  <c r="J320" i="246"/>
  <c r="I320" i="246"/>
  <c r="R319" i="246"/>
  <c r="Q319" i="246"/>
  <c r="P319" i="246"/>
  <c r="O319" i="246"/>
  <c r="L319" i="246"/>
  <c r="K319" i="246"/>
  <c r="J319" i="246"/>
  <c r="I319" i="246"/>
  <c r="R316" i="246"/>
  <c r="Q316" i="246"/>
  <c r="P316" i="246"/>
  <c r="O316" i="246"/>
  <c r="L316" i="246"/>
  <c r="K316" i="246"/>
  <c r="J316" i="246"/>
  <c r="I316" i="246"/>
  <c r="R315" i="246"/>
  <c r="Q315" i="246"/>
  <c r="P315" i="246"/>
  <c r="O315" i="246"/>
  <c r="L315" i="246"/>
  <c r="K315" i="246"/>
  <c r="J315" i="246"/>
  <c r="I315" i="246"/>
  <c r="R314" i="246"/>
  <c r="Q314" i="246"/>
  <c r="P314" i="246"/>
  <c r="O314" i="246"/>
  <c r="L314" i="246"/>
  <c r="K314" i="246"/>
  <c r="J314" i="246"/>
  <c r="I314" i="246"/>
  <c r="V287" i="246"/>
  <c r="R287" i="246"/>
  <c r="Q287" i="246"/>
  <c r="P287" i="246"/>
  <c r="O287" i="246"/>
  <c r="L287" i="246"/>
  <c r="K287" i="246"/>
  <c r="J287" i="246"/>
  <c r="I287" i="246"/>
  <c r="G287" i="246"/>
  <c r="E287" i="246"/>
  <c r="D287" i="246"/>
  <c r="U287" i="246" s="1"/>
  <c r="V286" i="246"/>
  <c r="R286" i="246"/>
  <c r="Q286" i="246"/>
  <c r="P286" i="246"/>
  <c r="O286" i="246"/>
  <c r="L286" i="246"/>
  <c r="K286" i="246"/>
  <c r="J286" i="246"/>
  <c r="I286" i="246"/>
  <c r="G286" i="246"/>
  <c r="E286" i="246"/>
  <c r="D286" i="246"/>
  <c r="U286" i="246" s="1"/>
  <c r="R301" i="246"/>
  <c r="Q301" i="246"/>
  <c r="P301" i="246"/>
  <c r="O301" i="246"/>
  <c r="L301" i="246"/>
  <c r="K301" i="246"/>
  <c r="J301" i="246"/>
  <c r="I301" i="246"/>
  <c r="R300" i="246"/>
  <c r="Q300" i="246"/>
  <c r="P300" i="246"/>
  <c r="O300" i="246"/>
  <c r="L300" i="246"/>
  <c r="K300" i="246"/>
  <c r="J300" i="246"/>
  <c r="I300" i="246"/>
  <c r="R299" i="246"/>
  <c r="Q299" i="246"/>
  <c r="P299" i="246"/>
  <c r="O299" i="246"/>
  <c r="L299" i="246"/>
  <c r="K299" i="246"/>
  <c r="J299" i="246"/>
  <c r="I299" i="246"/>
  <c r="R298" i="246"/>
  <c r="Q298" i="246"/>
  <c r="P298" i="246"/>
  <c r="O298" i="246"/>
  <c r="L298" i="246"/>
  <c r="K298" i="246"/>
  <c r="J298" i="246"/>
  <c r="I298" i="246"/>
  <c r="R297" i="246"/>
  <c r="Q297" i="246"/>
  <c r="P297" i="246"/>
  <c r="O297" i="246"/>
  <c r="L297" i="246"/>
  <c r="K297" i="246"/>
  <c r="J297" i="246"/>
  <c r="I297" i="246"/>
  <c r="R296" i="246"/>
  <c r="Q296" i="246"/>
  <c r="P296" i="246"/>
  <c r="O296" i="246"/>
  <c r="L296" i="246"/>
  <c r="K296" i="246"/>
  <c r="J296" i="246"/>
  <c r="I296" i="246"/>
  <c r="R295" i="246"/>
  <c r="Q295" i="246"/>
  <c r="P295" i="246"/>
  <c r="O295" i="246"/>
  <c r="L295" i="246"/>
  <c r="K295" i="246"/>
  <c r="J295" i="246"/>
  <c r="I295" i="246"/>
  <c r="R294" i="246"/>
  <c r="Q294" i="246"/>
  <c r="P294" i="246"/>
  <c r="O294" i="246"/>
  <c r="L294" i="246"/>
  <c r="K294" i="246"/>
  <c r="J294" i="246"/>
  <c r="I294" i="246"/>
  <c r="R293" i="246"/>
  <c r="Q293" i="246"/>
  <c r="P293" i="246"/>
  <c r="O293" i="246"/>
  <c r="L293" i="246"/>
  <c r="K293" i="246"/>
  <c r="J293" i="246"/>
  <c r="I293" i="246"/>
  <c r="R292" i="246"/>
  <c r="Q292" i="246"/>
  <c r="P292" i="246"/>
  <c r="O292" i="246"/>
  <c r="L292" i="246"/>
  <c r="K292" i="246"/>
  <c r="J292" i="246"/>
  <c r="I292" i="246"/>
  <c r="R291" i="246"/>
  <c r="Q291" i="246"/>
  <c r="P291" i="246"/>
  <c r="O291" i="246"/>
  <c r="L291" i="246"/>
  <c r="K291" i="246"/>
  <c r="J291" i="246"/>
  <c r="I291" i="246"/>
  <c r="R290" i="246"/>
  <c r="Q290" i="246"/>
  <c r="P290" i="246"/>
  <c r="O290" i="246"/>
  <c r="L290" i="246"/>
  <c r="K290" i="246"/>
  <c r="J290" i="246"/>
  <c r="I290" i="246"/>
  <c r="R285" i="246"/>
  <c r="Q285" i="246"/>
  <c r="P285" i="246"/>
  <c r="O285" i="246"/>
  <c r="L285" i="246"/>
  <c r="K285" i="246"/>
  <c r="J285" i="246"/>
  <c r="I285" i="246"/>
  <c r="R284" i="246"/>
  <c r="Q284" i="246"/>
  <c r="P284" i="246"/>
  <c r="O284" i="246"/>
  <c r="L284" i="246"/>
  <c r="K284" i="246"/>
  <c r="J284" i="246"/>
  <c r="I284" i="246"/>
  <c r="R283" i="246"/>
  <c r="Q283" i="246"/>
  <c r="P283" i="246"/>
  <c r="O283" i="246"/>
  <c r="L283" i="246"/>
  <c r="K283" i="246"/>
  <c r="J283" i="246"/>
  <c r="I283" i="246"/>
  <c r="R280" i="246"/>
  <c r="Q280" i="246"/>
  <c r="P280" i="246"/>
  <c r="O280" i="246"/>
  <c r="L280" i="246"/>
  <c r="K280" i="246"/>
  <c r="J280" i="246"/>
  <c r="I280" i="246"/>
  <c r="R279" i="246"/>
  <c r="Q279" i="246"/>
  <c r="P279" i="246"/>
  <c r="O279" i="246"/>
  <c r="L279" i="246"/>
  <c r="K279" i="246"/>
  <c r="J279" i="246"/>
  <c r="I279" i="246"/>
  <c r="R278" i="246"/>
  <c r="Q278" i="246"/>
  <c r="P278" i="246"/>
  <c r="O278" i="246"/>
  <c r="L278" i="246"/>
  <c r="K278" i="246"/>
  <c r="J278" i="246"/>
  <c r="I278" i="246"/>
  <c r="R277" i="246"/>
  <c r="Q277" i="246"/>
  <c r="P277" i="246"/>
  <c r="O277" i="246"/>
  <c r="L277" i="246"/>
  <c r="K277" i="246"/>
  <c r="J277" i="246"/>
  <c r="I277" i="246"/>
  <c r="R271" i="246"/>
  <c r="Q271" i="246"/>
  <c r="P271" i="246"/>
  <c r="O271" i="246"/>
  <c r="L271" i="246"/>
  <c r="K271" i="246"/>
  <c r="J271" i="246"/>
  <c r="I271" i="246"/>
  <c r="R270" i="246"/>
  <c r="Q270" i="246"/>
  <c r="P270" i="246"/>
  <c r="O270" i="246"/>
  <c r="L270" i="246"/>
  <c r="K270" i="246"/>
  <c r="J270" i="246"/>
  <c r="I270" i="246"/>
  <c r="R269" i="246"/>
  <c r="Q269" i="246"/>
  <c r="P269" i="246"/>
  <c r="O269" i="246"/>
  <c r="L269" i="246"/>
  <c r="K269" i="246"/>
  <c r="J269" i="246"/>
  <c r="I269" i="246"/>
  <c r="R268" i="246"/>
  <c r="Q268" i="246"/>
  <c r="P268" i="246"/>
  <c r="O268" i="246"/>
  <c r="L268" i="246"/>
  <c r="K268" i="246"/>
  <c r="J268" i="246"/>
  <c r="I268" i="246"/>
  <c r="R265" i="246"/>
  <c r="Q265" i="246"/>
  <c r="P265" i="246"/>
  <c r="O265" i="246"/>
  <c r="L265" i="246"/>
  <c r="K265" i="246"/>
  <c r="J265" i="246"/>
  <c r="I265" i="246"/>
  <c r="R264" i="246"/>
  <c r="Q264" i="246"/>
  <c r="P264" i="246"/>
  <c r="O264" i="246"/>
  <c r="L264" i="246"/>
  <c r="K264" i="246"/>
  <c r="J264" i="246"/>
  <c r="I264" i="246"/>
  <c r="R263" i="246"/>
  <c r="Q263" i="246"/>
  <c r="P263" i="246"/>
  <c r="O263" i="246"/>
  <c r="L263" i="246"/>
  <c r="K263" i="246"/>
  <c r="J263" i="246"/>
  <c r="I263" i="246"/>
  <c r="V236" i="246"/>
  <c r="R236" i="246"/>
  <c r="Q236" i="246"/>
  <c r="P236" i="246"/>
  <c r="O236" i="246"/>
  <c r="G236" i="246"/>
  <c r="E236" i="246"/>
  <c r="D236" i="246"/>
  <c r="U236" i="246" s="1"/>
  <c r="V235" i="246"/>
  <c r="R235" i="246"/>
  <c r="Q235" i="246"/>
  <c r="P235" i="246"/>
  <c r="O235" i="246"/>
  <c r="G235" i="246"/>
  <c r="E235" i="246"/>
  <c r="D235" i="246"/>
  <c r="U235" i="246" s="1"/>
  <c r="R250" i="246"/>
  <c r="Q250" i="246"/>
  <c r="P250" i="246"/>
  <c r="O250" i="246"/>
  <c r="R249" i="246"/>
  <c r="Q249" i="246"/>
  <c r="P249" i="246"/>
  <c r="O249" i="246"/>
  <c r="R248" i="246"/>
  <c r="Q248" i="246"/>
  <c r="P248" i="246"/>
  <c r="O248" i="246"/>
  <c r="R247" i="246"/>
  <c r="Q247" i="246"/>
  <c r="P247" i="246"/>
  <c r="O247" i="246"/>
  <c r="R246" i="246"/>
  <c r="Q246" i="246"/>
  <c r="P246" i="246"/>
  <c r="O246" i="246"/>
  <c r="R245" i="246"/>
  <c r="Q245" i="246"/>
  <c r="P245" i="246"/>
  <c r="O245" i="246"/>
  <c r="R244" i="246"/>
  <c r="Q244" i="246"/>
  <c r="P244" i="246"/>
  <c r="O244" i="246"/>
  <c r="R243" i="246"/>
  <c r="Q243" i="246"/>
  <c r="P243" i="246"/>
  <c r="O243" i="246"/>
  <c r="R242" i="246"/>
  <c r="Q242" i="246"/>
  <c r="P242" i="246"/>
  <c r="O242" i="246"/>
  <c r="R241" i="246"/>
  <c r="Q241" i="246"/>
  <c r="P241" i="246"/>
  <c r="O241" i="246"/>
  <c r="R240" i="246"/>
  <c r="Q240" i="246"/>
  <c r="P240" i="246"/>
  <c r="O240" i="246"/>
  <c r="R239" i="246"/>
  <c r="Q239" i="246"/>
  <c r="P239" i="246"/>
  <c r="O239" i="246"/>
  <c r="R234" i="246"/>
  <c r="Q234" i="246"/>
  <c r="P234" i="246"/>
  <c r="O234" i="246"/>
  <c r="R233" i="246"/>
  <c r="Q233" i="246"/>
  <c r="P233" i="246"/>
  <c r="O233" i="246"/>
  <c r="R232" i="246"/>
  <c r="Q232" i="246"/>
  <c r="P232" i="246"/>
  <c r="O232" i="246"/>
  <c r="R229" i="246"/>
  <c r="Q229" i="246"/>
  <c r="P229" i="246"/>
  <c r="O229" i="246"/>
  <c r="R228" i="246"/>
  <c r="Q228" i="246"/>
  <c r="P228" i="246"/>
  <c r="O228" i="246"/>
  <c r="R227" i="246"/>
  <c r="Q227" i="246"/>
  <c r="P227" i="246"/>
  <c r="O227" i="246"/>
  <c r="R226" i="246"/>
  <c r="Q226" i="246"/>
  <c r="P226" i="246"/>
  <c r="O226" i="246"/>
  <c r="R220" i="246"/>
  <c r="Q220" i="246"/>
  <c r="P220" i="246"/>
  <c r="O220" i="246"/>
  <c r="R219" i="246"/>
  <c r="Q219" i="246"/>
  <c r="P219" i="246"/>
  <c r="O219" i="246"/>
  <c r="R218" i="246"/>
  <c r="Q218" i="246"/>
  <c r="P218" i="246"/>
  <c r="O218" i="246"/>
  <c r="R217" i="246"/>
  <c r="Q217" i="246"/>
  <c r="P217" i="246"/>
  <c r="O217" i="246"/>
  <c r="R214" i="246"/>
  <c r="Q214" i="246"/>
  <c r="P214" i="246"/>
  <c r="O214" i="246"/>
  <c r="R213" i="246"/>
  <c r="Q213" i="246"/>
  <c r="P213" i="246"/>
  <c r="O213" i="246"/>
  <c r="R212" i="246"/>
  <c r="Q212" i="246"/>
  <c r="P212" i="246"/>
  <c r="O212" i="246"/>
  <c r="V185" i="246"/>
  <c r="G185" i="246"/>
  <c r="E185" i="246"/>
  <c r="D185" i="246"/>
  <c r="U185" i="246" s="1"/>
  <c r="V184" i="246"/>
  <c r="G184" i="246"/>
  <c r="E184" i="246"/>
  <c r="D184" i="246"/>
  <c r="U184" i="246" s="1"/>
  <c r="V134" i="246"/>
  <c r="G134" i="246"/>
  <c r="E134" i="246"/>
  <c r="D134" i="246"/>
  <c r="U134" i="246" s="1"/>
  <c r="V133" i="246"/>
  <c r="G133" i="246"/>
  <c r="E133" i="246"/>
  <c r="D133" i="246"/>
  <c r="U133" i="246" s="1"/>
  <c r="C125" i="246"/>
  <c r="C176" i="246" s="1"/>
  <c r="C227" i="246" s="1"/>
  <c r="C278" i="246" s="1"/>
  <c r="C329" i="246" s="1"/>
  <c r="C380" i="246" s="1"/>
  <c r="C431" i="246" s="1"/>
  <c r="C482" i="246" s="1"/>
  <c r="C533" i="246" s="1"/>
  <c r="C584" i="246" s="1"/>
  <c r="C635" i="246" s="1"/>
  <c r="V106" i="246"/>
  <c r="V157" i="246" s="1"/>
  <c r="V208" i="246" s="1"/>
  <c r="V259" i="246" s="1"/>
  <c r="V310" i="246" s="1"/>
  <c r="V361" i="246" s="1"/>
  <c r="V412" i="246" s="1"/>
  <c r="V463" i="246" s="1"/>
  <c r="V514" i="246" s="1"/>
  <c r="V565" i="246" s="1"/>
  <c r="V616" i="246" s="1"/>
  <c r="C106" i="246"/>
  <c r="C157" i="246" s="1"/>
  <c r="C208" i="246" s="1"/>
  <c r="C259" i="246" s="1"/>
  <c r="C310" i="246" s="1"/>
  <c r="C361" i="246" s="1"/>
  <c r="C412" i="246" s="1"/>
  <c r="C463" i="246" s="1"/>
  <c r="C514" i="246" s="1"/>
  <c r="C565" i="246" s="1"/>
  <c r="C616" i="246" s="1"/>
  <c r="C667" i="246" s="1"/>
  <c r="V104" i="246"/>
  <c r="V155" i="246" s="1"/>
  <c r="V206" i="246" s="1"/>
  <c r="V257" i="246" s="1"/>
  <c r="V308" i="246" s="1"/>
  <c r="V359" i="246" s="1"/>
  <c r="V410" i="246" s="1"/>
  <c r="V461" i="246" s="1"/>
  <c r="V512" i="246" s="1"/>
  <c r="V563" i="246" s="1"/>
  <c r="V614" i="246" s="1"/>
  <c r="C104" i="246"/>
  <c r="C155" i="246" s="1"/>
  <c r="C206" i="246" s="1"/>
  <c r="C257" i="246" s="1"/>
  <c r="C308" i="246" s="1"/>
  <c r="C359" i="246" s="1"/>
  <c r="C410" i="246" s="1"/>
  <c r="C461" i="246" s="1"/>
  <c r="C512" i="246" s="1"/>
  <c r="C563" i="246" s="1"/>
  <c r="C614" i="246" s="1"/>
  <c r="C665" i="246" s="1"/>
  <c r="V103" i="246"/>
  <c r="V154" i="246" s="1"/>
  <c r="V205" i="246" s="1"/>
  <c r="V256" i="246" s="1"/>
  <c r="V307" i="246" s="1"/>
  <c r="V358" i="246" s="1"/>
  <c r="V409" i="246" s="1"/>
  <c r="V460" i="246" s="1"/>
  <c r="V511" i="246" s="1"/>
  <c r="V562" i="246" s="1"/>
  <c r="V613" i="246" s="1"/>
  <c r="C103" i="246"/>
  <c r="C154" i="246" s="1"/>
  <c r="C205" i="246" s="1"/>
  <c r="C256" i="246" s="1"/>
  <c r="C307" i="246" s="1"/>
  <c r="C358" i="246" s="1"/>
  <c r="C409" i="246" s="1"/>
  <c r="C460" i="246" s="1"/>
  <c r="C511" i="246" s="1"/>
  <c r="C562" i="246" s="1"/>
  <c r="C613" i="246" s="1"/>
  <c r="C664" i="246" s="1"/>
  <c r="V102" i="246"/>
  <c r="V153" i="246" s="1"/>
  <c r="V204" i="246" s="1"/>
  <c r="V255" i="246" s="1"/>
  <c r="V306" i="246" s="1"/>
  <c r="V357" i="246" s="1"/>
  <c r="V408" i="246" s="1"/>
  <c r="V459" i="246" s="1"/>
  <c r="V510" i="246" s="1"/>
  <c r="V561" i="246" s="1"/>
  <c r="V612" i="246" s="1"/>
  <c r="C102" i="246"/>
  <c r="C153" i="246" s="1"/>
  <c r="C204" i="246" s="1"/>
  <c r="C255" i="246" s="1"/>
  <c r="C306" i="246" s="1"/>
  <c r="C357" i="246" s="1"/>
  <c r="C408" i="246" s="1"/>
  <c r="C459" i="246" s="1"/>
  <c r="C510" i="246" s="1"/>
  <c r="C561" i="246" s="1"/>
  <c r="C612" i="246" s="1"/>
  <c r="C663" i="246" s="1"/>
  <c r="V83" i="246"/>
  <c r="G83" i="246"/>
  <c r="E83" i="246"/>
  <c r="D83" i="246"/>
  <c r="U83" i="246" s="1"/>
  <c r="V82" i="246"/>
  <c r="G82" i="246"/>
  <c r="E82" i="246"/>
  <c r="D82" i="246"/>
  <c r="U82" i="246" s="1"/>
  <c r="C100" i="246"/>
  <c r="C151" i="246" s="1"/>
  <c r="C202" i="246" s="1"/>
  <c r="C253" i="246" s="1"/>
  <c r="C304" i="246" s="1"/>
  <c r="C355" i="246" s="1"/>
  <c r="C406" i="246" s="1"/>
  <c r="C457" i="246" s="1"/>
  <c r="C508" i="246" s="1"/>
  <c r="C559" i="246" s="1"/>
  <c r="C610" i="246" s="1"/>
  <c r="C661" i="246" s="1"/>
  <c r="V98" i="246"/>
  <c r="V149" i="246" s="1"/>
  <c r="V200" i="246" s="1"/>
  <c r="V251" i="246" s="1"/>
  <c r="V302" i="246" s="1"/>
  <c r="V353" i="246" s="1"/>
  <c r="V404" i="246" s="1"/>
  <c r="V455" i="246" s="1"/>
  <c r="V506" i="246" s="1"/>
  <c r="V557" i="246" s="1"/>
  <c r="V608" i="246" s="1"/>
  <c r="C98" i="246"/>
  <c r="C149" i="246" s="1"/>
  <c r="C200" i="246" s="1"/>
  <c r="C251" i="246" s="1"/>
  <c r="C302" i="246" s="1"/>
  <c r="C353" i="246" s="1"/>
  <c r="C404" i="246" s="1"/>
  <c r="C455" i="246" s="1"/>
  <c r="C506" i="246" s="1"/>
  <c r="C557" i="246" s="1"/>
  <c r="C608" i="246" s="1"/>
  <c r="C659" i="246" s="1"/>
  <c r="V97" i="246"/>
  <c r="V148" i="246" s="1"/>
  <c r="V199" i="246" s="1"/>
  <c r="V250" i="246" s="1"/>
  <c r="V301" i="246" s="1"/>
  <c r="V352" i="246" s="1"/>
  <c r="V403" i="246" s="1"/>
  <c r="V454" i="246" s="1"/>
  <c r="V505" i="246" s="1"/>
  <c r="V556" i="246" s="1"/>
  <c r="V607" i="246" s="1"/>
  <c r="C97" i="246"/>
  <c r="C148" i="246" s="1"/>
  <c r="C199" i="246" s="1"/>
  <c r="C250" i="246" s="1"/>
  <c r="C301" i="246" s="1"/>
  <c r="C352" i="246" s="1"/>
  <c r="C403" i="246" s="1"/>
  <c r="C454" i="246" s="1"/>
  <c r="C505" i="246" s="1"/>
  <c r="C556" i="246" s="1"/>
  <c r="C607" i="246" s="1"/>
  <c r="C658" i="246" s="1"/>
  <c r="V96" i="246"/>
  <c r="V147" i="246" s="1"/>
  <c r="V198" i="246" s="1"/>
  <c r="V249" i="246" s="1"/>
  <c r="V300" i="246" s="1"/>
  <c r="V351" i="246" s="1"/>
  <c r="V402" i="246" s="1"/>
  <c r="V453" i="246" s="1"/>
  <c r="V504" i="246" s="1"/>
  <c r="V555" i="246" s="1"/>
  <c r="V606" i="246" s="1"/>
  <c r="C96" i="246"/>
  <c r="C147" i="246" s="1"/>
  <c r="C198" i="246" s="1"/>
  <c r="C249" i="246" s="1"/>
  <c r="C300" i="246" s="1"/>
  <c r="C351" i="246" s="1"/>
  <c r="C402" i="246" s="1"/>
  <c r="C453" i="246" s="1"/>
  <c r="C504" i="246" s="1"/>
  <c r="C555" i="246" s="1"/>
  <c r="C606" i="246" s="1"/>
  <c r="C657" i="246" s="1"/>
  <c r="V95" i="246"/>
  <c r="V146" i="246" s="1"/>
  <c r="V197" i="246" s="1"/>
  <c r="V248" i="246" s="1"/>
  <c r="V299" i="246" s="1"/>
  <c r="V350" i="246" s="1"/>
  <c r="V401" i="246" s="1"/>
  <c r="V452" i="246" s="1"/>
  <c r="V503" i="246" s="1"/>
  <c r="V554" i="246" s="1"/>
  <c r="V605" i="246" s="1"/>
  <c r="C95" i="246"/>
  <c r="C146" i="246" s="1"/>
  <c r="C197" i="246" s="1"/>
  <c r="C248" i="246" s="1"/>
  <c r="C299" i="246" s="1"/>
  <c r="C350" i="246" s="1"/>
  <c r="C401" i="246" s="1"/>
  <c r="C452" i="246" s="1"/>
  <c r="C503" i="246" s="1"/>
  <c r="C554" i="246" s="1"/>
  <c r="C605" i="246" s="1"/>
  <c r="C656" i="246" s="1"/>
  <c r="V94" i="246"/>
  <c r="V145" i="246" s="1"/>
  <c r="V196" i="246" s="1"/>
  <c r="V247" i="246" s="1"/>
  <c r="V298" i="246" s="1"/>
  <c r="V349" i="246" s="1"/>
  <c r="V400" i="246" s="1"/>
  <c r="V451" i="246" s="1"/>
  <c r="V502" i="246" s="1"/>
  <c r="V553" i="246" s="1"/>
  <c r="V604" i="246" s="1"/>
  <c r="C94" i="246"/>
  <c r="C145" i="246" s="1"/>
  <c r="C196" i="246" s="1"/>
  <c r="C247" i="246" s="1"/>
  <c r="C298" i="246" s="1"/>
  <c r="C349" i="246" s="1"/>
  <c r="C400" i="246" s="1"/>
  <c r="C451" i="246" s="1"/>
  <c r="C502" i="246" s="1"/>
  <c r="C553" i="246" s="1"/>
  <c r="C604" i="246" s="1"/>
  <c r="C655" i="246" s="1"/>
  <c r="V93" i="246"/>
  <c r="V144" i="246" s="1"/>
  <c r="V195" i="246" s="1"/>
  <c r="V246" i="246" s="1"/>
  <c r="V297" i="246" s="1"/>
  <c r="V348" i="246" s="1"/>
  <c r="V399" i="246" s="1"/>
  <c r="V450" i="246" s="1"/>
  <c r="V501" i="246" s="1"/>
  <c r="V552" i="246" s="1"/>
  <c r="V603" i="246" s="1"/>
  <c r="C93" i="246"/>
  <c r="C144" i="246" s="1"/>
  <c r="C195" i="246" s="1"/>
  <c r="C246" i="246" s="1"/>
  <c r="C297" i="246" s="1"/>
  <c r="C348" i="246" s="1"/>
  <c r="C399" i="246" s="1"/>
  <c r="C450" i="246" s="1"/>
  <c r="C501" i="246" s="1"/>
  <c r="C552" i="246" s="1"/>
  <c r="C603" i="246" s="1"/>
  <c r="C654" i="246" s="1"/>
  <c r="V92" i="246"/>
  <c r="V143" i="246" s="1"/>
  <c r="V194" i="246" s="1"/>
  <c r="V245" i="246" s="1"/>
  <c r="V296" i="246" s="1"/>
  <c r="V347" i="246" s="1"/>
  <c r="V398" i="246" s="1"/>
  <c r="V449" i="246" s="1"/>
  <c r="V500" i="246" s="1"/>
  <c r="V551" i="246" s="1"/>
  <c r="V602" i="246" s="1"/>
  <c r="C92" i="246"/>
  <c r="C143" i="246" s="1"/>
  <c r="C194" i="246" s="1"/>
  <c r="C245" i="246" s="1"/>
  <c r="C296" i="246" s="1"/>
  <c r="C347" i="246" s="1"/>
  <c r="C398" i="246" s="1"/>
  <c r="C449" i="246" s="1"/>
  <c r="C500" i="246" s="1"/>
  <c r="C551" i="246" s="1"/>
  <c r="C602" i="246" s="1"/>
  <c r="C653" i="246" s="1"/>
  <c r="V91" i="246"/>
  <c r="V142" i="246" s="1"/>
  <c r="V193" i="246" s="1"/>
  <c r="V244" i="246" s="1"/>
  <c r="V295" i="246" s="1"/>
  <c r="V346" i="246" s="1"/>
  <c r="V397" i="246" s="1"/>
  <c r="V448" i="246" s="1"/>
  <c r="V499" i="246" s="1"/>
  <c r="V550" i="246" s="1"/>
  <c r="V601" i="246" s="1"/>
  <c r="C91" i="246"/>
  <c r="C142" i="246" s="1"/>
  <c r="C193" i="246" s="1"/>
  <c r="C244" i="246" s="1"/>
  <c r="C295" i="246" s="1"/>
  <c r="C346" i="246" s="1"/>
  <c r="C397" i="246" s="1"/>
  <c r="C448" i="246" s="1"/>
  <c r="C499" i="246" s="1"/>
  <c r="C550" i="246" s="1"/>
  <c r="C601" i="246" s="1"/>
  <c r="C652" i="246" s="1"/>
  <c r="V90" i="246"/>
  <c r="V141" i="246" s="1"/>
  <c r="V192" i="246" s="1"/>
  <c r="V243" i="246" s="1"/>
  <c r="V294" i="246" s="1"/>
  <c r="V345" i="246" s="1"/>
  <c r="V396" i="246" s="1"/>
  <c r="V447" i="246" s="1"/>
  <c r="V498" i="246" s="1"/>
  <c r="V549" i="246" s="1"/>
  <c r="V600" i="246" s="1"/>
  <c r="C90" i="246"/>
  <c r="C141" i="246" s="1"/>
  <c r="C192" i="246" s="1"/>
  <c r="C243" i="246" s="1"/>
  <c r="C294" i="246" s="1"/>
  <c r="C345" i="246" s="1"/>
  <c r="C396" i="246" s="1"/>
  <c r="C447" i="246" s="1"/>
  <c r="C498" i="246" s="1"/>
  <c r="C549" i="246" s="1"/>
  <c r="C600" i="246" s="1"/>
  <c r="C651" i="246" s="1"/>
  <c r="V89" i="246"/>
  <c r="V140" i="246" s="1"/>
  <c r="V191" i="246" s="1"/>
  <c r="V242" i="246" s="1"/>
  <c r="V293" i="246" s="1"/>
  <c r="V344" i="246" s="1"/>
  <c r="V395" i="246" s="1"/>
  <c r="V446" i="246" s="1"/>
  <c r="V497" i="246" s="1"/>
  <c r="V548" i="246" s="1"/>
  <c r="V599" i="246" s="1"/>
  <c r="C89" i="246"/>
  <c r="C140" i="246" s="1"/>
  <c r="C191" i="246" s="1"/>
  <c r="C242" i="246" s="1"/>
  <c r="C293" i="246" s="1"/>
  <c r="C344" i="246" s="1"/>
  <c r="C395" i="246" s="1"/>
  <c r="C446" i="246" s="1"/>
  <c r="C497" i="246" s="1"/>
  <c r="C548" i="246" s="1"/>
  <c r="C599" i="246" s="1"/>
  <c r="C650" i="246" s="1"/>
  <c r="V88" i="246"/>
  <c r="V139" i="246" s="1"/>
  <c r="V190" i="246" s="1"/>
  <c r="V241" i="246" s="1"/>
  <c r="V292" i="246" s="1"/>
  <c r="V343" i="246" s="1"/>
  <c r="V394" i="246" s="1"/>
  <c r="V445" i="246" s="1"/>
  <c r="V496" i="246" s="1"/>
  <c r="V547" i="246" s="1"/>
  <c r="V598" i="246" s="1"/>
  <c r="C88" i="246"/>
  <c r="C139" i="246" s="1"/>
  <c r="C190" i="246" s="1"/>
  <c r="C241" i="246" s="1"/>
  <c r="C292" i="246" s="1"/>
  <c r="C343" i="246" s="1"/>
  <c r="C394" i="246" s="1"/>
  <c r="C445" i="246" s="1"/>
  <c r="C496" i="246" s="1"/>
  <c r="C547" i="246" s="1"/>
  <c r="C598" i="246" s="1"/>
  <c r="C649" i="246" s="1"/>
  <c r="V87" i="246"/>
  <c r="V138" i="246" s="1"/>
  <c r="V189" i="246" s="1"/>
  <c r="V240" i="246" s="1"/>
  <c r="V291" i="246" s="1"/>
  <c r="V342" i="246" s="1"/>
  <c r="V393" i="246" s="1"/>
  <c r="V444" i="246" s="1"/>
  <c r="V495" i="246" s="1"/>
  <c r="V546" i="246" s="1"/>
  <c r="V597" i="246" s="1"/>
  <c r="C87" i="246"/>
  <c r="C138" i="246" s="1"/>
  <c r="C189" i="246" s="1"/>
  <c r="C240" i="246" s="1"/>
  <c r="C291" i="246" s="1"/>
  <c r="C342" i="246" s="1"/>
  <c r="C393" i="246" s="1"/>
  <c r="C444" i="246" s="1"/>
  <c r="C495" i="246" s="1"/>
  <c r="C546" i="246" s="1"/>
  <c r="C597" i="246" s="1"/>
  <c r="C648" i="246" s="1"/>
  <c r="V86" i="246"/>
  <c r="V137" i="246" s="1"/>
  <c r="V188" i="246" s="1"/>
  <c r="V239" i="246" s="1"/>
  <c r="V290" i="246" s="1"/>
  <c r="V341" i="246" s="1"/>
  <c r="V392" i="246" s="1"/>
  <c r="V443" i="246" s="1"/>
  <c r="V494" i="246" s="1"/>
  <c r="V545" i="246" s="1"/>
  <c r="V596" i="246" s="1"/>
  <c r="C86" i="246"/>
  <c r="C137" i="246" s="1"/>
  <c r="C188" i="246" s="1"/>
  <c r="C239" i="246" s="1"/>
  <c r="C290" i="246" s="1"/>
  <c r="C341" i="246" s="1"/>
  <c r="C392" i="246" s="1"/>
  <c r="C443" i="246" s="1"/>
  <c r="C494" i="246" s="1"/>
  <c r="C545" i="246" s="1"/>
  <c r="C596" i="246" s="1"/>
  <c r="C647" i="246" s="1"/>
  <c r="V84" i="246"/>
  <c r="V135" i="246" s="1"/>
  <c r="V186" i="246" s="1"/>
  <c r="V237" i="246" s="1"/>
  <c r="V288" i="246" s="1"/>
  <c r="V339" i="246" s="1"/>
  <c r="V390" i="246" s="1"/>
  <c r="V441" i="246" s="1"/>
  <c r="V492" i="246" s="1"/>
  <c r="V543" i="246" s="1"/>
  <c r="V594" i="246" s="1"/>
  <c r="C84" i="246"/>
  <c r="C135" i="246" s="1"/>
  <c r="C186" i="246" s="1"/>
  <c r="C237" i="246" s="1"/>
  <c r="C288" i="246" s="1"/>
  <c r="C339" i="246" s="1"/>
  <c r="C390" i="246" s="1"/>
  <c r="C441" i="246" s="1"/>
  <c r="C492" i="246" s="1"/>
  <c r="C543" i="246" s="1"/>
  <c r="C594" i="246" s="1"/>
  <c r="C645" i="246" s="1"/>
  <c r="V81" i="246"/>
  <c r="V132" i="246" s="1"/>
  <c r="V183" i="246" s="1"/>
  <c r="V234" i="246" s="1"/>
  <c r="V285" i="246" s="1"/>
  <c r="V336" i="246" s="1"/>
  <c r="V387" i="246" s="1"/>
  <c r="V438" i="246" s="1"/>
  <c r="V489" i="246" s="1"/>
  <c r="V540" i="246" s="1"/>
  <c r="V591" i="246" s="1"/>
  <c r="C81" i="246"/>
  <c r="C132" i="246" s="1"/>
  <c r="C183" i="246" s="1"/>
  <c r="C234" i="246" s="1"/>
  <c r="C285" i="246" s="1"/>
  <c r="C336" i="246" s="1"/>
  <c r="C387" i="246" s="1"/>
  <c r="C438" i="246" s="1"/>
  <c r="C489" i="246" s="1"/>
  <c r="C540" i="246" s="1"/>
  <c r="C591" i="246" s="1"/>
  <c r="C642" i="246" s="1"/>
  <c r="V80" i="246"/>
  <c r="V131" i="246" s="1"/>
  <c r="V182" i="246" s="1"/>
  <c r="V233" i="246" s="1"/>
  <c r="V284" i="246" s="1"/>
  <c r="V335" i="246" s="1"/>
  <c r="V386" i="246" s="1"/>
  <c r="V437" i="246" s="1"/>
  <c r="V488" i="246" s="1"/>
  <c r="V539" i="246" s="1"/>
  <c r="V590" i="246" s="1"/>
  <c r="C80" i="246"/>
  <c r="C131" i="246" s="1"/>
  <c r="C182" i="246" s="1"/>
  <c r="C233" i="246" s="1"/>
  <c r="C284" i="246" s="1"/>
  <c r="C335" i="246" s="1"/>
  <c r="C386" i="246" s="1"/>
  <c r="C437" i="246" s="1"/>
  <c r="C488" i="246" s="1"/>
  <c r="C539" i="246" s="1"/>
  <c r="C590" i="246" s="1"/>
  <c r="C641" i="246" s="1"/>
  <c r="V79" i="246"/>
  <c r="V130" i="246" s="1"/>
  <c r="V181" i="246" s="1"/>
  <c r="V232" i="246" s="1"/>
  <c r="V283" i="246" s="1"/>
  <c r="V334" i="246" s="1"/>
  <c r="V385" i="246" s="1"/>
  <c r="V436" i="246" s="1"/>
  <c r="V487" i="246" s="1"/>
  <c r="V538" i="246" s="1"/>
  <c r="V589" i="246" s="1"/>
  <c r="C79" i="246"/>
  <c r="C130" i="246" s="1"/>
  <c r="C181" i="246" s="1"/>
  <c r="C232" i="246" s="1"/>
  <c r="C283" i="246" s="1"/>
  <c r="C334" i="246" s="1"/>
  <c r="C385" i="246" s="1"/>
  <c r="C436" i="246" s="1"/>
  <c r="C487" i="246" s="1"/>
  <c r="C538" i="246" s="1"/>
  <c r="C589" i="246" s="1"/>
  <c r="C640" i="246" s="1"/>
  <c r="V77" i="246"/>
  <c r="V128" i="246" s="1"/>
  <c r="V179" i="246" s="1"/>
  <c r="V230" i="246" s="1"/>
  <c r="V281" i="246" s="1"/>
  <c r="V332" i="246" s="1"/>
  <c r="V383" i="246" s="1"/>
  <c r="V434" i="246" s="1"/>
  <c r="V485" i="246" s="1"/>
  <c r="V536" i="246" s="1"/>
  <c r="V587" i="246" s="1"/>
  <c r="C77" i="246"/>
  <c r="C128" i="246" s="1"/>
  <c r="C179" i="246" s="1"/>
  <c r="C230" i="246" s="1"/>
  <c r="C281" i="246" s="1"/>
  <c r="C332" i="246" s="1"/>
  <c r="C383" i="246" s="1"/>
  <c r="C434" i="246" s="1"/>
  <c r="C485" i="246" s="1"/>
  <c r="C536" i="246" s="1"/>
  <c r="C587" i="246" s="1"/>
  <c r="C638" i="246" s="1"/>
  <c r="V76" i="246"/>
  <c r="V127" i="246" s="1"/>
  <c r="V178" i="246" s="1"/>
  <c r="V229" i="246" s="1"/>
  <c r="V280" i="246" s="1"/>
  <c r="V331" i="246" s="1"/>
  <c r="V382" i="246" s="1"/>
  <c r="V433" i="246" s="1"/>
  <c r="V484" i="246" s="1"/>
  <c r="V535" i="246" s="1"/>
  <c r="V586" i="246" s="1"/>
  <c r="C76" i="246"/>
  <c r="C127" i="246" s="1"/>
  <c r="C178" i="246" s="1"/>
  <c r="C229" i="246" s="1"/>
  <c r="C280" i="246" s="1"/>
  <c r="C331" i="246" s="1"/>
  <c r="C382" i="246" s="1"/>
  <c r="C433" i="246" s="1"/>
  <c r="C484" i="246" s="1"/>
  <c r="C535" i="246" s="1"/>
  <c r="C586" i="246" s="1"/>
  <c r="C637" i="246" s="1"/>
  <c r="V75" i="246"/>
  <c r="V126" i="246" s="1"/>
  <c r="V177" i="246" s="1"/>
  <c r="V228" i="246" s="1"/>
  <c r="V279" i="246" s="1"/>
  <c r="V330" i="246" s="1"/>
  <c r="V381" i="246" s="1"/>
  <c r="V432" i="246" s="1"/>
  <c r="V483" i="246" s="1"/>
  <c r="V534" i="246" s="1"/>
  <c r="V585" i="246" s="1"/>
  <c r="C75" i="246"/>
  <c r="C126" i="246" s="1"/>
  <c r="C177" i="246" s="1"/>
  <c r="C228" i="246" s="1"/>
  <c r="C279" i="246" s="1"/>
  <c r="C330" i="246" s="1"/>
  <c r="C381" i="246" s="1"/>
  <c r="C432" i="246" s="1"/>
  <c r="C483" i="246" s="1"/>
  <c r="C534" i="246" s="1"/>
  <c r="C585" i="246" s="1"/>
  <c r="C636" i="246" s="1"/>
  <c r="V73" i="246"/>
  <c r="V124" i="246" s="1"/>
  <c r="V175" i="246" s="1"/>
  <c r="V226" i="246" s="1"/>
  <c r="V277" i="246" s="1"/>
  <c r="V328" i="246" s="1"/>
  <c r="V379" i="246" s="1"/>
  <c r="V430" i="246" s="1"/>
  <c r="V481" i="246" s="1"/>
  <c r="V532" i="246" s="1"/>
  <c r="V583" i="246" s="1"/>
  <c r="C73" i="246"/>
  <c r="C124" i="246" s="1"/>
  <c r="C175" i="246" s="1"/>
  <c r="C226" i="246" s="1"/>
  <c r="C277" i="246" s="1"/>
  <c r="C328" i="246" s="1"/>
  <c r="C379" i="246" s="1"/>
  <c r="C430" i="246" s="1"/>
  <c r="C481" i="246" s="1"/>
  <c r="C532" i="246" s="1"/>
  <c r="C583" i="246" s="1"/>
  <c r="C634" i="246" s="1"/>
  <c r="C70" i="246"/>
  <c r="C121" i="246" s="1"/>
  <c r="C172" i="246" s="1"/>
  <c r="C223" i="246" s="1"/>
  <c r="C274" i="246" s="1"/>
  <c r="C325" i="246" s="1"/>
  <c r="C376" i="246" s="1"/>
  <c r="C427" i="246" s="1"/>
  <c r="C478" i="246" s="1"/>
  <c r="C529" i="246" s="1"/>
  <c r="C580" i="246" s="1"/>
  <c r="C631" i="246" s="1"/>
  <c r="V68" i="246"/>
  <c r="V119" i="246" s="1"/>
  <c r="V170" i="246" s="1"/>
  <c r="V221" i="246" s="1"/>
  <c r="V272" i="246" s="1"/>
  <c r="V323" i="246" s="1"/>
  <c r="V374" i="246" s="1"/>
  <c r="V425" i="246" s="1"/>
  <c r="V476" i="246" s="1"/>
  <c r="V527" i="246" s="1"/>
  <c r="V578" i="246" s="1"/>
  <c r="C68" i="246"/>
  <c r="C119" i="246" s="1"/>
  <c r="C170" i="246" s="1"/>
  <c r="C221" i="246" s="1"/>
  <c r="C272" i="246" s="1"/>
  <c r="C323" i="246" s="1"/>
  <c r="C374" i="246" s="1"/>
  <c r="C425" i="246" s="1"/>
  <c r="C476" i="246" s="1"/>
  <c r="C527" i="246" s="1"/>
  <c r="C578" i="246" s="1"/>
  <c r="C629" i="246" s="1"/>
  <c r="V67" i="246"/>
  <c r="V118" i="246" s="1"/>
  <c r="V169" i="246" s="1"/>
  <c r="V220" i="246" s="1"/>
  <c r="V271" i="246" s="1"/>
  <c r="V322" i="246" s="1"/>
  <c r="V373" i="246" s="1"/>
  <c r="V424" i="246" s="1"/>
  <c r="V475" i="246" s="1"/>
  <c r="V526" i="246" s="1"/>
  <c r="V577" i="246" s="1"/>
  <c r="C67" i="246"/>
  <c r="C118" i="246" s="1"/>
  <c r="C169" i="246" s="1"/>
  <c r="C220" i="246" s="1"/>
  <c r="C271" i="246" s="1"/>
  <c r="C322" i="246" s="1"/>
  <c r="C373" i="246" s="1"/>
  <c r="C424" i="246" s="1"/>
  <c r="C475" i="246" s="1"/>
  <c r="C526" i="246" s="1"/>
  <c r="C577" i="246" s="1"/>
  <c r="C628" i="246" s="1"/>
  <c r="V66" i="246"/>
  <c r="V117" i="246" s="1"/>
  <c r="V168" i="246" s="1"/>
  <c r="V219" i="246" s="1"/>
  <c r="V270" i="246" s="1"/>
  <c r="V321" i="246" s="1"/>
  <c r="V372" i="246" s="1"/>
  <c r="V423" i="246" s="1"/>
  <c r="V474" i="246" s="1"/>
  <c r="V525" i="246" s="1"/>
  <c r="V576" i="246" s="1"/>
  <c r="C66" i="246"/>
  <c r="C117" i="246" s="1"/>
  <c r="C168" i="246" s="1"/>
  <c r="C219" i="246" s="1"/>
  <c r="C270" i="246" s="1"/>
  <c r="C321" i="246" s="1"/>
  <c r="C372" i="246" s="1"/>
  <c r="C423" i="246" s="1"/>
  <c r="C474" i="246" s="1"/>
  <c r="C525" i="246" s="1"/>
  <c r="C576" i="246" s="1"/>
  <c r="C627" i="246" s="1"/>
  <c r="V65" i="246"/>
  <c r="V116" i="246" s="1"/>
  <c r="V167" i="246" s="1"/>
  <c r="V218" i="246" s="1"/>
  <c r="V269" i="246" s="1"/>
  <c r="V320" i="246" s="1"/>
  <c r="V371" i="246" s="1"/>
  <c r="V422" i="246" s="1"/>
  <c r="V473" i="246" s="1"/>
  <c r="V524" i="246" s="1"/>
  <c r="V575" i="246" s="1"/>
  <c r="C65" i="246"/>
  <c r="C116" i="246" s="1"/>
  <c r="C167" i="246" s="1"/>
  <c r="C218" i="246" s="1"/>
  <c r="C269" i="246" s="1"/>
  <c r="C320" i="246" s="1"/>
  <c r="C371" i="246" s="1"/>
  <c r="C422" i="246" s="1"/>
  <c r="C473" i="246" s="1"/>
  <c r="C524" i="246" s="1"/>
  <c r="C575" i="246" s="1"/>
  <c r="C626" i="246" s="1"/>
  <c r="V64" i="246"/>
  <c r="V115" i="246" s="1"/>
  <c r="V166" i="246" s="1"/>
  <c r="V217" i="246" s="1"/>
  <c r="V268" i="246" s="1"/>
  <c r="V319" i="246" s="1"/>
  <c r="V370" i="246" s="1"/>
  <c r="V421" i="246" s="1"/>
  <c r="V472" i="246" s="1"/>
  <c r="V523" i="246" s="1"/>
  <c r="V574" i="246" s="1"/>
  <c r="C64" i="246"/>
  <c r="C115" i="246" s="1"/>
  <c r="C166" i="246" s="1"/>
  <c r="C217" i="246" s="1"/>
  <c r="C268" i="246" s="1"/>
  <c r="C319" i="246" s="1"/>
  <c r="C370" i="246" s="1"/>
  <c r="C421" i="246" s="1"/>
  <c r="C472" i="246" s="1"/>
  <c r="C523" i="246" s="1"/>
  <c r="C574" i="246" s="1"/>
  <c r="C625" i="246" s="1"/>
  <c r="V62" i="246"/>
  <c r="V113" i="246" s="1"/>
  <c r="V164" i="246" s="1"/>
  <c r="V215" i="246" s="1"/>
  <c r="V266" i="246" s="1"/>
  <c r="V317" i="246" s="1"/>
  <c r="V368" i="246" s="1"/>
  <c r="V419" i="246" s="1"/>
  <c r="V470" i="246" s="1"/>
  <c r="V521" i="246" s="1"/>
  <c r="V572" i="246" s="1"/>
  <c r="C62" i="246"/>
  <c r="C113" i="246" s="1"/>
  <c r="C164" i="246" s="1"/>
  <c r="C215" i="246" s="1"/>
  <c r="C266" i="246" s="1"/>
  <c r="C317" i="246" s="1"/>
  <c r="C368" i="246" s="1"/>
  <c r="C419" i="246" s="1"/>
  <c r="C470" i="246" s="1"/>
  <c r="C521" i="246" s="1"/>
  <c r="C572" i="246" s="1"/>
  <c r="C623" i="246" s="1"/>
  <c r="V61" i="246"/>
  <c r="V112" i="246" s="1"/>
  <c r="V60" i="246"/>
  <c r="V111" i="246" s="1"/>
  <c r="V162" i="246" s="1"/>
  <c r="V213" i="246" s="1"/>
  <c r="V264" i="246" s="1"/>
  <c r="V315" i="246" s="1"/>
  <c r="V366" i="246" s="1"/>
  <c r="V417" i="246" s="1"/>
  <c r="V468" i="246" s="1"/>
  <c r="V519" i="246" s="1"/>
  <c r="V570" i="246" s="1"/>
  <c r="C60" i="246"/>
  <c r="C111" i="246" s="1"/>
  <c r="C162" i="246" s="1"/>
  <c r="C213" i="246" s="1"/>
  <c r="C264" i="246" s="1"/>
  <c r="C315" i="246" s="1"/>
  <c r="C366" i="246" s="1"/>
  <c r="C417" i="246" s="1"/>
  <c r="C468" i="246" s="1"/>
  <c r="C519" i="246" s="1"/>
  <c r="C570" i="246" s="1"/>
  <c r="C621" i="246" s="1"/>
  <c r="V59" i="246"/>
  <c r="V110" i="246" s="1"/>
  <c r="V161" i="246" s="1"/>
  <c r="V212" i="246" s="1"/>
  <c r="V263" i="246" s="1"/>
  <c r="V314" i="246" s="1"/>
  <c r="V365" i="246" s="1"/>
  <c r="V416" i="246" s="1"/>
  <c r="V467" i="246" s="1"/>
  <c r="V518" i="246" s="1"/>
  <c r="V569" i="246" s="1"/>
  <c r="C59" i="246"/>
  <c r="C110" i="246" s="1"/>
  <c r="C161" i="246" s="1"/>
  <c r="C212" i="246" s="1"/>
  <c r="C263" i="246" s="1"/>
  <c r="C314" i="246" s="1"/>
  <c r="C365" i="246" s="1"/>
  <c r="C416" i="246" s="1"/>
  <c r="C467" i="246" s="1"/>
  <c r="C518" i="246" s="1"/>
  <c r="C569" i="246" s="1"/>
  <c r="C620" i="246" s="1"/>
  <c r="V32" i="246"/>
  <c r="G32" i="246"/>
  <c r="E32" i="246"/>
  <c r="D32" i="246"/>
  <c r="U32" i="246" s="1"/>
  <c r="V31" i="246"/>
  <c r="G31" i="246"/>
  <c r="E31" i="246"/>
  <c r="D31" i="246"/>
  <c r="U31" i="246" s="1"/>
  <c r="V49" i="246"/>
  <c r="V100" i="246" s="1"/>
  <c r="V151" i="246" s="1"/>
  <c r="V202" i="246" s="1"/>
  <c r="V253" i="246" s="1"/>
  <c r="V304" i="246" s="1"/>
  <c r="V355" i="246" s="1"/>
  <c r="V406" i="246" s="1"/>
  <c r="V457" i="246" s="1"/>
  <c r="V508" i="246" s="1"/>
  <c r="V559" i="246" s="1"/>
  <c r="V610" i="246" s="1"/>
  <c r="G46" i="246"/>
  <c r="G97" i="246" s="1"/>
  <c r="G148" i="246" s="1"/>
  <c r="G199" i="246" s="1"/>
  <c r="G250" i="246" s="1"/>
  <c r="G301" i="246" s="1"/>
  <c r="G352" i="246" s="1"/>
  <c r="G403" i="246" s="1"/>
  <c r="G454" i="246" s="1"/>
  <c r="G505" i="246" s="1"/>
  <c r="G556" i="246" s="1"/>
  <c r="G607" i="246" s="1"/>
  <c r="G658" i="246" s="1"/>
  <c r="E46" i="246"/>
  <c r="E97" i="246" s="1"/>
  <c r="E148" i="246" s="1"/>
  <c r="E199" i="246" s="1"/>
  <c r="E250" i="246" s="1"/>
  <c r="E301" i="246" s="1"/>
  <c r="E352" i="246" s="1"/>
  <c r="E403" i="246" s="1"/>
  <c r="E454" i="246" s="1"/>
  <c r="E505" i="246" s="1"/>
  <c r="E556" i="246" s="1"/>
  <c r="E607" i="246" s="1"/>
  <c r="E658" i="246" s="1"/>
  <c r="D46" i="246"/>
  <c r="G45" i="246"/>
  <c r="G96" i="246" s="1"/>
  <c r="G147" i="246" s="1"/>
  <c r="G198" i="246" s="1"/>
  <c r="G249" i="246" s="1"/>
  <c r="G300" i="246" s="1"/>
  <c r="G351" i="246" s="1"/>
  <c r="G402" i="246" s="1"/>
  <c r="G453" i="246" s="1"/>
  <c r="G504" i="246" s="1"/>
  <c r="G555" i="246" s="1"/>
  <c r="G606" i="246" s="1"/>
  <c r="G657" i="246" s="1"/>
  <c r="E45" i="246"/>
  <c r="E96" i="246" s="1"/>
  <c r="E147" i="246" s="1"/>
  <c r="E198" i="246" s="1"/>
  <c r="E249" i="246" s="1"/>
  <c r="E300" i="246" s="1"/>
  <c r="E351" i="246" s="1"/>
  <c r="E402" i="246" s="1"/>
  <c r="E453" i="246" s="1"/>
  <c r="E504" i="246" s="1"/>
  <c r="E555" i="246" s="1"/>
  <c r="E606" i="246" s="1"/>
  <c r="E657" i="246" s="1"/>
  <c r="D45" i="246"/>
  <c r="G44" i="246"/>
  <c r="G95" i="246" s="1"/>
  <c r="G146" i="246" s="1"/>
  <c r="G197" i="246" s="1"/>
  <c r="G248" i="246" s="1"/>
  <c r="G299" i="246" s="1"/>
  <c r="G350" i="246" s="1"/>
  <c r="G401" i="246" s="1"/>
  <c r="G452" i="246" s="1"/>
  <c r="G503" i="246" s="1"/>
  <c r="G554" i="246" s="1"/>
  <c r="G605" i="246" s="1"/>
  <c r="G656" i="246" s="1"/>
  <c r="E44" i="246"/>
  <c r="E95" i="246" s="1"/>
  <c r="E146" i="246" s="1"/>
  <c r="E197" i="246" s="1"/>
  <c r="E248" i="246" s="1"/>
  <c r="E299" i="246" s="1"/>
  <c r="E350" i="246" s="1"/>
  <c r="E401" i="246" s="1"/>
  <c r="E452" i="246" s="1"/>
  <c r="E503" i="246" s="1"/>
  <c r="E554" i="246" s="1"/>
  <c r="E605" i="246" s="1"/>
  <c r="E656" i="246" s="1"/>
  <c r="D44" i="246"/>
  <c r="G43" i="246"/>
  <c r="G94" i="246" s="1"/>
  <c r="G145" i="246" s="1"/>
  <c r="G196" i="246" s="1"/>
  <c r="G247" i="246" s="1"/>
  <c r="G298" i="246" s="1"/>
  <c r="G349" i="246" s="1"/>
  <c r="G400" i="246" s="1"/>
  <c r="G451" i="246" s="1"/>
  <c r="G502" i="246" s="1"/>
  <c r="G553" i="246" s="1"/>
  <c r="G604" i="246" s="1"/>
  <c r="G655" i="246" s="1"/>
  <c r="E43" i="246"/>
  <c r="E94" i="246" s="1"/>
  <c r="E145" i="246" s="1"/>
  <c r="E196" i="246" s="1"/>
  <c r="E247" i="246" s="1"/>
  <c r="E298" i="246" s="1"/>
  <c r="E349" i="246" s="1"/>
  <c r="E400" i="246" s="1"/>
  <c r="E451" i="246" s="1"/>
  <c r="E502" i="246" s="1"/>
  <c r="E553" i="246" s="1"/>
  <c r="E604" i="246" s="1"/>
  <c r="E655" i="246" s="1"/>
  <c r="D43" i="246"/>
  <c r="D94" i="246" s="1"/>
  <c r="D145" i="246" s="1"/>
  <c r="D196" i="246" s="1"/>
  <c r="D247" i="246" s="1"/>
  <c r="D298" i="246" s="1"/>
  <c r="D349" i="246" s="1"/>
  <c r="D400" i="246" s="1"/>
  <c r="D451" i="246" s="1"/>
  <c r="D502" i="246" s="1"/>
  <c r="D553" i="246" s="1"/>
  <c r="D604" i="246" s="1"/>
  <c r="D655" i="246" s="1"/>
  <c r="G42" i="246"/>
  <c r="G93" i="246" s="1"/>
  <c r="G144" i="246" s="1"/>
  <c r="G195" i="246" s="1"/>
  <c r="G246" i="246" s="1"/>
  <c r="G297" i="246" s="1"/>
  <c r="G348" i="246" s="1"/>
  <c r="G399" i="246" s="1"/>
  <c r="G450" i="246" s="1"/>
  <c r="G501" i="246" s="1"/>
  <c r="G552" i="246" s="1"/>
  <c r="G603" i="246" s="1"/>
  <c r="G654" i="246" s="1"/>
  <c r="E42" i="246"/>
  <c r="E93" i="246" s="1"/>
  <c r="E144" i="246" s="1"/>
  <c r="E195" i="246" s="1"/>
  <c r="E246" i="246" s="1"/>
  <c r="E297" i="246" s="1"/>
  <c r="E348" i="246" s="1"/>
  <c r="E399" i="246" s="1"/>
  <c r="E450" i="246" s="1"/>
  <c r="E501" i="246" s="1"/>
  <c r="E552" i="246" s="1"/>
  <c r="E603" i="246" s="1"/>
  <c r="E654" i="246" s="1"/>
  <c r="D42" i="246"/>
  <c r="U42" i="246" s="1"/>
  <c r="U93" i="246" s="1"/>
  <c r="U144" i="246" s="1"/>
  <c r="U195" i="246" s="1"/>
  <c r="U246" i="246" s="1"/>
  <c r="U297" i="246" s="1"/>
  <c r="U348" i="246" s="1"/>
  <c r="U399" i="246" s="1"/>
  <c r="U450" i="246" s="1"/>
  <c r="U501" i="246" s="1"/>
  <c r="U552" i="246" s="1"/>
  <c r="U603" i="246" s="1"/>
  <c r="G41" i="246"/>
  <c r="G92" i="246" s="1"/>
  <c r="G143" i="246" s="1"/>
  <c r="G194" i="246" s="1"/>
  <c r="G245" i="246" s="1"/>
  <c r="G296" i="246" s="1"/>
  <c r="G347" i="246" s="1"/>
  <c r="G398" i="246" s="1"/>
  <c r="G449" i="246" s="1"/>
  <c r="G500" i="246" s="1"/>
  <c r="G551" i="246" s="1"/>
  <c r="G602" i="246" s="1"/>
  <c r="G653" i="246" s="1"/>
  <c r="E41" i="246"/>
  <c r="E92" i="246" s="1"/>
  <c r="E143" i="246" s="1"/>
  <c r="E194" i="246" s="1"/>
  <c r="E245" i="246" s="1"/>
  <c r="E296" i="246" s="1"/>
  <c r="E347" i="246" s="1"/>
  <c r="E398" i="246" s="1"/>
  <c r="E449" i="246" s="1"/>
  <c r="E500" i="246" s="1"/>
  <c r="E551" i="246" s="1"/>
  <c r="E602" i="246" s="1"/>
  <c r="E653" i="246" s="1"/>
  <c r="D41" i="246"/>
  <c r="G40" i="246"/>
  <c r="G91" i="246" s="1"/>
  <c r="G142" i="246" s="1"/>
  <c r="G193" i="246" s="1"/>
  <c r="G244" i="246" s="1"/>
  <c r="G295" i="246" s="1"/>
  <c r="G346" i="246" s="1"/>
  <c r="G397" i="246" s="1"/>
  <c r="G448" i="246" s="1"/>
  <c r="G499" i="246" s="1"/>
  <c r="G550" i="246" s="1"/>
  <c r="G601" i="246" s="1"/>
  <c r="G652" i="246" s="1"/>
  <c r="E40" i="246"/>
  <c r="E91" i="246" s="1"/>
  <c r="E142" i="246" s="1"/>
  <c r="E193" i="246" s="1"/>
  <c r="E244" i="246" s="1"/>
  <c r="E295" i="246" s="1"/>
  <c r="E346" i="246" s="1"/>
  <c r="E397" i="246" s="1"/>
  <c r="E448" i="246" s="1"/>
  <c r="E499" i="246" s="1"/>
  <c r="E550" i="246" s="1"/>
  <c r="E601" i="246" s="1"/>
  <c r="E652" i="246" s="1"/>
  <c r="D40" i="246"/>
  <c r="U40" i="246" s="1"/>
  <c r="U91" i="246" s="1"/>
  <c r="U142" i="246" s="1"/>
  <c r="U193" i="246" s="1"/>
  <c r="U244" i="246" s="1"/>
  <c r="U295" i="246" s="1"/>
  <c r="U346" i="246" s="1"/>
  <c r="U397" i="246" s="1"/>
  <c r="U448" i="246" s="1"/>
  <c r="U499" i="246" s="1"/>
  <c r="U550" i="246" s="1"/>
  <c r="U601" i="246" s="1"/>
  <c r="G39" i="246"/>
  <c r="G90" i="246" s="1"/>
  <c r="G141" i="246" s="1"/>
  <c r="G192" i="246" s="1"/>
  <c r="G243" i="246" s="1"/>
  <c r="G294" i="246" s="1"/>
  <c r="G345" i="246" s="1"/>
  <c r="G396" i="246" s="1"/>
  <c r="G447" i="246" s="1"/>
  <c r="G498" i="246" s="1"/>
  <c r="G549" i="246" s="1"/>
  <c r="G600" i="246" s="1"/>
  <c r="G651" i="246" s="1"/>
  <c r="E39" i="246"/>
  <c r="E90" i="246" s="1"/>
  <c r="E141" i="246" s="1"/>
  <c r="E192" i="246" s="1"/>
  <c r="E243" i="246" s="1"/>
  <c r="E294" i="246" s="1"/>
  <c r="E345" i="246" s="1"/>
  <c r="E396" i="246" s="1"/>
  <c r="E447" i="246" s="1"/>
  <c r="E498" i="246" s="1"/>
  <c r="E549" i="246" s="1"/>
  <c r="E600" i="246" s="1"/>
  <c r="E651" i="246" s="1"/>
  <c r="D39" i="246"/>
  <c r="U39" i="246" s="1"/>
  <c r="U90" i="246" s="1"/>
  <c r="U141" i="246" s="1"/>
  <c r="U192" i="246" s="1"/>
  <c r="U243" i="246" s="1"/>
  <c r="U294" i="246" s="1"/>
  <c r="U345" i="246" s="1"/>
  <c r="U396" i="246" s="1"/>
  <c r="U447" i="246" s="1"/>
  <c r="U498" i="246" s="1"/>
  <c r="U549" i="246" s="1"/>
  <c r="U600" i="246" s="1"/>
  <c r="G38" i="246"/>
  <c r="G89" i="246" s="1"/>
  <c r="G140" i="246" s="1"/>
  <c r="G191" i="246" s="1"/>
  <c r="G242" i="246" s="1"/>
  <c r="G293" i="246" s="1"/>
  <c r="G344" i="246" s="1"/>
  <c r="G395" i="246" s="1"/>
  <c r="G446" i="246" s="1"/>
  <c r="G497" i="246" s="1"/>
  <c r="G548" i="246" s="1"/>
  <c r="G599" i="246" s="1"/>
  <c r="G650" i="246" s="1"/>
  <c r="E38" i="246"/>
  <c r="E89" i="246" s="1"/>
  <c r="E140" i="246" s="1"/>
  <c r="E191" i="246" s="1"/>
  <c r="E242" i="246" s="1"/>
  <c r="E293" i="246" s="1"/>
  <c r="E344" i="246" s="1"/>
  <c r="E395" i="246" s="1"/>
  <c r="E446" i="246" s="1"/>
  <c r="E497" i="246" s="1"/>
  <c r="E548" i="246" s="1"/>
  <c r="E599" i="246" s="1"/>
  <c r="E650" i="246" s="1"/>
  <c r="D38" i="246"/>
  <c r="G37" i="246"/>
  <c r="G88" i="246" s="1"/>
  <c r="G139" i="246" s="1"/>
  <c r="G190" i="246" s="1"/>
  <c r="G241" i="246" s="1"/>
  <c r="G292" i="246" s="1"/>
  <c r="G343" i="246" s="1"/>
  <c r="G394" i="246" s="1"/>
  <c r="G445" i="246" s="1"/>
  <c r="G496" i="246" s="1"/>
  <c r="G547" i="246" s="1"/>
  <c r="G598" i="246" s="1"/>
  <c r="G649" i="246" s="1"/>
  <c r="E37" i="246"/>
  <c r="E88" i="246" s="1"/>
  <c r="E139" i="246" s="1"/>
  <c r="E190" i="246" s="1"/>
  <c r="E241" i="246" s="1"/>
  <c r="E292" i="246" s="1"/>
  <c r="E343" i="246" s="1"/>
  <c r="E394" i="246" s="1"/>
  <c r="E445" i="246" s="1"/>
  <c r="E496" i="246" s="1"/>
  <c r="E547" i="246" s="1"/>
  <c r="E598" i="246" s="1"/>
  <c r="E649" i="246" s="1"/>
  <c r="D37" i="246"/>
  <c r="D88" i="246" s="1"/>
  <c r="D139" i="246" s="1"/>
  <c r="D190" i="246" s="1"/>
  <c r="D241" i="246" s="1"/>
  <c r="D292" i="246" s="1"/>
  <c r="D343" i="246" s="1"/>
  <c r="D394" i="246" s="1"/>
  <c r="D445" i="246" s="1"/>
  <c r="D496" i="246" s="1"/>
  <c r="D547" i="246" s="1"/>
  <c r="D598" i="246" s="1"/>
  <c r="D649" i="246" s="1"/>
  <c r="G36" i="246"/>
  <c r="G87" i="246" s="1"/>
  <c r="G138" i="246" s="1"/>
  <c r="G189" i="246" s="1"/>
  <c r="G240" i="246" s="1"/>
  <c r="G291" i="246" s="1"/>
  <c r="G342" i="246" s="1"/>
  <c r="G393" i="246" s="1"/>
  <c r="G444" i="246" s="1"/>
  <c r="G495" i="246" s="1"/>
  <c r="G546" i="246" s="1"/>
  <c r="G597" i="246" s="1"/>
  <c r="G648" i="246" s="1"/>
  <c r="E36" i="246"/>
  <c r="E87" i="246" s="1"/>
  <c r="E138" i="246" s="1"/>
  <c r="E189" i="246" s="1"/>
  <c r="E240" i="246" s="1"/>
  <c r="E291" i="246" s="1"/>
  <c r="E342" i="246" s="1"/>
  <c r="E393" i="246" s="1"/>
  <c r="E444" i="246" s="1"/>
  <c r="E495" i="246" s="1"/>
  <c r="E546" i="246" s="1"/>
  <c r="E597" i="246" s="1"/>
  <c r="E648" i="246" s="1"/>
  <c r="D36" i="246"/>
  <c r="U36" i="246" s="1"/>
  <c r="U87" i="246" s="1"/>
  <c r="U138" i="246" s="1"/>
  <c r="U189" i="246" s="1"/>
  <c r="U240" i="246" s="1"/>
  <c r="U291" i="246" s="1"/>
  <c r="U342" i="246" s="1"/>
  <c r="U393" i="246" s="1"/>
  <c r="U444" i="246" s="1"/>
  <c r="U495" i="246" s="1"/>
  <c r="U546" i="246" s="1"/>
  <c r="U597" i="246" s="1"/>
  <c r="G35" i="246"/>
  <c r="G86" i="246" s="1"/>
  <c r="G137" i="246" s="1"/>
  <c r="G188" i="246" s="1"/>
  <c r="G239" i="246" s="1"/>
  <c r="G290" i="246" s="1"/>
  <c r="G341" i="246" s="1"/>
  <c r="G392" i="246" s="1"/>
  <c r="G443" i="246" s="1"/>
  <c r="G494" i="246" s="1"/>
  <c r="G545" i="246" s="1"/>
  <c r="G596" i="246" s="1"/>
  <c r="G647" i="246" s="1"/>
  <c r="E35" i="246"/>
  <c r="E86" i="246" s="1"/>
  <c r="E137" i="246" s="1"/>
  <c r="E188" i="246" s="1"/>
  <c r="E239" i="246" s="1"/>
  <c r="E290" i="246" s="1"/>
  <c r="E341" i="246" s="1"/>
  <c r="E392" i="246" s="1"/>
  <c r="E443" i="246" s="1"/>
  <c r="E494" i="246" s="1"/>
  <c r="E545" i="246" s="1"/>
  <c r="E596" i="246" s="1"/>
  <c r="E647" i="246" s="1"/>
  <c r="D35" i="246"/>
  <c r="G30" i="246"/>
  <c r="G81" i="246" s="1"/>
  <c r="G132" i="246" s="1"/>
  <c r="G183" i="246" s="1"/>
  <c r="G234" i="246" s="1"/>
  <c r="G285" i="246" s="1"/>
  <c r="G336" i="246" s="1"/>
  <c r="G387" i="246" s="1"/>
  <c r="G438" i="246" s="1"/>
  <c r="G489" i="246" s="1"/>
  <c r="G540" i="246" s="1"/>
  <c r="G591" i="246" s="1"/>
  <c r="G642" i="246" s="1"/>
  <c r="E30" i="246"/>
  <c r="E81" i="246" s="1"/>
  <c r="E132" i="246" s="1"/>
  <c r="E183" i="246" s="1"/>
  <c r="E234" i="246" s="1"/>
  <c r="E285" i="246" s="1"/>
  <c r="E336" i="246" s="1"/>
  <c r="E387" i="246" s="1"/>
  <c r="E438" i="246" s="1"/>
  <c r="E489" i="246" s="1"/>
  <c r="E540" i="246" s="1"/>
  <c r="E591" i="246" s="1"/>
  <c r="E642" i="246" s="1"/>
  <c r="D30" i="246"/>
  <c r="D81" i="246" s="1"/>
  <c r="D132" i="246" s="1"/>
  <c r="D183" i="246" s="1"/>
  <c r="D234" i="246" s="1"/>
  <c r="D285" i="246" s="1"/>
  <c r="D336" i="246" s="1"/>
  <c r="D387" i="246" s="1"/>
  <c r="D438" i="246" s="1"/>
  <c r="D489" i="246" s="1"/>
  <c r="D540" i="246" s="1"/>
  <c r="D591" i="246" s="1"/>
  <c r="D642" i="246" s="1"/>
  <c r="G29" i="246"/>
  <c r="G80" i="246" s="1"/>
  <c r="G131" i="246" s="1"/>
  <c r="G182" i="246" s="1"/>
  <c r="G233" i="246" s="1"/>
  <c r="G284" i="246" s="1"/>
  <c r="G335" i="246" s="1"/>
  <c r="G386" i="246" s="1"/>
  <c r="G437" i="246" s="1"/>
  <c r="G488" i="246" s="1"/>
  <c r="G539" i="246" s="1"/>
  <c r="G590" i="246" s="1"/>
  <c r="G641" i="246" s="1"/>
  <c r="E29" i="246"/>
  <c r="E80" i="246" s="1"/>
  <c r="E131" i="246" s="1"/>
  <c r="E182" i="246" s="1"/>
  <c r="E233" i="246" s="1"/>
  <c r="E284" i="246" s="1"/>
  <c r="E335" i="246" s="1"/>
  <c r="E386" i="246" s="1"/>
  <c r="E437" i="246" s="1"/>
  <c r="E488" i="246" s="1"/>
  <c r="E539" i="246" s="1"/>
  <c r="E590" i="246" s="1"/>
  <c r="E641" i="246" s="1"/>
  <c r="D29" i="246"/>
  <c r="G28" i="246"/>
  <c r="G79" i="246" s="1"/>
  <c r="G130" i="246" s="1"/>
  <c r="G181" i="246" s="1"/>
  <c r="G232" i="246" s="1"/>
  <c r="G283" i="246" s="1"/>
  <c r="G334" i="246" s="1"/>
  <c r="G385" i="246" s="1"/>
  <c r="G436" i="246" s="1"/>
  <c r="G487" i="246" s="1"/>
  <c r="G538" i="246" s="1"/>
  <c r="G589" i="246" s="1"/>
  <c r="G640" i="246" s="1"/>
  <c r="E28" i="246"/>
  <c r="E79" i="246" s="1"/>
  <c r="E130" i="246" s="1"/>
  <c r="E181" i="246" s="1"/>
  <c r="E232" i="246" s="1"/>
  <c r="E283" i="246" s="1"/>
  <c r="E334" i="246" s="1"/>
  <c r="E385" i="246" s="1"/>
  <c r="E436" i="246" s="1"/>
  <c r="E487" i="246" s="1"/>
  <c r="E538" i="246" s="1"/>
  <c r="E589" i="246" s="1"/>
  <c r="E640" i="246" s="1"/>
  <c r="D28" i="246"/>
  <c r="G25" i="246"/>
  <c r="G76" i="246" s="1"/>
  <c r="G127" i="246" s="1"/>
  <c r="G178" i="246" s="1"/>
  <c r="G229" i="246" s="1"/>
  <c r="G280" i="246" s="1"/>
  <c r="G331" i="246" s="1"/>
  <c r="G382" i="246" s="1"/>
  <c r="G433" i="246" s="1"/>
  <c r="G484" i="246" s="1"/>
  <c r="G535" i="246" s="1"/>
  <c r="G586" i="246" s="1"/>
  <c r="G637" i="246" s="1"/>
  <c r="E25" i="246"/>
  <c r="E76" i="246" s="1"/>
  <c r="E127" i="246" s="1"/>
  <c r="E178" i="246" s="1"/>
  <c r="E229" i="246" s="1"/>
  <c r="E280" i="246" s="1"/>
  <c r="E331" i="246" s="1"/>
  <c r="E382" i="246" s="1"/>
  <c r="E433" i="246" s="1"/>
  <c r="E484" i="246" s="1"/>
  <c r="E535" i="246" s="1"/>
  <c r="E586" i="246" s="1"/>
  <c r="E637" i="246" s="1"/>
  <c r="D25" i="246"/>
  <c r="G24" i="246"/>
  <c r="G75" i="246" s="1"/>
  <c r="G126" i="246" s="1"/>
  <c r="G177" i="246" s="1"/>
  <c r="G228" i="246" s="1"/>
  <c r="G279" i="246" s="1"/>
  <c r="G330" i="246" s="1"/>
  <c r="G381" i="246" s="1"/>
  <c r="G432" i="246" s="1"/>
  <c r="G483" i="246" s="1"/>
  <c r="G534" i="246" s="1"/>
  <c r="G585" i="246" s="1"/>
  <c r="G636" i="246" s="1"/>
  <c r="E24" i="246"/>
  <c r="E75" i="246" s="1"/>
  <c r="E126" i="246" s="1"/>
  <c r="E177" i="246" s="1"/>
  <c r="E228" i="246" s="1"/>
  <c r="E279" i="246" s="1"/>
  <c r="E330" i="246" s="1"/>
  <c r="E381" i="246" s="1"/>
  <c r="E432" i="246" s="1"/>
  <c r="E483" i="246" s="1"/>
  <c r="E534" i="246" s="1"/>
  <c r="E585" i="246" s="1"/>
  <c r="E636" i="246" s="1"/>
  <c r="D24" i="246"/>
  <c r="V23" i="246"/>
  <c r="V74" i="246" s="1"/>
  <c r="V125" i="246" s="1"/>
  <c r="V176" i="246" s="1"/>
  <c r="V227" i="246" s="1"/>
  <c r="V278" i="246" s="1"/>
  <c r="V329" i="246" s="1"/>
  <c r="V380" i="246" s="1"/>
  <c r="V431" i="246" s="1"/>
  <c r="V482" i="246" s="1"/>
  <c r="V533" i="246" s="1"/>
  <c r="V584" i="246" s="1"/>
  <c r="G23" i="246"/>
  <c r="G74" i="246" s="1"/>
  <c r="G125" i="246" s="1"/>
  <c r="G176" i="246" s="1"/>
  <c r="G227" i="246" s="1"/>
  <c r="G278" i="246" s="1"/>
  <c r="G329" i="246" s="1"/>
  <c r="G380" i="246" s="1"/>
  <c r="G431" i="246" s="1"/>
  <c r="G482" i="246" s="1"/>
  <c r="G533" i="246" s="1"/>
  <c r="G584" i="246" s="1"/>
  <c r="G635" i="246" s="1"/>
  <c r="E23" i="246"/>
  <c r="E74" i="246" s="1"/>
  <c r="E125" i="246" s="1"/>
  <c r="E176" i="246" s="1"/>
  <c r="E227" i="246" s="1"/>
  <c r="E278" i="246" s="1"/>
  <c r="E329" i="246" s="1"/>
  <c r="E380" i="246" s="1"/>
  <c r="E431" i="246" s="1"/>
  <c r="E482" i="246" s="1"/>
  <c r="E533" i="246" s="1"/>
  <c r="E584" i="246" s="1"/>
  <c r="E635" i="246" s="1"/>
  <c r="G22" i="246"/>
  <c r="G73" i="246" s="1"/>
  <c r="G124" i="246" s="1"/>
  <c r="G175" i="246" s="1"/>
  <c r="G226" i="246" s="1"/>
  <c r="G277" i="246" s="1"/>
  <c r="G328" i="246" s="1"/>
  <c r="G379" i="246" s="1"/>
  <c r="G430" i="246" s="1"/>
  <c r="G481" i="246" s="1"/>
  <c r="G532" i="246" s="1"/>
  <c r="G583" i="246" s="1"/>
  <c r="G634" i="246" s="1"/>
  <c r="E22" i="246"/>
  <c r="E73" i="246" s="1"/>
  <c r="E124" i="246" s="1"/>
  <c r="E175" i="246" s="1"/>
  <c r="E226" i="246" s="1"/>
  <c r="E277" i="246" s="1"/>
  <c r="E328" i="246" s="1"/>
  <c r="E379" i="246" s="1"/>
  <c r="E430" i="246" s="1"/>
  <c r="E481" i="246" s="1"/>
  <c r="E532" i="246" s="1"/>
  <c r="E583" i="246" s="1"/>
  <c r="E634" i="246" s="1"/>
  <c r="D22" i="246"/>
  <c r="U22" i="246" s="1"/>
  <c r="U73" i="246" s="1"/>
  <c r="U124" i="246" s="1"/>
  <c r="U175" i="246" s="1"/>
  <c r="U226" i="246" s="1"/>
  <c r="U277" i="246" s="1"/>
  <c r="U328" i="246" s="1"/>
  <c r="U379" i="246" s="1"/>
  <c r="U430" i="246" s="1"/>
  <c r="U481" i="246" s="1"/>
  <c r="U532" i="246" s="1"/>
  <c r="U583" i="246" s="1"/>
  <c r="V19" i="246"/>
  <c r="V70" i="246" s="1"/>
  <c r="V121" i="246" s="1"/>
  <c r="V172" i="246" s="1"/>
  <c r="V223" i="246" s="1"/>
  <c r="V274" i="246" s="1"/>
  <c r="V325" i="246" s="1"/>
  <c r="V376" i="246" s="1"/>
  <c r="V427" i="246" s="1"/>
  <c r="V478" i="246" s="1"/>
  <c r="V529" i="246" s="1"/>
  <c r="V580" i="246" s="1"/>
  <c r="G16" i="246"/>
  <c r="G67" i="246" s="1"/>
  <c r="G118" i="246" s="1"/>
  <c r="G169" i="246" s="1"/>
  <c r="G220" i="246" s="1"/>
  <c r="G271" i="246" s="1"/>
  <c r="G322" i="246" s="1"/>
  <c r="G373" i="246" s="1"/>
  <c r="G424" i="246" s="1"/>
  <c r="G475" i="246" s="1"/>
  <c r="G526" i="246" s="1"/>
  <c r="G577" i="246" s="1"/>
  <c r="G628" i="246" s="1"/>
  <c r="E16" i="246"/>
  <c r="E67" i="246" s="1"/>
  <c r="E118" i="246" s="1"/>
  <c r="E169" i="246" s="1"/>
  <c r="E220" i="246" s="1"/>
  <c r="E271" i="246" s="1"/>
  <c r="E322" i="246" s="1"/>
  <c r="E373" i="246" s="1"/>
  <c r="E424" i="246" s="1"/>
  <c r="E475" i="246" s="1"/>
  <c r="E526" i="246" s="1"/>
  <c r="E577" i="246" s="1"/>
  <c r="E628" i="246" s="1"/>
  <c r="D16" i="246"/>
  <c r="G15" i="246"/>
  <c r="G66" i="246" s="1"/>
  <c r="G117" i="246" s="1"/>
  <c r="G168" i="246" s="1"/>
  <c r="G219" i="246" s="1"/>
  <c r="G270" i="246" s="1"/>
  <c r="G321" i="246" s="1"/>
  <c r="G372" i="246" s="1"/>
  <c r="G423" i="246" s="1"/>
  <c r="G474" i="246" s="1"/>
  <c r="G525" i="246" s="1"/>
  <c r="G576" i="246" s="1"/>
  <c r="G627" i="246" s="1"/>
  <c r="E15" i="246"/>
  <c r="E66" i="246" s="1"/>
  <c r="E117" i="246" s="1"/>
  <c r="E168" i="246" s="1"/>
  <c r="E219" i="246" s="1"/>
  <c r="E270" i="246" s="1"/>
  <c r="E321" i="246" s="1"/>
  <c r="E372" i="246" s="1"/>
  <c r="E423" i="246" s="1"/>
  <c r="E474" i="246" s="1"/>
  <c r="E525" i="246" s="1"/>
  <c r="E576" i="246" s="1"/>
  <c r="E627" i="246" s="1"/>
  <c r="D15" i="246"/>
  <c r="U15" i="246" s="1"/>
  <c r="U66" i="246" s="1"/>
  <c r="U117" i="246" s="1"/>
  <c r="U168" i="246" s="1"/>
  <c r="U219" i="246" s="1"/>
  <c r="U270" i="246" s="1"/>
  <c r="U321" i="246" s="1"/>
  <c r="U372" i="246" s="1"/>
  <c r="U423" i="246" s="1"/>
  <c r="U474" i="246" s="1"/>
  <c r="U525" i="246" s="1"/>
  <c r="U576" i="246" s="1"/>
  <c r="G14" i="246"/>
  <c r="G65" i="246" s="1"/>
  <c r="G116" i="246" s="1"/>
  <c r="G167" i="246" s="1"/>
  <c r="G218" i="246" s="1"/>
  <c r="G269" i="246" s="1"/>
  <c r="G320" i="246" s="1"/>
  <c r="G371" i="246" s="1"/>
  <c r="G422" i="246" s="1"/>
  <c r="G473" i="246" s="1"/>
  <c r="G524" i="246" s="1"/>
  <c r="G575" i="246" s="1"/>
  <c r="G626" i="246" s="1"/>
  <c r="E14" i="246"/>
  <c r="E65" i="246" s="1"/>
  <c r="E116" i="246" s="1"/>
  <c r="E167" i="246" s="1"/>
  <c r="E218" i="246" s="1"/>
  <c r="E269" i="246" s="1"/>
  <c r="E320" i="246" s="1"/>
  <c r="E371" i="246" s="1"/>
  <c r="E422" i="246" s="1"/>
  <c r="E473" i="246" s="1"/>
  <c r="E524" i="246" s="1"/>
  <c r="E575" i="246" s="1"/>
  <c r="E626" i="246" s="1"/>
  <c r="D14" i="246"/>
  <c r="D65" i="246" s="1"/>
  <c r="D116" i="246" s="1"/>
  <c r="D167" i="246" s="1"/>
  <c r="D218" i="246" s="1"/>
  <c r="D269" i="246" s="1"/>
  <c r="D320" i="246" s="1"/>
  <c r="D371" i="246" s="1"/>
  <c r="D422" i="246" s="1"/>
  <c r="D473" i="246" s="1"/>
  <c r="D524" i="246" s="1"/>
  <c r="D575" i="246" s="1"/>
  <c r="D626" i="246" s="1"/>
  <c r="G13" i="246"/>
  <c r="G64" i="246" s="1"/>
  <c r="G115" i="246" s="1"/>
  <c r="G166" i="246" s="1"/>
  <c r="G217" i="246" s="1"/>
  <c r="G268" i="246" s="1"/>
  <c r="G319" i="246" s="1"/>
  <c r="G370" i="246" s="1"/>
  <c r="G421" i="246" s="1"/>
  <c r="G472" i="246" s="1"/>
  <c r="G523" i="246" s="1"/>
  <c r="G574" i="246" s="1"/>
  <c r="G625" i="246" s="1"/>
  <c r="E13" i="246"/>
  <c r="E64" i="246" s="1"/>
  <c r="E115" i="246" s="1"/>
  <c r="E166" i="246" s="1"/>
  <c r="E217" i="246" s="1"/>
  <c r="E268" i="246" s="1"/>
  <c r="E319" i="246" s="1"/>
  <c r="E370" i="246" s="1"/>
  <c r="E421" i="246" s="1"/>
  <c r="E472" i="246" s="1"/>
  <c r="E523" i="246" s="1"/>
  <c r="E574" i="246" s="1"/>
  <c r="E625" i="246" s="1"/>
  <c r="D13" i="246"/>
  <c r="U13" i="246" s="1"/>
  <c r="U64" i="246" s="1"/>
  <c r="U115" i="246" s="1"/>
  <c r="U166" i="246" s="1"/>
  <c r="U217" i="246" s="1"/>
  <c r="U268" i="246" s="1"/>
  <c r="U319" i="246" s="1"/>
  <c r="U370" i="246" s="1"/>
  <c r="U421" i="246" s="1"/>
  <c r="U472" i="246" s="1"/>
  <c r="U523" i="246" s="1"/>
  <c r="U574" i="246" s="1"/>
  <c r="G10" i="246"/>
  <c r="G61" i="246" s="1"/>
  <c r="G112" i="246" s="1"/>
  <c r="G163" i="246" s="1"/>
  <c r="G214" i="246" s="1"/>
  <c r="G265" i="246" s="1"/>
  <c r="G316" i="246" s="1"/>
  <c r="G367" i="246" s="1"/>
  <c r="G418" i="246" s="1"/>
  <c r="G469" i="246" s="1"/>
  <c r="G520" i="246" s="1"/>
  <c r="G571" i="246" s="1"/>
  <c r="G622" i="246" s="1"/>
  <c r="E10" i="246"/>
  <c r="E61" i="246" s="1"/>
  <c r="E112" i="246" s="1"/>
  <c r="E163" i="246" s="1"/>
  <c r="E214" i="246" s="1"/>
  <c r="E265" i="246" s="1"/>
  <c r="E316" i="246" s="1"/>
  <c r="E367" i="246" s="1"/>
  <c r="E418" i="246" s="1"/>
  <c r="E469" i="246" s="1"/>
  <c r="E520" i="246" s="1"/>
  <c r="E571" i="246" s="1"/>
  <c r="E622" i="246" s="1"/>
  <c r="D10" i="246"/>
  <c r="G8" i="246"/>
  <c r="G59" i="246" s="1"/>
  <c r="G110" i="246" s="1"/>
  <c r="G161" i="246" s="1"/>
  <c r="G212" i="246" s="1"/>
  <c r="G263" i="246" s="1"/>
  <c r="G314" i="246" s="1"/>
  <c r="G365" i="246" s="1"/>
  <c r="G416" i="246" s="1"/>
  <c r="G467" i="246" s="1"/>
  <c r="G518" i="246" s="1"/>
  <c r="G569" i="246" s="1"/>
  <c r="G620" i="246" s="1"/>
  <c r="E8" i="246"/>
  <c r="E59" i="246" s="1"/>
  <c r="E110" i="246" s="1"/>
  <c r="E161" i="246" s="1"/>
  <c r="E212" i="246" s="1"/>
  <c r="E263" i="246" s="1"/>
  <c r="E314" i="246" s="1"/>
  <c r="E365" i="246" s="1"/>
  <c r="E416" i="246" s="1"/>
  <c r="E467" i="246" s="1"/>
  <c r="E518" i="246" s="1"/>
  <c r="E569" i="246" s="1"/>
  <c r="E620" i="246" s="1"/>
  <c r="D8" i="246"/>
  <c r="V763" i="209"/>
  <c r="G763" i="209"/>
  <c r="E763" i="209"/>
  <c r="D763" i="209"/>
  <c r="U763" i="209" s="1"/>
  <c r="V762" i="209"/>
  <c r="G762" i="209"/>
  <c r="E762" i="209"/>
  <c r="D762" i="209"/>
  <c r="U762" i="209" s="1"/>
  <c r="V761" i="209"/>
  <c r="G761" i="209"/>
  <c r="E761" i="209"/>
  <c r="D761" i="209"/>
  <c r="U761" i="209" s="1"/>
  <c r="V738" i="209"/>
  <c r="V732" i="209"/>
  <c r="V731" i="209"/>
  <c r="G731" i="209"/>
  <c r="E731" i="209"/>
  <c r="D731" i="209"/>
  <c r="U731" i="209" s="1"/>
  <c r="V730" i="209"/>
  <c r="G730" i="209"/>
  <c r="E730" i="209"/>
  <c r="D730" i="209"/>
  <c r="U730" i="209" s="1"/>
  <c r="V729" i="209"/>
  <c r="G729" i="209"/>
  <c r="E729" i="209"/>
  <c r="D729" i="209"/>
  <c r="U729" i="209" s="1"/>
  <c r="V704" i="209"/>
  <c r="R704" i="209"/>
  <c r="Q704" i="209"/>
  <c r="P704" i="209"/>
  <c r="O704" i="209"/>
  <c r="G704" i="209"/>
  <c r="E704" i="209"/>
  <c r="D704" i="209"/>
  <c r="U704" i="209" s="1"/>
  <c r="V703" i="209"/>
  <c r="R703" i="209"/>
  <c r="Q703" i="209"/>
  <c r="P703" i="209"/>
  <c r="O703" i="209"/>
  <c r="G703" i="209"/>
  <c r="E703" i="209"/>
  <c r="D703" i="209"/>
  <c r="U703" i="209" s="1"/>
  <c r="V702" i="209"/>
  <c r="R702" i="209"/>
  <c r="Q702" i="209"/>
  <c r="P702" i="209"/>
  <c r="O702" i="209"/>
  <c r="G702" i="209"/>
  <c r="E702" i="209"/>
  <c r="D702" i="209"/>
  <c r="U702" i="209" s="1"/>
  <c r="R701" i="209"/>
  <c r="Q701" i="209"/>
  <c r="P701" i="209"/>
  <c r="O701" i="209"/>
  <c r="R686" i="209"/>
  <c r="Q686" i="209"/>
  <c r="P686" i="209"/>
  <c r="O686" i="209"/>
  <c r="R685" i="209"/>
  <c r="Q685" i="209"/>
  <c r="P685" i="209"/>
  <c r="O685" i="209"/>
  <c r="R691" i="209"/>
  <c r="Q691" i="209"/>
  <c r="P691" i="209"/>
  <c r="O691" i="209"/>
  <c r="R681" i="209"/>
  <c r="Q681" i="209"/>
  <c r="P681" i="209"/>
  <c r="O681" i="209"/>
  <c r="R697" i="209"/>
  <c r="Q697" i="209"/>
  <c r="P697" i="209"/>
  <c r="O697" i="209"/>
  <c r="R698" i="209"/>
  <c r="Q698" i="209"/>
  <c r="P698" i="209"/>
  <c r="O698" i="209"/>
  <c r="R696" i="209"/>
  <c r="Q696" i="209"/>
  <c r="P696" i="209"/>
  <c r="O696" i="209"/>
  <c r="R687" i="209"/>
  <c r="Q687" i="209"/>
  <c r="P687" i="209"/>
  <c r="O687" i="209"/>
  <c r="R683" i="209"/>
  <c r="Q683" i="209"/>
  <c r="P683" i="209"/>
  <c r="O683" i="209"/>
  <c r="V679" i="209"/>
  <c r="R676" i="209"/>
  <c r="Q676" i="209"/>
  <c r="P676" i="209"/>
  <c r="O676" i="209"/>
  <c r="R675" i="209"/>
  <c r="Q675" i="209"/>
  <c r="P675" i="209"/>
  <c r="O675" i="209"/>
  <c r="V673" i="209"/>
  <c r="V672" i="209"/>
  <c r="R672" i="209"/>
  <c r="Q672" i="209"/>
  <c r="P672" i="209"/>
  <c r="O672" i="209"/>
  <c r="G672" i="209"/>
  <c r="E672" i="209"/>
  <c r="D672" i="209"/>
  <c r="U672" i="209" s="1"/>
  <c r="V671" i="209"/>
  <c r="R671" i="209"/>
  <c r="Q671" i="209"/>
  <c r="P671" i="209"/>
  <c r="O671" i="209"/>
  <c r="G671" i="209"/>
  <c r="E671" i="209"/>
  <c r="D671" i="209"/>
  <c r="U671" i="209" s="1"/>
  <c r="V670" i="209"/>
  <c r="R670" i="209"/>
  <c r="Q670" i="209"/>
  <c r="P670" i="209"/>
  <c r="O670" i="209"/>
  <c r="G670" i="209"/>
  <c r="E670" i="209"/>
  <c r="D670" i="209"/>
  <c r="U670" i="209" s="1"/>
  <c r="R665" i="209"/>
  <c r="Q665" i="209"/>
  <c r="P665" i="209"/>
  <c r="O665" i="209"/>
  <c r="R664" i="209"/>
  <c r="Q664" i="209"/>
  <c r="P664" i="209"/>
  <c r="O664" i="209"/>
  <c r="R662" i="209"/>
  <c r="Q662" i="209"/>
  <c r="P662" i="209"/>
  <c r="O662" i="209"/>
  <c r="R661" i="209"/>
  <c r="Q661" i="209"/>
  <c r="P661" i="209"/>
  <c r="O661" i="209"/>
  <c r="R660" i="209"/>
  <c r="Q660" i="209"/>
  <c r="P660" i="209"/>
  <c r="O660" i="209"/>
  <c r="R659" i="209"/>
  <c r="Q659" i="209"/>
  <c r="P659" i="209"/>
  <c r="O659" i="209"/>
  <c r="R658" i="209"/>
  <c r="Q658" i="209"/>
  <c r="P658" i="209"/>
  <c r="O658" i="209"/>
  <c r="V645" i="209"/>
  <c r="G645" i="209"/>
  <c r="E645" i="209"/>
  <c r="D645" i="209"/>
  <c r="U645" i="209" s="1"/>
  <c r="V644" i="209"/>
  <c r="G644" i="209"/>
  <c r="E644" i="209"/>
  <c r="D644" i="209"/>
  <c r="U644" i="209" s="1"/>
  <c r="V643" i="209"/>
  <c r="G643" i="209"/>
  <c r="E643" i="209"/>
  <c r="D643" i="209"/>
  <c r="U643" i="209" s="1"/>
  <c r="V620" i="209"/>
  <c r="S620" i="209"/>
  <c r="S618" i="209"/>
  <c r="V614" i="209"/>
  <c r="V613" i="209"/>
  <c r="G613" i="209"/>
  <c r="E613" i="209"/>
  <c r="D613" i="209"/>
  <c r="U613" i="209" s="1"/>
  <c r="V612" i="209"/>
  <c r="G612" i="209"/>
  <c r="E612" i="209"/>
  <c r="D612" i="209"/>
  <c r="U612" i="209" s="1"/>
  <c r="V611" i="209"/>
  <c r="G611" i="209"/>
  <c r="E611" i="209"/>
  <c r="D611" i="209"/>
  <c r="U611" i="209" s="1"/>
  <c r="V586" i="209"/>
  <c r="R586" i="209"/>
  <c r="Q586" i="209"/>
  <c r="P586" i="209"/>
  <c r="O586" i="209"/>
  <c r="L586" i="209"/>
  <c r="K586" i="209"/>
  <c r="J586" i="209"/>
  <c r="I586" i="209"/>
  <c r="G586" i="209"/>
  <c r="E586" i="209"/>
  <c r="D586" i="209"/>
  <c r="U586" i="209" s="1"/>
  <c r="V585" i="209"/>
  <c r="R585" i="209"/>
  <c r="Q585" i="209"/>
  <c r="P585" i="209"/>
  <c r="O585" i="209"/>
  <c r="L585" i="209"/>
  <c r="K585" i="209"/>
  <c r="J585" i="209"/>
  <c r="I585" i="209"/>
  <c r="G585" i="209"/>
  <c r="E585" i="209"/>
  <c r="D585" i="209"/>
  <c r="U585" i="209" s="1"/>
  <c r="V584" i="209"/>
  <c r="R584" i="209"/>
  <c r="Q584" i="209"/>
  <c r="P584" i="209"/>
  <c r="O584" i="209"/>
  <c r="L584" i="209"/>
  <c r="K584" i="209"/>
  <c r="J584" i="209"/>
  <c r="I584" i="209"/>
  <c r="G584" i="209"/>
  <c r="E584" i="209"/>
  <c r="D584" i="209"/>
  <c r="U584" i="209" s="1"/>
  <c r="R583" i="209"/>
  <c r="Q583" i="209"/>
  <c r="P583" i="209"/>
  <c r="O583" i="209"/>
  <c r="L583" i="209"/>
  <c r="K583" i="209"/>
  <c r="J583" i="209"/>
  <c r="I583" i="209"/>
  <c r="R568" i="209"/>
  <c r="Q568" i="209"/>
  <c r="P568" i="209"/>
  <c r="O568" i="209"/>
  <c r="L568" i="209"/>
  <c r="K568" i="209"/>
  <c r="J568" i="209"/>
  <c r="I568" i="209"/>
  <c r="R567" i="209"/>
  <c r="Q567" i="209"/>
  <c r="P567" i="209"/>
  <c r="O567" i="209"/>
  <c r="L567" i="209"/>
  <c r="K567" i="209"/>
  <c r="J567" i="209"/>
  <c r="I567" i="209"/>
  <c r="R573" i="209"/>
  <c r="Q573" i="209"/>
  <c r="P573" i="209"/>
  <c r="O573" i="209"/>
  <c r="L573" i="209"/>
  <c r="K573" i="209"/>
  <c r="J573" i="209"/>
  <c r="I573" i="209"/>
  <c r="R563" i="209"/>
  <c r="Q563" i="209"/>
  <c r="P563" i="209"/>
  <c r="O563" i="209"/>
  <c r="L563" i="209"/>
  <c r="K563" i="209"/>
  <c r="J563" i="209"/>
  <c r="I563" i="209"/>
  <c r="R579" i="209"/>
  <c r="Q579" i="209"/>
  <c r="P579" i="209"/>
  <c r="O579" i="209"/>
  <c r="L579" i="209"/>
  <c r="K579" i="209"/>
  <c r="J579" i="209"/>
  <c r="I579" i="209"/>
  <c r="R580" i="209"/>
  <c r="Q580" i="209"/>
  <c r="P580" i="209"/>
  <c r="O580" i="209"/>
  <c r="L580" i="209"/>
  <c r="K580" i="209"/>
  <c r="J580" i="209"/>
  <c r="I580" i="209"/>
  <c r="R578" i="209"/>
  <c r="Q578" i="209"/>
  <c r="P578" i="209"/>
  <c r="O578" i="209"/>
  <c r="L578" i="209"/>
  <c r="I578" i="209"/>
  <c r="K578" i="209"/>
  <c r="J578" i="209"/>
  <c r="R574" i="209"/>
  <c r="Q574" i="209"/>
  <c r="P574" i="209"/>
  <c r="O574" i="209"/>
  <c r="L574" i="209"/>
  <c r="K574" i="209"/>
  <c r="R572" i="209"/>
  <c r="Q572" i="209"/>
  <c r="P572" i="209"/>
  <c r="O572" i="209"/>
  <c r="L572" i="209"/>
  <c r="I572" i="209"/>
  <c r="K572" i="209"/>
  <c r="J572" i="209"/>
  <c r="R569" i="209"/>
  <c r="Q569" i="209"/>
  <c r="P569" i="209"/>
  <c r="O569" i="209"/>
  <c r="L569" i="209"/>
  <c r="K569" i="209"/>
  <c r="J569" i="209"/>
  <c r="I569" i="209"/>
  <c r="R565" i="209"/>
  <c r="Q565" i="209"/>
  <c r="P565" i="209"/>
  <c r="O565" i="209"/>
  <c r="L565" i="209"/>
  <c r="K565" i="209"/>
  <c r="J565" i="209"/>
  <c r="I565" i="209"/>
  <c r="V561" i="209"/>
  <c r="R558" i="209"/>
  <c r="Q558" i="209"/>
  <c r="P558" i="209"/>
  <c r="O558" i="209"/>
  <c r="L558" i="209"/>
  <c r="K558" i="209"/>
  <c r="J558" i="209"/>
  <c r="I558" i="209"/>
  <c r="R557" i="209"/>
  <c r="Q557" i="209"/>
  <c r="P557" i="209"/>
  <c r="O557" i="209"/>
  <c r="L557" i="209"/>
  <c r="K557" i="209"/>
  <c r="J557" i="209"/>
  <c r="I557" i="209"/>
  <c r="V555" i="209"/>
  <c r="V554" i="209"/>
  <c r="R554" i="209"/>
  <c r="Q554" i="209"/>
  <c r="P554" i="209"/>
  <c r="O554" i="209"/>
  <c r="L554" i="209"/>
  <c r="K554" i="209"/>
  <c r="J554" i="209"/>
  <c r="I554" i="209"/>
  <c r="G554" i="209"/>
  <c r="E554" i="209"/>
  <c r="D554" i="209"/>
  <c r="U554" i="209" s="1"/>
  <c r="V553" i="209"/>
  <c r="R553" i="209"/>
  <c r="Q553" i="209"/>
  <c r="P553" i="209"/>
  <c r="O553" i="209"/>
  <c r="L553" i="209"/>
  <c r="M553" i="209" s="1"/>
  <c r="K553" i="209"/>
  <c r="J553" i="209"/>
  <c r="G553" i="209"/>
  <c r="E553" i="209"/>
  <c r="D553" i="209"/>
  <c r="U553" i="209" s="1"/>
  <c r="V552" i="209"/>
  <c r="R552" i="209"/>
  <c r="Q552" i="209"/>
  <c r="P552" i="209"/>
  <c r="O552" i="209"/>
  <c r="L552" i="209"/>
  <c r="K552" i="209"/>
  <c r="J552" i="209"/>
  <c r="I552" i="209"/>
  <c r="G552" i="209"/>
  <c r="E552" i="209"/>
  <c r="D552" i="209"/>
  <c r="U552" i="209" s="1"/>
  <c r="R549" i="209"/>
  <c r="Q549" i="209"/>
  <c r="P549" i="209"/>
  <c r="O549" i="209"/>
  <c r="L549" i="209"/>
  <c r="K549" i="209"/>
  <c r="J549" i="209"/>
  <c r="I549" i="209"/>
  <c r="R548" i="209"/>
  <c r="Q548" i="209"/>
  <c r="P548" i="209"/>
  <c r="O548" i="209"/>
  <c r="L548" i="209"/>
  <c r="K548" i="209"/>
  <c r="J548" i="209"/>
  <c r="I548" i="209"/>
  <c r="R547" i="209"/>
  <c r="Q547" i="209"/>
  <c r="P547" i="209"/>
  <c r="O547" i="209"/>
  <c r="L547" i="209"/>
  <c r="K547" i="209"/>
  <c r="J547" i="209"/>
  <c r="I547" i="209"/>
  <c r="R546" i="209"/>
  <c r="Q546" i="209"/>
  <c r="P546" i="209"/>
  <c r="O546" i="209"/>
  <c r="L546" i="209"/>
  <c r="K546" i="209"/>
  <c r="J546" i="209"/>
  <c r="I546" i="209"/>
  <c r="R545" i="209"/>
  <c r="Q545" i="209"/>
  <c r="P545" i="209"/>
  <c r="O545" i="209"/>
  <c r="L545" i="209"/>
  <c r="K545" i="209"/>
  <c r="J545" i="209"/>
  <c r="I545" i="209"/>
  <c r="R544" i="209"/>
  <c r="Q544" i="209"/>
  <c r="P544" i="209"/>
  <c r="O544" i="209"/>
  <c r="L544" i="209"/>
  <c r="K544" i="209"/>
  <c r="J544" i="209"/>
  <c r="I544" i="209"/>
  <c r="R543" i="209"/>
  <c r="Q543" i="209"/>
  <c r="P543" i="209"/>
  <c r="O543" i="209"/>
  <c r="L543" i="209"/>
  <c r="K543" i="209"/>
  <c r="J543" i="209"/>
  <c r="I543" i="209"/>
  <c r="R542" i="209"/>
  <c r="Q542" i="209"/>
  <c r="P542" i="209"/>
  <c r="O542" i="209"/>
  <c r="L542" i="209"/>
  <c r="K542" i="209"/>
  <c r="J542" i="209"/>
  <c r="I542" i="209"/>
  <c r="R541" i="209"/>
  <c r="Q541" i="209"/>
  <c r="P541" i="209"/>
  <c r="L541" i="209"/>
  <c r="K541" i="209"/>
  <c r="J541" i="209"/>
  <c r="I541" i="209"/>
  <c r="R540" i="209"/>
  <c r="Q540" i="209"/>
  <c r="P540" i="209"/>
  <c r="O540" i="209"/>
  <c r="L540" i="209"/>
  <c r="K540" i="209"/>
  <c r="J540" i="209"/>
  <c r="I540" i="209"/>
  <c r="R539" i="209"/>
  <c r="Q539" i="209"/>
  <c r="P539" i="209"/>
  <c r="O539" i="209"/>
  <c r="L539" i="209"/>
  <c r="K539" i="209"/>
  <c r="J539" i="209"/>
  <c r="I539" i="209"/>
  <c r="V527" i="209"/>
  <c r="R527" i="209"/>
  <c r="Q527" i="209"/>
  <c r="P527" i="209"/>
  <c r="O527" i="209"/>
  <c r="L527" i="209"/>
  <c r="K527" i="209"/>
  <c r="J527" i="209"/>
  <c r="I527" i="209"/>
  <c r="G527" i="209"/>
  <c r="E527" i="209"/>
  <c r="D527" i="209"/>
  <c r="U527" i="209" s="1"/>
  <c r="V526" i="209"/>
  <c r="R526" i="209"/>
  <c r="Q526" i="209"/>
  <c r="P526" i="209"/>
  <c r="O526" i="209"/>
  <c r="L526" i="209"/>
  <c r="K526" i="209"/>
  <c r="J526" i="209"/>
  <c r="I526" i="209"/>
  <c r="G526" i="209"/>
  <c r="E526" i="209"/>
  <c r="D526" i="209"/>
  <c r="U526" i="209" s="1"/>
  <c r="V525" i="209"/>
  <c r="R525" i="209"/>
  <c r="Q525" i="209"/>
  <c r="P525" i="209"/>
  <c r="O525" i="209"/>
  <c r="L525" i="209"/>
  <c r="K525" i="209"/>
  <c r="J525" i="209"/>
  <c r="I525" i="209"/>
  <c r="G525" i="209"/>
  <c r="E525" i="209"/>
  <c r="D525" i="209"/>
  <c r="U525" i="209" s="1"/>
  <c r="R524" i="209"/>
  <c r="O524" i="209"/>
  <c r="Q524" i="209"/>
  <c r="P524" i="209"/>
  <c r="L524" i="209"/>
  <c r="K524" i="209"/>
  <c r="J524" i="209"/>
  <c r="I524" i="209"/>
  <c r="R509" i="209"/>
  <c r="Q509" i="209"/>
  <c r="P509" i="209"/>
  <c r="O509" i="209"/>
  <c r="L509" i="209"/>
  <c r="K509" i="209"/>
  <c r="J509" i="209"/>
  <c r="I509" i="209"/>
  <c r="R508" i="209"/>
  <c r="O508" i="209"/>
  <c r="Q508" i="209"/>
  <c r="P508" i="209"/>
  <c r="L508" i="209"/>
  <c r="K508" i="209"/>
  <c r="J508" i="209"/>
  <c r="I508" i="209"/>
  <c r="R514" i="209"/>
  <c r="Q514" i="209"/>
  <c r="P514" i="209"/>
  <c r="O514" i="209"/>
  <c r="L514" i="209"/>
  <c r="K514" i="209"/>
  <c r="J514" i="209"/>
  <c r="I514" i="209"/>
  <c r="R504" i="209"/>
  <c r="Q504" i="209"/>
  <c r="P504" i="209"/>
  <c r="O504" i="209"/>
  <c r="L504" i="209"/>
  <c r="K504" i="209"/>
  <c r="J504" i="209"/>
  <c r="I504" i="209"/>
  <c r="R520" i="209"/>
  <c r="O520" i="209"/>
  <c r="Q520" i="209"/>
  <c r="P520" i="209"/>
  <c r="L520" i="209"/>
  <c r="I520" i="209"/>
  <c r="K520" i="209"/>
  <c r="J520" i="209"/>
  <c r="R521" i="209"/>
  <c r="Q521" i="209"/>
  <c r="P521" i="209"/>
  <c r="O521" i="209"/>
  <c r="L521" i="209"/>
  <c r="I521" i="209"/>
  <c r="K521" i="209"/>
  <c r="J521" i="209"/>
  <c r="R519" i="209"/>
  <c r="Q519" i="209"/>
  <c r="P519" i="209"/>
  <c r="O519" i="209"/>
  <c r="L519" i="209"/>
  <c r="K519" i="209"/>
  <c r="J519" i="209"/>
  <c r="I519" i="209"/>
  <c r="R515" i="209"/>
  <c r="Q515" i="209"/>
  <c r="P515" i="209"/>
  <c r="O515" i="209"/>
  <c r="L515" i="209"/>
  <c r="K515" i="209"/>
  <c r="J515" i="209"/>
  <c r="I515" i="209"/>
  <c r="R513" i="209"/>
  <c r="Q513" i="209"/>
  <c r="P513" i="209"/>
  <c r="O513" i="209"/>
  <c r="L513" i="209"/>
  <c r="K513" i="209"/>
  <c r="J513" i="209"/>
  <c r="I513" i="209"/>
  <c r="R510" i="209"/>
  <c r="Q510" i="209"/>
  <c r="P510" i="209"/>
  <c r="O510" i="209"/>
  <c r="L510" i="209"/>
  <c r="K510" i="209"/>
  <c r="J510" i="209"/>
  <c r="I510" i="209"/>
  <c r="R506" i="209"/>
  <c r="O506" i="209"/>
  <c r="Q506" i="209"/>
  <c r="P506" i="209"/>
  <c r="L506" i="209"/>
  <c r="K506" i="209"/>
  <c r="J506" i="209"/>
  <c r="I506" i="209"/>
  <c r="V502" i="209"/>
  <c r="R499" i="209"/>
  <c r="Q499" i="209"/>
  <c r="P499" i="209"/>
  <c r="O499" i="209"/>
  <c r="L499" i="209"/>
  <c r="K499" i="209"/>
  <c r="J499" i="209"/>
  <c r="I499" i="209"/>
  <c r="R498" i="209"/>
  <c r="Q498" i="209"/>
  <c r="P498" i="209"/>
  <c r="O498" i="209"/>
  <c r="L498" i="209"/>
  <c r="K498" i="209"/>
  <c r="J498" i="209"/>
  <c r="I498" i="209"/>
  <c r="V496" i="209"/>
  <c r="V495" i="209"/>
  <c r="R495" i="209"/>
  <c r="Q495" i="209"/>
  <c r="P495" i="209"/>
  <c r="O495" i="209"/>
  <c r="L495" i="209"/>
  <c r="K495" i="209"/>
  <c r="J495" i="209"/>
  <c r="I495" i="209"/>
  <c r="G495" i="209"/>
  <c r="E495" i="209"/>
  <c r="D495" i="209"/>
  <c r="U495" i="209" s="1"/>
  <c r="V494" i="209"/>
  <c r="R494" i="209"/>
  <c r="Q494" i="209"/>
  <c r="P494" i="209"/>
  <c r="O494" i="209"/>
  <c r="L494" i="209"/>
  <c r="K494" i="209"/>
  <c r="J494" i="209"/>
  <c r="I494" i="209"/>
  <c r="G494" i="209"/>
  <c r="E494" i="209"/>
  <c r="D494" i="209"/>
  <c r="U494" i="209" s="1"/>
  <c r="V493" i="209"/>
  <c r="R493" i="209"/>
  <c r="Q493" i="209"/>
  <c r="P493" i="209"/>
  <c r="O493" i="209"/>
  <c r="L493" i="209"/>
  <c r="K493" i="209"/>
  <c r="J493" i="209"/>
  <c r="I493" i="209"/>
  <c r="G493" i="209"/>
  <c r="E493" i="209"/>
  <c r="D493" i="209"/>
  <c r="U493" i="209" s="1"/>
  <c r="R490" i="209"/>
  <c r="Q490" i="209"/>
  <c r="P490" i="209"/>
  <c r="O490" i="209"/>
  <c r="L490" i="209"/>
  <c r="K490" i="209"/>
  <c r="J490" i="209"/>
  <c r="I490" i="209"/>
  <c r="R489" i="209"/>
  <c r="Q489" i="209"/>
  <c r="P489" i="209"/>
  <c r="O489" i="209"/>
  <c r="L489" i="209"/>
  <c r="K489" i="209"/>
  <c r="J489" i="209"/>
  <c r="I489" i="209"/>
  <c r="R488" i="209"/>
  <c r="Q488" i="209"/>
  <c r="P488" i="209"/>
  <c r="O488" i="209"/>
  <c r="L488" i="209"/>
  <c r="K488" i="209"/>
  <c r="J488" i="209"/>
  <c r="I488" i="209"/>
  <c r="R487" i="209"/>
  <c r="Q487" i="209"/>
  <c r="P487" i="209"/>
  <c r="O487" i="209"/>
  <c r="L487" i="209"/>
  <c r="K487" i="209"/>
  <c r="J487" i="209"/>
  <c r="I487" i="209"/>
  <c r="R486" i="209"/>
  <c r="Q486" i="209"/>
  <c r="P486" i="209"/>
  <c r="O486" i="209"/>
  <c r="L486" i="209"/>
  <c r="K486" i="209"/>
  <c r="J486" i="209"/>
  <c r="I486" i="209"/>
  <c r="R485" i="209"/>
  <c r="Q485" i="209"/>
  <c r="P485" i="209"/>
  <c r="O485" i="209"/>
  <c r="L485" i="209"/>
  <c r="K485" i="209"/>
  <c r="J485" i="209"/>
  <c r="I485" i="209"/>
  <c r="R484" i="209"/>
  <c r="Q484" i="209"/>
  <c r="P484" i="209"/>
  <c r="O484" i="209"/>
  <c r="L484" i="209"/>
  <c r="K484" i="209"/>
  <c r="J484" i="209"/>
  <c r="I484" i="209"/>
  <c r="R483" i="209"/>
  <c r="Q483" i="209"/>
  <c r="P483" i="209"/>
  <c r="O483" i="209"/>
  <c r="L483" i="209"/>
  <c r="K483" i="209"/>
  <c r="J483" i="209"/>
  <c r="I483" i="209"/>
  <c r="R482" i="209"/>
  <c r="Q482" i="209"/>
  <c r="P482" i="209"/>
  <c r="O482" i="209"/>
  <c r="L482" i="209"/>
  <c r="K482" i="209"/>
  <c r="J482" i="209"/>
  <c r="I482" i="209"/>
  <c r="R481" i="209"/>
  <c r="Q481" i="209"/>
  <c r="P481" i="209"/>
  <c r="O481" i="209"/>
  <c r="L481" i="209"/>
  <c r="K481" i="209"/>
  <c r="J481" i="209"/>
  <c r="I481" i="209"/>
  <c r="R480" i="209"/>
  <c r="Q480" i="209"/>
  <c r="P480" i="209"/>
  <c r="O480" i="209"/>
  <c r="L480" i="209"/>
  <c r="K480" i="209"/>
  <c r="J480" i="209"/>
  <c r="I480" i="209"/>
  <c r="V468" i="209"/>
  <c r="R468" i="209"/>
  <c r="O468" i="209"/>
  <c r="Q468" i="209"/>
  <c r="P468" i="209"/>
  <c r="L468" i="209"/>
  <c r="K468" i="209"/>
  <c r="J468" i="209"/>
  <c r="I468" i="209"/>
  <c r="G468" i="209"/>
  <c r="E468" i="209"/>
  <c r="D468" i="209"/>
  <c r="U468" i="209" s="1"/>
  <c r="V467" i="209"/>
  <c r="R467" i="209"/>
  <c r="Q467" i="209"/>
  <c r="P467" i="209"/>
  <c r="O467" i="209"/>
  <c r="L467" i="209"/>
  <c r="K467" i="209"/>
  <c r="J467" i="209"/>
  <c r="I467" i="209"/>
  <c r="G467" i="209"/>
  <c r="E467" i="209"/>
  <c r="D467" i="209"/>
  <c r="U467" i="209" s="1"/>
  <c r="V466" i="209"/>
  <c r="R466" i="209"/>
  <c r="O466" i="209"/>
  <c r="Q466" i="209"/>
  <c r="P466" i="209"/>
  <c r="L466" i="209"/>
  <c r="K466" i="209"/>
  <c r="J466" i="209"/>
  <c r="I466" i="209"/>
  <c r="G466" i="209"/>
  <c r="E466" i="209"/>
  <c r="D466" i="209"/>
  <c r="U466" i="209" s="1"/>
  <c r="R465" i="209"/>
  <c r="Q465" i="209"/>
  <c r="P465" i="209"/>
  <c r="O465" i="209"/>
  <c r="L465" i="209"/>
  <c r="K465" i="209"/>
  <c r="J465" i="209"/>
  <c r="I465" i="209"/>
  <c r="R450" i="209"/>
  <c r="Q450" i="209"/>
  <c r="P450" i="209"/>
  <c r="O450" i="209"/>
  <c r="L450" i="209"/>
  <c r="K450" i="209"/>
  <c r="J450" i="209"/>
  <c r="I450" i="209"/>
  <c r="R449" i="209"/>
  <c r="Q449" i="209"/>
  <c r="P449" i="209"/>
  <c r="O449" i="209"/>
  <c r="L449" i="209"/>
  <c r="K449" i="209"/>
  <c r="J449" i="209"/>
  <c r="I449" i="209"/>
  <c r="R455" i="209"/>
  <c r="Q455" i="209"/>
  <c r="P455" i="209"/>
  <c r="O455" i="209"/>
  <c r="L455" i="209"/>
  <c r="K455" i="209"/>
  <c r="J455" i="209"/>
  <c r="I455" i="209"/>
  <c r="R445" i="209"/>
  <c r="Q445" i="209"/>
  <c r="P445" i="209"/>
  <c r="O445" i="209"/>
  <c r="L445" i="209"/>
  <c r="K445" i="209"/>
  <c r="J445" i="209"/>
  <c r="I445" i="209"/>
  <c r="R461" i="209"/>
  <c r="Q461" i="209"/>
  <c r="P461" i="209"/>
  <c r="O461" i="209"/>
  <c r="L461" i="209"/>
  <c r="K461" i="209"/>
  <c r="J461" i="209"/>
  <c r="I461" i="209"/>
  <c r="R462" i="209"/>
  <c r="Q462" i="209"/>
  <c r="P462" i="209"/>
  <c r="O462" i="209"/>
  <c r="L462" i="209"/>
  <c r="K462" i="209"/>
  <c r="J462" i="209"/>
  <c r="I462" i="209"/>
  <c r="R460" i="209"/>
  <c r="Q460" i="209"/>
  <c r="P460" i="209"/>
  <c r="O460" i="209"/>
  <c r="L460" i="209"/>
  <c r="K460" i="209"/>
  <c r="J460" i="209"/>
  <c r="I460" i="209"/>
  <c r="R456" i="209"/>
  <c r="Q456" i="209"/>
  <c r="P456" i="209"/>
  <c r="O456" i="209"/>
  <c r="L456" i="209"/>
  <c r="K456" i="209"/>
  <c r="J456" i="209"/>
  <c r="I456" i="209"/>
  <c r="R454" i="209"/>
  <c r="Q454" i="209"/>
  <c r="P454" i="209"/>
  <c r="O454" i="209"/>
  <c r="L454" i="209"/>
  <c r="K454" i="209"/>
  <c r="J454" i="209"/>
  <c r="I454" i="209"/>
  <c r="R451" i="209"/>
  <c r="Q451" i="209"/>
  <c r="P451" i="209"/>
  <c r="O451" i="209"/>
  <c r="L451" i="209"/>
  <c r="K451" i="209"/>
  <c r="J451" i="209"/>
  <c r="I451" i="209"/>
  <c r="R447" i="209"/>
  <c r="Q447" i="209"/>
  <c r="P447" i="209"/>
  <c r="O447" i="209"/>
  <c r="L447" i="209"/>
  <c r="K447" i="209"/>
  <c r="J447" i="209"/>
  <c r="I447" i="209"/>
  <c r="V443" i="209"/>
  <c r="R440" i="209"/>
  <c r="Q440" i="209"/>
  <c r="P440" i="209"/>
  <c r="O440" i="209"/>
  <c r="L440" i="209"/>
  <c r="K440" i="209"/>
  <c r="J440" i="209"/>
  <c r="I440" i="209"/>
  <c r="R439" i="209"/>
  <c r="O439" i="209"/>
  <c r="Q439" i="209"/>
  <c r="P439" i="209"/>
  <c r="L439" i="209"/>
  <c r="K439" i="209"/>
  <c r="J439" i="209"/>
  <c r="I439" i="209"/>
  <c r="V437" i="209"/>
  <c r="V436" i="209"/>
  <c r="R436" i="209"/>
  <c r="Q436" i="209"/>
  <c r="P436" i="209"/>
  <c r="O436" i="209"/>
  <c r="L436" i="209"/>
  <c r="K436" i="209"/>
  <c r="J436" i="209"/>
  <c r="I436" i="209"/>
  <c r="G436" i="209"/>
  <c r="E436" i="209"/>
  <c r="D436" i="209"/>
  <c r="U436" i="209" s="1"/>
  <c r="V435" i="209"/>
  <c r="R435" i="209"/>
  <c r="Q435" i="209"/>
  <c r="P435" i="209"/>
  <c r="O435" i="209"/>
  <c r="L435" i="209"/>
  <c r="K435" i="209"/>
  <c r="J435" i="209"/>
  <c r="I435" i="209"/>
  <c r="G435" i="209"/>
  <c r="E435" i="209"/>
  <c r="D435" i="209"/>
  <c r="U435" i="209" s="1"/>
  <c r="V434" i="209"/>
  <c r="R434" i="209"/>
  <c r="Q434" i="209"/>
  <c r="P434" i="209"/>
  <c r="O434" i="209"/>
  <c r="L434" i="209"/>
  <c r="K434" i="209"/>
  <c r="J434" i="209"/>
  <c r="I434" i="209"/>
  <c r="G434" i="209"/>
  <c r="E434" i="209"/>
  <c r="D434" i="209"/>
  <c r="U434" i="209" s="1"/>
  <c r="V431" i="209"/>
  <c r="V490" i="209" s="1"/>
  <c r="V549" i="209" s="1"/>
  <c r="V608" i="209" s="1"/>
  <c r="V667" i="209" s="1"/>
  <c r="V726" i="209" s="1"/>
  <c r="R431" i="209"/>
  <c r="Q431" i="209"/>
  <c r="P431" i="209"/>
  <c r="O431" i="209"/>
  <c r="L431" i="209"/>
  <c r="K431" i="209"/>
  <c r="J431" i="209"/>
  <c r="I431" i="209"/>
  <c r="V430" i="209"/>
  <c r="V489" i="209" s="1"/>
  <c r="V548" i="209" s="1"/>
  <c r="V607" i="209" s="1"/>
  <c r="V666" i="209" s="1"/>
  <c r="V725" i="209" s="1"/>
  <c r="R430" i="209"/>
  <c r="Q430" i="209"/>
  <c r="P430" i="209"/>
  <c r="O430" i="209"/>
  <c r="L430" i="209"/>
  <c r="K430" i="209"/>
  <c r="J430" i="209"/>
  <c r="I430" i="209"/>
  <c r="V429" i="209"/>
  <c r="V488" i="209" s="1"/>
  <c r="V547" i="209" s="1"/>
  <c r="V606" i="209" s="1"/>
  <c r="V665" i="209" s="1"/>
  <c r="V724" i="209" s="1"/>
  <c r="R429" i="209"/>
  <c r="O429" i="209"/>
  <c r="Q429" i="209"/>
  <c r="P429" i="209"/>
  <c r="L429" i="209"/>
  <c r="K429" i="209"/>
  <c r="J429" i="209"/>
  <c r="I429" i="209"/>
  <c r="V428" i="209"/>
  <c r="V487" i="209" s="1"/>
  <c r="V546" i="209" s="1"/>
  <c r="V605" i="209" s="1"/>
  <c r="V664" i="209" s="1"/>
  <c r="V723" i="209" s="1"/>
  <c r="R428" i="209"/>
  <c r="Q428" i="209"/>
  <c r="P428" i="209"/>
  <c r="O428" i="209"/>
  <c r="L428" i="209"/>
  <c r="K428" i="209"/>
  <c r="J428" i="209"/>
  <c r="I428" i="209"/>
  <c r="V427" i="209"/>
  <c r="V486" i="209" s="1"/>
  <c r="V545" i="209" s="1"/>
  <c r="V604" i="209" s="1"/>
  <c r="V663" i="209" s="1"/>
  <c r="V722" i="209" s="1"/>
  <c r="R427" i="209"/>
  <c r="Q427" i="209"/>
  <c r="P427" i="209"/>
  <c r="O427" i="209"/>
  <c r="L427" i="209"/>
  <c r="K427" i="209"/>
  <c r="J427" i="209"/>
  <c r="I427" i="209"/>
  <c r="R426" i="209"/>
  <c r="Q426" i="209"/>
  <c r="P426" i="209"/>
  <c r="O426" i="209"/>
  <c r="L426" i="209"/>
  <c r="K426" i="209"/>
  <c r="J426" i="209"/>
  <c r="I426" i="209"/>
  <c r="V425" i="209"/>
  <c r="V484" i="209" s="1"/>
  <c r="V543" i="209" s="1"/>
  <c r="V602" i="209" s="1"/>
  <c r="V661" i="209" s="1"/>
  <c r="V720" i="209" s="1"/>
  <c r="R425" i="209"/>
  <c r="Q425" i="209"/>
  <c r="P425" i="209"/>
  <c r="O425" i="209"/>
  <c r="L425" i="209"/>
  <c r="K425" i="209"/>
  <c r="J425" i="209"/>
  <c r="I425" i="209"/>
  <c r="V424" i="209"/>
  <c r="V483" i="209" s="1"/>
  <c r="V542" i="209" s="1"/>
  <c r="V601" i="209" s="1"/>
  <c r="V660" i="209" s="1"/>
  <c r="V719" i="209" s="1"/>
  <c r="R424" i="209"/>
  <c r="Q424" i="209"/>
  <c r="P424" i="209"/>
  <c r="O424" i="209"/>
  <c r="L424" i="209"/>
  <c r="K424" i="209"/>
  <c r="J424" i="209"/>
  <c r="I424" i="209"/>
  <c r="V423" i="209"/>
  <c r="V482" i="209" s="1"/>
  <c r="V541" i="209" s="1"/>
  <c r="V600" i="209" s="1"/>
  <c r="V659" i="209" s="1"/>
  <c r="V718" i="209" s="1"/>
  <c r="R423" i="209"/>
  <c r="Q423" i="209"/>
  <c r="P423" i="209"/>
  <c r="O423" i="209"/>
  <c r="L423" i="209"/>
  <c r="K423" i="209"/>
  <c r="J423" i="209"/>
  <c r="I423" i="209"/>
  <c r="V422" i="209"/>
  <c r="V481" i="209" s="1"/>
  <c r="V540" i="209" s="1"/>
  <c r="V599" i="209" s="1"/>
  <c r="V658" i="209" s="1"/>
  <c r="V717" i="209" s="1"/>
  <c r="R422" i="209"/>
  <c r="Q422" i="209"/>
  <c r="P422" i="209"/>
  <c r="O422" i="209"/>
  <c r="L422" i="209"/>
  <c r="K422" i="209"/>
  <c r="J422" i="209"/>
  <c r="I422" i="209"/>
  <c r="V421" i="209"/>
  <c r="V480" i="209" s="1"/>
  <c r="V539" i="209" s="1"/>
  <c r="V598" i="209" s="1"/>
  <c r="V657" i="209" s="1"/>
  <c r="V716" i="209" s="1"/>
  <c r="R421" i="209"/>
  <c r="Q421" i="209"/>
  <c r="P421" i="209"/>
  <c r="O421" i="209"/>
  <c r="L421" i="209"/>
  <c r="K421" i="209"/>
  <c r="J421" i="209"/>
  <c r="I421" i="209"/>
  <c r="V409" i="209"/>
  <c r="R409" i="209"/>
  <c r="Q409" i="209"/>
  <c r="P409" i="209"/>
  <c r="O409" i="209"/>
  <c r="L409" i="209"/>
  <c r="I409" i="209"/>
  <c r="K409" i="209"/>
  <c r="J409" i="209"/>
  <c r="G409" i="209"/>
  <c r="E409" i="209"/>
  <c r="D409" i="209"/>
  <c r="U409" i="209" s="1"/>
  <c r="V408" i="209"/>
  <c r="R408" i="209"/>
  <c r="O408" i="209"/>
  <c r="Q408" i="209"/>
  <c r="P408" i="209"/>
  <c r="L408" i="209"/>
  <c r="K408" i="209"/>
  <c r="J408" i="209"/>
  <c r="I408" i="209"/>
  <c r="G408" i="209"/>
  <c r="E408" i="209"/>
  <c r="D408" i="209"/>
  <c r="U408" i="209" s="1"/>
  <c r="V407" i="209"/>
  <c r="R407" i="209"/>
  <c r="Q407" i="209"/>
  <c r="P407" i="209"/>
  <c r="O407" i="209"/>
  <c r="L407" i="209"/>
  <c r="I407" i="209"/>
  <c r="K407" i="209"/>
  <c r="J407" i="209"/>
  <c r="G407" i="209"/>
  <c r="E407" i="209"/>
  <c r="D407" i="209"/>
  <c r="U407" i="209" s="1"/>
  <c r="R406" i="209"/>
  <c r="Q406" i="209"/>
  <c r="P406" i="209"/>
  <c r="O406" i="209"/>
  <c r="L406" i="209"/>
  <c r="K406" i="209"/>
  <c r="J406" i="209"/>
  <c r="I406" i="209"/>
  <c r="R391" i="209"/>
  <c r="Q391" i="209"/>
  <c r="P391" i="209"/>
  <c r="O391" i="209"/>
  <c r="L391" i="209"/>
  <c r="K391" i="209"/>
  <c r="J391" i="209"/>
  <c r="I391" i="209"/>
  <c r="R390" i="209"/>
  <c r="Q390" i="209"/>
  <c r="P390" i="209"/>
  <c r="O390" i="209"/>
  <c r="L390" i="209"/>
  <c r="K390" i="209"/>
  <c r="J390" i="209"/>
  <c r="I390" i="209"/>
  <c r="R396" i="209"/>
  <c r="Q396" i="209"/>
  <c r="P396" i="209"/>
  <c r="O396" i="209"/>
  <c r="L396" i="209"/>
  <c r="K396" i="209"/>
  <c r="J396" i="209"/>
  <c r="I396" i="209"/>
  <c r="R386" i="209"/>
  <c r="Q386" i="209"/>
  <c r="P386" i="209"/>
  <c r="O386" i="209"/>
  <c r="L386" i="209"/>
  <c r="K386" i="209"/>
  <c r="J386" i="209"/>
  <c r="I386" i="209"/>
  <c r="R402" i="209"/>
  <c r="Q402" i="209"/>
  <c r="P402" i="209"/>
  <c r="O402" i="209"/>
  <c r="L402" i="209"/>
  <c r="K402" i="209"/>
  <c r="J402" i="209"/>
  <c r="I402" i="209"/>
  <c r="R403" i="209"/>
  <c r="Q403" i="209"/>
  <c r="P403" i="209"/>
  <c r="O403" i="209"/>
  <c r="L403" i="209"/>
  <c r="K403" i="209"/>
  <c r="J403" i="209"/>
  <c r="I403" i="209"/>
  <c r="R401" i="209"/>
  <c r="Q401" i="209"/>
  <c r="P401" i="209"/>
  <c r="O401" i="209"/>
  <c r="L401" i="209"/>
  <c r="K401" i="209"/>
  <c r="J401" i="209"/>
  <c r="I401" i="209"/>
  <c r="R397" i="209"/>
  <c r="Q397" i="209"/>
  <c r="P397" i="209"/>
  <c r="O397" i="209"/>
  <c r="L397" i="209"/>
  <c r="K397" i="209"/>
  <c r="J397" i="209"/>
  <c r="I397" i="209"/>
  <c r="R395" i="209"/>
  <c r="Q395" i="209"/>
  <c r="P395" i="209"/>
  <c r="O395" i="209"/>
  <c r="L395" i="209"/>
  <c r="K395" i="209"/>
  <c r="J395" i="209"/>
  <c r="I395" i="209"/>
  <c r="R392" i="209"/>
  <c r="Q392" i="209"/>
  <c r="P392" i="209"/>
  <c r="O392" i="209"/>
  <c r="L392" i="209"/>
  <c r="K392" i="209"/>
  <c r="J392" i="209"/>
  <c r="I392" i="209"/>
  <c r="R388" i="209"/>
  <c r="Q388" i="209"/>
  <c r="P388" i="209"/>
  <c r="O388" i="209"/>
  <c r="L388" i="209"/>
  <c r="K388" i="209"/>
  <c r="J388" i="209"/>
  <c r="I388" i="209"/>
  <c r="V384" i="209"/>
  <c r="R381" i="209"/>
  <c r="Q381" i="209"/>
  <c r="P381" i="209"/>
  <c r="O381" i="209"/>
  <c r="L381" i="209"/>
  <c r="K381" i="209"/>
  <c r="J381" i="209"/>
  <c r="I381" i="209"/>
  <c r="R380" i="209"/>
  <c r="O380" i="209"/>
  <c r="Q380" i="209"/>
  <c r="P380" i="209"/>
  <c r="L380" i="209"/>
  <c r="K380" i="209"/>
  <c r="J380" i="209"/>
  <c r="I380" i="209"/>
  <c r="V378" i="209"/>
  <c r="V377" i="209"/>
  <c r="R377" i="209"/>
  <c r="Q377" i="209"/>
  <c r="P377" i="209"/>
  <c r="O377" i="209"/>
  <c r="L377" i="209"/>
  <c r="K377" i="209"/>
  <c r="J377" i="209"/>
  <c r="I377" i="209"/>
  <c r="G377" i="209"/>
  <c r="E377" i="209"/>
  <c r="D377" i="209"/>
  <c r="U377" i="209" s="1"/>
  <c r="V376" i="209"/>
  <c r="R376" i="209"/>
  <c r="Q376" i="209"/>
  <c r="P376" i="209"/>
  <c r="O376" i="209"/>
  <c r="L376" i="209"/>
  <c r="K376" i="209"/>
  <c r="J376" i="209"/>
  <c r="I376" i="209"/>
  <c r="G376" i="209"/>
  <c r="E376" i="209"/>
  <c r="D376" i="209"/>
  <c r="U376" i="209" s="1"/>
  <c r="V375" i="209"/>
  <c r="R375" i="209"/>
  <c r="Q375" i="209"/>
  <c r="P375" i="209"/>
  <c r="O375" i="209"/>
  <c r="L375" i="209"/>
  <c r="K375" i="209"/>
  <c r="J375" i="209"/>
  <c r="I375" i="209"/>
  <c r="G375" i="209"/>
  <c r="E375" i="209"/>
  <c r="D375" i="209"/>
  <c r="U375" i="209" s="1"/>
  <c r="R372" i="209"/>
  <c r="Q372" i="209"/>
  <c r="P372" i="209"/>
  <c r="O372" i="209"/>
  <c r="L372" i="209"/>
  <c r="K372" i="209"/>
  <c r="J372" i="209"/>
  <c r="I372" i="209"/>
  <c r="R371" i="209"/>
  <c r="O371" i="209"/>
  <c r="Q371" i="209"/>
  <c r="P371" i="209"/>
  <c r="L371" i="209"/>
  <c r="K371" i="209"/>
  <c r="J371" i="209"/>
  <c r="I371" i="209"/>
  <c r="R370" i="209"/>
  <c r="Q370" i="209"/>
  <c r="P370" i="209"/>
  <c r="O370" i="209"/>
  <c r="L370" i="209"/>
  <c r="K370" i="209"/>
  <c r="J370" i="209"/>
  <c r="I370" i="209"/>
  <c r="R369" i="209"/>
  <c r="Q369" i="209"/>
  <c r="P369" i="209"/>
  <c r="O369" i="209"/>
  <c r="L369" i="209"/>
  <c r="K369" i="209"/>
  <c r="J369" i="209"/>
  <c r="I369" i="209"/>
  <c r="R368" i="209"/>
  <c r="Q368" i="209"/>
  <c r="P368" i="209"/>
  <c r="O368" i="209"/>
  <c r="L368" i="209"/>
  <c r="K368" i="209"/>
  <c r="J368" i="209"/>
  <c r="I368" i="209"/>
  <c r="R367" i="209"/>
  <c r="Q367" i="209"/>
  <c r="P367" i="209"/>
  <c r="O367" i="209"/>
  <c r="L367" i="209"/>
  <c r="K367" i="209"/>
  <c r="J367" i="209"/>
  <c r="I367" i="209"/>
  <c r="R366" i="209"/>
  <c r="Q366" i="209"/>
  <c r="P366" i="209"/>
  <c r="O366" i="209"/>
  <c r="L366" i="209"/>
  <c r="K366" i="209"/>
  <c r="J366" i="209"/>
  <c r="I366" i="209"/>
  <c r="R365" i="209"/>
  <c r="Q365" i="209"/>
  <c r="P365" i="209"/>
  <c r="O365" i="209"/>
  <c r="L365" i="209"/>
  <c r="K365" i="209"/>
  <c r="J365" i="209"/>
  <c r="I365" i="209"/>
  <c r="R364" i="209"/>
  <c r="Q364" i="209"/>
  <c r="P364" i="209"/>
  <c r="O364" i="209"/>
  <c r="L364" i="209"/>
  <c r="K364" i="209"/>
  <c r="J364" i="209"/>
  <c r="I364" i="209"/>
  <c r="R363" i="209"/>
  <c r="Q363" i="209"/>
  <c r="P363" i="209"/>
  <c r="O363" i="209"/>
  <c r="L363" i="209"/>
  <c r="K363" i="209"/>
  <c r="J363" i="209"/>
  <c r="I363" i="209"/>
  <c r="R362" i="209"/>
  <c r="Q362" i="209"/>
  <c r="P362" i="209"/>
  <c r="O362" i="209"/>
  <c r="L362" i="209"/>
  <c r="K362" i="209"/>
  <c r="J362" i="209"/>
  <c r="I362" i="209"/>
  <c r="V350" i="209"/>
  <c r="R350" i="209"/>
  <c r="Q350" i="209"/>
  <c r="P350" i="209"/>
  <c r="O350" i="209"/>
  <c r="L350" i="209"/>
  <c r="K350" i="209"/>
  <c r="J350" i="209"/>
  <c r="I350" i="209"/>
  <c r="G350" i="209"/>
  <c r="E350" i="209"/>
  <c r="D350" i="209"/>
  <c r="U350" i="209" s="1"/>
  <c r="V349" i="209"/>
  <c r="R349" i="209"/>
  <c r="Q349" i="209"/>
  <c r="P349" i="209"/>
  <c r="O349" i="209"/>
  <c r="L349" i="209"/>
  <c r="K349" i="209"/>
  <c r="J349" i="209"/>
  <c r="I349" i="209"/>
  <c r="G349" i="209"/>
  <c r="E349" i="209"/>
  <c r="D349" i="209"/>
  <c r="U349" i="209" s="1"/>
  <c r="V348" i="209"/>
  <c r="R348" i="209"/>
  <c r="Q348" i="209"/>
  <c r="P348" i="209"/>
  <c r="O348" i="209"/>
  <c r="L348" i="209"/>
  <c r="K348" i="209"/>
  <c r="J348" i="209"/>
  <c r="I348" i="209"/>
  <c r="G348" i="209"/>
  <c r="E348" i="209"/>
  <c r="D348" i="209"/>
  <c r="U348" i="209" s="1"/>
  <c r="R347" i="209"/>
  <c r="Q347" i="209"/>
  <c r="P347" i="209"/>
  <c r="O347" i="209"/>
  <c r="L347" i="209"/>
  <c r="K347" i="209"/>
  <c r="J347" i="209"/>
  <c r="I347" i="209"/>
  <c r="R332" i="209"/>
  <c r="Q332" i="209"/>
  <c r="P332" i="209"/>
  <c r="O332" i="209"/>
  <c r="L332" i="209"/>
  <c r="K332" i="209"/>
  <c r="J332" i="209"/>
  <c r="I332" i="209"/>
  <c r="R331" i="209"/>
  <c r="Q331" i="209"/>
  <c r="P331" i="209"/>
  <c r="O331" i="209"/>
  <c r="L331" i="209"/>
  <c r="K331" i="209"/>
  <c r="J331" i="209"/>
  <c r="I331" i="209"/>
  <c r="R337" i="209"/>
  <c r="Q337" i="209"/>
  <c r="P337" i="209"/>
  <c r="O337" i="209"/>
  <c r="L337" i="209"/>
  <c r="K337" i="209"/>
  <c r="J337" i="209"/>
  <c r="I337" i="209"/>
  <c r="R327" i="209"/>
  <c r="Q327" i="209"/>
  <c r="P327" i="209"/>
  <c r="O327" i="209"/>
  <c r="L327" i="209"/>
  <c r="K327" i="209"/>
  <c r="J327" i="209"/>
  <c r="I327" i="209"/>
  <c r="R343" i="209"/>
  <c r="Q343" i="209"/>
  <c r="P343" i="209"/>
  <c r="O343" i="209"/>
  <c r="L343" i="209"/>
  <c r="K343" i="209"/>
  <c r="J343" i="209"/>
  <c r="I343" i="209"/>
  <c r="R344" i="209"/>
  <c r="Q344" i="209"/>
  <c r="P344" i="209"/>
  <c r="O344" i="209"/>
  <c r="L344" i="209"/>
  <c r="K344" i="209"/>
  <c r="J344" i="209"/>
  <c r="I344" i="209"/>
  <c r="R342" i="209"/>
  <c r="Q342" i="209"/>
  <c r="P342" i="209"/>
  <c r="O342" i="209"/>
  <c r="L342" i="209"/>
  <c r="K342" i="209"/>
  <c r="J342" i="209"/>
  <c r="I342" i="209"/>
  <c r="R338" i="209"/>
  <c r="Q338" i="209"/>
  <c r="P338" i="209"/>
  <c r="O338" i="209"/>
  <c r="L338" i="209"/>
  <c r="K338" i="209"/>
  <c r="J338" i="209"/>
  <c r="I338" i="209"/>
  <c r="R336" i="209"/>
  <c r="Q336" i="209"/>
  <c r="P336" i="209"/>
  <c r="O336" i="209"/>
  <c r="L336" i="209"/>
  <c r="K336" i="209"/>
  <c r="J336" i="209"/>
  <c r="I336" i="209"/>
  <c r="R333" i="209"/>
  <c r="Q333" i="209"/>
  <c r="P333" i="209"/>
  <c r="O333" i="209"/>
  <c r="L333" i="209"/>
  <c r="K333" i="209"/>
  <c r="J333" i="209"/>
  <c r="I333" i="209"/>
  <c r="R329" i="209"/>
  <c r="Q329" i="209"/>
  <c r="P329" i="209"/>
  <c r="O329" i="209"/>
  <c r="L329" i="209"/>
  <c r="K329" i="209"/>
  <c r="J329" i="209"/>
  <c r="I329" i="209"/>
  <c r="V325" i="209"/>
  <c r="R322" i="209"/>
  <c r="Q322" i="209"/>
  <c r="P322" i="209"/>
  <c r="O322" i="209"/>
  <c r="L322" i="209"/>
  <c r="K322" i="209"/>
  <c r="J322" i="209"/>
  <c r="I322" i="209"/>
  <c r="R321" i="209"/>
  <c r="Q321" i="209"/>
  <c r="P321" i="209"/>
  <c r="O321" i="209"/>
  <c r="L321" i="209"/>
  <c r="K321" i="209"/>
  <c r="J321" i="209"/>
  <c r="I321" i="209"/>
  <c r="V318" i="209"/>
  <c r="R318" i="209"/>
  <c r="Q318" i="209"/>
  <c r="P318" i="209"/>
  <c r="O318" i="209"/>
  <c r="L318" i="209"/>
  <c r="K318" i="209"/>
  <c r="J318" i="209"/>
  <c r="I318" i="209"/>
  <c r="G318" i="209"/>
  <c r="E318" i="209"/>
  <c r="D318" i="209"/>
  <c r="U318" i="209" s="1"/>
  <c r="V317" i="209"/>
  <c r="R317" i="209"/>
  <c r="Q317" i="209"/>
  <c r="P317" i="209"/>
  <c r="O317" i="209"/>
  <c r="L317" i="209"/>
  <c r="K317" i="209"/>
  <c r="J317" i="209"/>
  <c r="I317" i="209"/>
  <c r="G317" i="209"/>
  <c r="E317" i="209"/>
  <c r="D317" i="209"/>
  <c r="U317" i="209" s="1"/>
  <c r="V316" i="209"/>
  <c r="R316" i="209"/>
  <c r="Q316" i="209"/>
  <c r="P316" i="209"/>
  <c r="O316" i="209"/>
  <c r="L316" i="209"/>
  <c r="K316" i="209"/>
  <c r="J316" i="209"/>
  <c r="I316" i="209"/>
  <c r="G316" i="209"/>
  <c r="E316" i="209"/>
  <c r="D316" i="209"/>
  <c r="U316" i="209" s="1"/>
  <c r="R313" i="209"/>
  <c r="Q313" i="209"/>
  <c r="P313" i="209"/>
  <c r="O313" i="209"/>
  <c r="L313" i="209"/>
  <c r="K313" i="209"/>
  <c r="J313" i="209"/>
  <c r="I313" i="209"/>
  <c r="R312" i="209"/>
  <c r="Q312" i="209"/>
  <c r="P312" i="209"/>
  <c r="O312" i="209"/>
  <c r="L312" i="209"/>
  <c r="K312" i="209"/>
  <c r="J312" i="209"/>
  <c r="I312" i="209"/>
  <c r="R311" i="209"/>
  <c r="Q311" i="209"/>
  <c r="P311" i="209"/>
  <c r="O311" i="209"/>
  <c r="L311" i="209"/>
  <c r="K311" i="209"/>
  <c r="J311" i="209"/>
  <c r="I311" i="209"/>
  <c r="R310" i="209"/>
  <c r="Q310" i="209"/>
  <c r="P310" i="209"/>
  <c r="O310" i="209"/>
  <c r="L310" i="209"/>
  <c r="K310" i="209"/>
  <c r="J310" i="209"/>
  <c r="I310" i="209"/>
  <c r="R309" i="209"/>
  <c r="Q309" i="209"/>
  <c r="P309" i="209"/>
  <c r="O309" i="209"/>
  <c r="L309" i="209"/>
  <c r="K309" i="209"/>
  <c r="J309" i="209"/>
  <c r="I309" i="209"/>
  <c r="R308" i="209"/>
  <c r="Q308" i="209"/>
  <c r="P308" i="209"/>
  <c r="O308" i="209"/>
  <c r="L308" i="209"/>
  <c r="K308" i="209"/>
  <c r="J308" i="209"/>
  <c r="I308" i="209"/>
  <c r="R307" i="209"/>
  <c r="Q307" i="209"/>
  <c r="P307" i="209"/>
  <c r="O307" i="209"/>
  <c r="L307" i="209"/>
  <c r="K307" i="209"/>
  <c r="J307" i="209"/>
  <c r="I307" i="209"/>
  <c r="R306" i="209"/>
  <c r="Q306" i="209"/>
  <c r="P306" i="209"/>
  <c r="O306" i="209"/>
  <c r="L306" i="209"/>
  <c r="K306" i="209"/>
  <c r="J306" i="209"/>
  <c r="I306" i="209"/>
  <c r="R305" i="209"/>
  <c r="Q305" i="209"/>
  <c r="P305" i="209"/>
  <c r="O305" i="209"/>
  <c r="L305" i="209"/>
  <c r="K305" i="209"/>
  <c r="J305" i="209"/>
  <c r="I305" i="209"/>
  <c r="R304" i="209"/>
  <c r="Q304" i="209"/>
  <c r="P304" i="209"/>
  <c r="O304" i="209"/>
  <c r="L304" i="209"/>
  <c r="K304" i="209"/>
  <c r="J304" i="209"/>
  <c r="I304" i="209"/>
  <c r="R303" i="209"/>
  <c r="Q303" i="209"/>
  <c r="P303" i="209"/>
  <c r="O303" i="209"/>
  <c r="L303" i="209"/>
  <c r="K303" i="209"/>
  <c r="J303" i="209"/>
  <c r="I303" i="209"/>
  <c r="V291" i="209"/>
  <c r="R291" i="209"/>
  <c r="Q291" i="209"/>
  <c r="P291" i="209"/>
  <c r="O291" i="209"/>
  <c r="G291" i="209"/>
  <c r="E291" i="209"/>
  <c r="D291" i="209"/>
  <c r="U291" i="209" s="1"/>
  <c r="R290" i="209"/>
  <c r="Q290" i="209"/>
  <c r="P290" i="209"/>
  <c r="O290" i="209"/>
  <c r="G290" i="209"/>
  <c r="E290" i="209"/>
  <c r="D290" i="209"/>
  <c r="U290" i="209" s="1"/>
  <c r="R289" i="209"/>
  <c r="Q289" i="209"/>
  <c r="P289" i="209"/>
  <c r="O289" i="209"/>
  <c r="G289" i="209"/>
  <c r="E289" i="209"/>
  <c r="D289" i="209"/>
  <c r="U289" i="209" s="1"/>
  <c r="R288" i="209"/>
  <c r="Q288" i="209"/>
  <c r="P288" i="209"/>
  <c r="O288" i="209"/>
  <c r="R273" i="209"/>
  <c r="Q273" i="209"/>
  <c r="P273" i="209"/>
  <c r="O273" i="209"/>
  <c r="R272" i="209"/>
  <c r="Q272" i="209"/>
  <c r="P272" i="209"/>
  <c r="O272" i="209"/>
  <c r="R278" i="209"/>
  <c r="Q278" i="209"/>
  <c r="P278" i="209"/>
  <c r="O278" i="209"/>
  <c r="R268" i="209"/>
  <c r="Q268" i="209"/>
  <c r="P268" i="209"/>
  <c r="O268" i="209"/>
  <c r="R284" i="209"/>
  <c r="Q284" i="209"/>
  <c r="P284" i="209"/>
  <c r="O284" i="209"/>
  <c r="R285" i="209"/>
  <c r="Q285" i="209"/>
  <c r="P285" i="209"/>
  <c r="O285" i="209"/>
  <c r="R283" i="209"/>
  <c r="Q283" i="209"/>
  <c r="P283" i="209"/>
  <c r="O283" i="209"/>
  <c r="R279" i="209"/>
  <c r="Q279" i="209"/>
  <c r="P279" i="209"/>
  <c r="O279" i="209"/>
  <c r="R277" i="209"/>
  <c r="Q277" i="209"/>
  <c r="P277" i="209"/>
  <c r="O277" i="209"/>
  <c r="R274" i="209"/>
  <c r="Q274" i="209"/>
  <c r="P274" i="209"/>
  <c r="O274" i="209"/>
  <c r="R270" i="209"/>
  <c r="Q270" i="209"/>
  <c r="P270" i="209"/>
  <c r="O270" i="209"/>
  <c r="V266" i="209"/>
  <c r="R263" i="209"/>
  <c r="Q263" i="209"/>
  <c r="P263" i="209"/>
  <c r="O263" i="209"/>
  <c r="C263" i="209"/>
  <c r="C322" i="209" s="1"/>
  <c r="C381" i="209" s="1"/>
  <c r="C440" i="209" s="1"/>
  <c r="C499" i="209" s="1"/>
  <c r="C558" i="209" s="1"/>
  <c r="C617" i="209" s="1"/>
  <c r="C676" i="209" s="1"/>
  <c r="C735" i="209" s="1"/>
  <c r="R262" i="209"/>
  <c r="Q262" i="209"/>
  <c r="P262" i="209"/>
  <c r="O262" i="209"/>
  <c r="R259" i="209"/>
  <c r="Q259" i="209"/>
  <c r="P259" i="209"/>
  <c r="O259" i="209"/>
  <c r="G259" i="209"/>
  <c r="E259" i="209"/>
  <c r="D259" i="209"/>
  <c r="R258" i="209"/>
  <c r="Q258" i="209"/>
  <c r="P258" i="209"/>
  <c r="O258" i="209"/>
  <c r="G258" i="209"/>
  <c r="E258" i="209"/>
  <c r="D258" i="209"/>
  <c r="R257" i="209"/>
  <c r="Q257" i="209"/>
  <c r="P257" i="209"/>
  <c r="O257" i="209"/>
  <c r="G257" i="209"/>
  <c r="E257" i="209"/>
  <c r="D257" i="209"/>
  <c r="R254" i="209"/>
  <c r="Q254" i="209"/>
  <c r="P254" i="209"/>
  <c r="O254" i="209"/>
  <c r="R253" i="209"/>
  <c r="Q253" i="209"/>
  <c r="P253" i="209"/>
  <c r="O253" i="209"/>
  <c r="R252" i="209"/>
  <c r="Q252" i="209"/>
  <c r="P252" i="209"/>
  <c r="O252" i="209"/>
  <c r="R251" i="209"/>
  <c r="Q251" i="209"/>
  <c r="P251" i="209"/>
  <c r="O251" i="209"/>
  <c r="R250" i="209"/>
  <c r="Q250" i="209"/>
  <c r="P250" i="209"/>
  <c r="O250" i="209"/>
  <c r="R249" i="209"/>
  <c r="Q249" i="209"/>
  <c r="P249" i="209"/>
  <c r="O249" i="209"/>
  <c r="R248" i="209"/>
  <c r="Q248" i="209"/>
  <c r="P248" i="209"/>
  <c r="O248" i="209"/>
  <c r="R247" i="209"/>
  <c r="Q247" i="209"/>
  <c r="P247" i="209"/>
  <c r="O247" i="209"/>
  <c r="R246" i="209"/>
  <c r="Q246" i="209"/>
  <c r="P246" i="209"/>
  <c r="O246" i="209"/>
  <c r="R245" i="209"/>
  <c r="Q245" i="209"/>
  <c r="P245" i="209"/>
  <c r="O245" i="209"/>
  <c r="R244" i="209"/>
  <c r="Q244" i="209"/>
  <c r="P244" i="209"/>
  <c r="O244" i="209"/>
  <c r="V232" i="209"/>
  <c r="G232" i="209"/>
  <c r="E232" i="209"/>
  <c r="D232" i="209"/>
  <c r="U232" i="209" s="1"/>
  <c r="G231" i="209"/>
  <c r="E231" i="209"/>
  <c r="D231" i="209"/>
  <c r="G230" i="209"/>
  <c r="E230" i="209"/>
  <c r="D230" i="209"/>
  <c r="V207" i="209"/>
  <c r="V204" i="209"/>
  <c r="V263" i="209" s="1"/>
  <c r="V322" i="209" s="1"/>
  <c r="V381" i="209" s="1"/>
  <c r="V440" i="209" s="1"/>
  <c r="V499" i="209" s="1"/>
  <c r="V558" i="209" s="1"/>
  <c r="V617" i="209" s="1"/>
  <c r="V676" i="209" s="1"/>
  <c r="V735" i="209" s="1"/>
  <c r="G200" i="209"/>
  <c r="E200" i="209"/>
  <c r="D200" i="209"/>
  <c r="G199" i="209"/>
  <c r="E199" i="209"/>
  <c r="D199" i="209"/>
  <c r="G198" i="209"/>
  <c r="E198" i="209"/>
  <c r="D198" i="209"/>
  <c r="V173" i="209"/>
  <c r="G173" i="209"/>
  <c r="E173" i="209"/>
  <c r="D173" i="209"/>
  <c r="U173" i="209" s="1"/>
  <c r="G172" i="209"/>
  <c r="E172" i="209"/>
  <c r="D172" i="209"/>
  <c r="G171" i="209"/>
  <c r="E171" i="209"/>
  <c r="D171" i="209"/>
  <c r="C170" i="209"/>
  <c r="C229" i="209" s="1"/>
  <c r="C288" i="209" s="1"/>
  <c r="C347" i="209" s="1"/>
  <c r="V347" i="209" s="1"/>
  <c r="V148" i="209"/>
  <c r="V141" i="209"/>
  <c r="V200" i="209" s="1"/>
  <c r="V259" i="209" s="1"/>
  <c r="G141" i="209"/>
  <c r="E141" i="209"/>
  <c r="D141" i="209"/>
  <c r="G140" i="209"/>
  <c r="E140" i="209"/>
  <c r="D140" i="209"/>
  <c r="G139" i="209"/>
  <c r="E139" i="209"/>
  <c r="D139" i="209"/>
  <c r="V122" i="209"/>
  <c r="V181" i="209" s="1"/>
  <c r="V240" i="209" s="1"/>
  <c r="V299" i="209" s="1"/>
  <c r="V358" i="209" s="1"/>
  <c r="V417" i="209" s="1"/>
  <c r="V476" i="209" s="1"/>
  <c r="V535" i="209" s="1"/>
  <c r="V594" i="209" s="1"/>
  <c r="V653" i="209" s="1"/>
  <c r="V712" i="209" s="1"/>
  <c r="V771" i="209" s="1"/>
  <c r="C122" i="209"/>
  <c r="C181" i="209" s="1"/>
  <c r="C240" i="209" s="1"/>
  <c r="C299" i="209" s="1"/>
  <c r="C358" i="209" s="1"/>
  <c r="C417" i="209" s="1"/>
  <c r="C476" i="209" s="1"/>
  <c r="C535" i="209" s="1"/>
  <c r="C594" i="209" s="1"/>
  <c r="C653" i="209" s="1"/>
  <c r="C712" i="209" s="1"/>
  <c r="C771" i="209" s="1"/>
  <c r="C120" i="209"/>
  <c r="C179" i="209" s="1"/>
  <c r="C238" i="209" s="1"/>
  <c r="C297" i="209" s="1"/>
  <c r="C356" i="209" s="1"/>
  <c r="C415" i="209" s="1"/>
  <c r="C474" i="209" s="1"/>
  <c r="C533" i="209" s="1"/>
  <c r="C592" i="209" s="1"/>
  <c r="C651" i="209" s="1"/>
  <c r="C710" i="209" s="1"/>
  <c r="C769" i="209" s="1"/>
  <c r="V118" i="209"/>
  <c r="V177" i="209" s="1"/>
  <c r="V236" i="209" s="1"/>
  <c r="V295" i="209" s="1"/>
  <c r="V354" i="209" s="1"/>
  <c r="V413" i="209" s="1"/>
  <c r="V472" i="209" s="1"/>
  <c r="V531" i="209" s="1"/>
  <c r="V590" i="209" s="1"/>
  <c r="V649" i="209" s="1"/>
  <c r="V708" i="209" s="1"/>
  <c r="V767" i="209" s="1"/>
  <c r="C118" i="209"/>
  <c r="C177" i="209" s="1"/>
  <c r="C236" i="209" s="1"/>
  <c r="C295" i="209" s="1"/>
  <c r="C354" i="209" s="1"/>
  <c r="C413" i="209" s="1"/>
  <c r="C472" i="209" s="1"/>
  <c r="C531" i="209" s="1"/>
  <c r="C590" i="209" s="1"/>
  <c r="C649" i="209" s="1"/>
  <c r="C708" i="209" s="1"/>
  <c r="C767" i="209" s="1"/>
  <c r="V114" i="209"/>
  <c r="G114" i="209"/>
  <c r="E114" i="209"/>
  <c r="D114" i="209"/>
  <c r="U114" i="209" s="1"/>
  <c r="V115" i="209"/>
  <c r="V174" i="209" s="1"/>
  <c r="V233" i="209" s="1"/>
  <c r="V292" i="209" s="1"/>
  <c r="V351" i="209" s="1"/>
  <c r="V410" i="209" s="1"/>
  <c r="C115" i="209"/>
  <c r="C174" i="209" s="1"/>
  <c r="C233" i="209" s="1"/>
  <c r="C292" i="209" s="1"/>
  <c r="C351" i="209" s="1"/>
  <c r="C410" i="209" s="1"/>
  <c r="C469" i="209" s="1"/>
  <c r="G113" i="209"/>
  <c r="E113" i="209"/>
  <c r="D113" i="209"/>
  <c r="G112" i="209"/>
  <c r="E112" i="209"/>
  <c r="D112" i="209"/>
  <c r="G111" i="209"/>
  <c r="G170" i="209" s="1"/>
  <c r="G229" i="209" s="1"/>
  <c r="G288" i="209" s="1"/>
  <c r="G347" i="209" s="1"/>
  <c r="G406" i="209" s="1"/>
  <c r="G465" i="209" s="1"/>
  <c r="G524" i="209" s="1"/>
  <c r="G583" i="209" s="1"/>
  <c r="G642" i="209" s="1"/>
  <c r="G701" i="209" s="1"/>
  <c r="G760" i="209" s="1"/>
  <c r="E111" i="209"/>
  <c r="E170" i="209" s="1"/>
  <c r="E229" i="209" s="1"/>
  <c r="E288" i="209" s="1"/>
  <c r="E347" i="209" s="1"/>
  <c r="E406" i="209" s="1"/>
  <c r="E465" i="209" s="1"/>
  <c r="E524" i="209" s="1"/>
  <c r="E583" i="209" s="1"/>
  <c r="E642" i="209" s="1"/>
  <c r="E701" i="209" s="1"/>
  <c r="E760" i="209" s="1"/>
  <c r="D111" i="209"/>
  <c r="D170" i="209" s="1"/>
  <c r="D229" i="209" s="1"/>
  <c r="D288" i="209" s="1"/>
  <c r="D347" i="209" s="1"/>
  <c r="D406" i="209" s="1"/>
  <c r="U406" i="209" s="1"/>
  <c r="V96" i="209"/>
  <c r="V155" i="209" s="1"/>
  <c r="V214" i="209" s="1"/>
  <c r="V273" i="209" s="1"/>
  <c r="V332" i="209" s="1"/>
  <c r="V391" i="209" s="1"/>
  <c r="V450" i="209" s="1"/>
  <c r="V509" i="209" s="1"/>
  <c r="V568" i="209" s="1"/>
  <c r="V627" i="209" s="1"/>
  <c r="V686" i="209" s="1"/>
  <c r="V745" i="209" s="1"/>
  <c r="C96" i="209"/>
  <c r="C155" i="209" s="1"/>
  <c r="C214" i="209" s="1"/>
  <c r="C273" i="209" s="1"/>
  <c r="C332" i="209" s="1"/>
  <c r="C391" i="209" s="1"/>
  <c r="C450" i="209" s="1"/>
  <c r="C509" i="209" s="1"/>
  <c r="C568" i="209" s="1"/>
  <c r="C627" i="209" s="1"/>
  <c r="C686" i="209" s="1"/>
  <c r="C745" i="209" s="1"/>
  <c r="V95" i="209"/>
  <c r="V154" i="209" s="1"/>
  <c r="V213" i="209" s="1"/>
  <c r="V272" i="209" s="1"/>
  <c r="V331" i="209" s="1"/>
  <c r="V390" i="209" s="1"/>
  <c r="V449" i="209" s="1"/>
  <c r="V508" i="209" s="1"/>
  <c r="V567" i="209" s="1"/>
  <c r="V626" i="209" s="1"/>
  <c r="V685" i="209" s="1"/>
  <c r="V744" i="209" s="1"/>
  <c r="C95" i="209"/>
  <c r="C154" i="209" s="1"/>
  <c r="C213" i="209" s="1"/>
  <c r="C272" i="209" s="1"/>
  <c r="C331" i="209" s="1"/>
  <c r="C390" i="209" s="1"/>
  <c r="C449" i="209" s="1"/>
  <c r="C508" i="209" s="1"/>
  <c r="C567" i="209" s="1"/>
  <c r="C626" i="209" s="1"/>
  <c r="C685" i="209" s="1"/>
  <c r="C744" i="209" s="1"/>
  <c r="C101" i="209"/>
  <c r="C160" i="209" s="1"/>
  <c r="C219" i="209" s="1"/>
  <c r="C278" i="209" s="1"/>
  <c r="C337" i="209" s="1"/>
  <c r="C396" i="209" s="1"/>
  <c r="C455" i="209" s="1"/>
  <c r="C514" i="209" s="1"/>
  <c r="C573" i="209" s="1"/>
  <c r="C632" i="209" s="1"/>
  <c r="C691" i="209" s="1"/>
  <c r="C750" i="209" s="1"/>
  <c r="C91" i="209"/>
  <c r="C150" i="209" s="1"/>
  <c r="C209" i="209" s="1"/>
  <c r="C268" i="209" s="1"/>
  <c r="C327" i="209" s="1"/>
  <c r="C386" i="209" s="1"/>
  <c r="C445" i="209" s="1"/>
  <c r="C504" i="209" s="1"/>
  <c r="C563" i="209" s="1"/>
  <c r="C622" i="209" s="1"/>
  <c r="C681" i="209" s="1"/>
  <c r="C740" i="209" s="1"/>
  <c r="V109" i="209"/>
  <c r="V168" i="209" s="1"/>
  <c r="V227" i="209" s="1"/>
  <c r="V286" i="209" s="1"/>
  <c r="V345" i="209" s="1"/>
  <c r="V404" i="209" s="1"/>
  <c r="V463" i="209" s="1"/>
  <c r="V522" i="209" s="1"/>
  <c r="V581" i="209" s="1"/>
  <c r="V640" i="209" s="1"/>
  <c r="V699" i="209" s="1"/>
  <c r="V758" i="209" s="1"/>
  <c r="C109" i="209"/>
  <c r="C168" i="209" s="1"/>
  <c r="C227" i="209" s="1"/>
  <c r="C286" i="209" s="1"/>
  <c r="C345" i="209" s="1"/>
  <c r="C404" i="209" s="1"/>
  <c r="C463" i="209" s="1"/>
  <c r="C522" i="209" s="1"/>
  <c r="C581" i="209" s="1"/>
  <c r="C640" i="209" s="1"/>
  <c r="C699" i="209" s="1"/>
  <c r="C758" i="209" s="1"/>
  <c r="C107" i="209"/>
  <c r="C166" i="209" s="1"/>
  <c r="C225" i="209" s="1"/>
  <c r="C284" i="209" s="1"/>
  <c r="C343" i="209" s="1"/>
  <c r="C402" i="209" s="1"/>
  <c r="C461" i="209" s="1"/>
  <c r="C520" i="209" s="1"/>
  <c r="C579" i="209" s="1"/>
  <c r="C638" i="209" s="1"/>
  <c r="C697" i="209" s="1"/>
  <c r="C756" i="209" s="1"/>
  <c r="V108" i="209"/>
  <c r="V167" i="209" s="1"/>
  <c r="V226" i="209" s="1"/>
  <c r="V285" i="209" s="1"/>
  <c r="V344" i="209" s="1"/>
  <c r="V403" i="209" s="1"/>
  <c r="V462" i="209" s="1"/>
  <c r="V521" i="209" s="1"/>
  <c r="V580" i="209" s="1"/>
  <c r="V639" i="209" s="1"/>
  <c r="V698" i="209" s="1"/>
  <c r="V757" i="209" s="1"/>
  <c r="C108" i="209"/>
  <c r="C167" i="209" s="1"/>
  <c r="C226" i="209" s="1"/>
  <c r="C285" i="209" s="1"/>
  <c r="C344" i="209" s="1"/>
  <c r="C403" i="209" s="1"/>
  <c r="C462" i="209" s="1"/>
  <c r="C521" i="209" s="1"/>
  <c r="C580" i="209" s="1"/>
  <c r="C639" i="209" s="1"/>
  <c r="C698" i="209" s="1"/>
  <c r="C757" i="209" s="1"/>
  <c r="V106" i="209"/>
  <c r="V165" i="209" s="1"/>
  <c r="V224" i="209" s="1"/>
  <c r="V283" i="209" s="1"/>
  <c r="V342" i="209" s="1"/>
  <c r="V401" i="209" s="1"/>
  <c r="V460" i="209" s="1"/>
  <c r="V519" i="209" s="1"/>
  <c r="V578" i="209" s="1"/>
  <c r="V637" i="209" s="1"/>
  <c r="V696" i="209" s="1"/>
  <c r="V755" i="209" s="1"/>
  <c r="C106" i="209"/>
  <c r="C165" i="209" s="1"/>
  <c r="C224" i="209" s="1"/>
  <c r="C283" i="209" s="1"/>
  <c r="C342" i="209" s="1"/>
  <c r="C401" i="209" s="1"/>
  <c r="C460" i="209" s="1"/>
  <c r="C519" i="209" s="1"/>
  <c r="C578" i="209" s="1"/>
  <c r="C637" i="209" s="1"/>
  <c r="C696" i="209" s="1"/>
  <c r="C755" i="209" s="1"/>
  <c r="C104" i="209"/>
  <c r="V104" i="209" s="1"/>
  <c r="V100" i="209"/>
  <c r="V159" i="209" s="1"/>
  <c r="V218" i="209" s="1"/>
  <c r="V277" i="209" s="1"/>
  <c r="V336" i="209" s="1"/>
  <c r="V395" i="209" s="1"/>
  <c r="V454" i="209" s="1"/>
  <c r="V513" i="209" s="1"/>
  <c r="V572" i="209" s="1"/>
  <c r="V631" i="209" s="1"/>
  <c r="V690" i="209" s="1"/>
  <c r="V749" i="209" s="1"/>
  <c r="C100" i="209"/>
  <c r="C159" i="209" s="1"/>
  <c r="C218" i="209" s="1"/>
  <c r="C277" i="209" s="1"/>
  <c r="C336" i="209" s="1"/>
  <c r="C395" i="209" s="1"/>
  <c r="C454" i="209" s="1"/>
  <c r="C513" i="209" s="1"/>
  <c r="C572" i="209" s="1"/>
  <c r="C631" i="209" s="1"/>
  <c r="C690" i="209" s="1"/>
  <c r="C749" i="209" s="1"/>
  <c r="V97" i="209"/>
  <c r="V156" i="209" s="1"/>
  <c r="V215" i="209" s="1"/>
  <c r="V274" i="209" s="1"/>
  <c r="V333" i="209" s="1"/>
  <c r="V392" i="209" s="1"/>
  <c r="V451" i="209" s="1"/>
  <c r="V510" i="209" s="1"/>
  <c r="V569" i="209" s="1"/>
  <c r="V628" i="209" s="1"/>
  <c r="V687" i="209" s="1"/>
  <c r="V746" i="209" s="1"/>
  <c r="C97" i="209"/>
  <c r="C156" i="209" s="1"/>
  <c r="C215" i="209" s="1"/>
  <c r="C274" i="209" s="1"/>
  <c r="C333" i="209" s="1"/>
  <c r="C392" i="209" s="1"/>
  <c r="C451" i="209" s="1"/>
  <c r="C510" i="209" s="1"/>
  <c r="C569" i="209" s="1"/>
  <c r="C628" i="209" s="1"/>
  <c r="C687" i="209" s="1"/>
  <c r="C746" i="209" s="1"/>
  <c r="V93" i="209"/>
  <c r="V152" i="209" s="1"/>
  <c r="V211" i="209" s="1"/>
  <c r="V270" i="209" s="1"/>
  <c r="V329" i="209" s="1"/>
  <c r="V388" i="209" s="1"/>
  <c r="V447" i="209" s="1"/>
  <c r="V506" i="209" s="1"/>
  <c r="V565" i="209" s="1"/>
  <c r="V624" i="209" s="1"/>
  <c r="V683" i="209" s="1"/>
  <c r="V742" i="209" s="1"/>
  <c r="C93" i="209"/>
  <c r="C152" i="209" s="1"/>
  <c r="C211" i="209" s="1"/>
  <c r="C270" i="209" s="1"/>
  <c r="C329" i="209" s="1"/>
  <c r="C388" i="209" s="1"/>
  <c r="C447" i="209" s="1"/>
  <c r="C506" i="209" s="1"/>
  <c r="C565" i="209" s="1"/>
  <c r="C624" i="209" s="1"/>
  <c r="C683" i="209" s="1"/>
  <c r="C742" i="209" s="1"/>
  <c r="V89" i="209"/>
  <c r="V87" i="209"/>
  <c r="V146" i="209" s="1"/>
  <c r="V205" i="209" s="1"/>
  <c r="V264" i="209" s="1"/>
  <c r="V323" i="209" s="1"/>
  <c r="V382" i="209" s="1"/>
  <c r="V441" i="209" s="1"/>
  <c r="V500" i="209" s="1"/>
  <c r="V559" i="209" s="1"/>
  <c r="V618" i="209" s="1"/>
  <c r="V677" i="209" s="1"/>
  <c r="V736" i="209" s="1"/>
  <c r="C87" i="209"/>
  <c r="C146" i="209" s="1"/>
  <c r="C205" i="209" s="1"/>
  <c r="C264" i="209" s="1"/>
  <c r="C323" i="209" s="1"/>
  <c r="C382" i="209" s="1"/>
  <c r="C441" i="209" s="1"/>
  <c r="C500" i="209" s="1"/>
  <c r="C559" i="209" s="1"/>
  <c r="C618" i="209" s="1"/>
  <c r="C677" i="209" s="1"/>
  <c r="C736" i="209" s="1"/>
  <c r="C86" i="209"/>
  <c r="V85" i="209"/>
  <c r="V144" i="209" s="1"/>
  <c r="V203" i="209" s="1"/>
  <c r="V262" i="209" s="1"/>
  <c r="V321" i="209" s="1"/>
  <c r="V380" i="209" s="1"/>
  <c r="V439" i="209" s="1"/>
  <c r="V498" i="209" s="1"/>
  <c r="V557" i="209" s="1"/>
  <c r="V616" i="209" s="1"/>
  <c r="V675" i="209" s="1"/>
  <c r="V734" i="209" s="1"/>
  <c r="C85" i="209"/>
  <c r="C144" i="209" s="1"/>
  <c r="C203" i="209" s="1"/>
  <c r="C262" i="209" s="1"/>
  <c r="C321" i="209" s="1"/>
  <c r="C380" i="209" s="1"/>
  <c r="C439" i="209" s="1"/>
  <c r="C498" i="209" s="1"/>
  <c r="C557" i="209" s="1"/>
  <c r="C616" i="209" s="1"/>
  <c r="C675" i="209" s="1"/>
  <c r="C734" i="209" s="1"/>
  <c r="V83" i="209"/>
  <c r="V142" i="209" s="1"/>
  <c r="V201" i="209" s="1"/>
  <c r="V260" i="209" s="1"/>
  <c r="V319" i="209" s="1"/>
  <c r="G82" i="209"/>
  <c r="E82" i="209"/>
  <c r="D82" i="209"/>
  <c r="V81" i="209"/>
  <c r="V140" i="209" s="1"/>
  <c r="V199" i="209" s="1"/>
  <c r="V258" i="209" s="1"/>
  <c r="G81" i="209"/>
  <c r="E81" i="209"/>
  <c r="D81" i="209"/>
  <c r="V80" i="209"/>
  <c r="V139" i="209" s="1"/>
  <c r="V198" i="209" s="1"/>
  <c r="V257" i="209" s="1"/>
  <c r="G80" i="209"/>
  <c r="E80" i="209"/>
  <c r="D80" i="209"/>
  <c r="V78" i="209"/>
  <c r="V137" i="209" s="1"/>
  <c r="V196" i="209" s="1"/>
  <c r="V255" i="209" s="1"/>
  <c r="V314" i="209" s="1"/>
  <c r="V373" i="209" s="1"/>
  <c r="V432" i="209" s="1"/>
  <c r="V491" i="209" s="1"/>
  <c r="V550" i="209" s="1"/>
  <c r="V609" i="209" s="1"/>
  <c r="V668" i="209" s="1"/>
  <c r="V727" i="209" s="1"/>
  <c r="C78" i="209"/>
  <c r="C137" i="209" s="1"/>
  <c r="C196" i="209" s="1"/>
  <c r="C255" i="209" s="1"/>
  <c r="C314" i="209" s="1"/>
  <c r="C373" i="209" s="1"/>
  <c r="C432" i="209" s="1"/>
  <c r="C491" i="209" s="1"/>
  <c r="C550" i="209" s="1"/>
  <c r="C609" i="209" s="1"/>
  <c r="C668" i="209" s="1"/>
  <c r="C727" i="209" s="1"/>
  <c r="V77" i="209"/>
  <c r="V136" i="209" s="1"/>
  <c r="V195" i="209" s="1"/>
  <c r="V254" i="209" s="1"/>
  <c r="V313" i="209" s="1"/>
  <c r="V372" i="209" s="1"/>
  <c r="V76" i="209"/>
  <c r="V135" i="209" s="1"/>
  <c r="V194" i="209" s="1"/>
  <c r="V253" i="209" s="1"/>
  <c r="V312" i="209" s="1"/>
  <c r="V371" i="209" s="1"/>
  <c r="V75" i="209"/>
  <c r="V134" i="209" s="1"/>
  <c r="V193" i="209" s="1"/>
  <c r="V252" i="209" s="1"/>
  <c r="V311" i="209" s="1"/>
  <c r="V370" i="209" s="1"/>
  <c r="V74" i="209"/>
  <c r="V133" i="209" s="1"/>
  <c r="V192" i="209" s="1"/>
  <c r="V251" i="209" s="1"/>
  <c r="V310" i="209" s="1"/>
  <c r="V369" i="209" s="1"/>
  <c r="V73" i="209"/>
  <c r="V132" i="209" s="1"/>
  <c r="V191" i="209" s="1"/>
  <c r="V250" i="209" s="1"/>
  <c r="V309" i="209" s="1"/>
  <c r="V368" i="209" s="1"/>
  <c r="V71" i="209"/>
  <c r="V130" i="209" s="1"/>
  <c r="V189" i="209" s="1"/>
  <c r="V248" i="209" s="1"/>
  <c r="V307" i="209" s="1"/>
  <c r="V366" i="209" s="1"/>
  <c r="V70" i="209"/>
  <c r="V129" i="209" s="1"/>
  <c r="V188" i="209" s="1"/>
  <c r="V247" i="209" s="1"/>
  <c r="V306" i="209" s="1"/>
  <c r="V365" i="209" s="1"/>
  <c r="V69" i="209"/>
  <c r="V128" i="209" s="1"/>
  <c r="V187" i="209" s="1"/>
  <c r="V246" i="209" s="1"/>
  <c r="V305" i="209" s="1"/>
  <c r="V364" i="209" s="1"/>
  <c r="V68" i="209"/>
  <c r="V127" i="209" s="1"/>
  <c r="V186" i="209" s="1"/>
  <c r="V245" i="209" s="1"/>
  <c r="V304" i="209" s="1"/>
  <c r="V363" i="209" s="1"/>
  <c r="V67" i="209"/>
  <c r="V126" i="209" s="1"/>
  <c r="V185" i="209" s="1"/>
  <c r="V244" i="209" s="1"/>
  <c r="V303" i="209" s="1"/>
  <c r="V362" i="209" s="1"/>
  <c r="V61" i="209"/>
  <c r="V120" i="209" s="1"/>
  <c r="V179" i="209" s="1"/>
  <c r="V238" i="209" s="1"/>
  <c r="V297" i="209" s="1"/>
  <c r="V356" i="209" s="1"/>
  <c r="V415" i="209" s="1"/>
  <c r="V474" i="209" s="1"/>
  <c r="V533" i="209" s="1"/>
  <c r="V592" i="209" s="1"/>
  <c r="V651" i="209" s="1"/>
  <c r="V710" i="209" s="1"/>
  <c r="V769" i="209" s="1"/>
  <c r="V60" i="209"/>
  <c r="V119" i="209" s="1"/>
  <c r="V178" i="209" s="1"/>
  <c r="V237" i="209" s="1"/>
  <c r="V296" i="209" s="1"/>
  <c r="V355" i="209" s="1"/>
  <c r="V414" i="209" s="1"/>
  <c r="V473" i="209" s="1"/>
  <c r="V532" i="209" s="1"/>
  <c r="V591" i="209" s="1"/>
  <c r="V650" i="209" s="1"/>
  <c r="V709" i="209" s="1"/>
  <c r="V768" i="209" s="1"/>
  <c r="V55" i="209"/>
  <c r="G55" i="209"/>
  <c r="E55" i="209"/>
  <c r="D55" i="209"/>
  <c r="U55" i="209" s="1"/>
  <c r="V54" i="209"/>
  <c r="V113" i="209" s="1"/>
  <c r="V172" i="209" s="1"/>
  <c r="V231" i="209" s="1"/>
  <c r="G54" i="209"/>
  <c r="E54" i="209"/>
  <c r="D54" i="209"/>
  <c r="U54" i="209" s="1"/>
  <c r="U113" i="209" s="1"/>
  <c r="U172" i="209" s="1"/>
  <c r="U231" i="209" s="1"/>
  <c r="V53" i="209"/>
  <c r="V112" i="209" s="1"/>
  <c r="V171" i="209" s="1"/>
  <c r="V230" i="209" s="1"/>
  <c r="G53" i="209"/>
  <c r="E53" i="209"/>
  <c r="D53" i="209"/>
  <c r="U53" i="209" s="1"/>
  <c r="U112" i="209" s="1"/>
  <c r="U171" i="209" s="1"/>
  <c r="U230" i="209" s="1"/>
  <c r="V52" i="209"/>
  <c r="V111" i="209" s="1"/>
  <c r="V170" i="209" s="1"/>
  <c r="V229" i="209" s="1"/>
  <c r="G52" i="209"/>
  <c r="E52" i="209"/>
  <c r="D52" i="209"/>
  <c r="U52" i="209" s="1"/>
  <c r="U111" i="209" s="1"/>
  <c r="U170" i="209" s="1"/>
  <c r="U229" i="209" s="1"/>
  <c r="G37" i="209"/>
  <c r="G96" i="209" s="1"/>
  <c r="G155" i="209" s="1"/>
  <c r="G214" i="209" s="1"/>
  <c r="G273" i="209" s="1"/>
  <c r="G332" i="209" s="1"/>
  <c r="G391" i="209" s="1"/>
  <c r="G450" i="209" s="1"/>
  <c r="G509" i="209" s="1"/>
  <c r="G568" i="209" s="1"/>
  <c r="G627" i="209" s="1"/>
  <c r="G686" i="209" s="1"/>
  <c r="G745" i="209" s="1"/>
  <c r="E37" i="209"/>
  <c r="E96" i="209" s="1"/>
  <c r="E155" i="209" s="1"/>
  <c r="E214" i="209" s="1"/>
  <c r="E273" i="209" s="1"/>
  <c r="E332" i="209" s="1"/>
  <c r="E391" i="209" s="1"/>
  <c r="E450" i="209" s="1"/>
  <c r="E509" i="209" s="1"/>
  <c r="E568" i="209" s="1"/>
  <c r="E627" i="209" s="1"/>
  <c r="E686" i="209" s="1"/>
  <c r="E745" i="209" s="1"/>
  <c r="D37" i="209"/>
  <c r="G36" i="209"/>
  <c r="G95" i="209" s="1"/>
  <c r="G154" i="209" s="1"/>
  <c r="G213" i="209" s="1"/>
  <c r="G272" i="209" s="1"/>
  <c r="G331" i="209" s="1"/>
  <c r="G390" i="209" s="1"/>
  <c r="G449" i="209" s="1"/>
  <c r="G508" i="209" s="1"/>
  <c r="G567" i="209" s="1"/>
  <c r="G626" i="209" s="1"/>
  <c r="G685" i="209" s="1"/>
  <c r="G744" i="209" s="1"/>
  <c r="E36" i="209"/>
  <c r="E95" i="209" s="1"/>
  <c r="E154" i="209" s="1"/>
  <c r="E213" i="209" s="1"/>
  <c r="E272" i="209" s="1"/>
  <c r="E331" i="209" s="1"/>
  <c r="E390" i="209" s="1"/>
  <c r="E449" i="209" s="1"/>
  <c r="E508" i="209" s="1"/>
  <c r="E567" i="209" s="1"/>
  <c r="E626" i="209" s="1"/>
  <c r="E685" i="209" s="1"/>
  <c r="E744" i="209" s="1"/>
  <c r="D36" i="209"/>
  <c r="D95" i="209" s="1"/>
  <c r="D154" i="209" s="1"/>
  <c r="D213" i="209" s="1"/>
  <c r="D272" i="209" s="1"/>
  <c r="D331" i="209" s="1"/>
  <c r="D390" i="209" s="1"/>
  <c r="D449" i="209" s="1"/>
  <c r="D508" i="209" s="1"/>
  <c r="D567" i="209" s="1"/>
  <c r="D626" i="209" s="1"/>
  <c r="D685" i="209" s="1"/>
  <c r="D744" i="209" s="1"/>
  <c r="V42" i="209"/>
  <c r="V101" i="209" s="1"/>
  <c r="V160" i="209" s="1"/>
  <c r="V219" i="209" s="1"/>
  <c r="V278" i="209" s="1"/>
  <c r="V337" i="209" s="1"/>
  <c r="V396" i="209" s="1"/>
  <c r="V455" i="209" s="1"/>
  <c r="V514" i="209" s="1"/>
  <c r="V573" i="209" s="1"/>
  <c r="V632" i="209" s="1"/>
  <c r="V691" i="209" s="1"/>
  <c r="V750" i="209" s="1"/>
  <c r="G42" i="209"/>
  <c r="G101" i="209" s="1"/>
  <c r="G160" i="209" s="1"/>
  <c r="G219" i="209" s="1"/>
  <c r="G278" i="209" s="1"/>
  <c r="G337" i="209" s="1"/>
  <c r="G396" i="209" s="1"/>
  <c r="G455" i="209" s="1"/>
  <c r="G514" i="209" s="1"/>
  <c r="G573" i="209" s="1"/>
  <c r="G632" i="209" s="1"/>
  <c r="G691" i="209" s="1"/>
  <c r="G750" i="209" s="1"/>
  <c r="E42" i="209"/>
  <c r="E101" i="209" s="1"/>
  <c r="E160" i="209" s="1"/>
  <c r="E219" i="209" s="1"/>
  <c r="E278" i="209" s="1"/>
  <c r="E337" i="209" s="1"/>
  <c r="E396" i="209" s="1"/>
  <c r="E455" i="209" s="1"/>
  <c r="E514" i="209" s="1"/>
  <c r="E573" i="209" s="1"/>
  <c r="E632" i="209" s="1"/>
  <c r="E691" i="209" s="1"/>
  <c r="E750" i="209" s="1"/>
  <c r="D42" i="209"/>
  <c r="D101" i="209" s="1"/>
  <c r="D160" i="209" s="1"/>
  <c r="D219" i="209" s="1"/>
  <c r="D278" i="209" s="1"/>
  <c r="D337" i="209" s="1"/>
  <c r="D396" i="209" s="1"/>
  <c r="D455" i="209" s="1"/>
  <c r="D514" i="209" s="1"/>
  <c r="D573" i="209" s="1"/>
  <c r="D632" i="209" s="1"/>
  <c r="D691" i="209" s="1"/>
  <c r="D750" i="209" s="1"/>
  <c r="V91" i="209"/>
  <c r="V150" i="209" s="1"/>
  <c r="V209" i="209" s="1"/>
  <c r="V268" i="209" s="1"/>
  <c r="V327" i="209" s="1"/>
  <c r="V386" i="209" s="1"/>
  <c r="V445" i="209" s="1"/>
  <c r="V504" i="209" s="1"/>
  <c r="V563" i="209" s="1"/>
  <c r="V622" i="209" s="1"/>
  <c r="V681" i="209" s="1"/>
  <c r="V740" i="209" s="1"/>
  <c r="G32" i="209"/>
  <c r="G91" i="209" s="1"/>
  <c r="G150" i="209" s="1"/>
  <c r="G209" i="209" s="1"/>
  <c r="G268" i="209" s="1"/>
  <c r="G327" i="209" s="1"/>
  <c r="G386" i="209" s="1"/>
  <c r="G445" i="209" s="1"/>
  <c r="G504" i="209" s="1"/>
  <c r="G563" i="209" s="1"/>
  <c r="G622" i="209" s="1"/>
  <c r="G681" i="209" s="1"/>
  <c r="G740" i="209" s="1"/>
  <c r="E32" i="209"/>
  <c r="E91" i="209" s="1"/>
  <c r="E150" i="209" s="1"/>
  <c r="E209" i="209" s="1"/>
  <c r="E268" i="209" s="1"/>
  <c r="E327" i="209" s="1"/>
  <c r="E386" i="209" s="1"/>
  <c r="E445" i="209" s="1"/>
  <c r="E504" i="209" s="1"/>
  <c r="E563" i="209" s="1"/>
  <c r="E622" i="209" s="1"/>
  <c r="E681" i="209" s="1"/>
  <c r="E740" i="209" s="1"/>
  <c r="D32" i="209"/>
  <c r="D91" i="209" s="1"/>
  <c r="D150" i="209" s="1"/>
  <c r="D209" i="209" s="1"/>
  <c r="D268" i="209" s="1"/>
  <c r="D327" i="209" s="1"/>
  <c r="D386" i="209" s="1"/>
  <c r="D445" i="209" s="1"/>
  <c r="D504" i="209" s="1"/>
  <c r="D563" i="209" s="1"/>
  <c r="D622" i="209" s="1"/>
  <c r="D681" i="209" s="1"/>
  <c r="D740" i="209" s="1"/>
  <c r="V48" i="209"/>
  <c r="V107" i="209" s="1"/>
  <c r="V166" i="209" s="1"/>
  <c r="V225" i="209" s="1"/>
  <c r="V284" i="209" s="1"/>
  <c r="V343" i="209" s="1"/>
  <c r="V402" i="209" s="1"/>
  <c r="V461" i="209" s="1"/>
  <c r="V520" i="209" s="1"/>
  <c r="V579" i="209" s="1"/>
  <c r="V638" i="209" s="1"/>
  <c r="V697" i="209" s="1"/>
  <c r="V756" i="209" s="1"/>
  <c r="G48" i="209"/>
  <c r="G107" i="209" s="1"/>
  <c r="G166" i="209" s="1"/>
  <c r="G225" i="209" s="1"/>
  <c r="G284" i="209" s="1"/>
  <c r="G343" i="209" s="1"/>
  <c r="G402" i="209" s="1"/>
  <c r="G461" i="209" s="1"/>
  <c r="G520" i="209" s="1"/>
  <c r="G579" i="209" s="1"/>
  <c r="G638" i="209" s="1"/>
  <c r="G697" i="209" s="1"/>
  <c r="G756" i="209" s="1"/>
  <c r="E48" i="209"/>
  <c r="E107" i="209" s="1"/>
  <c r="E166" i="209" s="1"/>
  <c r="E225" i="209" s="1"/>
  <c r="E284" i="209" s="1"/>
  <c r="E343" i="209" s="1"/>
  <c r="E402" i="209" s="1"/>
  <c r="E461" i="209" s="1"/>
  <c r="E520" i="209" s="1"/>
  <c r="E579" i="209" s="1"/>
  <c r="E638" i="209" s="1"/>
  <c r="E697" i="209" s="1"/>
  <c r="E756" i="209" s="1"/>
  <c r="D48" i="209"/>
  <c r="U48" i="209" s="1"/>
  <c r="U107" i="209" s="1"/>
  <c r="U166" i="209" s="1"/>
  <c r="U225" i="209" s="1"/>
  <c r="U284" i="209" s="1"/>
  <c r="U343" i="209" s="1"/>
  <c r="U402" i="209" s="1"/>
  <c r="U461" i="209" s="1"/>
  <c r="U520" i="209" s="1"/>
  <c r="U579" i="209" s="1"/>
  <c r="U638" i="209" s="1"/>
  <c r="U697" i="209" s="1"/>
  <c r="U756" i="209" s="1"/>
  <c r="G49" i="209"/>
  <c r="G108" i="209" s="1"/>
  <c r="G167" i="209" s="1"/>
  <c r="G226" i="209" s="1"/>
  <c r="G285" i="209" s="1"/>
  <c r="G344" i="209" s="1"/>
  <c r="G403" i="209" s="1"/>
  <c r="G462" i="209" s="1"/>
  <c r="G521" i="209" s="1"/>
  <c r="G580" i="209" s="1"/>
  <c r="G639" i="209" s="1"/>
  <c r="G698" i="209" s="1"/>
  <c r="G757" i="209" s="1"/>
  <c r="E49" i="209"/>
  <c r="E108" i="209" s="1"/>
  <c r="E167" i="209" s="1"/>
  <c r="E226" i="209" s="1"/>
  <c r="E285" i="209" s="1"/>
  <c r="E344" i="209" s="1"/>
  <c r="E403" i="209" s="1"/>
  <c r="E462" i="209" s="1"/>
  <c r="E521" i="209" s="1"/>
  <c r="E580" i="209" s="1"/>
  <c r="E639" i="209" s="1"/>
  <c r="E698" i="209" s="1"/>
  <c r="E757" i="209" s="1"/>
  <c r="D49" i="209"/>
  <c r="G47" i="209"/>
  <c r="G106" i="209" s="1"/>
  <c r="G165" i="209" s="1"/>
  <c r="G224" i="209" s="1"/>
  <c r="G283" i="209" s="1"/>
  <c r="G342" i="209" s="1"/>
  <c r="G401" i="209" s="1"/>
  <c r="G460" i="209" s="1"/>
  <c r="G519" i="209" s="1"/>
  <c r="G578" i="209" s="1"/>
  <c r="G637" i="209" s="1"/>
  <c r="G696" i="209" s="1"/>
  <c r="G755" i="209" s="1"/>
  <c r="E47" i="209"/>
  <c r="E106" i="209" s="1"/>
  <c r="E165" i="209" s="1"/>
  <c r="E224" i="209" s="1"/>
  <c r="E283" i="209" s="1"/>
  <c r="E342" i="209" s="1"/>
  <c r="E401" i="209" s="1"/>
  <c r="E460" i="209" s="1"/>
  <c r="E519" i="209" s="1"/>
  <c r="E578" i="209" s="1"/>
  <c r="E637" i="209" s="1"/>
  <c r="E696" i="209" s="1"/>
  <c r="E755" i="209" s="1"/>
  <c r="D47" i="209"/>
  <c r="V45" i="209"/>
  <c r="G43" i="209"/>
  <c r="G102" i="209" s="1"/>
  <c r="G161" i="209" s="1"/>
  <c r="G220" i="209" s="1"/>
  <c r="G279" i="209" s="1"/>
  <c r="G338" i="209" s="1"/>
  <c r="G397" i="209" s="1"/>
  <c r="G456" i="209" s="1"/>
  <c r="G515" i="209" s="1"/>
  <c r="G574" i="209" s="1"/>
  <c r="G633" i="209" s="1"/>
  <c r="G692" i="209" s="1"/>
  <c r="G751" i="209" s="1"/>
  <c r="E43" i="209"/>
  <c r="E102" i="209" s="1"/>
  <c r="E161" i="209" s="1"/>
  <c r="E220" i="209" s="1"/>
  <c r="E279" i="209" s="1"/>
  <c r="E338" i="209" s="1"/>
  <c r="E397" i="209" s="1"/>
  <c r="E456" i="209" s="1"/>
  <c r="E515" i="209" s="1"/>
  <c r="E574" i="209" s="1"/>
  <c r="E633" i="209" s="1"/>
  <c r="E692" i="209" s="1"/>
  <c r="E751" i="209" s="1"/>
  <c r="D43" i="209"/>
  <c r="G41" i="209"/>
  <c r="G100" i="209" s="1"/>
  <c r="G159" i="209" s="1"/>
  <c r="G218" i="209" s="1"/>
  <c r="G277" i="209" s="1"/>
  <c r="G336" i="209" s="1"/>
  <c r="G395" i="209" s="1"/>
  <c r="G454" i="209" s="1"/>
  <c r="G513" i="209" s="1"/>
  <c r="G572" i="209" s="1"/>
  <c r="G631" i="209" s="1"/>
  <c r="G690" i="209" s="1"/>
  <c r="G749" i="209" s="1"/>
  <c r="E41" i="209"/>
  <c r="E100" i="209" s="1"/>
  <c r="E159" i="209" s="1"/>
  <c r="E218" i="209" s="1"/>
  <c r="E277" i="209" s="1"/>
  <c r="E336" i="209" s="1"/>
  <c r="E395" i="209" s="1"/>
  <c r="E454" i="209" s="1"/>
  <c r="E513" i="209" s="1"/>
  <c r="E572" i="209" s="1"/>
  <c r="E631" i="209" s="1"/>
  <c r="E690" i="209" s="1"/>
  <c r="E749" i="209" s="1"/>
  <c r="D41" i="209"/>
  <c r="G38" i="209"/>
  <c r="G97" i="209" s="1"/>
  <c r="G156" i="209" s="1"/>
  <c r="G215" i="209" s="1"/>
  <c r="G274" i="209" s="1"/>
  <c r="G333" i="209" s="1"/>
  <c r="G392" i="209" s="1"/>
  <c r="G451" i="209" s="1"/>
  <c r="G510" i="209" s="1"/>
  <c r="G569" i="209" s="1"/>
  <c r="G628" i="209" s="1"/>
  <c r="G687" i="209" s="1"/>
  <c r="G746" i="209" s="1"/>
  <c r="E38" i="209"/>
  <c r="E97" i="209" s="1"/>
  <c r="E156" i="209" s="1"/>
  <c r="E215" i="209" s="1"/>
  <c r="E274" i="209" s="1"/>
  <c r="E333" i="209" s="1"/>
  <c r="E392" i="209" s="1"/>
  <c r="E451" i="209" s="1"/>
  <c r="E510" i="209" s="1"/>
  <c r="E569" i="209" s="1"/>
  <c r="E628" i="209" s="1"/>
  <c r="E687" i="209" s="1"/>
  <c r="E746" i="209" s="1"/>
  <c r="D38" i="209"/>
  <c r="G34" i="209"/>
  <c r="G93" i="209" s="1"/>
  <c r="G152" i="209" s="1"/>
  <c r="G211" i="209" s="1"/>
  <c r="G270" i="209" s="1"/>
  <c r="G329" i="209" s="1"/>
  <c r="G388" i="209" s="1"/>
  <c r="G447" i="209" s="1"/>
  <c r="G506" i="209" s="1"/>
  <c r="G565" i="209" s="1"/>
  <c r="G624" i="209" s="1"/>
  <c r="G683" i="209" s="1"/>
  <c r="G742" i="209" s="1"/>
  <c r="E34" i="209"/>
  <c r="E93" i="209" s="1"/>
  <c r="E152" i="209" s="1"/>
  <c r="E211" i="209" s="1"/>
  <c r="E270" i="209" s="1"/>
  <c r="E329" i="209" s="1"/>
  <c r="E388" i="209" s="1"/>
  <c r="E447" i="209" s="1"/>
  <c r="E506" i="209" s="1"/>
  <c r="E565" i="209" s="1"/>
  <c r="E624" i="209" s="1"/>
  <c r="E683" i="209" s="1"/>
  <c r="E742" i="209" s="1"/>
  <c r="D34" i="209"/>
  <c r="D93" i="209" s="1"/>
  <c r="D152" i="209" s="1"/>
  <c r="D211" i="209" s="1"/>
  <c r="D270" i="209" s="1"/>
  <c r="D329" i="209" s="1"/>
  <c r="D388" i="209" s="1"/>
  <c r="D447" i="209" s="1"/>
  <c r="D506" i="209" s="1"/>
  <c r="D565" i="209" s="1"/>
  <c r="D624" i="209" s="1"/>
  <c r="D683" i="209" s="1"/>
  <c r="D742" i="209" s="1"/>
  <c r="V30" i="209"/>
  <c r="G27" i="209"/>
  <c r="G86" i="209" s="1"/>
  <c r="G145" i="209" s="1"/>
  <c r="G204" i="209" s="1"/>
  <c r="G263" i="209" s="1"/>
  <c r="G322" i="209" s="1"/>
  <c r="G381" i="209" s="1"/>
  <c r="G440" i="209" s="1"/>
  <c r="G499" i="209" s="1"/>
  <c r="G558" i="209" s="1"/>
  <c r="G617" i="209" s="1"/>
  <c r="G676" i="209" s="1"/>
  <c r="G735" i="209" s="1"/>
  <c r="E27" i="209"/>
  <c r="E86" i="209" s="1"/>
  <c r="E145" i="209" s="1"/>
  <c r="E204" i="209" s="1"/>
  <c r="E263" i="209" s="1"/>
  <c r="E322" i="209" s="1"/>
  <c r="E381" i="209" s="1"/>
  <c r="E440" i="209" s="1"/>
  <c r="E499" i="209" s="1"/>
  <c r="E558" i="209" s="1"/>
  <c r="E617" i="209" s="1"/>
  <c r="E676" i="209" s="1"/>
  <c r="E735" i="209" s="1"/>
  <c r="D27" i="209"/>
  <c r="U27" i="209" s="1"/>
  <c r="U86" i="209" s="1"/>
  <c r="U145" i="209" s="1"/>
  <c r="U204" i="209" s="1"/>
  <c r="U263" i="209" s="1"/>
  <c r="U322" i="209" s="1"/>
  <c r="U381" i="209" s="1"/>
  <c r="U440" i="209" s="1"/>
  <c r="U499" i="209" s="1"/>
  <c r="U558" i="209" s="1"/>
  <c r="U617" i="209" s="1"/>
  <c r="U676" i="209" s="1"/>
  <c r="U735" i="209" s="1"/>
  <c r="G26" i="209"/>
  <c r="G85" i="209" s="1"/>
  <c r="G144" i="209" s="1"/>
  <c r="G203" i="209" s="1"/>
  <c r="G262" i="209" s="1"/>
  <c r="G321" i="209" s="1"/>
  <c r="G380" i="209" s="1"/>
  <c r="G439" i="209" s="1"/>
  <c r="G498" i="209" s="1"/>
  <c r="G557" i="209" s="1"/>
  <c r="G616" i="209" s="1"/>
  <c r="G675" i="209" s="1"/>
  <c r="G734" i="209" s="1"/>
  <c r="E26" i="209"/>
  <c r="E85" i="209" s="1"/>
  <c r="E144" i="209" s="1"/>
  <c r="E203" i="209" s="1"/>
  <c r="E262" i="209" s="1"/>
  <c r="E321" i="209" s="1"/>
  <c r="E380" i="209" s="1"/>
  <c r="E439" i="209" s="1"/>
  <c r="E498" i="209" s="1"/>
  <c r="E557" i="209" s="1"/>
  <c r="E616" i="209" s="1"/>
  <c r="E675" i="209" s="1"/>
  <c r="E734" i="209" s="1"/>
  <c r="D26" i="209"/>
  <c r="D85" i="209" s="1"/>
  <c r="D144" i="209" s="1"/>
  <c r="D203" i="209" s="1"/>
  <c r="D262" i="209" s="1"/>
  <c r="D321" i="209" s="1"/>
  <c r="D380" i="209" s="1"/>
  <c r="D439" i="209" s="1"/>
  <c r="D498" i="209" s="1"/>
  <c r="D557" i="209" s="1"/>
  <c r="D616" i="209" s="1"/>
  <c r="D675" i="209" s="1"/>
  <c r="D734" i="209" s="1"/>
  <c r="V23" i="209"/>
  <c r="G23" i="209"/>
  <c r="E23" i="209"/>
  <c r="D23" i="209"/>
  <c r="U23" i="209" s="1"/>
  <c r="U82" i="209" s="1"/>
  <c r="U141" i="209" s="1"/>
  <c r="U200" i="209" s="1"/>
  <c r="U259" i="209" s="1"/>
  <c r="G22" i="209"/>
  <c r="E22" i="209"/>
  <c r="D22" i="209"/>
  <c r="U22" i="209" s="1"/>
  <c r="U81" i="209" s="1"/>
  <c r="U140" i="209" s="1"/>
  <c r="U199" i="209" s="1"/>
  <c r="U258" i="209" s="1"/>
  <c r="G21" i="209"/>
  <c r="E21" i="209"/>
  <c r="D21" i="209"/>
  <c r="U21" i="209" s="1"/>
  <c r="U80" i="209" s="1"/>
  <c r="U139" i="209" s="1"/>
  <c r="U198" i="209" s="1"/>
  <c r="U257" i="209" s="1"/>
  <c r="G18" i="209"/>
  <c r="G77" i="209" s="1"/>
  <c r="G136" i="209" s="1"/>
  <c r="G195" i="209" s="1"/>
  <c r="G254" i="209" s="1"/>
  <c r="G313" i="209" s="1"/>
  <c r="G372" i="209" s="1"/>
  <c r="G431" i="209" s="1"/>
  <c r="G490" i="209" s="1"/>
  <c r="G549" i="209" s="1"/>
  <c r="G608" i="209" s="1"/>
  <c r="G667" i="209" s="1"/>
  <c r="G726" i="209" s="1"/>
  <c r="E18" i="209"/>
  <c r="E77" i="209" s="1"/>
  <c r="E136" i="209" s="1"/>
  <c r="E195" i="209" s="1"/>
  <c r="E254" i="209" s="1"/>
  <c r="E313" i="209" s="1"/>
  <c r="E372" i="209" s="1"/>
  <c r="E431" i="209" s="1"/>
  <c r="E490" i="209" s="1"/>
  <c r="E549" i="209" s="1"/>
  <c r="E608" i="209" s="1"/>
  <c r="E667" i="209" s="1"/>
  <c r="E726" i="209" s="1"/>
  <c r="D18" i="209"/>
  <c r="G17" i="209"/>
  <c r="G76" i="209" s="1"/>
  <c r="G135" i="209" s="1"/>
  <c r="G194" i="209" s="1"/>
  <c r="G253" i="209" s="1"/>
  <c r="G312" i="209" s="1"/>
  <c r="G371" i="209" s="1"/>
  <c r="G430" i="209" s="1"/>
  <c r="G489" i="209" s="1"/>
  <c r="G548" i="209" s="1"/>
  <c r="G607" i="209" s="1"/>
  <c r="G666" i="209" s="1"/>
  <c r="G725" i="209" s="1"/>
  <c r="E17" i="209"/>
  <c r="E76" i="209" s="1"/>
  <c r="E135" i="209" s="1"/>
  <c r="E194" i="209" s="1"/>
  <c r="E253" i="209" s="1"/>
  <c r="E312" i="209" s="1"/>
  <c r="E371" i="209" s="1"/>
  <c r="E430" i="209" s="1"/>
  <c r="E489" i="209" s="1"/>
  <c r="E548" i="209" s="1"/>
  <c r="E607" i="209" s="1"/>
  <c r="E666" i="209" s="1"/>
  <c r="E725" i="209" s="1"/>
  <c r="D17" i="209"/>
  <c r="G16" i="209"/>
  <c r="G75" i="209" s="1"/>
  <c r="G134" i="209" s="1"/>
  <c r="G193" i="209" s="1"/>
  <c r="G252" i="209" s="1"/>
  <c r="G311" i="209" s="1"/>
  <c r="G370" i="209" s="1"/>
  <c r="G429" i="209" s="1"/>
  <c r="G488" i="209" s="1"/>
  <c r="G547" i="209" s="1"/>
  <c r="G606" i="209" s="1"/>
  <c r="G665" i="209" s="1"/>
  <c r="G724" i="209" s="1"/>
  <c r="E16" i="209"/>
  <c r="E75" i="209" s="1"/>
  <c r="E134" i="209" s="1"/>
  <c r="E193" i="209" s="1"/>
  <c r="E252" i="209" s="1"/>
  <c r="E311" i="209" s="1"/>
  <c r="E370" i="209" s="1"/>
  <c r="E429" i="209" s="1"/>
  <c r="E488" i="209" s="1"/>
  <c r="E547" i="209" s="1"/>
  <c r="E606" i="209" s="1"/>
  <c r="E665" i="209" s="1"/>
  <c r="E724" i="209" s="1"/>
  <c r="D16" i="209"/>
  <c r="G15" i="209"/>
  <c r="G74" i="209" s="1"/>
  <c r="G133" i="209" s="1"/>
  <c r="G192" i="209" s="1"/>
  <c r="G251" i="209" s="1"/>
  <c r="G310" i="209" s="1"/>
  <c r="G369" i="209" s="1"/>
  <c r="G428" i="209" s="1"/>
  <c r="G487" i="209" s="1"/>
  <c r="G546" i="209" s="1"/>
  <c r="G605" i="209" s="1"/>
  <c r="G664" i="209" s="1"/>
  <c r="G723" i="209" s="1"/>
  <c r="E15" i="209"/>
  <c r="E74" i="209" s="1"/>
  <c r="E133" i="209" s="1"/>
  <c r="E192" i="209" s="1"/>
  <c r="E251" i="209" s="1"/>
  <c r="E310" i="209" s="1"/>
  <c r="E369" i="209" s="1"/>
  <c r="E428" i="209" s="1"/>
  <c r="E487" i="209" s="1"/>
  <c r="E546" i="209" s="1"/>
  <c r="E605" i="209" s="1"/>
  <c r="E664" i="209" s="1"/>
  <c r="E723" i="209" s="1"/>
  <c r="D15" i="209"/>
  <c r="G14" i="209"/>
  <c r="G73" i="209" s="1"/>
  <c r="G132" i="209" s="1"/>
  <c r="G191" i="209" s="1"/>
  <c r="G250" i="209" s="1"/>
  <c r="G309" i="209" s="1"/>
  <c r="G368" i="209" s="1"/>
  <c r="G427" i="209" s="1"/>
  <c r="G486" i="209" s="1"/>
  <c r="G545" i="209" s="1"/>
  <c r="G604" i="209" s="1"/>
  <c r="G663" i="209" s="1"/>
  <c r="G722" i="209" s="1"/>
  <c r="E14" i="209"/>
  <c r="E73" i="209" s="1"/>
  <c r="E132" i="209" s="1"/>
  <c r="E191" i="209" s="1"/>
  <c r="E250" i="209" s="1"/>
  <c r="E309" i="209" s="1"/>
  <c r="E368" i="209" s="1"/>
  <c r="E427" i="209" s="1"/>
  <c r="E486" i="209" s="1"/>
  <c r="E545" i="209" s="1"/>
  <c r="E604" i="209" s="1"/>
  <c r="E663" i="209" s="1"/>
  <c r="E722" i="209" s="1"/>
  <c r="D14" i="209"/>
  <c r="G13" i="209"/>
  <c r="G72" i="209" s="1"/>
  <c r="G131" i="209" s="1"/>
  <c r="G190" i="209" s="1"/>
  <c r="G249" i="209" s="1"/>
  <c r="G308" i="209" s="1"/>
  <c r="G367" i="209" s="1"/>
  <c r="G426" i="209" s="1"/>
  <c r="G485" i="209" s="1"/>
  <c r="G544" i="209" s="1"/>
  <c r="G603" i="209" s="1"/>
  <c r="G662" i="209" s="1"/>
  <c r="G721" i="209" s="1"/>
  <c r="E13" i="209"/>
  <c r="E72" i="209" s="1"/>
  <c r="E131" i="209" s="1"/>
  <c r="E190" i="209" s="1"/>
  <c r="E249" i="209" s="1"/>
  <c r="E308" i="209" s="1"/>
  <c r="E367" i="209" s="1"/>
  <c r="E426" i="209" s="1"/>
  <c r="E485" i="209" s="1"/>
  <c r="E544" i="209" s="1"/>
  <c r="E603" i="209" s="1"/>
  <c r="E662" i="209" s="1"/>
  <c r="E721" i="209" s="1"/>
  <c r="D13" i="209"/>
  <c r="U13" i="209" s="1"/>
  <c r="U72" i="209" s="1"/>
  <c r="U131" i="209" s="1"/>
  <c r="U190" i="209" s="1"/>
  <c r="U249" i="209" s="1"/>
  <c r="U308" i="209" s="1"/>
  <c r="U367" i="209" s="1"/>
  <c r="U426" i="209" s="1"/>
  <c r="U485" i="209" s="1"/>
  <c r="U544" i="209" s="1"/>
  <c r="U603" i="209" s="1"/>
  <c r="U662" i="209" s="1"/>
  <c r="U721" i="209" s="1"/>
  <c r="G12" i="209"/>
  <c r="G71" i="209" s="1"/>
  <c r="G130" i="209" s="1"/>
  <c r="G189" i="209" s="1"/>
  <c r="G248" i="209" s="1"/>
  <c r="G307" i="209" s="1"/>
  <c r="G366" i="209" s="1"/>
  <c r="G425" i="209" s="1"/>
  <c r="G484" i="209" s="1"/>
  <c r="G543" i="209" s="1"/>
  <c r="G602" i="209" s="1"/>
  <c r="G661" i="209" s="1"/>
  <c r="G720" i="209" s="1"/>
  <c r="E12" i="209"/>
  <c r="E71" i="209" s="1"/>
  <c r="E130" i="209" s="1"/>
  <c r="E189" i="209" s="1"/>
  <c r="E248" i="209" s="1"/>
  <c r="E307" i="209" s="1"/>
  <c r="E366" i="209" s="1"/>
  <c r="E425" i="209" s="1"/>
  <c r="E484" i="209" s="1"/>
  <c r="E543" i="209" s="1"/>
  <c r="E602" i="209" s="1"/>
  <c r="E661" i="209" s="1"/>
  <c r="E720" i="209" s="1"/>
  <c r="D12" i="209"/>
  <c r="G11" i="209"/>
  <c r="G70" i="209" s="1"/>
  <c r="G129" i="209" s="1"/>
  <c r="G188" i="209" s="1"/>
  <c r="G247" i="209" s="1"/>
  <c r="G306" i="209" s="1"/>
  <c r="G365" i="209" s="1"/>
  <c r="G424" i="209" s="1"/>
  <c r="G483" i="209" s="1"/>
  <c r="G542" i="209" s="1"/>
  <c r="G601" i="209" s="1"/>
  <c r="G660" i="209" s="1"/>
  <c r="G719" i="209" s="1"/>
  <c r="E11" i="209"/>
  <c r="E70" i="209" s="1"/>
  <c r="E129" i="209" s="1"/>
  <c r="E188" i="209" s="1"/>
  <c r="E247" i="209" s="1"/>
  <c r="E306" i="209" s="1"/>
  <c r="E365" i="209" s="1"/>
  <c r="E424" i="209" s="1"/>
  <c r="E483" i="209" s="1"/>
  <c r="E542" i="209" s="1"/>
  <c r="E601" i="209" s="1"/>
  <c r="E660" i="209" s="1"/>
  <c r="E719" i="209" s="1"/>
  <c r="D11" i="209"/>
  <c r="G10" i="209"/>
  <c r="G69" i="209" s="1"/>
  <c r="G128" i="209" s="1"/>
  <c r="G187" i="209" s="1"/>
  <c r="G246" i="209" s="1"/>
  <c r="G305" i="209" s="1"/>
  <c r="G364" i="209" s="1"/>
  <c r="G423" i="209" s="1"/>
  <c r="G482" i="209" s="1"/>
  <c r="G541" i="209" s="1"/>
  <c r="G600" i="209" s="1"/>
  <c r="G659" i="209" s="1"/>
  <c r="G718" i="209" s="1"/>
  <c r="E10" i="209"/>
  <c r="E69" i="209" s="1"/>
  <c r="E128" i="209" s="1"/>
  <c r="E187" i="209" s="1"/>
  <c r="E246" i="209" s="1"/>
  <c r="E305" i="209" s="1"/>
  <c r="E364" i="209" s="1"/>
  <c r="E423" i="209" s="1"/>
  <c r="E482" i="209" s="1"/>
  <c r="E541" i="209" s="1"/>
  <c r="E600" i="209" s="1"/>
  <c r="E659" i="209" s="1"/>
  <c r="E718" i="209" s="1"/>
  <c r="D10" i="209"/>
  <c r="G9" i="209"/>
  <c r="G68" i="209" s="1"/>
  <c r="G127" i="209" s="1"/>
  <c r="G186" i="209" s="1"/>
  <c r="G245" i="209" s="1"/>
  <c r="G304" i="209" s="1"/>
  <c r="G363" i="209" s="1"/>
  <c r="G422" i="209" s="1"/>
  <c r="G481" i="209" s="1"/>
  <c r="G540" i="209" s="1"/>
  <c r="G599" i="209" s="1"/>
  <c r="G658" i="209" s="1"/>
  <c r="G717" i="209" s="1"/>
  <c r="E9" i="209"/>
  <c r="E68" i="209" s="1"/>
  <c r="E127" i="209" s="1"/>
  <c r="E186" i="209" s="1"/>
  <c r="E245" i="209" s="1"/>
  <c r="E304" i="209" s="1"/>
  <c r="E363" i="209" s="1"/>
  <c r="E422" i="209" s="1"/>
  <c r="E481" i="209" s="1"/>
  <c r="E540" i="209" s="1"/>
  <c r="E599" i="209" s="1"/>
  <c r="E658" i="209" s="1"/>
  <c r="E717" i="209" s="1"/>
  <c r="D9" i="209"/>
  <c r="G8" i="209"/>
  <c r="G67" i="209" s="1"/>
  <c r="G126" i="209" s="1"/>
  <c r="G185" i="209" s="1"/>
  <c r="G244" i="209" s="1"/>
  <c r="G303" i="209" s="1"/>
  <c r="G362" i="209" s="1"/>
  <c r="G421" i="209" s="1"/>
  <c r="G480" i="209" s="1"/>
  <c r="G539" i="209" s="1"/>
  <c r="G598" i="209" s="1"/>
  <c r="G657" i="209" s="1"/>
  <c r="G716" i="209" s="1"/>
  <c r="E8" i="209"/>
  <c r="E67" i="209" s="1"/>
  <c r="E126" i="209" s="1"/>
  <c r="E185" i="209" s="1"/>
  <c r="E244" i="209" s="1"/>
  <c r="E303" i="209" s="1"/>
  <c r="E362" i="209" s="1"/>
  <c r="E421" i="209" s="1"/>
  <c r="E480" i="209" s="1"/>
  <c r="E539" i="209" s="1"/>
  <c r="E598" i="209" s="1"/>
  <c r="E657" i="209" s="1"/>
  <c r="E716" i="209" s="1"/>
  <c r="D8" i="209"/>
  <c r="E14" i="156"/>
  <c r="F14" i="156" s="1"/>
  <c r="G14" i="156" s="1"/>
  <c r="E14" i="139"/>
  <c r="F14" i="139" s="1"/>
  <c r="F14" i="223" s="1"/>
  <c r="P13" i="241"/>
  <c r="E14" i="215"/>
  <c r="F14" i="215"/>
  <c r="G14" i="215"/>
  <c r="O20" i="241"/>
  <c r="N13" i="49"/>
  <c r="R13" i="49" s="1"/>
  <c r="N11" i="49"/>
  <c r="F121" i="5"/>
  <c r="E24" i="294" s="1"/>
  <c r="E44" i="294" s="1"/>
  <c r="E64" i="294" s="1"/>
  <c r="E84" i="294" s="1"/>
  <c r="E104" i="294" s="1"/>
  <c r="E124" i="294" s="1"/>
  <c r="E144" i="294" s="1"/>
  <c r="F118" i="5"/>
  <c r="F491" i="246" s="1"/>
  <c r="F117" i="5"/>
  <c r="F116" i="5"/>
  <c r="E15" i="139"/>
  <c r="F15" i="139" s="1"/>
  <c r="G15" i="139" s="1"/>
  <c r="E15" i="162"/>
  <c r="F15" i="162" s="1"/>
  <c r="G15" i="162" s="1"/>
  <c r="F15" i="215"/>
  <c r="E15" i="215"/>
  <c r="G15" i="215"/>
  <c r="F115" i="5"/>
  <c r="F388" i="246" s="1"/>
  <c r="E15" i="156"/>
  <c r="F15" i="156" s="1"/>
  <c r="F114" i="5"/>
  <c r="F30" i="246" s="1"/>
  <c r="F81" i="246" s="1"/>
  <c r="F132" i="246" s="1"/>
  <c r="F183" i="246" s="1"/>
  <c r="F234" i="246" s="1"/>
  <c r="F285" i="246" s="1"/>
  <c r="F336" i="246" s="1"/>
  <c r="F387" i="246" s="1"/>
  <c r="F438" i="246" s="1"/>
  <c r="F489" i="246" s="1"/>
  <c r="F540" i="246" s="1"/>
  <c r="F591" i="246" s="1"/>
  <c r="F642" i="246" s="1"/>
  <c r="F113" i="5"/>
  <c r="F29" i="246" s="1"/>
  <c r="F80" i="246" s="1"/>
  <c r="F131" i="246" s="1"/>
  <c r="F182" i="246" s="1"/>
  <c r="F233" i="246" s="1"/>
  <c r="F284" i="246" s="1"/>
  <c r="F335" i="246" s="1"/>
  <c r="F386" i="246" s="1"/>
  <c r="F437" i="246" s="1"/>
  <c r="F488" i="246" s="1"/>
  <c r="F539" i="246" s="1"/>
  <c r="F590" i="246" s="1"/>
  <c r="F641" i="246" s="1"/>
  <c r="F112" i="5"/>
  <c r="F28" i="246" s="1"/>
  <c r="F79" i="246" s="1"/>
  <c r="F130" i="246" s="1"/>
  <c r="F181" i="246" s="1"/>
  <c r="F232" i="246" s="1"/>
  <c r="F283" i="246" s="1"/>
  <c r="F334" i="246" s="1"/>
  <c r="F385" i="246" s="1"/>
  <c r="F436" i="246" s="1"/>
  <c r="F487" i="246" s="1"/>
  <c r="F538" i="246" s="1"/>
  <c r="F589" i="246" s="1"/>
  <c r="F640" i="246" s="1"/>
  <c r="F109" i="5"/>
  <c r="F9" i="246" s="1"/>
  <c r="F60" i="246" s="1"/>
  <c r="F111" i="246" s="1"/>
  <c r="F162" i="246" s="1"/>
  <c r="F213" i="246" s="1"/>
  <c r="F264" i="246" s="1"/>
  <c r="F315" i="246" s="1"/>
  <c r="F366" i="246" s="1"/>
  <c r="F417" i="246" s="1"/>
  <c r="F468" i="246" s="1"/>
  <c r="F519" i="246" s="1"/>
  <c r="F570" i="246" s="1"/>
  <c r="F621" i="246" s="1"/>
  <c r="F108" i="5"/>
  <c r="F10" i="246" s="1"/>
  <c r="F61" i="246" s="1"/>
  <c r="F112" i="246" s="1"/>
  <c r="F163" i="246" s="1"/>
  <c r="F214" i="246" s="1"/>
  <c r="F265" i="246" s="1"/>
  <c r="F316" i="246" s="1"/>
  <c r="F367" i="246" s="1"/>
  <c r="F418" i="246" s="1"/>
  <c r="F469" i="246" s="1"/>
  <c r="F520" i="246" s="1"/>
  <c r="F571" i="246" s="1"/>
  <c r="F622" i="246" s="1"/>
  <c r="F107" i="5"/>
  <c r="F8" i="246" s="1"/>
  <c r="F59" i="246" s="1"/>
  <c r="F110" i="246" s="1"/>
  <c r="F161" i="246" s="1"/>
  <c r="F212" i="246" s="1"/>
  <c r="F263" i="246" s="1"/>
  <c r="F314" i="246" s="1"/>
  <c r="F365" i="246" s="1"/>
  <c r="F416" i="246" s="1"/>
  <c r="F467" i="246" s="1"/>
  <c r="F518" i="246" s="1"/>
  <c r="F569" i="246" s="1"/>
  <c r="F620" i="246" s="1"/>
  <c r="F100" i="5"/>
  <c r="F25" i="246" s="1"/>
  <c r="F76" i="246" s="1"/>
  <c r="F127" i="246" s="1"/>
  <c r="F178" i="246" s="1"/>
  <c r="F229" i="246" s="1"/>
  <c r="F280" i="246" s="1"/>
  <c r="F331" i="246" s="1"/>
  <c r="F382" i="246" s="1"/>
  <c r="F433" i="246" s="1"/>
  <c r="F484" i="246" s="1"/>
  <c r="F535" i="246" s="1"/>
  <c r="F586" i="246" s="1"/>
  <c r="F637" i="246" s="1"/>
  <c r="F99" i="5"/>
  <c r="F24" i="246" s="1"/>
  <c r="F75" i="246" s="1"/>
  <c r="F126" i="246" s="1"/>
  <c r="F177" i="246" s="1"/>
  <c r="F228" i="246" s="1"/>
  <c r="F279" i="246" s="1"/>
  <c r="F330" i="246" s="1"/>
  <c r="F381" i="246" s="1"/>
  <c r="F432" i="246" s="1"/>
  <c r="F483" i="246" s="1"/>
  <c r="F534" i="246" s="1"/>
  <c r="F585" i="246" s="1"/>
  <c r="F636" i="246" s="1"/>
  <c r="F98" i="5"/>
  <c r="F23" i="246" s="1"/>
  <c r="F74" i="246" s="1"/>
  <c r="F125" i="246" s="1"/>
  <c r="F176" i="246" s="1"/>
  <c r="F227" i="246" s="1"/>
  <c r="F278" i="246" s="1"/>
  <c r="F329" i="246" s="1"/>
  <c r="F380" i="246" s="1"/>
  <c r="F431" i="246" s="1"/>
  <c r="F482" i="246" s="1"/>
  <c r="F533" i="246" s="1"/>
  <c r="F584" i="246" s="1"/>
  <c r="F635" i="246" s="1"/>
  <c r="F97" i="5"/>
  <c r="F22" i="246" s="1"/>
  <c r="F73" i="246" s="1"/>
  <c r="F124" i="246" s="1"/>
  <c r="F175" i="246" s="1"/>
  <c r="F226" i="246" s="1"/>
  <c r="F277" i="246" s="1"/>
  <c r="F328" i="246" s="1"/>
  <c r="F379" i="246" s="1"/>
  <c r="F430" i="246" s="1"/>
  <c r="F481" i="246" s="1"/>
  <c r="F532" i="246" s="1"/>
  <c r="F583" i="246" s="1"/>
  <c r="F634" i="246" s="1"/>
  <c r="F92" i="5"/>
  <c r="E18" i="294" s="1"/>
  <c r="E38" i="294" s="1"/>
  <c r="E58" i="294" s="1"/>
  <c r="E78" i="294" s="1"/>
  <c r="E98" i="294" s="1"/>
  <c r="E118" i="294" s="1"/>
  <c r="E138" i="294" s="1"/>
  <c r="F91" i="5"/>
  <c r="E17" i="294" s="1"/>
  <c r="E37" i="294" s="1"/>
  <c r="E57" i="294" s="1"/>
  <c r="E77" i="294" s="1"/>
  <c r="E97" i="294" s="1"/>
  <c r="E117" i="294" s="1"/>
  <c r="E137" i="294" s="1"/>
  <c r="F90" i="5"/>
  <c r="E16" i="294" s="1"/>
  <c r="E36" i="294" s="1"/>
  <c r="E56" i="294" s="1"/>
  <c r="E76" i="294" s="1"/>
  <c r="E96" i="294" s="1"/>
  <c r="E116" i="294" s="1"/>
  <c r="E136" i="294" s="1"/>
  <c r="F89" i="5"/>
  <c r="E15" i="294" s="1"/>
  <c r="E35" i="294" s="1"/>
  <c r="E55" i="294" s="1"/>
  <c r="E75" i="294" s="1"/>
  <c r="E95" i="294" s="1"/>
  <c r="E115" i="294" s="1"/>
  <c r="E135" i="294" s="1"/>
  <c r="F86" i="5"/>
  <c r="F46" i="246" s="1"/>
  <c r="F97" i="246" s="1"/>
  <c r="F148" i="246" s="1"/>
  <c r="F199" i="246" s="1"/>
  <c r="F250" i="246" s="1"/>
  <c r="F301" i="246" s="1"/>
  <c r="F352" i="246" s="1"/>
  <c r="F403" i="246" s="1"/>
  <c r="F454" i="246" s="1"/>
  <c r="F505" i="246" s="1"/>
  <c r="F556" i="246" s="1"/>
  <c r="F607" i="246" s="1"/>
  <c r="F658" i="246" s="1"/>
  <c r="F85" i="5"/>
  <c r="F45" i="246" s="1"/>
  <c r="F96" i="246" s="1"/>
  <c r="F147" i="246" s="1"/>
  <c r="F198" i="246" s="1"/>
  <c r="F249" i="246" s="1"/>
  <c r="F300" i="246" s="1"/>
  <c r="F351" i="246" s="1"/>
  <c r="F402" i="246" s="1"/>
  <c r="F453" i="246" s="1"/>
  <c r="F504" i="246" s="1"/>
  <c r="F555" i="246" s="1"/>
  <c r="F606" i="246" s="1"/>
  <c r="F657" i="246" s="1"/>
  <c r="F84" i="5"/>
  <c r="F44" i="246" s="1"/>
  <c r="F95" i="246" s="1"/>
  <c r="F146" i="246" s="1"/>
  <c r="F197" i="246" s="1"/>
  <c r="F248" i="246" s="1"/>
  <c r="F299" i="246" s="1"/>
  <c r="F350" i="246" s="1"/>
  <c r="F401" i="246" s="1"/>
  <c r="F452" i="246" s="1"/>
  <c r="F503" i="246" s="1"/>
  <c r="F554" i="246" s="1"/>
  <c r="F605" i="246" s="1"/>
  <c r="F656" i="246" s="1"/>
  <c r="F83" i="5"/>
  <c r="F43" i="246" s="1"/>
  <c r="F94" i="246" s="1"/>
  <c r="F145" i="246" s="1"/>
  <c r="F196" i="246" s="1"/>
  <c r="F247" i="246" s="1"/>
  <c r="F298" i="246" s="1"/>
  <c r="F349" i="246" s="1"/>
  <c r="F400" i="246" s="1"/>
  <c r="F451" i="246" s="1"/>
  <c r="F502" i="246" s="1"/>
  <c r="F553" i="246" s="1"/>
  <c r="F604" i="246" s="1"/>
  <c r="F655" i="246" s="1"/>
  <c r="F82" i="5"/>
  <c r="F42" i="246" s="1"/>
  <c r="F93" i="246" s="1"/>
  <c r="F144" i="246" s="1"/>
  <c r="F195" i="246" s="1"/>
  <c r="F246" i="246" s="1"/>
  <c r="F297" i="246" s="1"/>
  <c r="F348" i="246" s="1"/>
  <c r="F399" i="246" s="1"/>
  <c r="F450" i="246" s="1"/>
  <c r="F501" i="246" s="1"/>
  <c r="F552" i="246" s="1"/>
  <c r="F603" i="246" s="1"/>
  <c r="F654" i="246" s="1"/>
  <c r="F81" i="5"/>
  <c r="F15" i="246" s="1"/>
  <c r="F66" i="246" s="1"/>
  <c r="F117" i="246" s="1"/>
  <c r="F168" i="246" s="1"/>
  <c r="F219" i="246" s="1"/>
  <c r="F270" i="246" s="1"/>
  <c r="F321" i="246" s="1"/>
  <c r="F372" i="246" s="1"/>
  <c r="F423" i="246" s="1"/>
  <c r="F474" i="246" s="1"/>
  <c r="F525" i="246" s="1"/>
  <c r="F576" i="246" s="1"/>
  <c r="F627" i="246" s="1"/>
  <c r="F80" i="5"/>
  <c r="F41" i="246" s="1"/>
  <c r="F92" i="246" s="1"/>
  <c r="F143" i="246" s="1"/>
  <c r="F194" i="246" s="1"/>
  <c r="F245" i="246" s="1"/>
  <c r="F296" i="246" s="1"/>
  <c r="F347" i="246" s="1"/>
  <c r="F398" i="246" s="1"/>
  <c r="F449" i="246" s="1"/>
  <c r="F500" i="246" s="1"/>
  <c r="F551" i="246" s="1"/>
  <c r="F602" i="246" s="1"/>
  <c r="F653" i="246" s="1"/>
  <c r="F79" i="5"/>
  <c r="F40" i="246" s="1"/>
  <c r="F91" i="246" s="1"/>
  <c r="F142" i="246" s="1"/>
  <c r="F193" i="246" s="1"/>
  <c r="F244" i="246" s="1"/>
  <c r="F295" i="246" s="1"/>
  <c r="F346" i="246" s="1"/>
  <c r="F397" i="246" s="1"/>
  <c r="F448" i="246" s="1"/>
  <c r="F499" i="246" s="1"/>
  <c r="F550" i="246" s="1"/>
  <c r="F601" i="246" s="1"/>
  <c r="F652" i="246" s="1"/>
  <c r="F78" i="5"/>
  <c r="F39" i="246" s="1"/>
  <c r="F90" i="246" s="1"/>
  <c r="F141" i="246" s="1"/>
  <c r="F192" i="246" s="1"/>
  <c r="F243" i="246" s="1"/>
  <c r="F294" i="246" s="1"/>
  <c r="F345" i="246" s="1"/>
  <c r="F396" i="246" s="1"/>
  <c r="F447" i="246" s="1"/>
  <c r="F498" i="246" s="1"/>
  <c r="F549" i="246" s="1"/>
  <c r="F600" i="246" s="1"/>
  <c r="F651" i="246" s="1"/>
  <c r="F77" i="5"/>
  <c r="F38" i="246" s="1"/>
  <c r="F89" i="246" s="1"/>
  <c r="F140" i="246" s="1"/>
  <c r="F191" i="246" s="1"/>
  <c r="F242" i="246" s="1"/>
  <c r="F293" i="246" s="1"/>
  <c r="F344" i="246" s="1"/>
  <c r="F395" i="246" s="1"/>
  <c r="F446" i="246" s="1"/>
  <c r="F497" i="246" s="1"/>
  <c r="F548" i="246" s="1"/>
  <c r="F599" i="246" s="1"/>
  <c r="F650" i="246" s="1"/>
  <c r="F76" i="5"/>
  <c r="F37" i="246" s="1"/>
  <c r="F88" i="246" s="1"/>
  <c r="F139" i="246" s="1"/>
  <c r="F190" i="246" s="1"/>
  <c r="F241" i="246" s="1"/>
  <c r="F292" i="246" s="1"/>
  <c r="F343" i="246" s="1"/>
  <c r="F394" i="246" s="1"/>
  <c r="F445" i="246" s="1"/>
  <c r="F496" i="246" s="1"/>
  <c r="F547" i="246" s="1"/>
  <c r="F598" i="246" s="1"/>
  <c r="F649" i="246" s="1"/>
  <c r="F75" i="5"/>
  <c r="F36" i="246" s="1"/>
  <c r="F87" i="246" s="1"/>
  <c r="F138" i="246" s="1"/>
  <c r="F189" i="246" s="1"/>
  <c r="F240" i="246" s="1"/>
  <c r="F291" i="246" s="1"/>
  <c r="F342" i="246" s="1"/>
  <c r="F393" i="246" s="1"/>
  <c r="F444" i="246" s="1"/>
  <c r="F495" i="246" s="1"/>
  <c r="F546" i="246" s="1"/>
  <c r="F597" i="246" s="1"/>
  <c r="F648" i="246" s="1"/>
  <c r="F74" i="5"/>
  <c r="F35" i="246" s="1"/>
  <c r="F86" i="246" s="1"/>
  <c r="F137" i="246" s="1"/>
  <c r="F188" i="246" s="1"/>
  <c r="F239" i="246" s="1"/>
  <c r="F290" i="246" s="1"/>
  <c r="F341" i="246" s="1"/>
  <c r="F392" i="246" s="1"/>
  <c r="F443" i="246" s="1"/>
  <c r="F494" i="246" s="1"/>
  <c r="F545" i="246" s="1"/>
  <c r="F596" i="246" s="1"/>
  <c r="F647" i="246" s="1"/>
  <c r="F71" i="5"/>
  <c r="F16" i="246" s="1"/>
  <c r="F67" i="246" s="1"/>
  <c r="F118" i="246" s="1"/>
  <c r="F169" i="246" s="1"/>
  <c r="F220" i="246" s="1"/>
  <c r="F271" i="246" s="1"/>
  <c r="F322" i="246" s="1"/>
  <c r="F373" i="246" s="1"/>
  <c r="F424" i="246" s="1"/>
  <c r="F475" i="246" s="1"/>
  <c r="F526" i="246" s="1"/>
  <c r="F577" i="246" s="1"/>
  <c r="F628" i="246" s="1"/>
  <c r="F70" i="5"/>
  <c r="F14" i="246" s="1"/>
  <c r="F65" i="246" s="1"/>
  <c r="F116" i="246" s="1"/>
  <c r="F167" i="246" s="1"/>
  <c r="F218" i="246" s="1"/>
  <c r="F269" i="246" s="1"/>
  <c r="F320" i="246" s="1"/>
  <c r="F371" i="246" s="1"/>
  <c r="F422" i="246" s="1"/>
  <c r="F473" i="246" s="1"/>
  <c r="F524" i="246" s="1"/>
  <c r="F575" i="246" s="1"/>
  <c r="F626" i="246" s="1"/>
  <c r="F69" i="5"/>
  <c r="F13" i="246" s="1"/>
  <c r="F64" i="246" s="1"/>
  <c r="F115" i="246" s="1"/>
  <c r="F166" i="246" s="1"/>
  <c r="F217" i="246" s="1"/>
  <c r="F268" i="246" s="1"/>
  <c r="F319" i="246" s="1"/>
  <c r="F370" i="246" s="1"/>
  <c r="F421" i="246" s="1"/>
  <c r="F472" i="246" s="1"/>
  <c r="F523" i="246" s="1"/>
  <c r="F574" i="246" s="1"/>
  <c r="F625" i="246" s="1"/>
  <c r="F66" i="5"/>
  <c r="F49" i="209" s="1"/>
  <c r="F108" i="209" s="1"/>
  <c r="F167" i="209" s="1"/>
  <c r="F226" i="209" s="1"/>
  <c r="F285" i="209" s="1"/>
  <c r="F344" i="209" s="1"/>
  <c r="F403" i="209" s="1"/>
  <c r="F462" i="209" s="1"/>
  <c r="F521" i="209" s="1"/>
  <c r="F580" i="209" s="1"/>
  <c r="F639" i="209" s="1"/>
  <c r="F698" i="209" s="1"/>
  <c r="F757" i="209" s="1"/>
  <c r="F65" i="5"/>
  <c r="F48" i="209" s="1"/>
  <c r="F107" i="209" s="1"/>
  <c r="F166" i="209" s="1"/>
  <c r="F225" i="209" s="1"/>
  <c r="F284" i="209" s="1"/>
  <c r="F343" i="209" s="1"/>
  <c r="F402" i="209" s="1"/>
  <c r="F461" i="209" s="1"/>
  <c r="F520" i="209" s="1"/>
  <c r="F579" i="209" s="1"/>
  <c r="F638" i="209" s="1"/>
  <c r="F697" i="209" s="1"/>
  <c r="F756" i="209" s="1"/>
  <c r="F64" i="5"/>
  <c r="F47" i="209" s="1"/>
  <c r="F106" i="209" s="1"/>
  <c r="F165" i="209" s="1"/>
  <c r="F224" i="209" s="1"/>
  <c r="F283" i="209" s="1"/>
  <c r="F342" i="209" s="1"/>
  <c r="F401" i="209" s="1"/>
  <c r="F460" i="209" s="1"/>
  <c r="F519" i="209" s="1"/>
  <c r="F578" i="209" s="1"/>
  <c r="F637" i="209" s="1"/>
  <c r="F696" i="209" s="1"/>
  <c r="F755" i="209" s="1"/>
  <c r="F61" i="5"/>
  <c r="F27" i="209" s="1"/>
  <c r="F86" i="209" s="1"/>
  <c r="F145" i="209" s="1"/>
  <c r="F204" i="209" s="1"/>
  <c r="F263" i="209" s="1"/>
  <c r="F322" i="209" s="1"/>
  <c r="F381" i="209" s="1"/>
  <c r="F440" i="209" s="1"/>
  <c r="F499" i="209" s="1"/>
  <c r="F558" i="209" s="1"/>
  <c r="F617" i="209" s="1"/>
  <c r="F676" i="209" s="1"/>
  <c r="F735" i="209" s="1"/>
  <c r="F60" i="5"/>
  <c r="F26" i="209" s="1"/>
  <c r="F85" i="209" s="1"/>
  <c r="F144" i="209" s="1"/>
  <c r="F203" i="209" s="1"/>
  <c r="F262" i="209" s="1"/>
  <c r="F321" i="209" s="1"/>
  <c r="F380" i="209" s="1"/>
  <c r="F439" i="209" s="1"/>
  <c r="F498" i="209" s="1"/>
  <c r="F557" i="209" s="1"/>
  <c r="F616" i="209" s="1"/>
  <c r="F675" i="209" s="1"/>
  <c r="F734" i="209" s="1"/>
  <c r="F57" i="5"/>
  <c r="E13" i="294" s="1"/>
  <c r="E33" i="294" s="1"/>
  <c r="E53" i="294" s="1"/>
  <c r="E73" i="294" s="1"/>
  <c r="E93" i="294" s="1"/>
  <c r="E113" i="294" s="1"/>
  <c r="E133" i="294" s="1"/>
  <c r="F56" i="5"/>
  <c r="E12" i="294" s="1"/>
  <c r="E32" i="294" s="1"/>
  <c r="E52" i="294" s="1"/>
  <c r="E72" i="294" s="1"/>
  <c r="E92" i="294" s="1"/>
  <c r="E112" i="294" s="1"/>
  <c r="E132" i="294" s="1"/>
  <c r="F55" i="5"/>
  <c r="E11" i="294" s="1"/>
  <c r="E31" i="294" s="1"/>
  <c r="E51" i="294" s="1"/>
  <c r="E71" i="294" s="1"/>
  <c r="E91" i="294" s="1"/>
  <c r="E111" i="294" s="1"/>
  <c r="E131" i="294" s="1"/>
  <c r="F52" i="5"/>
  <c r="F291" i="209" s="1"/>
  <c r="F49" i="5"/>
  <c r="F52" i="209" s="1"/>
  <c r="F51" i="5"/>
  <c r="F290" i="209" s="1"/>
  <c r="F50" i="5"/>
  <c r="F53" i="209" s="1"/>
  <c r="F44" i="5"/>
  <c r="F23" i="209" s="1"/>
  <c r="F46" i="5"/>
  <c r="F435" i="209" s="1"/>
  <c r="F45" i="5"/>
  <c r="F670" i="209" s="1"/>
  <c r="F41" i="5"/>
  <c r="E9" i="294" s="1"/>
  <c r="E29" i="294" s="1"/>
  <c r="E49" i="294" s="1"/>
  <c r="E69" i="294" s="1"/>
  <c r="E89" i="294" s="1"/>
  <c r="E109" i="294" s="1"/>
  <c r="E129" i="294" s="1"/>
  <c r="F40" i="5"/>
  <c r="E8" i="294" s="1"/>
  <c r="E28" i="294" s="1"/>
  <c r="E48" i="294" s="1"/>
  <c r="E68" i="294" s="1"/>
  <c r="E88" i="294" s="1"/>
  <c r="E108" i="294" s="1"/>
  <c r="E128" i="294" s="1"/>
  <c r="F29" i="5"/>
  <c r="F37" i="209" s="1"/>
  <c r="F96" i="209" s="1"/>
  <c r="F155" i="209" s="1"/>
  <c r="F214" i="209" s="1"/>
  <c r="F273" i="209" s="1"/>
  <c r="F332" i="209" s="1"/>
  <c r="F391" i="209" s="1"/>
  <c r="F450" i="209" s="1"/>
  <c r="F509" i="209" s="1"/>
  <c r="F568" i="209" s="1"/>
  <c r="F627" i="209" s="1"/>
  <c r="F686" i="209" s="1"/>
  <c r="F745" i="209" s="1"/>
  <c r="F28" i="5"/>
  <c r="F27" i="5"/>
  <c r="F26" i="5"/>
  <c r="F36" i="209" s="1"/>
  <c r="F95" i="209" s="1"/>
  <c r="F154" i="209" s="1"/>
  <c r="F213" i="209" s="1"/>
  <c r="F272" i="209" s="1"/>
  <c r="F331" i="209" s="1"/>
  <c r="F390" i="209" s="1"/>
  <c r="F449" i="209" s="1"/>
  <c r="F508" i="209" s="1"/>
  <c r="F567" i="209" s="1"/>
  <c r="F626" i="209" s="1"/>
  <c r="F685" i="209" s="1"/>
  <c r="F744" i="209" s="1"/>
  <c r="F35" i="5"/>
  <c r="F42" i="209" s="1"/>
  <c r="F101" i="209" s="1"/>
  <c r="F160" i="209" s="1"/>
  <c r="F219" i="209" s="1"/>
  <c r="F278" i="209" s="1"/>
  <c r="F337" i="209" s="1"/>
  <c r="F396" i="209" s="1"/>
  <c r="F455" i="209" s="1"/>
  <c r="F514" i="209" s="1"/>
  <c r="F573" i="209" s="1"/>
  <c r="F632" i="209" s="1"/>
  <c r="F691" i="209" s="1"/>
  <c r="F750" i="209" s="1"/>
  <c r="F22" i="5"/>
  <c r="F32" i="209" s="1"/>
  <c r="F91" i="209" s="1"/>
  <c r="F150" i="209" s="1"/>
  <c r="F209" i="209" s="1"/>
  <c r="F268" i="209" s="1"/>
  <c r="F327" i="209" s="1"/>
  <c r="F386" i="209" s="1"/>
  <c r="F445" i="209" s="1"/>
  <c r="F504" i="209" s="1"/>
  <c r="F563" i="209" s="1"/>
  <c r="F622" i="209" s="1"/>
  <c r="F681" i="209" s="1"/>
  <c r="F740" i="209" s="1"/>
  <c r="F36" i="5"/>
  <c r="F43" i="209" s="1"/>
  <c r="F102" i="209" s="1"/>
  <c r="F161" i="209" s="1"/>
  <c r="F220" i="209" s="1"/>
  <c r="F279" i="209" s="1"/>
  <c r="F338" i="209" s="1"/>
  <c r="F397" i="209" s="1"/>
  <c r="F456" i="209" s="1"/>
  <c r="F515" i="209" s="1"/>
  <c r="F574" i="209" s="1"/>
  <c r="F633" i="209" s="1"/>
  <c r="F692" i="209" s="1"/>
  <c r="F751" i="209" s="1"/>
  <c r="F30" i="5"/>
  <c r="F38" i="209" s="1"/>
  <c r="F97" i="209" s="1"/>
  <c r="F156" i="209" s="1"/>
  <c r="F215" i="209" s="1"/>
  <c r="F274" i="209" s="1"/>
  <c r="F333" i="209" s="1"/>
  <c r="F392" i="209" s="1"/>
  <c r="F451" i="209" s="1"/>
  <c r="F510" i="209" s="1"/>
  <c r="F569" i="209" s="1"/>
  <c r="F628" i="209" s="1"/>
  <c r="F687" i="209" s="1"/>
  <c r="F746" i="209" s="1"/>
  <c r="F34" i="5"/>
  <c r="F41" i="209" s="1"/>
  <c r="F100" i="209" s="1"/>
  <c r="F159" i="209" s="1"/>
  <c r="F218" i="209" s="1"/>
  <c r="F277" i="209" s="1"/>
  <c r="F336" i="209" s="1"/>
  <c r="F395" i="209" s="1"/>
  <c r="F454" i="209" s="1"/>
  <c r="F513" i="209" s="1"/>
  <c r="F572" i="209" s="1"/>
  <c r="F631" i="209" s="1"/>
  <c r="F690" i="209" s="1"/>
  <c r="F749" i="209" s="1"/>
  <c r="F33" i="5"/>
  <c r="F24" i="5"/>
  <c r="F34" i="209" s="1"/>
  <c r="F93" i="209" s="1"/>
  <c r="F152" i="209" s="1"/>
  <c r="F211" i="209" s="1"/>
  <c r="F270" i="209" s="1"/>
  <c r="F329" i="209" s="1"/>
  <c r="F388" i="209" s="1"/>
  <c r="F447" i="209" s="1"/>
  <c r="F506" i="209" s="1"/>
  <c r="F565" i="209" s="1"/>
  <c r="F624" i="209" s="1"/>
  <c r="F683" i="209" s="1"/>
  <c r="F742" i="209" s="1"/>
  <c r="F19" i="5"/>
  <c r="F18" i="209" s="1"/>
  <c r="F77" i="209" s="1"/>
  <c r="F136" i="209" s="1"/>
  <c r="F195" i="209" s="1"/>
  <c r="F254" i="209" s="1"/>
  <c r="F313" i="209" s="1"/>
  <c r="F372" i="209" s="1"/>
  <c r="F431" i="209" s="1"/>
  <c r="F490" i="209" s="1"/>
  <c r="F549" i="209" s="1"/>
  <c r="F608" i="209" s="1"/>
  <c r="F667" i="209" s="1"/>
  <c r="F726" i="209" s="1"/>
  <c r="F18" i="5"/>
  <c r="F17" i="209" s="1"/>
  <c r="F76" i="209" s="1"/>
  <c r="F135" i="209" s="1"/>
  <c r="F194" i="209" s="1"/>
  <c r="F253" i="209" s="1"/>
  <c r="F312" i="209" s="1"/>
  <c r="F371" i="209" s="1"/>
  <c r="F430" i="209" s="1"/>
  <c r="F489" i="209" s="1"/>
  <c r="F548" i="209" s="1"/>
  <c r="F607" i="209" s="1"/>
  <c r="F666" i="209" s="1"/>
  <c r="F725" i="209" s="1"/>
  <c r="F17" i="5"/>
  <c r="F16" i="209" s="1"/>
  <c r="F75" i="209" s="1"/>
  <c r="F134" i="209" s="1"/>
  <c r="F193" i="209" s="1"/>
  <c r="F252" i="209" s="1"/>
  <c r="F311" i="209" s="1"/>
  <c r="F370" i="209" s="1"/>
  <c r="F429" i="209" s="1"/>
  <c r="F488" i="209" s="1"/>
  <c r="F547" i="209" s="1"/>
  <c r="F606" i="209" s="1"/>
  <c r="F665" i="209" s="1"/>
  <c r="F724" i="209" s="1"/>
  <c r="F16" i="5"/>
  <c r="F15" i="5"/>
  <c r="F15" i="209" s="1"/>
  <c r="F74" i="209" s="1"/>
  <c r="F133" i="209" s="1"/>
  <c r="F192" i="209" s="1"/>
  <c r="F251" i="209" s="1"/>
  <c r="F310" i="209" s="1"/>
  <c r="F369" i="209" s="1"/>
  <c r="F428" i="209" s="1"/>
  <c r="F487" i="209" s="1"/>
  <c r="F546" i="209" s="1"/>
  <c r="F605" i="209" s="1"/>
  <c r="F664" i="209" s="1"/>
  <c r="F723" i="209" s="1"/>
  <c r="F14" i="5"/>
  <c r="F14" i="209" s="1"/>
  <c r="F73" i="209" s="1"/>
  <c r="F132" i="209" s="1"/>
  <c r="F191" i="209" s="1"/>
  <c r="F250" i="209" s="1"/>
  <c r="F309" i="209" s="1"/>
  <c r="F368" i="209" s="1"/>
  <c r="F427" i="209" s="1"/>
  <c r="F486" i="209" s="1"/>
  <c r="F545" i="209" s="1"/>
  <c r="F604" i="209" s="1"/>
  <c r="F663" i="209" s="1"/>
  <c r="F722" i="209" s="1"/>
  <c r="F13" i="5"/>
  <c r="F13" i="209" s="1"/>
  <c r="F72" i="209" s="1"/>
  <c r="F131" i="209" s="1"/>
  <c r="F190" i="209" s="1"/>
  <c r="F249" i="209" s="1"/>
  <c r="F308" i="209" s="1"/>
  <c r="F367" i="209" s="1"/>
  <c r="F426" i="209" s="1"/>
  <c r="F485" i="209" s="1"/>
  <c r="F544" i="209" s="1"/>
  <c r="F603" i="209" s="1"/>
  <c r="F662" i="209" s="1"/>
  <c r="F721" i="209" s="1"/>
  <c r="F12" i="5"/>
  <c r="F12" i="209" s="1"/>
  <c r="F71" i="209" s="1"/>
  <c r="F130" i="209" s="1"/>
  <c r="F189" i="209" s="1"/>
  <c r="F248" i="209" s="1"/>
  <c r="F307" i="209" s="1"/>
  <c r="F366" i="209" s="1"/>
  <c r="F425" i="209" s="1"/>
  <c r="F484" i="209" s="1"/>
  <c r="F543" i="209" s="1"/>
  <c r="F602" i="209" s="1"/>
  <c r="F661" i="209" s="1"/>
  <c r="F720" i="209" s="1"/>
  <c r="F11" i="5"/>
  <c r="F11" i="209" s="1"/>
  <c r="F70" i="209" s="1"/>
  <c r="F129" i="209" s="1"/>
  <c r="F188" i="209" s="1"/>
  <c r="F247" i="209" s="1"/>
  <c r="F306" i="209" s="1"/>
  <c r="F365" i="209" s="1"/>
  <c r="F424" i="209" s="1"/>
  <c r="F483" i="209" s="1"/>
  <c r="F542" i="209" s="1"/>
  <c r="F601" i="209" s="1"/>
  <c r="F660" i="209" s="1"/>
  <c r="F719" i="209" s="1"/>
  <c r="F10" i="5"/>
  <c r="F10" i="209" s="1"/>
  <c r="F69" i="209" s="1"/>
  <c r="F128" i="209" s="1"/>
  <c r="F187" i="209" s="1"/>
  <c r="F246" i="209" s="1"/>
  <c r="F305" i="209" s="1"/>
  <c r="F364" i="209" s="1"/>
  <c r="F423" i="209" s="1"/>
  <c r="F482" i="209" s="1"/>
  <c r="F541" i="209" s="1"/>
  <c r="F600" i="209" s="1"/>
  <c r="F659" i="209" s="1"/>
  <c r="F718" i="209" s="1"/>
  <c r="F9" i="5"/>
  <c r="F9" i="209" s="1"/>
  <c r="F68" i="209" s="1"/>
  <c r="F127" i="209" s="1"/>
  <c r="F186" i="209" s="1"/>
  <c r="F245" i="209" s="1"/>
  <c r="F304" i="209" s="1"/>
  <c r="F363" i="209" s="1"/>
  <c r="F422" i="209" s="1"/>
  <c r="F481" i="209" s="1"/>
  <c r="F540" i="209" s="1"/>
  <c r="F599" i="209" s="1"/>
  <c r="F658" i="209" s="1"/>
  <c r="F717" i="209" s="1"/>
  <c r="F8" i="5"/>
  <c r="F8" i="209" s="1"/>
  <c r="F67" i="209" s="1"/>
  <c r="F126" i="209" s="1"/>
  <c r="F185" i="209" s="1"/>
  <c r="F244" i="209" s="1"/>
  <c r="F303" i="209" s="1"/>
  <c r="F362" i="209" s="1"/>
  <c r="F421" i="209" s="1"/>
  <c r="F480" i="209" s="1"/>
  <c r="F539" i="209" s="1"/>
  <c r="F598" i="209" s="1"/>
  <c r="F657" i="209" s="1"/>
  <c r="F716" i="209" s="1"/>
  <c r="P14" i="241"/>
  <c r="J14" i="49"/>
  <c r="L20" i="241"/>
  <c r="P18" i="241"/>
  <c r="P17" i="241"/>
  <c r="D5" i="151" a="1"/>
  <c r="G35" i="151" s="1"/>
  <c r="L5" i="151" a="1"/>
  <c r="M7" i="151" s="1"/>
  <c r="D5" i="165" a="1"/>
  <c r="G7" i="165" s="1"/>
  <c r="L5" i="165" a="1"/>
  <c r="M7" i="165" s="1"/>
  <c r="D5" i="166" a="1"/>
  <c r="G21" i="166" s="1"/>
  <c r="O23" i="166" s="1"/>
  <c r="L5" i="166" a="1"/>
  <c r="D5" i="187" a="1"/>
  <c r="D5" i="187" s="1"/>
  <c r="D7" i="187" s="1"/>
  <c r="L5" i="187" a="1"/>
  <c r="L5" i="187" s="1"/>
  <c r="L7" i="187" s="1"/>
  <c r="D5" i="195" a="1"/>
  <c r="F7" i="195" s="1"/>
  <c r="L5" i="195" a="1"/>
  <c r="P7" i="195" s="1"/>
  <c r="L5" i="359" a="1"/>
  <c r="L5" i="359" s="1"/>
  <c r="L7" i="359" s="1"/>
  <c r="D7" i="359"/>
  <c r="E7" i="359"/>
  <c r="F7" i="359"/>
  <c r="G7" i="359"/>
  <c r="H7" i="359"/>
  <c r="D21" i="359"/>
  <c r="L23" i="359" s="1"/>
  <c r="E21" i="359"/>
  <c r="M23" i="359" s="1"/>
  <c r="F21" i="359"/>
  <c r="N23" i="359" s="1"/>
  <c r="G21" i="359"/>
  <c r="O23" i="359" s="1"/>
  <c r="H21" i="359"/>
  <c r="P23" i="359" s="1"/>
  <c r="D35" i="359"/>
  <c r="E35" i="359"/>
  <c r="F35" i="359"/>
  <c r="G35" i="359"/>
  <c r="H35" i="359"/>
  <c r="D5" i="194" a="1"/>
  <c r="L5" i="194" a="1"/>
  <c r="D5" i="288" a="1"/>
  <c r="H21" i="288" s="1"/>
  <c r="P23" i="288" s="1"/>
  <c r="L5" i="288" a="1"/>
  <c r="O7" i="288" s="1"/>
  <c r="D5" i="156" a="1"/>
  <c r="L5" i="156" a="1"/>
  <c r="L5" i="156" s="1"/>
  <c r="L7" i="156" s="1"/>
  <c r="D5" i="347" a="1"/>
  <c r="D5" i="347" s="1"/>
  <c r="D21" i="347" s="1"/>
  <c r="L23" i="347" s="1"/>
  <c r="L5" i="347" a="1"/>
  <c r="N7" i="347" s="1"/>
  <c r="D5" i="214" a="1"/>
  <c r="F7" i="214" s="1"/>
  <c r="L5" i="214" a="1"/>
  <c r="O7" i="214" s="1"/>
  <c r="D5" i="160" a="1"/>
  <c r="H7" i="160" s="1"/>
  <c r="L5" i="160" a="1"/>
  <c r="M7" i="160" s="1"/>
  <c r="D5" i="126" a="1"/>
  <c r="L5" i="126" a="1"/>
  <c r="L5" i="126" s="1"/>
  <c r="L7" i="126" s="1"/>
  <c r="D5" i="293" a="1"/>
  <c r="F35" i="293" s="1"/>
  <c r="L5" i="293" a="1"/>
  <c r="O7" i="293" s="1"/>
  <c r="D5" i="16" a="1"/>
  <c r="E35" i="16" s="1"/>
  <c r="L5" i="16" a="1"/>
  <c r="P7" i="16" s="1"/>
  <c r="D5" i="289" a="1"/>
  <c r="G21" i="289" s="1"/>
  <c r="O23" i="289" s="1"/>
  <c r="L5" i="289" a="1"/>
  <c r="N29" i="289" s="1"/>
  <c r="D5" i="349" a="1"/>
  <c r="E7" i="349" s="1"/>
  <c r="L5" i="349" a="1"/>
  <c r="N29" i="349" s="1"/>
  <c r="D5" i="221" a="1"/>
  <c r="F35" i="221" s="1"/>
  <c r="L5" i="221" a="1"/>
  <c r="D5" i="220" a="1"/>
  <c r="F21" i="220" s="1"/>
  <c r="N23" i="220" s="1"/>
  <c r="L5" i="220" a="1"/>
  <c r="P7" i="220" s="1"/>
  <c r="D5" i="324" a="1"/>
  <c r="D5" i="324" s="1"/>
  <c r="L5" i="324" a="1"/>
  <c r="N7" i="324" s="1"/>
  <c r="D5" i="188" a="1"/>
  <c r="G7" i="188" s="1"/>
  <c r="L5" i="188" a="1"/>
  <c r="O7" i="188" s="1"/>
  <c r="D5" i="241" a="1"/>
  <c r="E7" i="241" s="1"/>
  <c r="L5" i="241" a="1"/>
  <c r="O7" i="241" s="1"/>
  <c r="D5" i="338" a="1"/>
  <c r="E7" i="338" s="1"/>
  <c r="L5" i="338" a="1"/>
  <c r="M7" i="338" s="1"/>
  <c r="D5" i="15" a="1"/>
  <c r="L5" i="15" a="1"/>
  <c r="M7" i="15" s="1"/>
  <c r="D5" i="123" a="1"/>
  <c r="E21" i="123" s="1"/>
  <c r="M23" i="123" s="1"/>
  <c r="L5" i="123" a="1"/>
  <c r="L5" i="123" s="1"/>
  <c r="L7" i="123" s="1"/>
  <c r="D5" i="279" a="1"/>
  <c r="G7" i="279" s="1"/>
  <c r="L5" i="279" a="1"/>
  <c r="M7" i="279" s="1"/>
  <c r="D5" i="141" a="1"/>
  <c r="F35" i="141" s="1"/>
  <c r="L5" i="141" a="1"/>
  <c r="O7" i="141" s="1"/>
  <c r="D5" i="360" a="1"/>
  <c r="H35" i="360" s="1"/>
  <c r="L5" i="360" a="1"/>
  <c r="O7" i="360" s="1"/>
  <c r="D5" i="137" a="1"/>
  <c r="E35" i="137" s="1"/>
  <c r="L5" i="137" a="1"/>
  <c r="L5" i="137" s="1"/>
  <c r="L7" i="137" s="1"/>
  <c r="D5" i="325" a="1"/>
  <c r="E7" i="325" s="1"/>
  <c r="L5" i="325" a="1"/>
  <c r="D5" i="219" a="1"/>
  <c r="F7" i="219" s="1"/>
  <c r="L5" i="219" a="1"/>
  <c r="M7" i="219" s="1"/>
  <c r="D5" i="14" a="1"/>
  <c r="E7" i="14" s="1"/>
  <c r="L5" i="14" a="1"/>
  <c r="O7" i="14" s="1"/>
  <c r="D5" i="72" a="1"/>
  <c r="H21" i="72" s="1"/>
  <c r="P23" i="72" s="1"/>
  <c r="L5" i="72" a="1"/>
  <c r="O7" i="72" s="1"/>
  <c r="D5" i="313" a="1"/>
  <c r="F7" i="313" s="1"/>
  <c r="L5" i="313" a="1"/>
  <c r="P7" i="313" s="1"/>
  <c r="D5" i="189" a="1"/>
  <c r="D5" i="189" s="1"/>
  <c r="L5" i="189" a="1"/>
  <c r="D5" i="307" a="1"/>
  <c r="E7" i="307" s="1"/>
  <c r="L5" i="307" a="1"/>
  <c r="N7" i="307" s="1"/>
  <c r="D5" i="95" a="1"/>
  <c r="G7" i="95" s="1"/>
  <c r="L5" i="95" a="1"/>
  <c r="L5" i="95" s="1"/>
  <c r="L7" i="95" s="1"/>
  <c r="D5" i="362" a="1"/>
  <c r="E7" i="362" s="1"/>
  <c r="L5" i="362" a="1"/>
  <c r="O7" i="362" s="1"/>
  <c r="D5" i="99" a="1"/>
  <c r="G21" i="99" s="1"/>
  <c r="O23" i="99" s="1"/>
  <c r="L5" i="99" a="1"/>
  <c r="D5" i="196" a="1"/>
  <c r="E35" i="196" s="1"/>
  <c r="L5" i="196" a="1"/>
  <c r="D5" i="215" a="1"/>
  <c r="F21" i="215" s="1"/>
  <c r="N23" i="215" s="1"/>
  <c r="L5" i="215" a="1"/>
  <c r="O7" i="215" s="1"/>
  <c r="D5" i="154" a="1"/>
  <c r="H7" i="154" s="1"/>
  <c r="L5" i="154" a="1"/>
  <c r="P7" i="154" s="1"/>
  <c r="D5" i="4" a="1"/>
  <c r="F7" i="4" s="1"/>
  <c r="L5" i="4" a="1"/>
  <c r="N7" i="4" s="1"/>
  <c r="D5" i="13" a="1"/>
  <c r="E21" i="13" s="1"/>
  <c r="M23" i="13" s="1"/>
  <c r="L5" i="13" a="1"/>
  <c r="P7" i="13" s="1"/>
  <c r="D5" i="125" a="1"/>
  <c r="E35" i="125" s="1"/>
  <c r="L5" i="125" a="1"/>
  <c r="L5" i="125" s="1"/>
  <c r="L7" i="125" s="1"/>
  <c r="D5" i="139" a="1"/>
  <c r="E7" i="139" s="1"/>
  <c r="L5" i="139" a="1"/>
  <c r="D5" i="353" a="1"/>
  <c r="F21" i="353" s="1"/>
  <c r="N23" i="353" s="1"/>
  <c r="L5" i="353" a="1"/>
  <c r="L5" i="353" s="1"/>
  <c r="L7" i="353" s="1"/>
  <c r="D5" i="271" a="1"/>
  <c r="G35" i="271" s="1"/>
  <c r="L5" i="271" a="1"/>
  <c r="M7" i="271" s="1"/>
  <c r="D5" i="290" a="1"/>
  <c r="L5" i="290" a="1"/>
  <c r="D5" i="178" a="1"/>
  <c r="H35" i="178" s="1"/>
  <c r="L5" i="178" a="1"/>
  <c r="P7" i="178" s="1"/>
  <c r="D5" i="162" a="1"/>
  <c r="H35" i="162" s="1"/>
  <c r="L5" i="162" a="1"/>
  <c r="M7" i="162" s="1"/>
  <c r="D5" i="333" a="1"/>
  <c r="G35" i="333" s="1"/>
  <c r="L5" i="333" a="1"/>
  <c r="D5" i="146" a="1"/>
  <c r="E21" i="146" s="1"/>
  <c r="M23" i="146" s="1"/>
  <c r="L5" i="146" a="1"/>
  <c r="O7" i="146" s="1"/>
  <c r="D5" i="11" a="1"/>
  <c r="F21" i="11" s="1"/>
  <c r="N23" i="11" s="1"/>
  <c r="L5" i="11" a="1"/>
  <c r="N7" i="11" s="1"/>
  <c r="D5" i="296" a="1"/>
  <c r="L5" i="296" a="1"/>
  <c r="M29" i="296" s="1"/>
  <c r="D5" i="9" a="1"/>
  <c r="F21" i="9" s="1"/>
  <c r="N23" i="9" s="1"/>
  <c r="L5" i="9" a="1"/>
  <c r="D5" i="79" a="1"/>
  <c r="E35" i="79" s="1"/>
  <c r="L5" i="79" a="1"/>
  <c r="P7" i="79" s="1"/>
  <c r="D5" i="10" a="1"/>
  <c r="L5" i="10" a="1"/>
  <c r="D5" i="191" a="1"/>
  <c r="L5" i="191" a="1"/>
  <c r="L5" i="191" s="1"/>
  <c r="L7" i="191" s="1"/>
  <c r="D5" i="105" a="1"/>
  <c r="H35" i="105" s="1"/>
  <c r="L5" i="105" a="1"/>
  <c r="M7" i="105" s="1"/>
  <c r="D5" i="7" a="1"/>
  <c r="G35" i="7" s="1"/>
  <c r="L5" i="7" a="1"/>
  <c r="N7" i="7" s="1"/>
  <c r="D5" i="295" a="1"/>
  <c r="F7" i="295" s="1"/>
  <c r="L5" i="295" a="1"/>
  <c r="M7" i="295" s="1"/>
  <c r="D5" i="270" a="1"/>
  <c r="G35" i="270" s="1"/>
  <c r="L5" i="270" a="1"/>
  <c r="M7" i="270" s="1"/>
  <c r="D5" i="6" a="1"/>
  <c r="H7" i="6" s="1"/>
  <c r="L5" i="6" a="1"/>
  <c r="M7" i="6" s="1"/>
  <c r="D5" i="284" a="1"/>
  <c r="G35" i="284" s="1"/>
  <c r="L5" i="284" a="1"/>
  <c r="D5" i="337" a="1"/>
  <c r="G35" i="337" s="1"/>
  <c r="L5" i="337" a="1"/>
  <c r="D5" i="101" a="1"/>
  <c r="F7" i="101" s="1"/>
  <c r="L5" i="101" a="1"/>
  <c r="P7" i="101" s="1"/>
  <c r="D5" i="190" a="1"/>
  <c r="D5" i="190" s="1"/>
  <c r="D21" i="190" s="1"/>
  <c r="L23" i="190" s="1"/>
  <c r="L5" i="190" a="1"/>
  <c r="L5" i="190" s="1"/>
  <c r="L7" i="190" s="1"/>
  <c r="D5" i="39" a="1"/>
  <c r="L5" i="39" a="1"/>
  <c r="N7" i="39" s="1"/>
  <c r="D5" i="176" a="1"/>
  <c r="H35" i="176" s="1"/>
  <c r="L5" i="176" a="1"/>
  <c r="P7" i="176" s="1"/>
  <c r="D5" i="213" a="1"/>
  <c r="G7" i="213" s="1"/>
  <c r="L5" i="213" a="1"/>
  <c r="L5" i="213" s="1"/>
  <c r="L7" i="213" s="1"/>
  <c r="D5" i="183" a="1"/>
  <c r="H7" i="183" s="1"/>
  <c r="L5" i="183" a="1"/>
  <c r="L5" i="183" s="1"/>
  <c r="L7" i="183" s="1"/>
  <c r="N20" i="241"/>
  <c r="M20" i="241"/>
  <c r="P16" i="241"/>
  <c r="M17" i="241"/>
  <c r="P11" i="241"/>
  <c r="P9" i="241"/>
  <c r="P12" i="241"/>
  <c r="P15" i="241"/>
  <c r="P19" i="241"/>
  <c r="M16" i="241"/>
  <c r="M18" i="241"/>
  <c r="P10" i="241"/>
  <c r="M10" i="241"/>
  <c r="M9" i="241"/>
  <c r="M14" i="241"/>
  <c r="M11" i="241"/>
  <c r="M13" i="241"/>
  <c r="M12" i="241"/>
  <c r="L18" i="241"/>
  <c r="L16" i="241"/>
  <c r="L17" i="241"/>
  <c r="O17" i="241"/>
  <c r="O16" i="241"/>
  <c r="O18" i="241"/>
  <c r="N17" i="241"/>
  <c r="N18" i="241"/>
  <c r="N16" i="241"/>
  <c r="M15" i="241"/>
  <c r="M19" i="241"/>
  <c r="O12" i="241"/>
  <c r="O11" i="241"/>
  <c r="O9" i="241"/>
  <c r="O10" i="241"/>
  <c r="O13" i="241"/>
  <c r="O14" i="241"/>
  <c r="O19" i="241"/>
  <c r="O15" i="241"/>
  <c r="L9" i="241"/>
  <c r="L13" i="241"/>
  <c r="L14" i="241"/>
  <c r="L11" i="241"/>
  <c r="L12" i="241"/>
  <c r="L10" i="241"/>
  <c r="N10" i="241"/>
  <c r="N14" i="241"/>
  <c r="N12" i="241"/>
  <c r="N13" i="241"/>
  <c r="N11" i="241"/>
  <c r="N9" i="241"/>
  <c r="N19" i="241"/>
  <c r="N15" i="241"/>
  <c r="L15" i="241"/>
  <c r="L19" i="241"/>
  <c r="E14" i="125"/>
  <c r="F14" i="125" s="1"/>
  <c r="G14" i="125" s="1"/>
  <c r="D45" i="10"/>
  <c r="I133" i="209" s="1"/>
  <c r="E46" i="10"/>
  <c r="F21" i="292"/>
  <c r="E21" i="365"/>
  <c r="M23" i="365" s="1"/>
  <c r="D5" i="365"/>
  <c r="D35" i="365" s="1"/>
  <c r="H7" i="365"/>
  <c r="F7" i="365"/>
  <c r="I500" i="209"/>
  <c r="F35" i="365"/>
  <c r="F21" i="365"/>
  <c r="N23" i="365" s="1"/>
  <c r="H35" i="365"/>
  <c r="H21" i="365"/>
  <c r="P23" i="365" s="1"/>
  <c r="G21" i="365"/>
  <c r="O23" i="365" s="1"/>
  <c r="E7" i="365"/>
  <c r="G7" i="365"/>
  <c r="G35" i="365"/>
  <c r="P12" i="270"/>
  <c r="P12" i="313"/>
  <c r="L21" i="313"/>
  <c r="P11" i="313"/>
  <c r="P11" i="270"/>
  <c r="P18" i="313"/>
  <c r="P17" i="270"/>
  <c r="N21" i="313"/>
  <c r="M21" i="313"/>
  <c r="P14" i="270"/>
  <c r="P15" i="313"/>
  <c r="P13" i="313"/>
  <c r="P13" i="270"/>
  <c r="P19" i="313"/>
  <c r="P18" i="270"/>
  <c r="O21" i="313"/>
  <c r="P10" i="270"/>
  <c r="P10" i="313"/>
  <c r="P16" i="313"/>
  <c r="P15" i="270"/>
  <c r="P19" i="270"/>
  <c r="P20" i="313"/>
  <c r="P9" i="313"/>
  <c r="P9" i="270"/>
  <c r="O16" i="313"/>
  <c r="P17" i="313"/>
  <c r="P16" i="270"/>
  <c r="P21" i="313"/>
  <c r="P20" i="270"/>
  <c r="N19" i="313"/>
  <c r="M19" i="313"/>
  <c r="M17" i="313"/>
  <c r="N18" i="313"/>
  <c r="M18" i="313"/>
  <c r="O15" i="313"/>
  <c r="O10" i="313"/>
  <c r="M10" i="313"/>
  <c r="N17" i="313"/>
  <c r="N13" i="313"/>
  <c r="N9" i="313"/>
  <c r="O17" i="313"/>
  <c r="O19" i="313"/>
  <c r="O18" i="313"/>
  <c r="O20" i="313"/>
  <c r="O9" i="313"/>
  <c r="O11" i="313"/>
  <c r="L18" i="313"/>
  <c r="L19" i="313"/>
  <c r="L17" i="313"/>
  <c r="N10" i="313"/>
  <c r="M16" i="313"/>
  <c r="M13" i="313"/>
  <c r="M11" i="313"/>
  <c r="N16" i="313"/>
  <c r="M15" i="313"/>
  <c r="M12" i="313"/>
  <c r="N12" i="313"/>
  <c r="O12" i="313"/>
  <c r="O13" i="313"/>
  <c r="M9" i="313"/>
  <c r="N11" i="313"/>
  <c r="N15" i="313"/>
  <c r="L12" i="313"/>
  <c r="L15" i="313"/>
  <c r="L13" i="313"/>
  <c r="L11" i="313"/>
  <c r="L16" i="313"/>
  <c r="L9" i="313"/>
  <c r="L10" i="313"/>
  <c r="M20" i="313"/>
  <c r="N20" i="313"/>
  <c r="L20" i="313"/>
  <c r="O692" i="209"/>
  <c r="N16" i="292"/>
  <c r="F21" i="361"/>
  <c r="M612" i="209"/>
  <c r="E21" i="228"/>
  <c r="H35" i="226"/>
  <c r="Q693" i="209"/>
  <c r="O35" i="367"/>
  <c r="D65" i="28"/>
  <c r="H43" i="367"/>
  <c r="N7" i="367"/>
  <c r="O351" i="209"/>
  <c r="J613" i="209"/>
  <c r="O26" i="191"/>
  <c r="G43" i="191" s="1"/>
  <c r="G47" i="191" s="1"/>
  <c r="R132" i="246" s="1"/>
  <c r="N15" i="292"/>
  <c r="P7" i="365"/>
  <c r="N29" i="292"/>
  <c r="Q572" i="246"/>
  <c r="M23" i="223"/>
  <c r="M7" i="365"/>
  <c r="O7" i="365"/>
  <c r="P23" i="223"/>
  <c r="O23" i="174"/>
  <c r="O23" i="223"/>
  <c r="Q292" i="209"/>
  <c r="N23" i="223"/>
  <c r="H43" i="368"/>
  <c r="N7" i="365"/>
  <c r="L5" i="175"/>
  <c r="L23" i="175" s="1"/>
  <c r="G21" i="247"/>
  <c r="F21" i="185"/>
  <c r="E35" i="18"/>
  <c r="D5" i="330"/>
  <c r="D21" i="330" s="1"/>
  <c r="F11" i="4"/>
  <c r="F46" i="4" s="1"/>
  <c r="F35" i="18"/>
  <c r="E35" i="185"/>
  <c r="F21" i="18"/>
  <c r="F35" i="247"/>
  <c r="H21" i="247"/>
  <c r="P23" i="172"/>
  <c r="F35" i="330"/>
  <c r="H35" i="18"/>
  <c r="H21" i="185"/>
  <c r="E21" i="247"/>
  <c r="O23" i="172"/>
  <c r="E21" i="18"/>
  <c r="H35" i="185"/>
  <c r="H35" i="247"/>
  <c r="M23" i="172"/>
  <c r="E35" i="330"/>
  <c r="G35" i="330"/>
  <c r="D5" i="18"/>
  <c r="D35" i="18" s="1"/>
  <c r="H21" i="18"/>
  <c r="G21" i="185"/>
  <c r="D5" i="247"/>
  <c r="D35" i="247" s="1"/>
  <c r="G35" i="185"/>
  <c r="F21" i="247"/>
  <c r="F21" i="330"/>
  <c r="F35" i="185"/>
  <c r="H21" i="330"/>
  <c r="E21" i="330"/>
  <c r="E21" i="185"/>
  <c r="G35" i="247"/>
  <c r="G21" i="330"/>
  <c r="O23" i="212"/>
  <c r="F11" i="325"/>
  <c r="F44" i="325" s="1"/>
  <c r="T29" i="294" s="1"/>
  <c r="E11" i="16"/>
  <c r="P598" i="209" s="1"/>
  <c r="H24" i="186"/>
  <c r="J30" i="292" s="1"/>
  <c r="M23" i="328"/>
  <c r="D5" i="173"/>
  <c r="D35" i="173" s="1"/>
  <c r="N23" i="212"/>
  <c r="J587" i="209"/>
  <c r="O23" i="328"/>
  <c r="F35" i="173"/>
  <c r="L5" i="212"/>
  <c r="L23" i="212" s="1"/>
  <c r="L5" i="328"/>
  <c r="L23" i="328" s="1"/>
  <c r="F11" i="324"/>
  <c r="O128" i="294" s="1"/>
  <c r="H37" i="359"/>
  <c r="S174" i="246" s="1"/>
  <c r="F46" i="213"/>
  <c r="Q613" i="209"/>
  <c r="K613" i="209"/>
  <c r="F30" i="292"/>
  <c r="H35" i="225"/>
  <c r="E21" i="225"/>
  <c r="G21" i="225"/>
  <c r="D5" i="225"/>
  <c r="D21" i="225" s="1"/>
  <c r="G35" i="225"/>
  <c r="E35" i="225"/>
  <c r="F35" i="225"/>
  <c r="F21" i="225"/>
  <c r="L5" i="231"/>
  <c r="L23" i="231" s="1"/>
  <c r="P23" i="231"/>
  <c r="M23" i="231"/>
  <c r="N23" i="231"/>
  <c r="O23" i="327"/>
  <c r="L5" i="327"/>
  <c r="L23" i="327" s="1"/>
  <c r="P23" i="327"/>
  <c r="N23" i="327"/>
  <c r="M23" i="327"/>
  <c r="R15" i="70"/>
  <c r="J47" i="27"/>
  <c r="E28" i="170"/>
  <c r="G7" i="367"/>
  <c r="S576" i="246"/>
  <c r="J18" i="36"/>
  <c r="F31" i="170"/>
  <c r="F7" i="367"/>
  <c r="E35" i="367"/>
  <c r="F21" i="367"/>
  <c r="H35" i="367"/>
  <c r="H7" i="367"/>
  <c r="E7" i="367"/>
  <c r="E21" i="367"/>
  <c r="G35" i="367"/>
  <c r="F35" i="367"/>
  <c r="G33" i="84"/>
  <c r="P15" i="307"/>
  <c r="O23" i="228"/>
  <c r="M23" i="228"/>
  <c r="D5" i="367"/>
  <c r="D7" i="367" s="1"/>
  <c r="G21" i="367"/>
  <c r="H37" i="213"/>
  <c r="S200" i="209" s="1"/>
  <c r="S259" i="209"/>
  <c r="P18" i="307"/>
  <c r="G11" i="7"/>
  <c r="G44" i="7" s="1"/>
  <c r="R76" i="209" s="1"/>
  <c r="E21" i="248"/>
  <c r="E11" i="324"/>
  <c r="E46" i="324" s="1"/>
  <c r="D5" i="248"/>
  <c r="D35" i="248" s="1"/>
  <c r="S250" i="246"/>
  <c r="F11" i="337"/>
  <c r="F18" i="337" s="1"/>
  <c r="F37" i="337" s="1"/>
  <c r="Q219" i="209" s="1"/>
  <c r="H21" i="248"/>
  <c r="E11" i="337"/>
  <c r="E46" i="337" s="1"/>
  <c r="M296" i="246"/>
  <c r="H38" i="196"/>
  <c r="M37" i="209" s="1"/>
  <c r="M332" i="209"/>
  <c r="H39" i="162"/>
  <c r="S27" i="209" s="1"/>
  <c r="G35" i="248"/>
  <c r="F11" i="368"/>
  <c r="K689" i="209" s="1"/>
  <c r="E35" i="248"/>
  <c r="E11" i="368"/>
  <c r="E46" i="368" s="1"/>
  <c r="H35" i="248"/>
  <c r="I591" i="246"/>
  <c r="F35" i="248"/>
  <c r="G21" i="248"/>
  <c r="D11" i="14"/>
  <c r="D45" i="14" s="1"/>
  <c r="I128" i="209" s="1"/>
  <c r="G11" i="14"/>
  <c r="G46" i="14" s="1"/>
  <c r="F11" i="14"/>
  <c r="N26" i="14" s="1"/>
  <c r="Q718" i="209" s="1"/>
  <c r="E11" i="14"/>
  <c r="E44" i="14" s="1"/>
  <c r="P69" i="209" s="1"/>
  <c r="M20" i="307"/>
  <c r="D48" i="186"/>
  <c r="L20" i="95" s="1"/>
  <c r="R390" i="246"/>
  <c r="R594" i="246"/>
  <c r="P587" i="246"/>
  <c r="L540" i="246"/>
  <c r="L591" i="246"/>
  <c r="R540" i="246"/>
  <c r="G45" i="191"/>
  <c r="L132" i="246" s="1"/>
  <c r="G46" i="191"/>
  <c r="K672" i="209"/>
  <c r="F44" i="213"/>
  <c r="Q82" i="209" s="1"/>
  <c r="F18" i="213"/>
  <c r="F38" i="213" s="1"/>
  <c r="K23" i="209" s="1"/>
  <c r="N20" i="307"/>
  <c r="F45" i="213"/>
  <c r="K141" i="209" s="1"/>
  <c r="T18" i="27"/>
  <c r="N26" i="213"/>
  <c r="Q731" i="209" s="1"/>
  <c r="P351" i="209"/>
  <c r="F14" i="195"/>
  <c r="G14" i="195" s="1"/>
  <c r="F35" i="212"/>
  <c r="E21" i="212"/>
  <c r="G35" i="212"/>
  <c r="D5" i="212"/>
  <c r="D35" i="212" s="1"/>
  <c r="O23" i="185"/>
  <c r="N23" i="185"/>
  <c r="L5" i="185"/>
  <c r="L23" i="185" s="1"/>
  <c r="P23" i="185"/>
  <c r="N11" i="30"/>
  <c r="R11" i="30" s="1"/>
  <c r="J13" i="30"/>
  <c r="J404" i="246"/>
  <c r="K470" i="246"/>
  <c r="O20" i="307"/>
  <c r="Q463" i="209"/>
  <c r="R441" i="209"/>
  <c r="C30" i="173"/>
  <c r="N18" i="307"/>
  <c r="E29" i="84"/>
  <c r="P14" i="307"/>
  <c r="M15" i="307"/>
  <c r="L20" i="307"/>
  <c r="D18" i="191"/>
  <c r="D38" i="191" s="1"/>
  <c r="I30" i="246" s="1"/>
  <c r="D46" i="191"/>
  <c r="D44" i="324"/>
  <c r="R28" i="294" s="1"/>
  <c r="F48" i="185"/>
  <c r="N20" i="156" s="1"/>
  <c r="O578" i="246"/>
  <c r="H29" i="225"/>
  <c r="H47" i="225" s="1"/>
  <c r="S168" i="209" s="1"/>
  <c r="E13" i="231"/>
  <c r="L345" i="209"/>
  <c r="H47" i="270"/>
  <c r="S147" i="246" s="1"/>
  <c r="H43" i="270"/>
  <c r="E13" i="173"/>
  <c r="G26" i="228"/>
  <c r="H28" i="248"/>
  <c r="H42" i="248" s="1"/>
  <c r="C25" i="173"/>
  <c r="M7" i="369"/>
  <c r="F16" i="228"/>
  <c r="T12" i="30"/>
  <c r="K390" i="246"/>
  <c r="H38" i="313"/>
  <c r="M32" i="246" s="1"/>
  <c r="P237" i="246"/>
  <c r="E21" i="226"/>
  <c r="F21" i="226"/>
  <c r="G35" i="226"/>
  <c r="G11" i="368"/>
  <c r="G44" i="368" s="1"/>
  <c r="R99" i="209" s="1"/>
  <c r="F11" i="123"/>
  <c r="F45" i="123" s="1"/>
  <c r="K152" i="209" s="1"/>
  <c r="E11" i="123"/>
  <c r="J624" i="209" s="1"/>
  <c r="F21" i="370"/>
  <c r="N23" i="370" s="1"/>
  <c r="F35" i="370"/>
  <c r="P410" i="209"/>
  <c r="Q587" i="209"/>
  <c r="H33" i="248"/>
  <c r="I351" i="209"/>
  <c r="R410" i="209"/>
  <c r="R292" i="209"/>
  <c r="L528" i="209"/>
  <c r="K469" i="209"/>
  <c r="J528" i="209"/>
  <c r="E16" i="292"/>
  <c r="Q351" i="209"/>
  <c r="E46" i="213"/>
  <c r="E18" i="213"/>
  <c r="J731" i="209" s="1"/>
  <c r="P613" i="209"/>
  <c r="E45" i="213"/>
  <c r="J141" i="209" s="1"/>
  <c r="M26" i="213"/>
  <c r="E43" i="213" s="1"/>
  <c r="E47" i="213" s="1"/>
  <c r="P141" i="209" s="1"/>
  <c r="J672" i="209"/>
  <c r="R437" i="209"/>
  <c r="R19" i="129"/>
  <c r="T19" i="129" s="1"/>
  <c r="G14" i="123"/>
  <c r="M328" i="209"/>
  <c r="L26" i="368"/>
  <c r="D43" i="368" s="1"/>
  <c r="D47" i="368" s="1"/>
  <c r="O158" i="209" s="1"/>
  <c r="G11" i="337"/>
  <c r="G46" i="337" s="1"/>
  <c r="I607" i="246"/>
  <c r="P11" i="307"/>
  <c r="P9" i="307"/>
  <c r="M19" i="307"/>
  <c r="P19" i="307"/>
  <c r="J571" i="246"/>
  <c r="O17" i="307"/>
  <c r="O18" i="307"/>
  <c r="P16" i="307"/>
  <c r="P17" i="307"/>
  <c r="P13" i="307"/>
  <c r="P12" i="307"/>
  <c r="M18" i="307"/>
  <c r="I748" i="209"/>
  <c r="D38" i="368"/>
  <c r="I40" i="209" s="1"/>
  <c r="D40" i="368"/>
  <c r="I99" i="209" s="1"/>
  <c r="D41" i="368"/>
  <c r="I217" i="209" s="1"/>
  <c r="M11" i="307"/>
  <c r="L18" i="307"/>
  <c r="O16" i="307"/>
  <c r="N17" i="307"/>
  <c r="P10" i="307"/>
  <c r="N16" i="307"/>
  <c r="M13" i="307"/>
  <c r="M12" i="307"/>
  <c r="M10" i="307"/>
  <c r="M17" i="307"/>
  <c r="M16" i="307"/>
  <c r="M14" i="307"/>
  <c r="M9" i="307"/>
  <c r="L17" i="307"/>
  <c r="L16" i="307"/>
  <c r="L10" i="307"/>
  <c r="L11" i="307"/>
  <c r="L12" i="307"/>
  <c r="L13" i="307"/>
  <c r="L14" i="307"/>
  <c r="L9" i="307"/>
  <c r="L15" i="307"/>
  <c r="N10" i="307"/>
  <c r="N9" i="307"/>
  <c r="N14" i="307"/>
  <c r="N13" i="307"/>
  <c r="O15" i="307"/>
  <c r="N11" i="307"/>
  <c r="N12" i="307"/>
  <c r="N15" i="307"/>
  <c r="O19" i="307"/>
  <c r="N19" i="307"/>
  <c r="L19" i="307"/>
  <c r="O10" i="307"/>
  <c r="O11" i="307"/>
  <c r="O13" i="307"/>
  <c r="O14" i="307"/>
  <c r="O9" i="307"/>
  <c r="O12" i="307"/>
  <c r="N25" i="173" l="1"/>
  <c r="F32" i="250"/>
  <c r="E16" i="184"/>
  <c r="O540" i="246"/>
  <c r="I540" i="246"/>
  <c r="L26" i="191"/>
  <c r="D43" i="191" s="1"/>
  <c r="D47" i="191" s="1"/>
  <c r="O132" i="246" s="1"/>
  <c r="J17" i="37"/>
  <c r="D45" i="191"/>
  <c r="I132" i="246" s="1"/>
  <c r="D11" i="284"/>
  <c r="E45" i="284"/>
  <c r="J112" i="246" s="1"/>
  <c r="E18" i="284"/>
  <c r="E40" i="284" s="1"/>
  <c r="J61" i="246" s="1"/>
  <c r="H43" i="187"/>
  <c r="S289" i="209"/>
  <c r="S295" i="246"/>
  <c r="H37" i="189"/>
  <c r="S196" i="246" s="1"/>
  <c r="H26" i="212"/>
  <c r="H40" i="212" s="1"/>
  <c r="M87" i="209" s="1"/>
  <c r="E48" i="186"/>
  <c r="M20" i="279" s="1"/>
  <c r="M346" i="246"/>
  <c r="J25" i="37"/>
  <c r="D41" i="196"/>
  <c r="I214" i="209" s="1"/>
  <c r="T23" i="37"/>
  <c r="H43" i="16"/>
  <c r="L496" i="209"/>
  <c r="E30" i="173"/>
  <c r="G29" i="228"/>
  <c r="H43" i="219"/>
  <c r="H47" i="194"/>
  <c r="S137" i="246" s="1"/>
  <c r="M645" i="209"/>
  <c r="J404" i="209"/>
  <c r="R581" i="209"/>
  <c r="F44" i="191"/>
  <c r="Q81" i="246" s="1"/>
  <c r="I672" i="209"/>
  <c r="L368" i="246"/>
  <c r="H32" i="84"/>
  <c r="M561" i="246" s="1"/>
  <c r="S387" i="209"/>
  <c r="H38" i="215"/>
  <c r="M26" i="209" s="1"/>
  <c r="L683" i="209"/>
  <c r="Q441" i="209"/>
  <c r="D11" i="123"/>
  <c r="I581" i="209"/>
  <c r="F11" i="39"/>
  <c r="F18" i="39" s="1"/>
  <c r="F40" i="39" s="1"/>
  <c r="K102" i="209" s="1"/>
  <c r="E11" i="39"/>
  <c r="E18" i="39" s="1"/>
  <c r="E39" i="39" s="1"/>
  <c r="P43" i="209" s="1"/>
  <c r="T12" i="49"/>
  <c r="H32" i="104"/>
  <c r="M536" i="246" s="1"/>
  <c r="F21" i="170"/>
  <c r="D12" i="84"/>
  <c r="O612" i="246" s="1"/>
  <c r="R16" i="70"/>
  <c r="P23" i="104"/>
  <c r="L5" i="58"/>
  <c r="L23" i="58" s="1"/>
  <c r="M23" i="58"/>
  <c r="O23" i="104"/>
  <c r="P23" i="58"/>
  <c r="N23" i="58"/>
  <c r="N23" i="104"/>
  <c r="F11" i="11"/>
  <c r="F44" i="11" s="1"/>
  <c r="Q73" i="209" s="1"/>
  <c r="M23" i="104"/>
  <c r="H35" i="170"/>
  <c r="N16" i="70"/>
  <c r="R16" i="371"/>
  <c r="T16" i="371" s="1"/>
  <c r="J19" i="371"/>
  <c r="J23" i="371" s="1"/>
  <c r="H25" i="247"/>
  <c r="H39" i="247" s="1"/>
  <c r="P11" i="105" s="1"/>
  <c r="N21" i="37"/>
  <c r="Q353" i="246"/>
  <c r="M338" i="209"/>
  <c r="K540" i="246"/>
  <c r="N26" i="191"/>
  <c r="F43" i="191" s="1"/>
  <c r="F47" i="191" s="1"/>
  <c r="Q132" i="246" s="1"/>
  <c r="F45" i="191"/>
  <c r="K132" i="246" s="1"/>
  <c r="K591" i="246"/>
  <c r="Q540" i="246"/>
  <c r="J21" i="37"/>
  <c r="E21" i="213"/>
  <c r="M23" i="213" s="1"/>
  <c r="G21" i="16"/>
  <c r="O23" i="16" s="1"/>
  <c r="F30" i="231"/>
  <c r="E35" i="292" s="1"/>
  <c r="H21" i="44"/>
  <c r="F23" i="250"/>
  <c r="C18" i="292" s="1"/>
  <c r="M23" i="44"/>
  <c r="P23" i="170"/>
  <c r="O23" i="173"/>
  <c r="AA15" i="292"/>
  <c r="F48" i="291"/>
  <c r="N20" i="289" s="1"/>
  <c r="S318" i="209"/>
  <c r="S377" i="209"/>
  <c r="H43" i="284"/>
  <c r="M276" i="246"/>
  <c r="E21" i="125"/>
  <c r="M23" i="125" s="1"/>
  <c r="S273" i="209"/>
  <c r="F18" i="347"/>
  <c r="F39" i="347" s="1"/>
  <c r="Q52" i="209" s="1"/>
  <c r="R378" i="209"/>
  <c r="I528" i="209"/>
  <c r="S446" i="209"/>
  <c r="S564" i="209"/>
  <c r="G43" i="123"/>
  <c r="G47" i="123" s="1"/>
  <c r="R152" i="209" s="1"/>
  <c r="P555" i="209"/>
  <c r="G26" i="250"/>
  <c r="M350" i="209"/>
  <c r="E33" i="250"/>
  <c r="L378" i="209"/>
  <c r="O374" i="246"/>
  <c r="F14" i="176"/>
  <c r="F14" i="104" s="1"/>
  <c r="F14" i="84" s="1"/>
  <c r="F15" i="178"/>
  <c r="F15" i="225" s="1"/>
  <c r="L437" i="209"/>
  <c r="H43" i="325"/>
  <c r="H43" i="221"/>
  <c r="D25" i="231"/>
  <c r="M293" i="246"/>
  <c r="H38" i="125"/>
  <c r="M13" i="209" s="1"/>
  <c r="G23" i="250"/>
  <c r="R296" i="209" s="1"/>
  <c r="H29" i="248"/>
  <c r="H43" i="248" s="1"/>
  <c r="P15" i="220" s="1"/>
  <c r="H30" i="225"/>
  <c r="K21" i="292" s="1"/>
  <c r="D29" i="250"/>
  <c r="P506" i="246"/>
  <c r="F29" i="171"/>
  <c r="P251" i="246"/>
  <c r="H23" i="247"/>
  <c r="H37" i="247" s="1"/>
  <c r="P9" i="214" s="1"/>
  <c r="D48" i="247"/>
  <c r="L20" i="213" s="1"/>
  <c r="H29" i="291"/>
  <c r="H47" i="291" s="1"/>
  <c r="P19" i="290" s="1"/>
  <c r="L25" i="184"/>
  <c r="G48" i="291"/>
  <c r="O20" i="289" s="1"/>
  <c r="M388" i="246"/>
  <c r="H29" i="326"/>
  <c r="H47" i="326" s="1"/>
  <c r="P19" i="324" s="1"/>
  <c r="G15" i="250"/>
  <c r="J410" i="209"/>
  <c r="H30" i="248"/>
  <c r="K16" i="292" s="1"/>
  <c r="F7" i="338"/>
  <c r="I47" i="164"/>
  <c r="I54" i="164" s="1"/>
  <c r="I67" i="164" s="1"/>
  <c r="K27" i="209" s="1"/>
  <c r="O7" i="359"/>
  <c r="M7" i="156"/>
  <c r="N7" i="359"/>
  <c r="M317" i="209"/>
  <c r="R260" i="209"/>
  <c r="Q378" i="209"/>
  <c r="F11" i="154"/>
  <c r="Q628" i="209" s="1"/>
  <c r="L469" i="209"/>
  <c r="R746" i="209"/>
  <c r="D11" i="214"/>
  <c r="D46" i="214" s="1"/>
  <c r="H35" i="289"/>
  <c r="M264" i="246"/>
  <c r="P528" i="209"/>
  <c r="F11" i="196"/>
  <c r="N26" i="196" s="1"/>
  <c r="F43" i="196" s="1"/>
  <c r="F47" i="196" s="1"/>
  <c r="Q155" i="209" s="1"/>
  <c r="S317" i="209"/>
  <c r="E11" i="154"/>
  <c r="E45" i="154" s="1"/>
  <c r="J156" i="209" s="1"/>
  <c r="J351" i="209"/>
  <c r="G11" i="196"/>
  <c r="L686" i="209" s="1"/>
  <c r="L5" i="44"/>
  <c r="L23" i="44" s="1"/>
  <c r="Q251" i="246"/>
  <c r="D42" i="196"/>
  <c r="I273" i="209" s="1"/>
  <c r="Q476" i="246"/>
  <c r="G44" i="154"/>
  <c r="R97" i="209" s="1"/>
  <c r="M23" i="173"/>
  <c r="F14" i="178"/>
  <c r="F14" i="225" s="1"/>
  <c r="N23" i="44"/>
  <c r="M304" i="209"/>
  <c r="S376" i="209"/>
  <c r="I627" i="209"/>
  <c r="P23" i="173"/>
  <c r="L5" i="173"/>
  <c r="L23" i="173" s="1"/>
  <c r="D11" i="79"/>
  <c r="D45" i="79" s="1"/>
  <c r="I159" i="209" s="1"/>
  <c r="G16" i="170"/>
  <c r="M7" i="95"/>
  <c r="H39" i="370"/>
  <c r="S33" i="209" s="1"/>
  <c r="T16" i="129"/>
  <c r="T20" i="27"/>
  <c r="Q319" i="209"/>
  <c r="G30" i="170"/>
  <c r="H38" i="219"/>
  <c r="M47" i="209" s="1"/>
  <c r="L687" i="209"/>
  <c r="S276" i="246"/>
  <c r="S242" i="246"/>
  <c r="O425" i="246"/>
  <c r="E11" i="196"/>
  <c r="E44" i="196" s="1"/>
  <c r="P96" i="209" s="1"/>
  <c r="O23" i="44"/>
  <c r="R587" i="209"/>
  <c r="H43" i="188"/>
  <c r="I272" i="246"/>
  <c r="S271" i="246"/>
  <c r="D14" i="6"/>
  <c r="E14" i="6" s="1"/>
  <c r="F14" i="6" s="1"/>
  <c r="G14" i="6" s="1"/>
  <c r="L26" i="151"/>
  <c r="D43" i="151" s="1"/>
  <c r="D47" i="151" s="1"/>
  <c r="O140" i="246" s="1"/>
  <c r="H43" i="214"/>
  <c r="L26" i="196"/>
  <c r="O745" i="209" s="1"/>
  <c r="H43" i="313"/>
  <c r="D11" i="154"/>
  <c r="L26" i="154" s="1"/>
  <c r="D43" i="154" s="1"/>
  <c r="D47" i="154" s="1"/>
  <c r="O156" i="209" s="1"/>
  <c r="F11" i="370"/>
  <c r="Q623" i="209" s="1"/>
  <c r="R628" i="209"/>
  <c r="H47" i="333"/>
  <c r="H39" i="183"/>
  <c r="S46" i="246" s="1"/>
  <c r="M457" i="209"/>
  <c r="F11" i="10"/>
  <c r="F43" i="10" s="1"/>
  <c r="F47" i="10" s="1"/>
  <c r="Q133" i="209" s="1"/>
  <c r="P522" i="209"/>
  <c r="F28" i="250"/>
  <c r="K528" i="209"/>
  <c r="E25" i="250"/>
  <c r="D14" i="250"/>
  <c r="S439" i="246"/>
  <c r="R374" i="246"/>
  <c r="O323" i="246"/>
  <c r="P20" i="292"/>
  <c r="G17" i="250"/>
  <c r="C26" i="250"/>
  <c r="G18" i="137"/>
  <c r="G37" i="137" s="1"/>
  <c r="R194" i="246" s="1"/>
  <c r="S516" i="209"/>
  <c r="J469" i="209"/>
  <c r="O378" i="209"/>
  <c r="F26" i="184"/>
  <c r="F31" i="292" s="1"/>
  <c r="R302" i="246"/>
  <c r="G26" i="170"/>
  <c r="R552" i="246"/>
  <c r="G44" i="295"/>
  <c r="U37" i="294" s="1"/>
  <c r="G12" i="171"/>
  <c r="R580" i="246" s="1"/>
  <c r="G16" i="228"/>
  <c r="G25" i="231"/>
  <c r="D48" i="225"/>
  <c r="O26" i="295"/>
  <c r="G43" i="295" s="1"/>
  <c r="G47" i="295" s="1"/>
  <c r="U57" i="294" s="1"/>
  <c r="G45" i="295"/>
  <c r="P57" i="294" s="1"/>
  <c r="H38" i="369"/>
  <c r="M44" i="209" s="1"/>
  <c r="I698" i="209"/>
  <c r="D72" i="209"/>
  <c r="D131" i="209" s="1"/>
  <c r="D190" i="209" s="1"/>
  <c r="D249" i="209" s="1"/>
  <c r="D308" i="209" s="1"/>
  <c r="D367" i="209" s="1"/>
  <c r="D426" i="209" s="1"/>
  <c r="D485" i="209" s="1"/>
  <c r="D544" i="209" s="1"/>
  <c r="D603" i="209" s="1"/>
  <c r="D662" i="209" s="1"/>
  <c r="D721" i="209" s="1"/>
  <c r="H43" i="370"/>
  <c r="P463" i="209"/>
  <c r="D27" i="171"/>
  <c r="U33" i="209"/>
  <c r="U92" i="209" s="1"/>
  <c r="U151" i="209" s="1"/>
  <c r="U210" i="209" s="1"/>
  <c r="U269" i="209" s="1"/>
  <c r="U328" i="209" s="1"/>
  <c r="U387" i="209" s="1"/>
  <c r="U446" i="209" s="1"/>
  <c r="U505" i="209" s="1"/>
  <c r="U564" i="209" s="1"/>
  <c r="U623" i="209" s="1"/>
  <c r="U682" i="209" s="1"/>
  <c r="U741" i="209" s="1"/>
  <c r="P137" i="294"/>
  <c r="S333" i="209"/>
  <c r="K455" i="246"/>
  <c r="H39" i="11"/>
  <c r="S14" i="209" s="1"/>
  <c r="H40" i="370"/>
  <c r="M92" i="209" s="1"/>
  <c r="G18" i="295"/>
  <c r="G37" i="295" s="1"/>
  <c r="K37" i="294" s="1"/>
  <c r="R578" i="246"/>
  <c r="S578" i="246" s="1"/>
  <c r="O548" i="246"/>
  <c r="J47" i="164"/>
  <c r="J54" i="164" s="1"/>
  <c r="J68" i="164" s="1"/>
  <c r="R27" i="209" s="1"/>
  <c r="Q677" i="209"/>
  <c r="C28" i="171"/>
  <c r="D17" i="173"/>
  <c r="C27" i="173"/>
  <c r="I404" i="246"/>
  <c r="I339" i="246"/>
  <c r="G16" i="173"/>
  <c r="AA33" i="292"/>
  <c r="E28" i="173"/>
  <c r="E28" i="175" s="1"/>
  <c r="D33" i="173"/>
  <c r="P404" i="209"/>
  <c r="D11" i="365"/>
  <c r="D44" i="365" s="1"/>
  <c r="O94" i="209" s="1"/>
  <c r="D44" i="290"/>
  <c r="R33" i="294" s="1"/>
  <c r="C34" i="292"/>
  <c r="E28" i="228"/>
  <c r="D11" i="288"/>
  <c r="D44" i="288" s="1"/>
  <c r="R31" i="294" s="1"/>
  <c r="D11" i="137"/>
  <c r="O551" i="246" s="1"/>
  <c r="S310" i="209"/>
  <c r="R251" i="246"/>
  <c r="R281" i="246"/>
  <c r="D25" i="173"/>
  <c r="E11" i="288"/>
  <c r="E18" i="288" s="1"/>
  <c r="N11" i="294" s="1"/>
  <c r="F23" i="170"/>
  <c r="Q657" i="209"/>
  <c r="M128" i="294"/>
  <c r="R332" i="246"/>
  <c r="C9" i="369"/>
  <c r="G11" i="369" s="1"/>
  <c r="G11" i="288"/>
  <c r="G18" i="288" s="1"/>
  <c r="K11" i="294" s="1"/>
  <c r="S339" i="209"/>
  <c r="G11" i="39"/>
  <c r="G18" i="39" s="1"/>
  <c r="G37" i="39" s="1"/>
  <c r="R220" i="209" s="1"/>
  <c r="L455" i="246"/>
  <c r="D45" i="324"/>
  <c r="M48" i="294" s="1"/>
  <c r="I639" i="209"/>
  <c r="F30" i="172"/>
  <c r="D44" i="4"/>
  <c r="O70" i="209" s="1"/>
  <c r="F30" i="84"/>
  <c r="E27" i="292" s="1"/>
  <c r="L26" i="324"/>
  <c r="D43" i="324" s="1"/>
  <c r="D47" i="324" s="1"/>
  <c r="R48" i="294" s="1"/>
  <c r="M313" i="209"/>
  <c r="U40" i="209"/>
  <c r="U99" i="209" s="1"/>
  <c r="U158" i="209" s="1"/>
  <c r="U217" i="209" s="1"/>
  <c r="U276" i="209" s="1"/>
  <c r="U335" i="209" s="1"/>
  <c r="U394" i="209" s="1"/>
  <c r="U453" i="209" s="1"/>
  <c r="U512" i="209" s="1"/>
  <c r="U571" i="209" s="1"/>
  <c r="U630" i="209" s="1"/>
  <c r="U689" i="209" s="1"/>
  <c r="U748" i="209" s="1"/>
  <c r="H25" i="361"/>
  <c r="H39" i="361" s="1"/>
  <c r="P11" i="360" s="1"/>
  <c r="F17" i="171"/>
  <c r="E16" i="173"/>
  <c r="E31" i="171"/>
  <c r="K425" i="246"/>
  <c r="O510" i="246"/>
  <c r="E17" i="170"/>
  <c r="P25" i="212"/>
  <c r="E13" i="171"/>
  <c r="I368" i="246"/>
  <c r="M368" i="246" s="1"/>
  <c r="F16" i="171"/>
  <c r="I323" i="246"/>
  <c r="F31" i="171"/>
  <c r="L425" i="246"/>
  <c r="F25" i="173"/>
  <c r="O485" i="246"/>
  <c r="M290" i="246"/>
  <c r="I555" i="209"/>
  <c r="P587" i="209"/>
  <c r="O613" i="209"/>
  <c r="J39" i="36"/>
  <c r="N39" i="36" s="1"/>
  <c r="R39" i="36" s="1"/>
  <c r="Q410" i="209"/>
  <c r="R351" i="209"/>
  <c r="S234" i="246"/>
  <c r="H43" i="105"/>
  <c r="AA16" i="292"/>
  <c r="S290" i="246"/>
  <c r="L628" i="209"/>
  <c r="K496" i="209"/>
  <c r="D18" i="213"/>
  <c r="D42" i="213" s="1"/>
  <c r="I259" i="209" s="1"/>
  <c r="E48" i="247"/>
  <c r="M20" i="105" s="1"/>
  <c r="S277" i="246"/>
  <c r="D46" i="213"/>
  <c r="G45" i="10"/>
  <c r="L133" i="209" s="1"/>
  <c r="G28" i="171"/>
  <c r="P476" i="246"/>
  <c r="P260" i="209"/>
  <c r="E17" i="231"/>
  <c r="H47" i="296"/>
  <c r="F45" i="214"/>
  <c r="K139" i="209" s="1"/>
  <c r="D11" i="10"/>
  <c r="D43" i="10" s="1"/>
  <c r="D47" i="10" s="1"/>
  <c r="O133" i="209" s="1"/>
  <c r="D45" i="213"/>
  <c r="I141" i="209" s="1"/>
  <c r="S265" i="246"/>
  <c r="J496" i="209"/>
  <c r="F46" i="10"/>
  <c r="F45" i="10"/>
  <c r="K133" i="209" s="1"/>
  <c r="E21" i="294"/>
  <c r="E41" i="294" s="1"/>
  <c r="E61" i="294" s="1"/>
  <c r="E81" i="294" s="1"/>
  <c r="E101" i="294" s="1"/>
  <c r="E121" i="294" s="1"/>
  <c r="E141" i="294" s="1"/>
  <c r="D44" i="213"/>
  <c r="O82" i="209" s="1"/>
  <c r="H43" i="95"/>
  <c r="M265" i="246"/>
  <c r="H24" i="223"/>
  <c r="H38" i="223" s="1"/>
  <c r="M17" i="246" s="1"/>
  <c r="H25" i="248"/>
  <c r="S351" i="209" s="1"/>
  <c r="D72" i="246"/>
  <c r="D123" i="246" s="1"/>
  <c r="D174" i="246" s="1"/>
  <c r="D225" i="246" s="1"/>
  <c r="D276" i="246" s="1"/>
  <c r="D327" i="246" s="1"/>
  <c r="D378" i="246" s="1"/>
  <c r="D429" i="246" s="1"/>
  <c r="D480" i="246" s="1"/>
  <c r="D531" i="246" s="1"/>
  <c r="D582" i="246" s="1"/>
  <c r="D633" i="246" s="1"/>
  <c r="J555" i="209"/>
  <c r="D46" i="10"/>
  <c r="E45" i="10"/>
  <c r="J133" i="209" s="1"/>
  <c r="G45" i="154"/>
  <c r="L156" i="209" s="1"/>
  <c r="P319" i="209"/>
  <c r="S344" i="209"/>
  <c r="L492" i="246"/>
  <c r="G48" i="248"/>
  <c r="O20" i="220" s="1"/>
  <c r="H43" i="295"/>
  <c r="G45" i="270"/>
  <c r="L147" i="246" s="1"/>
  <c r="S279" i="246"/>
  <c r="L587" i="209"/>
  <c r="S343" i="209"/>
  <c r="M301" i="246"/>
  <c r="L26" i="213"/>
  <c r="O731" i="209" s="1"/>
  <c r="G27" i="170"/>
  <c r="E22" i="294"/>
  <c r="E42" i="294" s="1"/>
  <c r="E62" i="294" s="1"/>
  <c r="E82" i="294" s="1"/>
  <c r="E102" i="294" s="1"/>
  <c r="E122" i="294" s="1"/>
  <c r="E142" i="294" s="1"/>
  <c r="J32" i="36"/>
  <c r="J34" i="36" s="1"/>
  <c r="S467" i="246"/>
  <c r="M315" i="246"/>
  <c r="M319" i="246"/>
  <c r="M334" i="246"/>
  <c r="M336" i="246"/>
  <c r="M342" i="246"/>
  <c r="M344" i="246"/>
  <c r="M371" i="246"/>
  <c r="M382" i="246"/>
  <c r="M386" i="246"/>
  <c r="M392" i="246"/>
  <c r="M394" i="246"/>
  <c r="M396" i="246"/>
  <c r="M402" i="246"/>
  <c r="M491" i="246"/>
  <c r="S593" i="246"/>
  <c r="M468" i="209"/>
  <c r="H39" i="151"/>
  <c r="S38" i="246" s="1"/>
  <c r="N7" i="156"/>
  <c r="P7" i="156"/>
  <c r="H43" i="160"/>
  <c r="P29" i="349"/>
  <c r="E35" i="328"/>
  <c r="D5" i="328"/>
  <c r="D35" i="328" s="1"/>
  <c r="F35" i="326"/>
  <c r="N30" i="34"/>
  <c r="T12" i="29"/>
  <c r="D44" i="279"/>
  <c r="O79" i="246" s="1"/>
  <c r="F35" i="328"/>
  <c r="P7" i="349"/>
  <c r="U36" i="209"/>
  <c r="U95" i="209" s="1"/>
  <c r="U154" i="209" s="1"/>
  <c r="U213" i="209" s="1"/>
  <c r="U272" i="209" s="1"/>
  <c r="U331" i="209" s="1"/>
  <c r="U390" i="209" s="1"/>
  <c r="U449" i="209" s="1"/>
  <c r="U508" i="209" s="1"/>
  <c r="U567" i="209" s="1"/>
  <c r="U626" i="209" s="1"/>
  <c r="U685" i="209" s="1"/>
  <c r="U744" i="209" s="1"/>
  <c r="E21" i="328"/>
  <c r="H28" i="326"/>
  <c r="H42" i="326" s="1"/>
  <c r="P14" i="325" s="1"/>
  <c r="S394" i="209"/>
  <c r="C31" i="172"/>
  <c r="H35" i="328"/>
  <c r="H37" i="178"/>
  <c r="S226" i="209" s="1"/>
  <c r="O7" i="156"/>
  <c r="D46" i="279"/>
  <c r="M284" i="246"/>
  <c r="H21" i="328"/>
  <c r="J17" i="28"/>
  <c r="G21" i="328"/>
  <c r="F35" i="184"/>
  <c r="F21" i="328"/>
  <c r="L26" i="279"/>
  <c r="D43" i="279" s="1"/>
  <c r="D47" i="279" s="1"/>
  <c r="O130" i="246" s="1"/>
  <c r="E11" i="279"/>
  <c r="E18" i="279" s="1"/>
  <c r="E41" i="279" s="1"/>
  <c r="J181" i="246" s="1"/>
  <c r="F259" i="209"/>
  <c r="S235" i="246"/>
  <c r="E35" i="289"/>
  <c r="M349" i="209"/>
  <c r="H38" i="213"/>
  <c r="M23" i="209" s="1"/>
  <c r="AA20" i="292"/>
  <c r="F21" i="125"/>
  <c r="N23" i="125" s="1"/>
  <c r="M29" i="349"/>
  <c r="L5" i="39"/>
  <c r="L7" i="39" s="1"/>
  <c r="P7" i="187"/>
  <c r="M7" i="187"/>
  <c r="P7" i="126"/>
  <c r="M7" i="188"/>
  <c r="N25" i="231"/>
  <c r="D15" i="228"/>
  <c r="E24" i="228"/>
  <c r="F27" i="228"/>
  <c r="G25" i="170"/>
  <c r="I288" i="246"/>
  <c r="J390" i="246"/>
  <c r="E21" i="187"/>
  <c r="M23" i="187" s="1"/>
  <c r="F44" i="189"/>
  <c r="Q94" i="246" s="1"/>
  <c r="K644" i="209"/>
  <c r="F35" i="7"/>
  <c r="G30" i="228"/>
  <c r="D15" i="173"/>
  <c r="Q553" i="246"/>
  <c r="L5" i="370"/>
  <c r="L7" i="370" s="1"/>
  <c r="G7" i="7"/>
  <c r="C31" i="170"/>
  <c r="F7" i="137"/>
  <c r="F33" i="184"/>
  <c r="H26" i="226"/>
  <c r="H40" i="226" s="1"/>
  <c r="M98" i="246" s="1"/>
  <c r="H21" i="7"/>
  <c r="P23" i="7" s="1"/>
  <c r="H7" i="125"/>
  <c r="P492" i="246"/>
  <c r="N25" i="170"/>
  <c r="N25" i="175" s="1"/>
  <c r="E21" i="188"/>
  <c r="M23" i="188" s="1"/>
  <c r="H7" i="7"/>
  <c r="E7" i="188"/>
  <c r="N23" i="171"/>
  <c r="G21" i="7"/>
  <c r="O23" i="7" s="1"/>
  <c r="F11" i="16"/>
  <c r="F46" i="16" s="1"/>
  <c r="K323" i="209"/>
  <c r="E35" i="95"/>
  <c r="E7" i="7"/>
  <c r="E11" i="189"/>
  <c r="M26" i="189" s="1"/>
  <c r="E43" i="189" s="1"/>
  <c r="E47" i="189" s="1"/>
  <c r="P145" i="246" s="1"/>
  <c r="H21" i="188"/>
  <c r="P23" i="188" s="1"/>
  <c r="Q455" i="246"/>
  <c r="M7" i="370"/>
  <c r="H35" i="7"/>
  <c r="H21" i="137"/>
  <c r="P23" i="137" s="1"/>
  <c r="G35" i="95"/>
  <c r="G11" i="16"/>
  <c r="G44" i="16" s="1"/>
  <c r="R67" i="209" s="1"/>
  <c r="N26" i="189"/>
  <c r="F43" i="189" s="1"/>
  <c r="F47" i="189" s="1"/>
  <c r="Q145" i="246" s="1"/>
  <c r="E35" i="7"/>
  <c r="F7" i="7"/>
  <c r="E7" i="95"/>
  <c r="H33" i="84"/>
  <c r="K604" i="246"/>
  <c r="P7" i="370"/>
  <c r="H21" i="125"/>
  <c r="P23" i="125" s="1"/>
  <c r="F7" i="188"/>
  <c r="F35" i="137"/>
  <c r="D32" i="170"/>
  <c r="G21" i="188"/>
  <c r="O23" i="188" s="1"/>
  <c r="F35" i="125"/>
  <c r="H37" i="369"/>
  <c r="S221" i="209" s="1"/>
  <c r="G7" i="125"/>
  <c r="F46" i="189"/>
  <c r="N7" i="370"/>
  <c r="G35" i="188"/>
  <c r="H35" i="125"/>
  <c r="K553" i="246"/>
  <c r="D5" i="188"/>
  <c r="D7" i="188" s="1"/>
  <c r="K353" i="246"/>
  <c r="O339" i="246"/>
  <c r="M335" i="246"/>
  <c r="M329" i="209"/>
  <c r="E21" i="219"/>
  <c r="M23" i="219" s="1"/>
  <c r="S236" i="246"/>
  <c r="H21" i="6"/>
  <c r="P23" i="6" s="1"/>
  <c r="S257" i="209"/>
  <c r="E35" i="219"/>
  <c r="H7" i="99"/>
  <c r="S243" i="246"/>
  <c r="E21" i="99"/>
  <c r="M23" i="99" s="1"/>
  <c r="S347" i="209"/>
  <c r="G7" i="270"/>
  <c r="S269" i="246"/>
  <c r="D24" i="171"/>
  <c r="S493" i="209"/>
  <c r="K500" i="209"/>
  <c r="F32" i="170"/>
  <c r="Q470" i="246"/>
  <c r="N7" i="188"/>
  <c r="G30" i="171"/>
  <c r="O390" i="246"/>
  <c r="S390" i="246" s="1"/>
  <c r="L441" i="246"/>
  <c r="N26" i="126"/>
  <c r="F43" i="126" s="1"/>
  <c r="F47" i="126" s="1"/>
  <c r="Q139" i="246" s="1"/>
  <c r="F35" i="11"/>
  <c r="L5" i="188"/>
  <c r="L7" i="188" s="1"/>
  <c r="O7" i="39"/>
  <c r="G7" i="11"/>
  <c r="E7" i="125"/>
  <c r="F35" i="188"/>
  <c r="M579" i="209"/>
  <c r="S418" i="246"/>
  <c r="S422" i="246"/>
  <c r="S424" i="246"/>
  <c r="S431" i="246"/>
  <c r="S487" i="246"/>
  <c r="F35" i="241"/>
  <c r="H35" i="293"/>
  <c r="F14" i="185"/>
  <c r="F14" i="171" s="1"/>
  <c r="G35" i="125"/>
  <c r="E35" i="183"/>
  <c r="D5" i="95"/>
  <c r="D21" i="95" s="1"/>
  <c r="L23" i="95" s="1"/>
  <c r="F21" i="187"/>
  <c r="N23" i="187" s="1"/>
  <c r="D45" i="178"/>
  <c r="I167" i="209" s="1"/>
  <c r="F11" i="178"/>
  <c r="Q639" i="209" s="1"/>
  <c r="D21" i="367"/>
  <c r="E11" i="178"/>
  <c r="E18" i="178" s="1"/>
  <c r="E38" i="178" s="1"/>
  <c r="J49" i="209" s="1"/>
  <c r="H27" i="248"/>
  <c r="H41" i="248" s="1"/>
  <c r="P13" i="347" s="1"/>
  <c r="L26" i="290"/>
  <c r="D43" i="290" s="1"/>
  <c r="D47" i="290" s="1"/>
  <c r="R53" i="294" s="1"/>
  <c r="H38" i="13"/>
  <c r="M12" i="209" s="1"/>
  <c r="S245" i="209"/>
  <c r="J345" i="209"/>
  <c r="H37" i="105"/>
  <c r="S199" i="209" s="1"/>
  <c r="S285" i="246"/>
  <c r="D107" i="209"/>
  <c r="D166" i="209" s="1"/>
  <c r="D225" i="209" s="1"/>
  <c r="D284" i="209" s="1"/>
  <c r="D343" i="209" s="1"/>
  <c r="D402" i="209" s="1"/>
  <c r="D461" i="209" s="1"/>
  <c r="D520" i="209" s="1"/>
  <c r="D579" i="209" s="1"/>
  <c r="D638" i="209" s="1"/>
  <c r="D697" i="209" s="1"/>
  <c r="D756" i="209" s="1"/>
  <c r="H21" i="219"/>
  <c r="P23" i="219" s="1"/>
  <c r="E21" i="289"/>
  <c r="M23" i="289" s="1"/>
  <c r="H21" i="349"/>
  <c r="P23" i="349" s="1"/>
  <c r="H7" i="9"/>
  <c r="O639" i="209"/>
  <c r="H37" i="190"/>
  <c r="S162" i="246" s="1"/>
  <c r="F7" i="288"/>
  <c r="M367" i="246"/>
  <c r="V19" i="129"/>
  <c r="X19" i="129" s="1"/>
  <c r="D44" i="178"/>
  <c r="O108" i="209" s="1"/>
  <c r="D21" i="247"/>
  <c r="H21" i="99"/>
  <c r="P23" i="99" s="1"/>
  <c r="P7" i="359"/>
  <c r="E35" i="99"/>
  <c r="G35" i="9"/>
  <c r="D46" i="178"/>
  <c r="L26" i="178"/>
  <c r="D43" i="178" s="1"/>
  <c r="H43" i="162"/>
  <c r="H43" i="337"/>
  <c r="G11" i="178"/>
  <c r="L698" i="209" s="1"/>
  <c r="H43" i="141"/>
  <c r="H39" i="156"/>
  <c r="S8" i="246" s="1"/>
  <c r="O441" i="246"/>
  <c r="H25" i="186"/>
  <c r="S288" i="246" s="1"/>
  <c r="S284" i="246"/>
  <c r="R339" i="246"/>
  <c r="O594" i="246"/>
  <c r="S594" i="246" s="1"/>
  <c r="S264" i="246"/>
  <c r="Q281" i="246"/>
  <c r="L624" i="209"/>
  <c r="G46" i="123"/>
  <c r="G44" i="123"/>
  <c r="R93" i="209" s="1"/>
  <c r="R624" i="209"/>
  <c r="G45" i="123"/>
  <c r="L152" i="209" s="1"/>
  <c r="H37" i="368"/>
  <c r="S217" i="209" s="1"/>
  <c r="S367" i="246"/>
  <c r="E7" i="79"/>
  <c r="R11" i="49"/>
  <c r="T11" i="49" s="1"/>
  <c r="D5" i="176"/>
  <c r="D35" i="176" s="1"/>
  <c r="H21" i="195"/>
  <c r="P23" i="195" s="1"/>
  <c r="G21" i="176"/>
  <c r="O23" i="176" s="1"/>
  <c r="N17" i="34"/>
  <c r="E35" i="195"/>
  <c r="H33" i="225"/>
  <c r="G35" i="241"/>
  <c r="H21" i="241"/>
  <c r="P23" i="241" s="1"/>
  <c r="M343" i="209"/>
  <c r="E7" i="293"/>
  <c r="H7" i="293"/>
  <c r="H7" i="241"/>
  <c r="H7" i="11"/>
  <c r="H35" i="11"/>
  <c r="H21" i="11"/>
  <c r="P23" i="11" s="1"/>
  <c r="F21" i="293"/>
  <c r="N23" i="293" s="1"/>
  <c r="D5" i="241"/>
  <c r="D7" i="241" s="1"/>
  <c r="H47" i="123"/>
  <c r="S152" i="209" s="1"/>
  <c r="E21" i="11"/>
  <c r="M23" i="11" s="1"/>
  <c r="D5" i="11"/>
  <c r="D21" i="11" s="1"/>
  <c r="L23" i="11" s="1"/>
  <c r="G21" i="293"/>
  <c r="O23" i="293" s="1"/>
  <c r="H35" i="241"/>
  <c r="E7" i="289"/>
  <c r="E35" i="11"/>
  <c r="E21" i="293"/>
  <c r="M23" i="293" s="1"/>
  <c r="G7" i="241"/>
  <c r="F7" i="241"/>
  <c r="H38" i="166"/>
  <c r="M14" i="246" s="1"/>
  <c r="F15" i="250"/>
  <c r="F7" i="11"/>
  <c r="F7" i="293"/>
  <c r="E7" i="176"/>
  <c r="H43" i="14"/>
  <c r="G35" i="11"/>
  <c r="F21" i="362"/>
  <c r="N23" i="362" s="1"/>
  <c r="S244" i="246"/>
  <c r="E35" i="176"/>
  <c r="M375" i="209"/>
  <c r="E11" i="99"/>
  <c r="M26" i="99" s="1"/>
  <c r="E43" i="99" s="1"/>
  <c r="E47" i="99" s="1"/>
  <c r="P124" i="246" s="1"/>
  <c r="E11" i="365"/>
  <c r="J684" i="209" s="1"/>
  <c r="F11" i="359"/>
  <c r="K582" i="246" s="1"/>
  <c r="M141" i="294"/>
  <c r="L26" i="360"/>
  <c r="D43" i="360" s="1"/>
  <c r="D47" i="360" s="1"/>
  <c r="R61" i="294" s="1"/>
  <c r="E12" i="228"/>
  <c r="P710" i="209" s="1"/>
  <c r="F11" i="160"/>
  <c r="F18" i="160" s="1"/>
  <c r="F38" i="160" s="1"/>
  <c r="K36" i="246" s="1"/>
  <c r="F31" i="246"/>
  <c r="O531" i="246"/>
  <c r="O587" i="209"/>
  <c r="L319" i="209"/>
  <c r="F35" i="162"/>
  <c r="E35" i="165"/>
  <c r="F43" i="213"/>
  <c r="F47" i="213" s="1"/>
  <c r="Q141" i="209" s="1"/>
  <c r="S433" i="246"/>
  <c r="S437" i="246"/>
  <c r="S443" i="246"/>
  <c r="S447" i="246"/>
  <c r="S449" i="246"/>
  <c r="S451" i="246"/>
  <c r="S453" i="246"/>
  <c r="S468" i="246"/>
  <c r="S472" i="246"/>
  <c r="S483" i="246"/>
  <c r="S489" i="246"/>
  <c r="S495" i="246"/>
  <c r="S499" i="246"/>
  <c r="S501" i="246"/>
  <c r="S503" i="246"/>
  <c r="S505" i="246"/>
  <c r="E33" i="231"/>
  <c r="G14" i="139"/>
  <c r="G14" i="223" s="1"/>
  <c r="H26" i="247"/>
  <c r="H40" i="247" s="1"/>
  <c r="P12" i="213" s="1"/>
  <c r="C31" i="250"/>
  <c r="E14" i="223"/>
  <c r="F35" i="151"/>
  <c r="R26" i="29"/>
  <c r="J38" i="29" s="1"/>
  <c r="E24" i="170"/>
  <c r="J437" i="209"/>
  <c r="F13" i="250"/>
  <c r="F17" i="250"/>
  <c r="F25" i="250"/>
  <c r="H31" i="291"/>
  <c r="H45" i="291" s="1"/>
  <c r="P17" i="290" s="1"/>
  <c r="C23" i="250"/>
  <c r="G7" i="151"/>
  <c r="G35" i="347"/>
  <c r="E7" i="347"/>
  <c r="G7" i="178"/>
  <c r="E21" i="279"/>
  <c r="M23" i="279" s="1"/>
  <c r="S327" i="209"/>
  <c r="E46" i="191"/>
  <c r="M310" i="209"/>
  <c r="T11" i="100"/>
  <c r="P378" i="209"/>
  <c r="Q260" i="209"/>
  <c r="O260" i="209"/>
  <c r="H35" i="137"/>
  <c r="M421" i="246"/>
  <c r="M504" i="246"/>
  <c r="S585" i="246"/>
  <c r="M29" i="360"/>
  <c r="H43" i="290"/>
  <c r="H37" i="166"/>
  <c r="S167" i="246" s="1"/>
  <c r="E45" i="191"/>
  <c r="J132" i="246" s="1"/>
  <c r="G7" i="154"/>
  <c r="D48" i="291"/>
  <c r="L20" i="289" s="1"/>
  <c r="J591" i="246"/>
  <c r="H37" i="101"/>
  <c r="S177" i="246" s="1"/>
  <c r="M474" i="246"/>
  <c r="T19" i="27"/>
  <c r="G21" i="213"/>
  <c r="O23" i="213" s="1"/>
  <c r="M395" i="246"/>
  <c r="M26" i="191"/>
  <c r="E43" i="191" s="1"/>
  <c r="E47" i="191" s="1"/>
  <c r="P132" i="246" s="1"/>
  <c r="P540" i="246"/>
  <c r="K691" i="209"/>
  <c r="O7" i="307"/>
  <c r="J540" i="246"/>
  <c r="T22" i="34"/>
  <c r="O7" i="289"/>
  <c r="F15" i="176"/>
  <c r="F15" i="104" s="1"/>
  <c r="F15" i="84" s="1"/>
  <c r="L5" i="288"/>
  <c r="L7" i="288" s="1"/>
  <c r="P16" i="292"/>
  <c r="O29" i="288"/>
  <c r="N29" i="288"/>
  <c r="N7" i="288"/>
  <c r="P7" i="14"/>
  <c r="L390" i="246"/>
  <c r="P29" i="288"/>
  <c r="L5" i="14"/>
  <c r="L7" i="14" s="1"/>
  <c r="C29" i="250"/>
  <c r="M29" i="288"/>
  <c r="F21" i="327"/>
  <c r="P7" i="288"/>
  <c r="K351" i="209"/>
  <c r="H35" i="327"/>
  <c r="O7" i="271"/>
  <c r="M495" i="209"/>
  <c r="M554" i="209"/>
  <c r="S671" i="209"/>
  <c r="S319" i="246"/>
  <c r="S321" i="246"/>
  <c r="S328" i="246"/>
  <c r="S330" i="246"/>
  <c r="S334" i="246"/>
  <c r="S336" i="246"/>
  <c r="S342" i="246"/>
  <c r="S344" i="246"/>
  <c r="S352" i="246"/>
  <c r="S371" i="246"/>
  <c r="S373" i="246"/>
  <c r="S380" i="246"/>
  <c r="S382" i="246"/>
  <c r="S386" i="246"/>
  <c r="S392" i="246"/>
  <c r="S398" i="246"/>
  <c r="S402" i="246"/>
  <c r="M490" i="246"/>
  <c r="S491" i="246"/>
  <c r="M7" i="288"/>
  <c r="Q528" i="209"/>
  <c r="N7" i="271"/>
  <c r="P7" i="271"/>
  <c r="G35" i="165"/>
  <c r="E35" i="4"/>
  <c r="G7" i="162"/>
  <c r="M402" i="209"/>
  <c r="S460" i="209"/>
  <c r="S552" i="209"/>
  <c r="E7" i="165"/>
  <c r="F7" i="162"/>
  <c r="E13" i="250"/>
  <c r="E17" i="250"/>
  <c r="H46" i="291"/>
  <c r="P18" i="288" s="1"/>
  <c r="J272" i="246"/>
  <c r="C26" i="170"/>
  <c r="D29" i="170"/>
  <c r="F28" i="184"/>
  <c r="H21" i="165"/>
  <c r="P23" i="165" s="1"/>
  <c r="F21" i="162"/>
  <c r="N23" i="162" s="1"/>
  <c r="G27" i="173"/>
  <c r="F7" i="165"/>
  <c r="G35" i="162"/>
  <c r="H7" i="165"/>
  <c r="D5" i="162"/>
  <c r="D7" i="162" s="1"/>
  <c r="G35" i="141"/>
  <c r="E21" i="165"/>
  <c r="M23" i="165" s="1"/>
  <c r="H47" i="349"/>
  <c r="H21" i="162"/>
  <c r="P23" i="162" s="1"/>
  <c r="H21" i="214"/>
  <c r="P23" i="214" s="1"/>
  <c r="F21" i="165"/>
  <c r="N23" i="165" s="1"/>
  <c r="H7" i="162"/>
  <c r="F21" i="214"/>
  <c r="N23" i="214" s="1"/>
  <c r="H35" i="214"/>
  <c r="M406" i="209"/>
  <c r="S465" i="209"/>
  <c r="F41" i="213"/>
  <c r="K200" i="209" s="1"/>
  <c r="M292" i="246"/>
  <c r="G21" i="214"/>
  <c r="O23" i="214" s="1"/>
  <c r="H32" i="247"/>
  <c r="M614" i="209" s="1"/>
  <c r="G7" i="4"/>
  <c r="S521" i="209"/>
  <c r="D25" i="250"/>
  <c r="F27" i="250"/>
  <c r="G30" i="250"/>
  <c r="F39" i="213"/>
  <c r="Q23" i="209" s="1"/>
  <c r="G21" i="4"/>
  <c r="O23" i="4" s="1"/>
  <c r="F21" i="101"/>
  <c r="N23" i="101" s="1"/>
  <c r="C163" i="209"/>
  <c r="C222" i="209" s="1"/>
  <c r="C281" i="209" s="1"/>
  <c r="F35" i="4"/>
  <c r="E21" i="101"/>
  <c r="M23" i="101" s="1"/>
  <c r="H21" i="141"/>
  <c r="P23" i="141" s="1"/>
  <c r="E21" i="4"/>
  <c r="M23" i="4" s="1"/>
  <c r="H43" i="347"/>
  <c r="G7" i="141"/>
  <c r="H35" i="165"/>
  <c r="H35" i="4"/>
  <c r="G21" i="162"/>
  <c r="O23" i="162" s="1"/>
  <c r="G35" i="4"/>
  <c r="H25" i="291"/>
  <c r="H39" i="291" s="1"/>
  <c r="P11" i="288" s="1"/>
  <c r="T27" i="34"/>
  <c r="T28" i="34" s="1"/>
  <c r="D13" i="250"/>
  <c r="D17" i="250"/>
  <c r="G7" i="190"/>
  <c r="S229" i="246"/>
  <c r="T16" i="49"/>
  <c r="H31" i="248"/>
  <c r="H45" i="248" s="1"/>
  <c r="P17" i="220" s="1"/>
  <c r="P15" i="292"/>
  <c r="H37" i="215"/>
  <c r="S203" i="209" s="1"/>
  <c r="N7" i="368"/>
  <c r="H21" i="105"/>
  <c r="P23" i="105" s="1"/>
  <c r="H43" i="195"/>
  <c r="K378" i="209"/>
  <c r="G12" i="250"/>
  <c r="R709" i="209" s="1"/>
  <c r="G16" i="250"/>
  <c r="P292" i="209"/>
  <c r="G17" i="173"/>
  <c r="AA34" i="292"/>
  <c r="H33" i="212"/>
  <c r="F35" i="13"/>
  <c r="Q496" i="209"/>
  <c r="E21" i="324"/>
  <c r="L5" i="338"/>
  <c r="L7" i="338" s="1"/>
  <c r="Q437" i="209"/>
  <c r="L25" i="250"/>
  <c r="P25" i="250" s="1"/>
  <c r="R528" i="209"/>
  <c r="S398" i="209"/>
  <c r="D15" i="250"/>
  <c r="D25" i="171"/>
  <c r="S583" i="209"/>
  <c r="M422" i="246"/>
  <c r="M423" i="246"/>
  <c r="M424" i="246"/>
  <c r="M430" i="246"/>
  <c r="M431" i="246"/>
  <c r="M432" i="246"/>
  <c r="M433" i="246"/>
  <c r="M436" i="246"/>
  <c r="M437" i="246"/>
  <c r="M438" i="246"/>
  <c r="M444" i="246"/>
  <c r="M445" i="246"/>
  <c r="M446" i="246"/>
  <c r="M447" i="246"/>
  <c r="M450" i="246"/>
  <c r="M451" i="246"/>
  <c r="M452" i="246"/>
  <c r="M467" i="246"/>
  <c r="M468" i="246"/>
  <c r="M469" i="246"/>
  <c r="M472" i="246"/>
  <c r="M473" i="246"/>
  <c r="M481" i="246"/>
  <c r="M482" i="246"/>
  <c r="M483" i="246"/>
  <c r="M487" i="246"/>
  <c r="M489" i="246"/>
  <c r="M494" i="246"/>
  <c r="M495" i="246"/>
  <c r="M497" i="246"/>
  <c r="M498" i="246"/>
  <c r="M499" i="246"/>
  <c r="M500" i="246"/>
  <c r="M501" i="246"/>
  <c r="M502" i="246"/>
  <c r="M503" i="246"/>
  <c r="M505" i="246"/>
  <c r="M376" i="209"/>
  <c r="M434" i="209"/>
  <c r="M321" i="246"/>
  <c r="M338" i="246"/>
  <c r="S388" i="246"/>
  <c r="E24" i="250"/>
  <c r="I437" i="209"/>
  <c r="O25" i="250"/>
  <c r="E27" i="250"/>
  <c r="C25" i="250"/>
  <c r="M327" i="246"/>
  <c r="M429" i="246"/>
  <c r="M480" i="246"/>
  <c r="H24" i="326"/>
  <c r="H38" i="326" s="1"/>
  <c r="E14" i="250"/>
  <c r="E26" i="250"/>
  <c r="C28" i="250"/>
  <c r="F29" i="250"/>
  <c r="H46" i="248"/>
  <c r="H13" i="164"/>
  <c r="H20" i="164" s="1"/>
  <c r="H33" i="164" s="1"/>
  <c r="J36" i="209" s="1"/>
  <c r="S389" i="209"/>
  <c r="P419" i="246"/>
  <c r="P357" i="246"/>
  <c r="G13" i="231"/>
  <c r="M505" i="209"/>
  <c r="M564" i="209"/>
  <c r="D24" i="173"/>
  <c r="E33" i="172"/>
  <c r="G44" i="195"/>
  <c r="R93" i="246" s="1"/>
  <c r="F44" i="220"/>
  <c r="Q113" i="209" s="1"/>
  <c r="G32" i="250"/>
  <c r="I587" i="209"/>
  <c r="O410" i="209"/>
  <c r="S410" i="209" s="1"/>
  <c r="M7" i="16"/>
  <c r="G35" i="175"/>
  <c r="H32" i="291"/>
  <c r="D5" i="104"/>
  <c r="D21" i="104" s="1"/>
  <c r="P7" i="368"/>
  <c r="P332" i="246"/>
  <c r="D5" i="228"/>
  <c r="D21" i="228" s="1"/>
  <c r="M520" i="209"/>
  <c r="S569" i="246"/>
  <c r="S571" i="246"/>
  <c r="G33" i="250"/>
  <c r="E48" i="248"/>
  <c r="M20" i="347" s="1"/>
  <c r="G46" i="195"/>
  <c r="F46" i="220"/>
  <c r="F45" i="220"/>
  <c r="K172" i="209" s="1"/>
  <c r="O319" i="209"/>
  <c r="D32" i="250"/>
  <c r="I469" i="209"/>
  <c r="H47" i="213"/>
  <c r="S141" i="209" s="1"/>
  <c r="H24" i="248"/>
  <c r="J16" i="292" s="1"/>
  <c r="G18" i="195"/>
  <c r="G38" i="195" s="1"/>
  <c r="L42" i="246" s="1"/>
  <c r="H23" i="186"/>
  <c r="S237" i="246" s="1"/>
  <c r="H39" i="365"/>
  <c r="S35" i="209" s="1"/>
  <c r="S290" i="209"/>
  <c r="D5" i="175"/>
  <c r="D21" i="175" s="1"/>
  <c r="R469" i="209"/>
  <c r="H39" i="79"/>
  <c r="S41" i="209" s="1"/>
  <c r="Q581" i="209"/>
  <c r="H28" i="186"/>
  <c r="H42" i="186" s="1"/>
  <c r="M237" i="246" s="1"/>
  <c r="L603" i="246"/>
  <c r="E21" i="231"/>
  <c r="H43" i="369"/>
  <c r="P230" i="246"/>
  <c r="I410" i="209"/>
  <c r="E35" i="175"/>
  <c r="K302" i="246"/>
  <c r="G11" i="220"/>
  <c r="G45" i="220" s="1"/>
  <c r="L172" i="209" s="1"/>
  <c r="C33" i="172"/>
  <c r="F21" i="104"/>
  <c r="L5" i="368"/>
  <c r="L7" i="368" s="1"/>
  <c r="J12" i="36"/>
  <c r="E46" i="188"/>
  <c r="N26" i="220"/>
  <c r="Q762" i="209" s="1"/>
  <c r="H30" i="247"/>
  <c r="K15" i="292" s="1"/>
  <c r="P469" i="209"/>
  <c r="H23" i="248"/>
  <c r="I16" i="292" s="1"/>
  <c r="P549" i="246"/>
  <c r="F18" i="220"/>
  <c r="F40" i="220" s="1"/>
  <c r="K113" i="209" s="1"/>
  <c r="D48" i="248"/>
  <c r="L20" i="221" s="1"/>
  <c r="G35" i="231"/>
  <c r="S226" i="246"/>
  <c r="R237" i="246"/>
  <c r="H43" i="176"/>
  <c r="O528" i="209"/>
  <c r="N23" i="229"/>
  <c r="D31" i="250"/>
  <c r="M268" i="246"/>
  <c r="J353" i="246"/>
  <c r="O7" i="368"/>
  <c r="E45" i="188"/>
  <c r="J141" i="246" s="1"/>
  <c r="Q644" i="209"/>
  <c r="L410" i="209"/>
  <c r="S245" i="246"/>
  <c r="S298" i="246"/>
  <c r="H30" i="226"/>
  <c r="H44" i="226" s="1"/>
  <c r="S98" i="246" s="1"/>
  <c r="G21" i="175"/>
  <c r="H21" i="175"/>
  <c r="H43" i="191"/>
  <c r="M270" i="246"/>
  <c r="F26" i="172"/>
  <c r="K587" i="209"/>
  <c r="F26" i="292"/>
  <c r="E35" i="104"/>
  <c r="E21" i="104"/>
  <c r="H39" i="368"/>
  <c r="S40" i="209" s="1"/>
  <c r="M300" i="246"/>
  <c r="F48" i="248"/>
  <c r="O555" i="209"/>
  <c r="M279" i="246"/>
  <c r="M23" i="229"/>
  <c r="P23" i="229"/>
  <c r="F35" i="175"/>
  <c r="G35" i="104"/>
  <c r="G21" i="104"/>
  <c r="E35" i="228"/>
  <c r="M25" i="172"/>
  <c r="N26" i="190"/>
  <c r="F43" i="190" s="1"/>
  <c r="F47" i="190" s="1"/>
  <c r="Q111" i="246" s="1"/>
  <c r="D35" i="225"/>
  <c r="F18" i="189"/>
  <c r="F38" i="189" s="1"/>
  <c r="K43" i="246" s="1"/>
  <c r="S220" i="246"/>
  <c r="P434" i="246"/>
  <c r="F21" i="175"/>
  <c r="S212" i="246"/>
  <c r="E23" i="172"/>
  <c r="S291" i="209"/>
  <c r="F35" i="104"/>
  <c r="L5" i="229"/>
  <c r="L23" i="229" s="1"/>
  <c r="G29" i="250"/>
  <c r="D23" i="250"/>
  <c r="G24" i="250"/>
  <c r="D27" i="250"/>
  <c r="G28" i="250"/>
  <c r="O292" i="209"/>
  <c r="F16" i="250"/>
  <c r="F33" i="250"/>
  <c r="N24" i="37"/>
  <c r="R24" i="37" s="1"/>
  <c r="C24" i="250"/>
  <c r="D16" i="250"/>
  <c r="G13" i="164"/>
  <c r="G20" i="164" s="1"/>
  <c r="G35" i="164" s="1"/>
  <c r="I95" i="209" s="1"/>
  <c r="G25" i="172"/>
  <c r="D30" i="228"/>
  <c r="H28" i="84"/>
  <c r="H42" i="84" s="1"/>
  <c r="M255" i="246" s="1"/>
  <c r="M516" i="209"/>
  <c r="M387" i="209"/>
  <c r="H24" i="225"/>
  <c r="J21" i="292" s="1"/>
  <c r="F44" i="337"/>
  <c r="Q101" i="209" s="1"/>
  <c r="E21" i="327"/>
  <c r="E7" i="13"/>
  <c r="F35" i="6"/>
  <c r="H7" i="190"/>
  <c r="G21" i="183"/>
  <c r="O23" i="183" s="1"/>
  <c r="H43" i="156"/>
  <c r="J13" i="142"/>
  <c r="J19" i="142" s="1"/>
  <c r="J23" i="142" s="1"/>
  <c r="V12" i="142" s="1"/>
  <c r="E7" i="105"/>
  <c r="M23" i="171"/>
  <c r="E7" i="9"/>
  <c r="O469" i="209"/>
  <c r="M348" i="209"/>
  <c r="D11" i="189"/>
  <c r="D18" i="189" s="1"/>
  <c r="I655" i="246" s="1"/>
  <c r="E21" i="288"/>
  <c r="M23" i="288" s="1"/>
  <c r="F7" i="324"/>
  <c r="F35" i="360"/>
  <c r="H21" i="289"/>
  <c r="P23" i="289" s="1"/>
  <c r="C406" i="209"/>
  <c r="K410" i="209"/>
  <c r="H7" i="307"/>
  <c r="G21" i="327"/>
  <c r="G44" i="213"/>
  <c r="R82" i="209" s="1"/>
  <c r="R613" i="209"/>
  <c r="G11" i="4"/>
  <c r="G44" i="4" s="1"/>
  <c r="R70" i="209" s="1"/>
  <c r="L5" i="225"/>
  <c r="L23" i="225" s="1"/>
  <c r="S217" i="246"/>
  <c r="D12" i="228"/>
  <c r="O710" i="209" s="1"/>
  <c r="E35" i="327"/>
  <c r="H35" i="13"/>
  <c r="E35" i="6"/>
  <c r="F35" i="190"/>
  <c r="F35" i="183"/>
  <c r="S249" i="246"/>
  <c r="E21" i="196"/>
  <c r="M23" i="196" s="1"/>
  <c r="E35" i="105"/>
  <c r="F21" i="13"/>
  <c r="N23" i="13" s="1"/>
  <c r="G25" i="250"/>
  <c r="O23" i="171"/>
  <c r="H21" i="9"/>
  <c r="P23" i="9" s="1"/>
  <c r="M298" i="246"/>
  <c r="G11" i="189"/>
  <c r="G44" i="189" s="1"/>
  <c r="R94" i="246" s="1"/>
  <c r="E21" i="160"/>
  <c r="M23" i="160" s="1"/>
  <c r="G35" i="289"/>
  <c r="G35" i="160"/>
  <c r="D5" i="160"/>
  <c r="D7" i="160" s="1"/>
  <c r="D5" i="6"/>
  <c r="D21" i="6" s="1"/>
  <c r="L23" i="6" s="1"/>
  <c r="L351" i="209"/>
  <c r="M336" i="209"/>
  <c r="H28" i="291"/>
  <c r="H42" i="291" s="1"/>
  <c r="D90" i="246"/>
  <c r="D141" i="246" s="1"/>
  <c r="D192" i="246" s="1"/>
  <c r="D243" i="246" s="1"/>
  <c r="D294" i="246" s="1"/>
  <c r="D345" i="246" s="1"/>
  <c r="D396" i="246" s="1"/>
  <c r="D447" i="246" s="1"/>
  <c r="D498" i="246" s="1"/>
  <c r="D549" i="246" s="1"/>
  <c r="D600" i="246" s="1"/>
  <c r="D651" i="246" s="1"/>
  <c r="S308" i="209"/>
  <c r="D46" i="4"/>
  <c r="L26" i="4"/>
  <c r="O719" i="209" s="1"/>
  <c r="S305" i="209"/>
  <c r="T11" i="37"/>
  <c r="T23" i="27"/>
  <c r="N13" i="142"/>
  <c r="G21" i="6"/>
  <c r="O23" i="6" s="1"/>
  <c r="G21" i="190"/>
  <c r="O23" i="190" s="1"/>
  <c r="N14" i="32"/>
  <c r="G7" i="307"/>
  <c r="G21" i="105"/>
  <c r="O23" i="105" s="1"/>
  <c r="H13" i="30"/>
  <c r="E13" i="30" s="1"/>
  <c r="L5" i="171"/>
  <c r="L23" i="171" s="1"/>
  <c r="D5" i="288"/>
  <c r="D35" i="288" s="1"/>
  <c r="J14" i="32"/>
  <c r="D5" i="9"/>
  <c r="D21" i="9" s="1"/>
  <c r="L23" i="9" s="1"/>
  <c r="F11" i="289"/>
  <c r="F45" i="289" s="1"/>
  <c r="O52" i="294" s="1"/>
  <c r="K404" i="246"/>
  <c r="F7" i="160"/>
  <c r="E7" i="288"/>
  <c r="E35" i="160"/>
  <c r="F21" i="289"/>
  <c r="N23" i="289" s="1"/>
  <c r="H33" i="247"/>
  <c r="D5" i="327"/>
  <c r="D35" i="327" s="1"/>
  <c r="H47" i="146"/>
  <c r="S146" i="246" s="1"/>
  <c r="R496" i="209"/>
  <c r="D5" i="307"/>
  <c r="D7" i="307" s="1"/>
  <c r="F7" i="6"/>
  <c r="G7" i="183"/>
  <c r="G35" i="288"/>
  <c r="G7" i="288"/>
  <c r="H35" i="9"/>
  <c r="H7" i="289"/>
  <c r="F7" i="289"/>
  <c r="E35" i="288"/>
  <c r="F24" i="250"/>
  <c r="D18" i="292" s="1"/>
  <c r="H29" i="247"/>
  <c r="H47" i="247" s="1"/>
  <c r="P19" i="214" s="1"/>
  <c r="D45" i="4"/>
  <c r="I129" i="209" s="1"/>
  <c r="H43" i="220"/>
  <c r="H39" i="188"/>
  <c r="S39" i="246" s="1"/>
  <c r="F11" i="6"/>
  <c r="M527" i="209"/>
  <c r="G7" i="6"/>
  <c r="D5" i="183"/>
  <c r="D35" i="183" s="1"/>
  <c r="F35" i="307"/>
  <c r="F7" i="105"/>
  <c r="F35" i="288"/>
  <c r="H7" i="288"/>
  <c r="J13" i="37"/>
  <c r="E35" i="9"/>
  <c r="D12" i="250"/>
  <c r="O709" i="209" s="1"/>
  <c r="S240" i="246"/>
  <c r="P23" i="226"/>
  <c r="F35" i="289"/>
  <c r="R319" i="209"/>
  <c r="Q469" i="209"/>
  <c r="R731" i="209"/>
  <c r="H43" i="215"/>
  <c r="H43" i="139"/>
  <c r="H43" i="178"/>
  <c r="L672" i="209"/>
  <c r="G45" i="213"/>
  <c r="L141" i="209" s="1"/>
  <c r="H47" i="289"/>
  <c r="L613" i="209"/>
  <c r="G18" i="213"/>
  <c r="G41" i="213" s="1"/>
  <c r="L200" i="209" s="1"/>
  <c r="I686" i="209"/>
  <c r="S519" i="209"/>
  <c r="J26" i="28"/>
  <c r="H21" i="190"/>
  <c r="P23" i="190" s="1"/>
  <c r="F21" i="183"/>
  <c r="N23" i="183" s="1"/>
  <c r="H35" i="307"/>
  <c r="F35" i="105"/>
  <c r="H7" i="324"/>
  <c r="G21" i="288"/>
  <c r="O23" i="288" s="1"/>
  <c r="R13" i="37"/>
  <c r="G21" i="9"/>
  <c r="O23" i="9" s="1"/>
  <c r="P23" i="184"/>
  <c r="L5" i="226"/>
  <c r="L23" i="226" s="1"/>
  <c r="H35" i="183"/>
  <c r="F21" i="160"/>
  <c r="N23" i="160" s="1"/>
  <c r="G7" i="289"/>
  <c r="F21" i="307"/>
  <c r="N23" i="307" s="1"/>
  <c r="H21" i="160"/>
  <c r="P23" i="160" s="1"/>
  <c r="E11" i="4"/>
  <c r="P601" i="209" s="1"/>
  <c r="O601" i="209"/>
  <c r="I601" i="209"/>
  <c r="N13" i="37"/>
  <c r="H21" i="13"/>
  <c r="P23" i="13" s="1"/>
  <c r="E35" i="13"/>
  <c r="H35" i="190"/>
  <c r="E35" i="324"/>
  <c r="G21" i="324"/>
  <c r="G7" i="160"/>
  <c r="M330" i="209"/>
  <c r="M23" i="226"/>
  <c r="N23" i="226"/>
  <c r="G21" i="160"/>
  <c r="O23" i="160" s="1"/>
  <c r="G35" i="307"/>
  <c r="F21" i="271"/>
  <c r="N23" i="271" s="1"/>
  <c r="G46" i="154"/>
  <c r="G46" i="213"/>
  <c r="P23" i="225"/>
  <c r="D44" i="196"/>
  <c r="O96" i="209" s="1"/>
  <c r="N25" i="172"/>
  <c r="G48" i="247"/>
  <c r="O20" i="214" s="1"/>
  <c r="P317" i="246"/>
  <c r="J419" i="246"/>
  <c r="R492" i="246"/>
  <c r="F30" i="171"/>
  <c r="E29" i="172"/>
  <c r="E27" i="170"/>
  <c r="L522" i="209"/>
  <c r="G17" i="171"/>
  <c r="M409" i="209"/>
  <c r="S468" i="209"/>
  <c r="J317" i="246"/>
  <c r="L470" i="246"/>
  <c r="H27" i="225"/>
  <c r="H41" i="225" s="1"/>
  <c r="M227" i="209" s="1"/>
  <c r="F33" i="170"/>
  <c r="F28" i="172"/>
  <c r="E17" i="172"/>
  <c r="R288" i="246"/>
  <c r="H43" i="225"/>
  <c r="D12" i="184"/>
  <c r="O613" i="246" s="1"/>
  <c r="C29" i="184"/>
  <c r="M467" i="209"/>
  <c r="M493" i="209"/>
  <c r="F46" i="337"/>
  <c r="E28" i="172"/>
  <c r="E46" i="338"/>
  <c r="P622" i="209"/>
  <c r="O690" i="209"/>
  <c r="D64" i="36"/>
  <c r="F45" i="337"/>
  <c r="K160" i="209" s="1"/>
  <c r="E44" i="241"/>
  <c r="P114" i="209" s="1"/>
  <c r="D11" i="99"/>
  <c r="I583" i="246" s="1"/>
  <c r="K485" i="246"/>
  <c r="E21" i="292"/>
  <c r="E11" i="9"/>
  <c r="J665" i="209" s="1"/>
  <c r="K632" i="209"/>
  <c r="G11" i="99"/>
  <c r="G45" i="99" s="1"/>
  <c r="L124" i="246" s="1"/>
  <c r="F11" i="365"/>
  <c r="F18" i="365" s="1"/>
  <c r="F37" i="365" s="1"/>
  <c r="Q212" i="209" s="1"/>
  <c r="N26" i="337"/>
  <c r="Q750" i="209" s="1"/>
  <c r="I345" i="209"/>
  <c r="E44" i="338"/>
  <c r="P91" i="209" s="1"/>
  <c r="E29" i="292"/>
  <c r="D11" i="338"/>
  <c r="O622" i="209" s="1"/>
  <c r="K750" i="209"/>
  <c r="U37" i="246"/>
  <c r="U88" i="246" s="1"/>
  <c r="U139" i="246" s="1"/>
  <c r="U190" i="246" s="1"/>
  <c r="U241" i="246" s="1"/>
  <c r="U292" i="246" s="1"/>
  <c r="U343" i="246" s="1"/>
  <c r="U394" i="246" s="1"/>
  <c r="U445" i="246" s="1"/>
  <c r="U496" i="246" s="1"/>
  <c r="U547" i="246" s="1"/>
  <c r="U598" i="246" s="1"/>
  <c r="Q485" i="246"/>
  <c r="G11" i="338"/>
  <c r="O26" i="338" s="1"/>
  <c r="R740" i="209" s="1"/>
  <c r="M25" i="231"/>
  <c r="F48" i="104"/>
  <c r="N20" i="176" s="1"/>
  <c r="F11" i="9"/>
  <c r="N26" i="9" s="1"/>
  <c r="E30" i="171"/>
  <c r="D12" i="173"/>
  <c r="O677" i="209"/>
  <c r="D93" i="246"/>
  <c r="D144" i="246" s="1"/>
  <c r="D195" i="246" s="1"/>
  <c r="D246" i="246" s="1"/>
  <c r="D297" i="246" s="1"/>
  <c r="D348" i="246" s="1"/>
  <c r="D399" i="246" s="1"/>
  <c r="D450" i="246" s="1"/>
  <c r="D501" i="246" s="1"/>
  <c r="D552" i="246" s="1"/>
  <c r="D603" i="246" s="1"/>
  <c r="D654" i="246" s="1"/>
  <c r="F25" i="172"/>
  <c r="G26" i="292"/>
  <c r="U35" i="209"/>
  <c r="U94" i="209" s="1"/>
  <c r="U153" i="209" s="1"/>
  <c r="U212" i="209" s="1"/>
  <c r="U271" i="209" s="1"/>
  <c r="U330" i="209" s="1"/>
  <c r="U389" i="209" s="1"/>
  <c r="U448" i="209" s="1"/>
  <c r="U507" i="209" s="1"/>
  <c r="U566" i="209" s="1"/>
  <c r="U625" i="209" s="1"/>
  <c r="U684" i="209" s="1"/>
  <c r="U743" i="209" s="1"/>
  <c r="J368" i="246"/>
  <c r="F11" i="338"/>
  <c r="Q622" i="209" s="1"/>
  <c r="I374" i="246"/>
  <c r="Q632" i="209"/>
  <c r="G11" i="9"/>
  <c r="G46" i="9" s="1"/>
  <c r="L684" i="209"/>
  <c r="P7" i="296"/>
  <c r="F40" i="213"/>
  <c r="K82" i="209" s="1"/>
  <c r="L5" i="16"/>
  <c r="L7" i="16" s="1"/>
  <c r="L5" i="296"/>
  <c r="L29" i="296" s="1"/>
  <c r="G48" i="326"/>
  <c r="O20" i="324" s="1"/>
  <c r="F42" i="213"/>
  <c r="K259" i="209" s="1"/>
  <c r="N7" i="16"/>
  <c r="G13" i="250"/>
  <c r="H23" i="291"/>
  <c r="H37" i="291" s="1"/>
  <c r="D26" i="250"/>
  <c r="E29" i="250"/>
  <c r="K731" i="209"/>
  <c r="N7" i="187"/>
  <c r="O7" i="16"/>
  <c r="M465" i="209"/>
  <c r="M583" i="209"/>
  <c r="S504" i="246"/>
  <c r="M435" i="209"/>
  <c r="S436" i="209"/>
  <c r="S525" i="209"/>
  <c r="M558" i="209"/>
  <c r="S702" i="209"/>
  <c r="S704" i="209"/>
  <c r="F37" i="213"/>
  <c r="Q200" i="209" s="1"/>
  <c r="O7" i="187"/>
  <c r="D30" i="170"/>
  <c r="F173" i="209"/>
  <c r="O7" i="324"/>
  <c r="N7" i="338"/>
  <c r="F704" i="209"/>
  <c r="M494" i="209"/>
  <c r="S495" i="209"/>
  <c r="S554" i="209"/>
  <c r="M586" i="209"/>
  <c r="M316" i="246"/>
  <c r="M322" i="246"/>
  <c r="M329" i="246"/>
  <c r="M331" i="246"/>
  <c r="M341" i="246"/>
  <c r="M343" i="246"/>
  <c r="M347" i="246"/>
  <c r="M349" i="246"/>
  <c r="M351" i="246"/>
  <c r="M370" i="246"/>
  <c r="M381" i="246"/>
  <c r="M385" i="246"/>
  <c r="M387" i="246"/>
  <c r="M393" i="246"/>
  <c r="M397" i="246"/>
  <c r="M399" i="246"/>
  <c r="M403" i="246"/>
  <c r="M416" i="246"/>
  <c r="M440" i="246"/>
  <c r="S490" i="246"/>
  <c r="O7" i="126"/>
  <c r="N7" i="213"/>
  <c r="H7" i="271"/>
  <c r="J470" i="246"/>
  <c r="M7" i="39"/>
  <c r="N7" i="126"/>
  <c r="N7" i="220"/>
  <c r="F35" i="271"/>
  <c r="P7" i="39"/>
  <c r="Q617" i="209"/>
  <c r="P7" i="362"/>
  <c r="F35" i="160"/>
  <c r="L638" i="209"/>
  <c r="K617" i="209"/>
  <c r="D11" i="162"/>
  <c r="I676" i="209" s="1"/>
  <c r="F45" i="347"/>
  <c r="K170" i="209" s="1"/>
  <c r="G11" i="162"/>
  <c r="R617" i="209" s="1"/>
  <c r="R20" i="37"/>
  <c r="T20" i="37" s="1"/>
  <c r="F44" i="162"/>
  <c r="Q86" i="209" s="1"/>
  <c r="K701" i="209"/>
  <c r="E11" i="162"/>
  <c r="E44" i="162" s="1"/>
  <c r="P86" i="209" s="1"/>
  <c r="E35" i="307"/>
  <c r="K676" i="209"/>
  <c r="S380" i="209"/>
  <c r="M407" i="209"/>
  <c r="S408" i="209"/>
  <c r="S466" i="209"/>
  <c r="M277" i="246"/>
  <c r="H37" i="195"/>
  <c r="S195" i="246" s="1"/>
  <c r="P7" i="11"/>
  <c r="N14" i="49"/>
  <c r="L5" i="11"/>
  <c r="L7" i="11" s="1"/>
  <c r="S270" i="246"/>
  <c r="M283" i="246"/>
  <c r="M344" i="209"/>
  <c r="H35" i="95"/>
  <c r="E14" i="185"/>
  <c r="J630" i="209"/>
  <c r="O7" i="11"/>
  <c r="F21" i="154"/>
  <c r="N23" i="154" s="1"/>
  <c r="M7" i="11"/>
  <c r="D11" i="347"/>
  <c r="E40" i="162"/>
  <c r="H38" i="156"/>
  <c r="M8" i="246" s="1"/>
  <c r="M337" i="246"/>
  <c r="S338" i="246"/>
  <c r="D35" i="330"/>
  <c r="S300" i="246"/>
  <c r="F45" i="162"/>
  <c r="K145" i="209" s="1"/>
  <c r="L689" i="209"/>
  <c r="P7" i="146"/>
  <c r="M431" i="209"/>
  <c r="G46" i="353"/>
  <c r="M7" i="362"/>
  <c r="E7" i="313"/>
  <c r="E39" i="213"/>
  <c r="P23" i="209" s="1"/>
  <c r="J600" i="209"/>
  <c r="H39" i="241"/>
  <c r="S55" i="209" s="1"/>
  <c r="G7" i="349"/>
  <c r="G7" i="79"/>
  <c r="N7" i="360"/>
  <c r="R643" i="209"/>
  <c r="M347" i="209"/>
  <c r="H26" i="291"/>
  <c r="H40" i="291" s="1"/>
  <c r="P12" i="288" s="1"/>
  <c r="H7" i="349"/>
  <c r="G21" i="79"/>
  <c r="O23" i="79" s="1"/>
  <c r="P7" i="360"/>
  <c r="E44" i="337"/>
  <c r="P101" i="209" s="1"/>
  <c r="F21" i="349"/>
  <c r="N23" i="349" s="1"/>
  <c r="F26" i="250"/>
  <c r="F18" i="292" s="1"/>
  <c r="E35" i="349"/>
  <c r="H43" i="166"/>
  <c r="P632" i="209"/>
  <c r="G35" i="349"/>
  <c r="U32" i="209"/>
  <c r="U91" i="209" s="1"/>
  <c r="U150" i="209" s="1"/>
  <c r="U209" i="209" s="1"/>
  <c r="U268" i="209" s="1"/>
  <c r="U327" i="209" s="1"/>
  <c r="U386" i="209" s="1"/>
  <c r="U445" i="209" s="1"/>
  <c r="U504" i="209" s="1"/>
  <c r="U563" i="209" s="1"/>
  <c r="U622" i="209" s="1"/>
  <c r="U681" i="209" s="1"/>
  <c r="U740" i="209" s="1"/>
  <c r="C27" i="250"/>
  <c r="P26" i="191"/>
  <c r="P7" i="307"/>
  <c r="E21" i="349"/>
  <c r="M23" i="349" s="1"/>
  <c r="H39" i="126"/>
  <c r="S37" i="246" s="1"/>
  <c r="AA17" i="292"/>
  <c r="D5" i="349"/>
  <c r="D7" i="349" s="1"/>
  <c r="O7" i="105"/>
  <c r="T14" i="27"/>
  <c r="M285" i="246"/>
  <c r="N7" i="105"/>
  <c r="M331" i="209"/>
  <c r="H43" i="288"/>
  <c r="F35" i="349"/>
  <c r="G11" i="95"/>
  <c r="G45" i="95" s="1"/>
  <c r="L131" i="246" s="1"/>
  <c r="L5" i="105"/>
  <c r="L7" i="105" s="1"/>
  <c r="S297" i="246"/>
  <c r="M286" i="246"/>
  <c r="D11" i="95"/>
  <c r="L26" i="95" s="1"/>
  <c r="P7" i="105"/>
  <c r="S524" i="209"/>
  <c r="S429" i="246"/>
  <c r="S582" i="246"/>
  <c r="E29" i="231"/>
  <c r="F15" i="185"/>
  <c r="J408" i="246"/>
  <c r="G35" i="79"/>
  <c r="S239" i="246"/>
  <c r="H35" i="79"/>
  <c r="M20" i="191"/>
  <c r="F21" i="79"/>
  <c r="N23" i="79" s="1"/>
  <c r="M7" i="360"/>
  <c r="M7" i="307"/>
  <c r="M20" i="95"/>
  <c r="G18" i="337"/>
  <c r="G41" i="337" s="1"/>
  <c r="L219" i="209" s="1"/>
  <c r="F7" i="79"/>
  <c r="G44" i="221"/>
  <c r="R112" i="209" s="1"/>
  <c r="J751" i="209"/>
  <c r="E38" i="39"/>
  <c r="J43" i="209" s="1"/>
  <c r="M26" i="39"/>
  <c r="E43" i="39" s="1"/>
  <c r="E47" i="39" s="1"/>
  <c r="P161" i="209" s="1"/>
  <c r="J689" i="209"/>
  <c r="E40" i="39"/>
  <c r="J102" i="209" s="1"/>
  <c r="E45" i="324"/>
  <c r="N48" i="294" s="1"/>
  <c r="M26" i="324"/>
  <c r="E43" i="324" s="1"/>
  <c r="E47" i="324" s="1"/>
  <c r="S48" i="294" s="1"/>
  <c r="F44" i="324"/>
  <c r="T28" i="294" s="1"/>
  <c r="I13" i="164"/>
  <c r="I20" i="164" s="1"/>
  <c r="G44" i="14"/>
  <c r="R69" i="209" s="1"/>
  <c r="E41" i="39"/>
  <c r="J220" i="209" s="1"/>
  <c r="M7" i="178"/>
  <c r="S421" i="246"/>
  <c r="S423" i="246"/>
  <c r="S430" i="246"/>
  <c r="S432" i="246"/>
  <c r="S436" i="246"/>
  <c r="S438" i="246"/>
  <c r="S444" i="246"/>
  <c r="S446" i="246"/>
  <c r="S448" i="246"/>
  <c r="S450" i="246"/>
  <c r="S452" i="246"/>
  <c r="S454" i="246"/>
  <c r="S469" i="246"/>
  <c r="S473" i="246"/>
  <c r="S475" i="246"/>
  <c r="S482" i="246"/>
  <c r="S484" i="246"/>
  <c r="S488" i="246"/>
  <c r="S494" i="246"/>
  <c r="S496" i="246"/>
  <c r="S498" i="246"/>
  <c r="S500" i="246"/>
  <c r="S502" i="246"/>
  <c r="F35" i="99"/>
  <c r="E41" i="213"/>
  <c r="J200" i="209" s="1"/>
  <c r="E40" i="213"/>
  <c r="J82" i="209" s="1"/>
  <c r="E42" i="213"/>
  <c r="J259" i="209" s="1"/>
  <c r="F21" i="219"/>
  <c r="N23" i="219" s="1"/>
  <c r="E37" i="213"/>
  <c r="P200" i="209" s="1"/>
  <c r="H35" i="219"/>
  <c r="N7" i="362"/>
  <c r="S363" i="209"/>
  <c r="S369" i="209"/>
  <c r="M519" i="209"/>
  <c r="M509" i="209"/>
  <c r="S701" i="209"/>
  <c r="L5" i="362"/>
  <c r="L7" i="362" s="1"/>
  <c r="O7" i="295"/>
  <c r="S673" i="209"/>
  <c r="P353" i="246"/>
  <c r="L506" i="246"/>
  <c r="N27" i="292"/>
  <c r="S315" i="246"/>
  <c r="S346" i="246"/>
  <c r="S348" i="246"/>
  <c r="S381" i="209"/>
  <c r="S494" i="209"/>
  <c r="S553" i="209"/>
  <c r="M585" i="209"/>
  <c r="S586" i="209"/>
  <c r="S670" i="209"/>
  <c r="S672" i="209"/>
  <c r="S406" i="209"/>
  <c r="D24" i="250"/>
  <c r="G27" i="250"/>
  <c r="H27" i="291"/>
  <c r="H41" i="291" s="1"/>
  <c r="P13" i="289" s="1"/>
  <c r="H23" i="226"/>
  <c r="I34" i="292" s="1"/>
  <c r="Q332" i="246"/>
  <c r="G18" i="139"/>
  <c r="G40" i="139" s="1"/>
  <c r="L67" i="246" s="1"/>
  <c r="M448" i="246"/>
  <c r="M454" i="246"/>
  <c r="M475" i="246"/>
  <c r="M484" i="246"/>
  <c r="M488" i="246"/>
  <c r="M496" i="246"/>
  <c r="E31" i="231"/>
  <c r="S401" i="209"/>
  <c r="F14" i="186"/>
  <c r="D17" i="172"/>
  <c r="S499" i="209"/>
  <c r="S558" i="209"/>
  <c r="M365" i="209"/>
  <c r="M369" i="209"/>
  <c r="M371" i="209"/>
  <c r="M418" i="246"/>
  <c r="N31" i="37"/>
  <c r="R31" i="37" s="1"/>
  <c r="N29" i="37"/>
  <c r="R27" i="37"/>
  <c r="T27" i="37" s="1"/>
  <c r="J29" i="37"/>
  <c r="N17" i="37"/>
  <c r="J24" i="36"/>
  <c r="T14" i="80"/>
  <c r="J15" i="80"/>
  <c r="J22" i="80" s="1"/>
  <c r="X50" i="80" s="1"/>
  <c r="T12" i="80"/>
  <c r="N15" i="80"/>
  <c r="J18" i="70"/>
  <c r="N26" i="28"/>
  <c r="T24" i="28"/>
  <c r="T26" i="28" s="1"/>
  <c r="E14" i="4"/>
  <c r="D14" i="4" s="1"/>
  <c r="N13" i="28"/>
  <c r="N17" i="28" s="1"/>
  <c r="R13" i="28"/>
  <c r="J13" i="155"/>
  <c r="J18" i="155" s="1"/>
  <c r="R11" i="155"/>
  <c r="T11" i="155" s="1"/>
  <c r="J17" i="29"/>
  <c r="X56" i="29" s="1"/>
  <c r="T14" i="29"/>
  <c r="J13" i="124"/>
  <c r="J18" i="124" s="1"/>
  <c r="J21" i="124" s="1"/>
  <c r="T17" i="371"/>
  <c r="E46" i="39"/>
  <c r="M591" i="246"/>
  <c r="M440" i="209"/>
  <c r="S584" i="209"/>
  <c r="M25" i="250"/>
  <c r="L691" i="209"/>
  <c r="F15" i="223"/>
  <c r="N25" i="250"/>
  <c r="S389" i="246"/>
  <c r="M552" i="209"/>
  <c r="S434" i="209"/>
  <c r="M498" i="209"/>
  <c r="M526" i="209"/>
  <c r="S542" i="209"/>
  <c r="M557" i="209"/>
  <c r="S683" i="209"/>
  <c r="E12" i="250"/>
  <c r="P709" i="209" s="1"/>
  <c r="E16" i="250"/>
  <c r="H24" i="291"/>
  <c r="J17" i="292" s="1"/>
  <c r="H30" i="291"/>
  <c r="H44" i="291" s="1"/>
  <c r="D33" i="250"/>
  <c r="N21" i="27"/>
  <c r="N28" i="27" s="1"/>
  <c r="J323" i="246"/>
  <c r="E42" i="39"/>
  <c r="J279" i="209" s="1"/>
  <c r="S409" i="209"/>
  <c r="M424" i="209"/>
  <c r="E15" i="250"/>
  <c r="P496" i="209"/>
  <c r="D28" i="250"/>
  <c r="M496" i="209"/>
  <c r="AA27" i="292"/>
  <c r="S497" i="246"/>
  <c r="E14" i="186"/>
  <c r="D5" i="7"/>
  <c r="D21" i="7" s="1"/>
  <c r="L23" i="7" s="1"/>
  <c r="P7" i="188"/>
  <c r="S320" i="246"/>
  <c r="S322" i="246"/>
  <c r="S329" i="246"/>
  <c r="S331" i="246"/>
  <c r="S335" i="246"/>
  <c r="S341" i="246"/>
  <c r="S343" i="246"/>
  <c r="S345" i="246"/>
  <c r="S349" i="246"/>
  <c r="S370" i="246"/>
  <c r="S379" i="246"/>
  <c r="S381" i="246"/>
  <c r="S401" i="246"/>
  <c r="S590" i="246"/>
  <c r="E45" i="39"/>
  <c r="J161" i="209" s="1"/>
  <c r="M377" i="209"/>
  <c r="E38" i="188"/>
  <c r="J39" i="246" s="1"/>
  <c r="J651" i="246"/>
  <c r="E37" i="188"/>
  <c r="P192" i="246" s="1"/>
  <c r="E42" i="188"/>
  <c r="J243" i="246" s="1"/>
  <c r="E41" i="188"/>
  <c r="J192" i="246" s="1"/>
  <c r="E39" i="188"/>
  <c r="G44" i="156"/>
  <c r="R59" i="246" s="1"/>
  <c r="Q616" i="209"/>
  <c r="F467" i="209"/>
  <c r="G11" i="160"/>
  <c r="G18" i="160" s="1"/>
  <c r="E33" i="173"/>
  <c r="O26" i="156"/>
  <c r="G43" i="156" s="1"/>
  <c r="G47" i="156" s="1"/>
  <c r="R110" i="246" s="1"/>
  <c r="K675" i="209"/>
  <c r="C27" i="171"/>
  <c r="D11" i="160"/>
  <c r="I546" i="246" s="1"/>
  <c r="F377" i="209"/>
  <c r="G30" i="172"/>
  <c r="E41" i="284"/>
  <c r="J163" i="246" s="1"/>
  <c r="J657" i="209"/>
  <c r="F46" i="215"/>
  <c r="N26" i="215"/>
  <c r="N26" i="212" s="1"/>
  <c r="F43" i="212" s="1"/>
  <c r="F47" i="212" s="1"/>
  <c r="Q146" i="209" s="1"/>
  <c r="P25" i="104"/>
  <c r="J332" i="246"/>
  <c r="G11" i="215"/>
  <c r="R616" i="209" s="1"/>
  <c r="E46" i="16"/>
  <c r="F44" i="215"/>
  <c r="Q85" i="209" s="1"/>
  <c r="G13" i="172"/>
  <c r="G27" i="44"/>
  <c r="G27" i="328" s="1"/>
  <c r="K624" i="209"/>
  <c r="K611" i="209"/>
  <c r="M26" i="16"/>
  <c r="E43" i="16" s="1"/>
  <c r="E47" i="16" s="1"/>
  <c r="P126" i="209" s="1"/>
  <c r="D45" i="151"/>
  <c r="I140" i="246" s="1"/>
  <c r="F45" i="215"/>
  <c r="K144" i="209" s="1"/>
  <c r="E33" i="171"/>
  <c r="AA26" i="292"/>
  <c r="D66" i="246"/>
  <c r="D117" i="246" s="1"/>
  <c r="D168" i="246" s="1"/>
  <c r="D219" i="246" s="1"/>
  <c r="D270" i="246" s="1"/>
  <c r="D321" i="246" s="1"/>
  <c r="D372" i="246" s="1"/>
  <c r="D423" i="246" s="1"/>
  <c r="D474" i="246" s="1"/>
  <c r="D525" i="246" s="1"/>
  <c r="D576" i="246" s="1"/>
  <c r="D627" i="246" s="1"/>
  <c r="D25" i="44"/>
  <c r="D25" i="328" s="1"/>
  <c r="J598" i="209"/>
  <c r="I599" i="246"/>
  <c r="R506" i="246"/>
  <c r="L383" i="246"/>
  <c r="F26" i="171"/>
  <c r="D86" i="209"/>
  <c r="D145" i="209" s="1"/>
  <c r="D204" i="209" s="1"/>
  <c r="D263" i="209" s="1"/>
  <c r="D322" i="209" s="1"/>
  <c r="D381" i="209" s="1"/>
  <c r="D440" i="209" s="1"/>
  <c r="D499" i="209" s="1"/>
  <c r="D558" i="209" s="1"/>
  <c r="D617" i="209" s="1"/>
  <c r="D676" i="209" s="1"/>
  <c r="D735" i="209" s="1"/>
  <c r="P663" i="209"/>
  <c r="N26" i="214"/>
  <c r="Q729" i="209" s="1"/>
  <c r="E18" i="16"/>
  <c r="E39" i="16" s="1"/>
  <c r="P8" i="209" s="1"/>
  <c r="D18" i="151"/>
  <c r="D40" i="151" s="1"/>
  <c r="I89" i="246" s="1"/>
  <c r="G48" i="226"/>
  <c r="D44" i="151"/>
  <c r="O89" i="246" s="1"/>
  <c r="G46" i="156"/>
  <c r="D46" i="151"/>
  <c r="E30" i="172"/>
  <c r="F46" i="214"/>
  <c r="M26" i="188"/>
  <c r="E43" i="188" s="1"/>
  <c r="E47" i="188" s="1"/>
  <c r="P141" i="246" s="1"/>
  <c r="Q302" i="246"/>
  <c r="F141" i="209"/>
  <c r="Q663" i="209"/>
  <c r="E46" i="367"/>
  <c r="F18" i="214"/>
  <c r="F42" i="214" s="1"/>
  <c r="K257" i="209" s="1"/>
  <c r="J455" i="246"/>
  <c r="G31" i="18"/>
  <c r="G31" i="327" s="1"/>
  <c r="R663" i="209"/>
  <c r="S663" i="209" s="1"/>
  <c r="F26" i="231"/>
  <c r="F35" i="292" s="1"/>
  <c r="E44" i="188"/>
  <c r="P90" i="246" s="1"/>
  <c r="K670" i="209"/>
  <c r="P455" i="246"/>
  <c r="E11" i="333"/>
  <c r="E46" i="333" s="1"/>
  <c r="D11" i="215"/>
  <c r="I616" i="209" s="1"/>
  <c r="C24" i="171"/>
  <c r="E18" i="367"/>
  <c r="I22" i="294" s="1"/>
  <c r="Q611" i="209"/>
  <c r="E11" i="215"/>
  <c r="E18" i="215" s="1"/>
  <c r="D87" i="246"/>
  <c r="D138" i="246" s="1"/>
  <c r="D189" i="246" s="1"/>
  <c r="D240" i="246" s="1"/>
  <c r="D291" i="246" s="1"/>
  <c r="D342" i="246" s="1"/>
  <c r="D393" i="246" s="1"/>
  <c r="D444" i="246" s="1"/>
  <c r="D495" i="246" s="1"/>
  <c r="D546" i="246" s="1"/>
  <c r="D597" i="246" s="1"/>
  <c r="D648" i="246" s="1"/>
  <c r="J383" i="246"/>
  <c r="E16" i="18"/>
  <c r="E16" i="327" s="1"/>
  <c r="R19" i="30"/>
  <c r="X45" i="30" s="1"/>
  <c r="R13" i="100"/>
  <c r="T13" i="100" s="1"/>
  <c r="R17" i="36"/>
  <c r="T17" i="36" s="1"/>
  <c r="N25" i="36"/>
  <c r="N30" i="36" s="1"/>
  <c r="D46" i="16"/>
  <c r="I598" i="209"/>
  <c r="R11" i="124"/>
  <c r="T11" i="124" s="1"/>
  <c r="N18" i="124"/>
  <c r="T12" i="124"/>
  <c r="G15" i="95"/>
  <c r="F15" i="186"/>
  <c r="H24" i="247"/>
  <c r="H38" i="247" s="1"/>
  <c r="P10" i="105" s="1"/>
  <c r="I378" i="209"/>
  <c r="I319" i="209"/>
  <c r="D91" i="246"/>
  <c r="D142" i="246" s="1"/>
  <c r="D193" i="246" s="1"/>
  <c r="D244" i="246" s="1"/>
  <c r="D295" i="246" s="1"/>
  <c r="D346" i="246" s="1"/>
  <c r="D397" i="246" s="1"/>
  <c r="D448" i="246" s="1"/>
  <c r="D499" i="246" s="1"/>
  <c r="D550" i="246" s="1"/>
  <c r="D601" i="246" s="1"/>
  <c r="D652" i="246" s="1"/>
  <c r="F31" i="250"/>
  <c r="S232" i="246"/>
  <c r="H47" i="189"/>
  <c r="S145" i="246" s="1"/>
  <c r="F11" i="270"/>
  <c r="F18" i="270" s="1"/>
  <c r="F38" i="270" s="1"/>
  <c r="K45" i="246" s="1"/>
  <c r="H24" i="185"/>
  <c r="M266" i="246" s="1"/>
  <c r="P323" i="246"/>
  <c r="H46" i="223"/>
  <c r="S527" i="246" s="1"/>
  <c r="E11" i="10"/>
  <c r="R463" i="209"/>
  <c r="E30" i="250"/>
  <c r="H43" i="7"/>
  <c r="H47" i="362"/>
  <c r="S280" i="246"/>
  <c r="N19" i="30"/>
  <c r="S248" i="246"/>
  <c r="L5" i="178"/>
  <c r="L7" i="178" s="1"/>
  <c r="D5" i="154"/>
  <c r="H21" i="337"/>
  <c r="P23" i="337" s="1"/>
  <c r="H39" i="215"/>
  <c r="S26" i="209" s="1"/>
  <c r="D32" i="231"/>
  <c r="F198" i="209"/>
  <c r="L666" i="209"/>
  <c r="O26" i="7"/>
  <c r="R725" i="209" s="1"/>
  <c r="G15" i="212"/>
  <c r="M316" i="209"/>
  <c r="S268" i="246"/>
  <c r="J319" i="209"/>
  <c r="G39" i="221"/>
  <c r="R53" i="209" s="1"/>
  <c r="S248" i="209"/>
  <c r="E35" i="154"/>
  <c r="D7" i="365"/>
  <c r="J18" i="100"/>
  <c r="J21" i="100" s="1"/>
  <c r="L5" i="154"/>
  <c r="L7" i="154" s="1"/>
  <c r="G15" i="166"/>
  <c r="G15" i="223" s="1"/>
  <c r="E15" i="186"/>
  <c r="S227" i="246"/>
  <c r="L5" i="248"/>
  <c r="L23" i="248" s="1"/>
  <c r="I576" i="246"/>
  <c r="G31" i="250"/>
  <c r="K319" i="209"/>
  <c r="G38" i="221"/>
  <c r="L53" i="209" s="1"/>
  <c r="H47" i="190"/>
  <c r="S111" i="246" s="1"/>
  <c r="S246" i="209"/>
  <c r="H7" i="151"/>
  <c r="H33" i="291"/>
  <c r="M436" i="209"/>
  <c r="S498" i="209"/>
  <c r="M525" i="209"/>
  <c r="S526" i="209"/>
  <c r="S557" i="209"/>
  <c r="H32" i="361"/>
  <c r="D26" i="171"/>
  <c r="D46" i="187"/>
  <c r="I525" i="246"/>
  <c r="D44" i="183"/>
  <c r="O97" i="246" s="1"/>
  <c r="P437" i="209"/>
  <c r="G42" i="221"/>
  <c r="L289" i="209" s="1"/>
  <c r="U42" i="209"/>
  <c r="U101" i="209" s="1"/>
  <c r="U160" i="209" s="1"/>
  <c r="U219" i="209" s="1"/>
  <c r="U278" i="209" s="1"/>
  <c r="U337" i="209" s="1"/>
  <c r="U396" i="209" s="1"/>
  <c r="U455" i="209" s="1"/>
  <c r="U514" i="209" s="1"/>
  <c r="U573" i="209" s="1"/>
  <c r="U632" i="209" s="1"/>
  <c r="U691" i="209" s="1"/>
  <c r="U750" i="209" s="1"/>
  <c r="O26" i="221"/>
  <c r="G43" i="221" s="1"/>
  <c r="G47" i="221" s="1"/>
  <c r="R171" i="209" s="1"/>
  <c r="E18" i="191"/>
  <c r="M23" i="247"/>
  <c r="N23" i="247"/>
  <c r="S364" i="209"/>
  <c r="S428" i="209"/>
  <c r="S378" i="246"/>
  <c r="S480" i="246"/>
  <c r="D44" i="187"/>
  <c r="O66" i="246" s="1"/>
  <c r="H43" i="291"/>
  <c r="F7" i="221"/>
  <c r="O437" i="209"/>
  <c r="S437" i="209" s="1"/>
  <c r="F7" i="154"/>
  <c r="K555" i="209"/>
  <c r="G35" i="221"/>
  <c r="O26" i="270"/>
  <c r="G43" i="270" s="1"/>
  <c r="G47" i="270" s="1"/>
  <c r="R147" i="246" s="1"/>
  <c r="H35" i="313"/>
  <c r="D21" i="365"/>
  <c r="L23" i="365" s="1"/>
  <c r="J21" i="27"/>
  <c r="J28" i="27" s="1"/>
  <c r="J39" i="27" s="1"/>
  <c r="U14" i="246"/>
  <c r="U65" i="246" s="1"/>
  <c r="U116" i="246" s="1"/>
  <c r="U167" i="246" s="1"/>
  <c r="U218" i="246" s="1"/>
  <c r="U269" i="246" s="1"/>
  <c r="U320" i="246" s="1"/>
  <c r="U371" i="246" s="1"/>
  <c r="U422" i="246" s="1"/>
  <c r="U473" i="246" s="1"/>
  <c r="U524" i="246" s="1"/>
  <c r="U575" i="246" s="1"/>
  <c r="H39" i="214"/>
  <c r="S21" i="209" s="1"/>
  <c r="E14" i="141"/>
  <c r="F14" i="141" s="1"/>
  <c r="G14" i="141" s="1"/>
  <c r="G14" i="226" s="1"/>
  <c r="G21" i="151"/>
  <c r="O23" i="151" s="1"/>
  <c r="L555" i="209"/>
  <c r="S440" i="209"/>
  <c r="S337" i="246"/>
  <c r="M389" i="246"/>
  <c r="G14" i="250"/>
  <c r="M23" i="248"/>
  <c r="J378" i="209"/>
  <c r="H21" i="347"/>
  <c r="P23" i="347" s="1"/>
  <c r="S342" i="209"/>
  <c r="G44" i="270"/>
  <c r="R96" i="246" s="1"/>
  <c r="F48" i="247"/>
  <c r="N20" i="213" s="1"/>
  <c r="S375" i="209"/>
  <c r="P23" i="247"/>
  <c r="E11" i="270"/>
  <c r="J555" i="246" s="1"/>
  <c r="D11" i="270"/>
  <c r="D44" i="270" s="1"/>
  <c r="O96" i="246" s="1"/>
  <c r="S580" i="209"/>
  <c r="S661" i="209"/>
  <c r="H27" i="247"/>
  <c r="H41" i="247" s="1"/>
  <c r="P13" i="105" s="1"/>
  <c r="D18" i="183"/>
  <c r="D40" i="183" s="1"/>
  <c r="I97" i="246" s="1"/>
  <c r="H28" i="247"/>
  <c r="H42" i="247" s="1"/>
  <c r="P14" i="105" s="1"/>
  <c r="D11" i="221"/>
  <c r="I643" i="209" s="1"/>
  <c r="G7" i="347"/>
  <c r="G45" i="221"/>
  <c r="L171" i="209" s="1"/>
  <c r="L555" i="246"/>
  <c r="O23" i="247"/>
  <c r="M510" i="209"/>
  <c r="M504" i="209"/>
  <c r="D45" i="183"/>
  <c r="I148" i="246" s="1"/>
  <c r="R18" i="70"/>
  <c r="L761" i="209"/>
  <c r="F11" i="221"/>
  <c r="E35" i="347"/>
  <c r="L643" i="209"/>
  <c r="R555" i="246"/>
  <c r="O23" i="248"/>
  <c r="E15" i="223"/>
  <c r="H21" i="154"/>
  <c r="P23" i="154" s="1"/>
  <c r="O496" i="209"/>
  <c r="H43" i="154"/>
  <c r="D30" i="250"/>
  <c r="G45" i="337"/>
  <c r="L160" i="209" s="1"/>
  <c r="F12" i="250"/>
  <c r="N18" i="292" s="1"/>
  <c r="G40" i="221"/>
  <c r="L112" i="209" s="1"/>
  <c r="E11" i="221"/>
  <c r="J643" i="209" s="1"/>
  <c r="F7" i="347"/>
  <c r="H38" i="271"/>
  <c r="M23" i="246" s="1"/>
  <c r="G46" i="221"/>
  <c r="L606" i="246"/>
  <c r="G35" i="154"/>
  <c r="N23" i="248"/>
  <c r="H7" i="337"/>
  <c r="H35" i="154"/>
  <c r="M280" i="246"/>
  <c r="L26" i="183"/>
  <c r="D43" i="183" s="1"/>
  <c r="D47" i="183" s="1"/>
  <c r="O148" i="246" s="1"/>
  <c r="H46" i="247"/>
  <c r="G41" i="221"/>
  <c r="L230" i="209" s="1"/>
  <c r="L702" i="209"/>
  <c r="J19" i="30"/>
  <c r="J23" i="30" s="1"/>
  <c r="N19" i="161"/>
  <c r="H31" i="247"/>
  <c r="H45" i="247" s="1"/>
  <c r="S350" i="246"/>
  <c r="S394" i="246"/>
  <c r="S396" i="246"/>
  <c r="S400" i="246"/>
  <c r="S417" i="246"/>
  <c r="F30" i="184"/>
  <c r="E31" i="292" s="1"/>
  <c r="D14" i="184"/>
  <c r="D24" i="184"/>
  <c r="G33" i="184"/>
  <c r="R555" i="209"/>
  <c r="S214" i="246"/>
  <c r="S279" i="209"/>
  <c r="H43" i="9"/>
  <c r="S337" i="209"/>
  <c r="M366" i="209"/>
  <c r="S395" i="209"/>
  <c r="S396" i="209"/>
  <c r="M446" i="209"/>
  <c r="M448" i="209"/>
  <c r="M566" i="209"/>
  <c r="F44" i="14"/>
  <c r="Q69" i="209" s="1"/>
  <c r="S272" i="209"/>
  <c r="S427" i="209"/>
  <c r="F46" i="347"/>
  <c r="N26" i="347"/>
  <c r="F43" i="347" s="1"/>
  <c r="F47" i="347" s="1"/>
  <c r="Q170" i="209" s="1"/>
  <c r="G17" i="172"/>
  <c r="G11" i="151"/>
  <c r="G18" i="151" s="1"/>
  <c r="L650" i="246" s="1"/>
  <c r="F46" i="324"/>
  <c r="G31" i="231"/>
  <c r="F11" i="195"/>
  <c r="F44" i="195" s="1"/>
  <c r="Q93" i="246" s="1"/>
  <c r="E11" i="195"/>
  <c r="P552" i="246" s="1"/>
  <c r="L552" i="246"/>
  <c r="K642" i="209"/>
  <c r="D11" i="195"/>
  <c r="D44" i="195" s="1"/>
  <c r="O93" i="246" s="1"/>
  <c r="F236" i="246"/>
  <c r="E48" i="223"/>
  <c r="F11" i="151"/>
  <c r="F44" i="151" s="1"/>
  <c r="Q89" i="246" s="1"/>
  <c r="F18" i="324"/>
  <c r="F42" i="324" s="1"/>
  <c r="O68" i="294" s="1"/>
  <c r="F338" i="246"/>
  <c r="F440" i="246"/>
  <c r="F83" i="246"/>
  <c r="E11" i="151"/>
  <c r="C32" i="170"/>
  <c r="O26" i="195"/>
  <c r="G43" i="195" s="1"/>
  <c r="G47" i="195" s="1"/>
  <c r="R144" i="246" s="1"/>
  <c r="Q642" i="209"/>
  <c r="F593" i="246"/>
  <c r="S697" i="209"/>
  <c r="F185" i="246"/>
  <c r="G11" i="10"/>
  <c r="L605" i="209" s="1"/>
  <c r="O441" i="209"/>
  <c r="S441" i="209" s="1"/>
  <c r="D48" i="104"/>
  <c r="L20" i="271" s="1"/>
  <c r="F44" i="347"/>
  <c r="Q111" i="209" s="1"/>
  <c r="G11" i="347"/>
  <c r="E16" i="171"/>
  <c r="R17" i="100"/>
  <c r="T17" i="100" s="1"/>
  <c r="P17" i="292"/>
  <c r="L20" i="279"/>
  <c r="N7" i="101"/>
  <c r="P7" i="123"/>
  <c r="F44" i="123"/>
  <c r="Q93" i="209" s="1"/>
  <c r="L20" i="191"/>
  <c r="M7" i="4"/>
  <c r="S327" i="246"/>
  <c r="F46" i="123"/>
  <c r="L5" i="101"/>
  <c r="L7" i="101" s="1"/>
  <c r="N7" i="123"/>
  <c r="M330" i="246"/>
  <c r="M350" i="246"/>
  <c r="M365" i="246"/>
  <c r="S481" i="246"/>
  <c r="E28" i="250"/>
  <c r="I317" i="246"/>
  <c r="O7" i="4"/>
  <c r="G18" i="270"/>
  <c r="L657" i="246" s="1"/>
  <c r="S570" i="246"/>
  <c r="R17" i="37"/>
  <c r="E15" i="185"/>
  <c r="M7" i="214"/>
  <c r="S571" i="209"/>
  <c r="H31" i="223"/>
  <c r="H45" i="223" s="1"/>
  <c r="M119" i="246" s="1"/>
  <c r="P7" i="4"/>
  <c r="L5" i="214"/>
  <c r="L7" i="214" s="1"/>
  <c r="R26" i="28"/>
  <c r="R13" i="32"/>
  <c r="T13" i="32" s="1"/>
  <c r="T14" i="32" s="1"/>
  <c r="L5" i="4"/>
  <c r="L7" i="4" s="1"/>
  <c r="L5" i="141"/>
  <c r="L7" i="141" s="1"/>
  <c r="M7" i="176"/>
  <c r="M7" i="141"/>
  <c r="M7" i="101"/>
  <c r="O7" i="101"/>
  <c r="M7" i="123"/>
  <c r="M572" i="209"/>
  <c r="S687" i="209"/>
  <c r="S583" i="246"/>
  <c r="S601" i="246"/>
  <c r="G33" i="172"/>
  <c r="P14" i="221"/>
  <c r="P14" i="347"/>
  <c r="M292" i="209"/>
  <c r="J549" i="246"/>
  <c r="J600" i="246"/>
  <c r="M7" i="14"/>
  <c r="N7" i="14"/>
  <c r="H43" i="241"/>
  <c r="H47" i="241"/>
  <c r="S173" i="209" s="1"/>
  <c r="I642" i="246"/>
  <c r="H21" i="183"/>
  <c r="P23" i="183" s="1"/>
  <c r="G35" i="183"/>
  <c r="E7" i="183"/>
  <c r="H35" i="6"/>
  <c r="E7" i="6"/>
  <c r="E21" i="6"/>
  <c r="M23" i="6" s="1"/>
  <c r="G7" i="9"/>
  <c r="F35" i="9"/>
  <c r="E21" i="9"/>
  <c r="M23" i="9" s="1"/>
  <c r="F7" i="9"/>
  <c r="U47" i="209"/>
  <c r="U106" i="209" s="1"/>
  <c r="U165" i="209" s="1"/>
  <c r="U224" i="209" s="1"/>
  <c r="U283" i="209" s="1"/>
  <c r="U342" i="209" s="1"/>
  <c r="U401" i="209" s="1"/>
  <c r="U460" i="209" s="1"/>
  <c r="U519" i="209" s="1"/>
  <c r="U578" i="209" s="1"/>
  <c r="U637" i="209" s="1"/>
  <c r="U696" i="209" s="1"/>
  <c r="U755" i="209" s="1"/>
  <c r="D106" i="209"/>
  <c r="D165" i="209" s="1"/>
  <c r="D224" i="209" s="1"/>
  <c r="D283" i="209" s="1"/>
  <c r="D342" i="209" s="1"/>
  <c r="D401" i="209" s="1"/>
  <c r="D460" i="209" s="1"/>
  <c r="D519" i="209" s="1"/>
  <c r="D578" i="209" s="1"/>
  <c r="D637" i="209" s="1"/>
  <c r="D696" i="209" s="1"/>
  <c r="D755" i="209" s="1"/>
  <c r="M524" i="209"/>
  <c r="D40" i="191"/>
  <c r="I81" i="246" s="1"/>
  <c r="T11" i="30"/>
  <c r="T19" i="30" s="1"/>
  <c r="K532" i="246"/>
  <c r="D37" i="191"/>
  <c r="O183" i="246" s="1"/>
  <c r="S407" i="209"/>
  <c r="N20" i="290"/>
  <c r="G21" i="11"/>
  <c r="O23" i="11" s="1"/>
  <c r="E7" i="11"/>
  <c r="E35" i="241"/>
  <c r="F21" i="241"/>
  <c r="N23" i="241" s="1"/>
  <c r="E21" i="241"/>
  <c r="M23" i="241" s="1"/>
  <c r="G21" i="241"/>
  <c r="O23" i="241" s="1"/>
  <c r="D5" i="293"/>
  <c r="D21" i="293" s="1"/>
  <c r="L23" i="293" s="1"/>
  <c r="E35" i="293"/>
  <c r="H21" i="293"/>
  <c r="P23" i="293" s="1"/>
  <c r="O29" i="290"/>
  <c r="L5" i="290"/>
  <c r="L29" i="290" s="1"/>
  <c r="M23" i="290"/>
  <c r="N29" i="290"/>
  <c r="K692" i="209"/>
  <c r="O7" i="7"/>
  <c r="L5" i="7"/>
  <c r="L7" i="7" s="1"/>
  <c r="N7" i="95"/>
  <c r="P7" i="95"/>
  <c r="P7" i="295"/>
  <c r="S283" i="209"/>
  <c r="F21" i="137"/>
  <c r="N23" i="137" s="1"/>
  <c r="D5" i="137"/>
  <c r="D7" i="137" s="1"/>
  <c r="E7" i="137"/>
  <c r="H35" i="188"/>
  <c r="H7" i="188"/>
  <c r="G7" i="126"/>
  <c r="F35" i="126"/>
  <c r="G35" i="187"/>
  <c r="H21" i="187"/>
  <c r="P23" i="187" s="1"/>
  <c r="H7" i="187"/>
  <c r="D21" i="187"/>
  <c r="L23" i="187" s="1"/>
  <c r="E45" i="16"/>
  <c r="J126" i="209" s="1"/>
  <c r="E44" i="16"/>
  <c r="P67" i="209" s="1"/>
  <c r="P29" i="360"/>
  <c r="L5" i="360"/>
  <c r="O29" i="360"/>
  <c r="O29" i="324"/>
  <c r="N23" i="324"/>
  <c r="L5" i="324"/>
  <c r="M7" i="324"/>
  <c r="F7" i="190"/>
  <c r="E35" i="190"/>
  <c r="G35" i="105"/>
  <c r="D5" i="105"/>
  <c r="D7" i="105" s="1"/>
  <c r="G7" i="105"/>
  <c r="H7" i="105"/>
  <c r="F21" i="105"/>
  <c r="N23" i="105" s="1"/>
  <c r="E21" i="105"/>
  <c r="M23" i="105" s="1"/>
  <c r="F7" i="307"/>
  <c r="E21" i="307"/>
  <c r="M23" i="307" s="1"/>
  <c r="H21" i="307"/>
  <c r="P23" i="307" s="1"/>
  <c r="G21" i="307"/>
  <c r="O23" i="307" s="1"/>
  <c r="D100" i="209"/>
  <c r="D159" i="209" s="1"/>
  <c r="D218" i="209" s="1"/>
  <c r="D277" i="209" s="1"/>
  <c r="D336" i="209" s="1"/>
  <c r="D395" i="209" s="1"/>
  <c r="D454" i="209" s="1"/>
  <c r="D513" i="209" s="1"/>
  <c r="D572" i="209" s="1"/>
  <c r="D631" i="209" s="1"/>
  <c r="D690" i="209" s="1"/>
  <c r="D749" i="209" s="1"/>
  <c r="U41" i="209"/>
  <c r="U100" i="209" s="1"/>
  <c r="U159" i="209" s="1"/>
  <c r="U218" i="209" s="1"/>
  <c r="U277" i="209" s="1"/>
  <c r="U336" i="209" s="1"/>
  <c r="U395" i="209" s="1"/>
  <c r="U454" i="209" s="1"/>
  <c r="U513" i="209" s="1"/>
  <c r="U572" i="209" s="1"/>
  <c r="U631" i="209" s="1"/>
  <c r="U690" i="209" s="1"/>
  <c r="U749" i="209" s="1"/>
  <c r="S365" i="246"/>
  <c r="E38" i="284"/>
  <c r="J10" i="246" s="1"/>
  <c r="H35" i="271"/>
  <c r="R28" i="28"/>
  <c r="T28" i="28" s="1"/>
  <c r="F35" i="165"/>
  <c r="G21" i="165"/>
  <c r="O23" i="165" s="1"/>
  <c r="D5" i="165"/>
  <c r="D7" i="165" s="1"/>
  <c r="M380" i="209"/>
  <c r="M428" i="209"/>
  <c r="S527" i="209"/>
  <c r="S703" i="209"/>
  <c r="R13" i="27"/>
  <c r="T13" i="27" s="1"/>
  <c r="N7" i="337"/>
  <c r="O7" i="337"/>
  <c r="O7" i="178"/>
  <c r="N7" i="178"/>
  <c r="M7" i="154"/>
  <c r="O7" i="154"/>
  <c r="F80" i="209"/>
  <c r="F493" i="209"/>
  <c r="P731" i="209"/>
  <c r="N7" i="79"/>
  <c r="F15" i="212"/>
  <c r="M29" i="295"/>
  <c r="F35" i="154"/>
  <c r="G21" i="154"/>
  <c r="O23" i="154" s="1"/>
  <c r="F7" i="279"/>
  <c r="H35" i="279"/>
  <c r="E7" i="221"/>
  <c r="F21" i="221"/>
  <c r="N23" i="221" s="1"/>
  <c r="H35" i="347"/>
  <c r="F21" i="347"/>
  <c r="N23" i="347" s="1"/>
  <c r="G21" i="347"/>
  <c r="O23" i="347" s="1"/>
  <c r="F7" i="151"/>
  <c r="H35" i="151"/>
  <c r="E21" i="151"/>
  <c r="M23" i="151" s="1"/>
  <c r="F21" i="151"/>
  <c r="N23" i="151" s="1"/>
  <c r="F258" i="209"/>
  <c r="F81" i="209"/>
  <c r="M314" i="246"/>
  <c r="M379" i="246"/>
  <c r="S448" i="209"/>
  <c r="T14" i="371"/>
  <c r="M443" i="246"/>
  <c r="M449" i="246"/>
  <c r="M453" i="246"/>
  <c r="E23" i="250"/>
  <c r="F21" i="228"/>
  <c r="S429" i="209"/>
  <c r="E15" i="212"/>
  <c r="E15" i="228" s="1"/>
  <c r="M460" i="209"/>
  <c r="M461" i="209"/>
  <c r="M450" i="209"/>
  <c r="S485" i="209"/>
  <c r="M578" i="209"/>
  <c r="S662" i="209"/>
  <c r="S314" i="246"/>
  <c r="S316" i="246"/>
  <c r="S347" i="246"/>
  <c r="S351" i="246"/>
  <c r="S366" i="246"/>
  <c r="S372" i="246"/>
  <c r="S387" i="246"/>
  <c r="S393" i="246"/>
  <c r="S395" i="246"/>
  <c r="S397" i="246"/>
  <c r="S403" i="246"/>
  <c r="S416" i="246"/>
  <c r="M439" i="246"/>
  <c r="S440" i="246"/>
  <c r="S474" i="246"/>
  <c r="F14" i="250"/>
  <c r="E32" i="250"/>
  <c r="J476" i="246"/>
  <c r="S445" i="246"/>
  <c r="R25" i="161"/>
  <c r="H32" i="248"/>
  <c r="M646" i="209" s="1"/>
  <c r="E26" i="172"/>
  <c r="E21" i="7"/>
  <c r="M23" i="7" s="1"/>
  <c r="E21" i="162"/>
  <c r="M23" i="162" s="1"/>
  <c r="D73" i="246"/>
  <c r="D124" i="246" s="1"/>
  <c r="D175" i="246" s="1"/>
  <c r="D226" i="246" s="1"/>
  <c r="D277" i="246" s="1"/>
  <c r="D328" i="246" s="1"/>
  <c r="D379" i="246" s="1"/>
  <c r="D430" i="246" s="1"/>
  <c r="D481" i="246" s="1"/>
  <c r="D532" i="246" s="1"/>
  <c r="D583" i="246" s="1"/>
  <c r="D634" i="246" s="1"/>
  <c r="S291" i="246"/>
  <c r="M466" i="209"/>
  <c r="S467" i="209"/>
  <c r="S513" i="209"/>
  <c r="S514" i="209"/>
  <c r="S565" i="209"/>
  <c r="S572" i="209"/>
  <c r="M584" i="209"/>
  <c r="S585" i="209"/>
  <c r="S691" i="209"/>
  <c r="E48" i="326"/>
  <c r="H26" i="248"/>
  <c r="H40" i="248" s="1"/>
  <c r="C30" i="250"/>
  <c r="C33" i="250"/>
  <c r="E35" i="162"/>
  <c r="S461" i="209"/>
  <c r="M484" i="209"/>
  <c r="M490" i="209"/>
  <c r="S578" i="209"/>
  <c r="S579" i="209"/>
  <c r="S659" i="209"/>
  <c r="M328" i="246"/>
  <c r="M348" i="246"/>
  <c r="M400" i="246"/>
  <c r="M417" i="246"/>
  <c r="C32" i="250"/>
  <c r="D48" i="361"/>
  <c r="L20" i="367" s="1"/>
  <c r="C27" i="231"/>
  <c r="S520" i="209"/>
  <c r="Q317" i="246"/>
  <c r="D24" i="170"/>
  <c r="F30" i="170"/>
  <c r="K441" i="246"/>
  <c r="M427" i="209"/>
  <c r="M462" i="209"/>
  <c r="S482" i="209"/>
  <c r="S488" i="209"/>
  <c r="M580" i="209"/>
  <c r="S547" i="209"/>
  <c r="E29" i="171"/>
  <c r="E48" i="171" s="1"/>
  <c r="F21" i="7"/>
  <c r="N23" i="7" s="1"/>
  <c r="D5" i="125"/>
  <c r="D35" i="125" s="1"/>
  <c r="D5" i="4"/>
  <c r="E7" i="162"/>
  <c r="E7" i="4"/>
  <c r="O7" i="123"/>
  <c r="S288" i="209"/>
  <c r="G7" i="101"/>
  <c r="M297" i="246"/>
  <c r="M401" i="209"/>
  <c r="F13" i="231"/>
  <c r="M295" i="246"/>
  <c r="H38" i="141"/>
  <c r="M40" i="246" s="1"/>
  <c r="E31" i="250"/>
  <c r="E48" i="291"/>
  <c r="R12" i="100"/>
  <c r="T12" i="100" s="1"/>
  <c r="N18" i="100"/>
  <c r="G46" i="368"/>
  <c r="F35" i="368"/>
  <c r="E35" i="368"/>
  <c r="G21" i="368"/>
  <c r="O23" i="368" s="1"/>
  <c r="F21" i="368"/>
  <c r="N23" i="368" s="1"/>
  <c r="D5" i="368"/>
  <c r="D35" i="368" s="1"/>
  <c r="G35" i="368"/>
  <c r="H7" i="368"/>
  <c r="H35" i="368"/>
  <c r="G7" i="368"/>
  <c r="O26" i="368"/>
  <c r="P26" i="368" s="1"/>
  <c r="F18" i="215"/>
  <c r="F37" i="215" s="1"/>
  <c r="Q203" i="209" s="1"/>
  <c r="Q555" i="209"/>
  <c r="E15" i="292"/>
  <c r="K437" i="209"/>
  <c r="H47" i="279"/>
  <c r="S130" i="246" s="1"/>
  <c r="H21" i="290"/>
  <c r="H35" i="290"/>
  <c r="G14" i="191"/>
  <c r="G18" i="191" s="1"/>
  <c r="F18" i="191"/>
  <c r="R19" i="37"/>
  <c r="N7" i="6"/>
  <c r="P7" i="6"/>
  <c r="G35" i="156"/>
  <c r="H7" i="156"/>
  <c r="D5" i="156"/>
  <c r="D21" i="156" s="1"/>
  <c r="L23" i="156" s="1"/>
  <c r="E21" i="156"/>
  <c r="M23" i="156" s="1"/>
  <c r="F35" i="156"/>
  <c r="G7" i="156"/>
  <c r="G21" i="156"/>
  <c r="O23" i="156" s="1"/>
  <c r="F584" i="209"/>
  <c r="F171" i="209"/>
  <c r="F407" i="209"/>
  <c r="R16" i="27"/>
  <c r="T16" i="27" s="1"/>
  <c r="E35" i="14"/>
  <c r="E21" i="14"/>
  <c r="M23" i="14" s="1"/>
  <c r="H21" i="14"/>
  <c r="P23" i="14" s="1"/>
  <c r="H7" i="14"/>
  <c r="F35" i="14"/>
  <c r="H35" i="14"/>
  <c r="G35" i="14"/>
  <c r="G7" i="14"/>
  <c r="D5" i="14"/>
  <c r="D7" i="14" s="1"/>
  <c r="G21" i="14"/>
  <c r="O23" i="14" s="1"/>
  <c r="F21" i="14"/>
  <c r="N23" i="14" s="1"/>
  <c r="F7" i="14"/>
  <c r="P19" i="289"/>
  <c r="E38" i="213"/>
  <c r="J23" i="209" s="1"/>
  <c r="E44" i="39"/>
  <c r="P102" i="209" s="1"/>
  <c r="O7" i="99"/>
  <c r="N7" i="99"/>
  <c r="L5" i="99"/>
  <c r="L7" i="99" s="1"/>
  <c r="M7" i="99"/>
  <c r="M29" i="367"/>
  <c r="P35" i="367"/>
  <c r="N29" i="367"/>
  <c r="P29" i="367"/>
  <c r="O29" i="367"/>
  <c r="N35" i="367"/>
  <c r="L5" i="367"/>
  <c r="L35" i="367" s="1"/>
  <c r="O7" i="367"/>
  <c r="O23" i="367"/>
  <c r="P7" i="367"/>
  <c r="M7" i="367"/>
  <c r="N23" i="367"/>
  <c r="P23" i="367"/>
  <c r="M35" i="367"/>
  <c r="M23" i="367"/>
  <c r="R15" i="29"/>
  <c r="T12" i="37"/>
  <c r="P19" i="288"/>
  <c r="E40" i="188"/>
  <c r="J90" i="246" s="1"/>
  <c r="T13" i="49"/>
  <c r="J633" i="209"/>
  <c r="E21" i="368"/>
  <c r="M23" i="368" s="1"/>
  <c r="H7" i="213"/>
  <c r="E7" i="213"/>
  <c r="H35" i="213"/>
  <c r="H21" i="213"/>
  <c r="P23" i="213" s="1"/>
  <c r="F35" i="213"/>
  <c r="E35" i="213"/>
  <c r="G35" i="213"/>
  <c r="D5" i="213"/>
  <c r="D21" i="213" s="1"/>
  <c r="L23" i="213" s="1"/>
  <c r="F35" i="270"/>
  <c r="G21" i="270"/>
  <c r="O23" i="270" s="1"/>
  <c r="E21" i="296"/>
  <c r="M23" i="296" s="1"/>
  <c r="E35" i="296"/>
  <c r="F21" i="296"/>
  <c r="N23" i="296" s="1"/>
  <c r="H35" i="296"/>
  <c r="G35" i="296"/>
  <c r="H7" i="296"/>
  <c r="H39" i="221"/>
  <c r="S53" i="209" s="1"/>
  <c r="S348" i="209"/>
  <c r="M26" i="160"/>
  <c r="E43" i="160" s="1"/>
  <c r="E47" i="160" s="1"/>
  <c r="P138" i="246" s="1"/>
  <c r="E18" i="160"/>
  <c r="E37" i="160" s="1"/>
  <c r="P189" i="246" s="1"/>
  <c r="P23" i="175"/>
  <c r="O23" i="175"/>
  <c r="N23" i="175"/>
  <c r="M23" i="175"/>
  <c r="R15" i="80"/>
  <c r="H35" i="229"/>
  <c r="G35" i="229"/>
  <c r="N18" i="49"/>
  <c r="N19" i="49" s="1"/>
  <c r="J19" i="49"/>
  <c r="J21" i="49" s="1"/>
  <c r="J23" i="49" s="1"/>
  <c r="G23" i="170"/>
  <c r="R353" i="246"/>
  <c r="G23" i="231"/>
  <c r="F30" i="250"/>
  <c r="R11" i="142"/>
  <c r="R13" i="142" s="1"/>
  <c r="F643" i="209"/>
  <c r="F14" i="162"/>
  <c r="F14" i="212" s="1"/>
  <c r="E14" i="212"/>
  <c r="E14" i="228" s="1"/>
  <c r="R16" i="29"/>
  <c r="T16" i="29" s="1"/>
  <c r="J692" i="209"/>
  <c r="E11" i="289"/>
  <c r="E46" i="289" s="1"/>
  <c r="G11" i="289"/>
  <c r="G45" i="289" s="1"/>
  <c r="P52" i="294" s="1"/>
  <c r="H21" i="156"/>
  <c r="P23" i="156" s="1"/>
  <c r="M294" i="246"/>
  <c r="H38" i="188"/>
  <c r="M39" i="246" s="1"/>
  <c r="H37" i="187"/>
  <c r="S168" i="246" s="1"/>
  <c r="S219" i="246"/>
  <c r="L476" i="246"/>
  <c r="G48" i="223"/>
  <c r="C33" i="171"/>
  <c r="C33" i="231"/>
  <c r="G45" i="368"/>
  <c r="L158" i="209" s="1"/>
  <c r="G15" i="156"/>
  <c r="L630" i="209"/>
  <c r="H21" i="368"/>
  <c r="P23" i="368" s="1"/>
  <c r="U38" i="209"/>
  <c r="U97" i="209" s="1"/>
  <c r="U156" i="209" s="1"/>
  <c r="U215" i="209" s="1"/>
  <c r="U274" i="209" s="1"/>
  <c r="U333" i="209" s="1"/>
  <c r="U392" i="209" s="1"/>
  <c r="U451" i="209" s="1"/>
  <c r="U510" i="209" s="1"/>
  <c r="U569" i="209" s="1"/>
  <c r="U628" i="209" s="1"/>
  <c r="U687" i="209" s="1"/>
  <c r="U746" i="209" s="1"/>
  <c r="D97" i="209"/>
  <c r="D156" i="209" s="1"/>
  <c r="D215" i="209" s="1"/>
  <c r="D274" i="209" s="1"/>
  <c r="D333" i="209" s="1"/>
  <c r="D392" i="209" s="1"/>
  <c r="D451" i="209" s="1"/>
  <c r="D510" i="209" s="1"/>
  <c r="D569" i="209" s="1"/>
  <c r="D628" i="209" s="1"/>
  <c r="D687" i="209" s="1"/>
  <c r="D746" i="209" s="1"/>
  <c r="M337" i="209"/>
  <c r="H38" i="337"/>
  <c r="M42" i="209" s="1"/>
  <c r="E7" i="368"/>
  <c r="H39" i="271"/>
  <c r="S23" i="246" s="1"/>
  <c r="S278" i="246"/>
  <c r="R17" i="129"/>
  <c r="N20" i="129"/>
  <c r="S705" i="209"/>
  <c r="D5" i="279"/>
  <c r="F21" i="279"/>
  <c r="N23" i="279" s="1"/>
  <c r="S439" i="209"/>
  <c r="R404" i="246"/>
  <c r="M380" i="246"/>
  <c r="M398" i="246"/>
  <c r="S574" i="246"/>
  <c r="S602" i="246"/>
  <c r="H43" i="307"/>
  <c r="N7" i="241"/>
  <c r="S392" i="209"/>
  <c r="M423" i="209"/>
  <c r="S426" i="209"/>
  <c r="M543" i="209"/>
  <c r="M549" i="209"/>
  <c r="S665" i="209"/>
  <c r="S675" i="209"/>
  <c r="H26" i="326"/>
  <c r="H40" i="326" s="1"/>
  <c r="S507" i="209"/>
  <c r="J302" i="246"/>
  <c r="M528" i="209"/>
  <c r="F35" i="79"/>
  <c r="G21" i="271"/>
  <c r="O23" i="271" s="1"/>
  <c r="N7" i="290"/>
  <c r="G7" i="99"/>
  <c r="F48" i="326"/>
  <c r="N20" i="325" s="1"/>
  <c r="H28" i="361"/>
  <c r="H42" i="361" s="1"/>
  <c r="P14" i="296" s="1"/>
  <c r="C24" i="231"/>
  <c r="F33" i="231"/>
  <c r="M378" i="246"/>
  <c r="F48" i="361"/>
  <c r="N20" i="333" s="1"/>
  <c r="S575" i="246"/>
  <c r="S591" i="246"/>
  <c r="S607" i="246"/>
  <c r="G21" i="212"/>
  <c r="E35" i="279"/>
  <c r="M306" i="209"/>
  <c r="E21" i="271"/>
  <c r="M23" i="271" s="1"/>
  <c r="F7" i="333"/>
  <c r="F33" i="172"/>
  <c r="E48" i="226"/>
  <c r="S371" i="209"/>
  <c r="M521" i="209"/>
  <c r="S685" i="209"/>
  <c r="O463" i="209"/>
  <c r="M362" i="209"/>
  <c r="M368" i="209"/>
  <c r="M408" i="209"/>
  <c r="G35" i="279"/>
  <c r="K463" i="209"/>
  <c r="H43" i="99"/>
  <c r="H43" i="137"/>
  <c r="M391" i="209"/>
  <c r="M439" i="209"/>
  <c r="S462" i="209"/>
  <c r="M481" i="209"/>
  <c r="M487" i="209"/>
  <c r="M372" i="246"/>
  <c r="M401" i="246"/>
  <c r="S586" i="246"/>
  <c r="S604" i="246"/>
  <c r="M23" i="361"/>
  <c r="G21" i="279"/>
  <c r="O23" i="279" s="1"/>
  <c r="M7" i="241"/>
  <c r="P7" i="162"/>
  <c r="H43" i="79"/>
  <c r="S402" i="209"/>
  <c r="M421" i="209"/>
  <c r="M430" i="209"/>
  <c r="S435" i="209"/>
  <c r="M546" i="209"/>
  <c r="H23" i="361"/>
  <c r="H37" i="361" s="1"/>
  <c r="P9" i="367" s="1"/>
  <c r="M512" i="209"/>
  <c r="I470" i="246"/>
  <c r="F28" i="231"/>
  <c r="P383" i="246"/>
  <c r="C29" i="231"/>
  <c r="S457" i="209"/>
  <c r="H7" i="279"/>
  <c r="O7" i="125"/>
  <c r="H28" i="223"/>
  <c r="H42" i="223" s="1"/>
  <c r="M221" i="246" s="1"/>
  <c r="P441" i="209"/>
  <c r="S372" i="209"/>
  <c r="M514" i="209"/>
  <c r="H43" i="353"/>
  <c r="S505" i="209"/>
  <c r="E23" i="170"/>
  <c r="H21" i="279"/>
  <c r="P23" i="279" s="1"/>
  <c r="F35" i="279"/>
  <c r="E11" i="187"/>
  <c r="M26" i="187" s="1"/>
  <c r="E43" i="187" s="1"/>
  <c r="E47" i="187" s="1"/>
  <c r="P117" i="246" s="1"/>
  <c r="M271" i="246"/>
  <c r="M397" i="209"/>
  <c r="M403" i="209"/>
  <c r="S431" i="209"/>
  <c r="S447" i="209"/>
  <c r="S544" i="209"/>
  <c r="D64" i="246"/>
  <c r="D115" i="246" s="1"/>
  <c r="D166" i="246" s="1"/>
  <c r="D217" i="246" s="1"/>
  <c r="D268" i="246" s="1"/>
  <c r="D319" i="246" s="1"/>
  <c r="D370" i="246" s="1"/>
  <c r="D421" i="246" s="1"/>
  <c r="D472" i="246" s="1"/>
  <c r="D523" i="246" s="1"/>
  <c r="D574" i="246" s="1"/>
  <c r="D625" i="246" s="1"/>
  <c r="M389" i="209"/>
  <c r="M398" i="209"/>
  <c r="F13" i="170"/>
  <c r="G42" i="288"/>
  <c r="P71" i="294" s="1"/>
  <c r="I571" i="246"/>
  <c r="D18" i="284"/>
  <c r="E11" i="293"/>
  <c r="D11" i="293"/>
  <c r="G11" i="293"/>
  <c r="P135" i="294" s="1"/>
  <c r="D86" i="246"/>
  <c r="D137" i="246" s="1"/>
  <c r="D188" i="246" s="1"/>
  <c r="D239" i="246" s="1"/>
  <c r="D290" i="246" s="1"/>
  <c r="D341" i="246" s="1"/>
  <c r="D392" i="246" s="1"/>
  <c r="D443" i="246" s="1"/>
  <c r="D494" i="246" s="1"/>
  <c r="D545" i="246" s="1"/>
  <c r="D596" i="246" s="1"/>
  <c r="D647" i="246" s="1"/>
  <c r="U35" i="246"/>
  <c r="U86" i="246" s="1"/>
  <c r="U137" i="246" s="1"/>
  <c r="U188" i="246" s="1"/>
  <c r="U239" i="246" s="1"/>
  <c r="U290" i="246" s="1"/>
  <c r="U341" i="246" s="1"/>
  <c r="U392" i="246" s="1"/>
  <c r="U443" i="246" s="1"/>
  <c r="U494" i="246" s="1"/>
  <c r="U545" i="246" s="1"/>
  <c r="U596" i="246" s="1"/>
  <c r="U38" i="246"/>
  <c r="U89" i="246" s="1"/>
  <c r="U140" i="246" s="1"/>
  <c r="U191" i="246" s="1"/>
  <c r="U242" i="246" s="1"/>
  <c r="U293" i="246" s="1"/>
  <c r="U344" i="246" s="1"/>
  <c r="U395" i="246" s="1"/>
  <c r="U446" i="246" s="1"/>
  <c r="U497" i="246" s="1"/>
  <c r="U548" i="246" s="1"/>
  <c r="U599" i="246" s="1"/>
  <c r="D89" i="246"/>
  <c r="D140" i="246" s="1"/>
  <c r="D191" i="246" s="1"/>
  <c r="D242" i="246" s="1"/>
  <c r="D293" i="246" s="1"/>
  <c r="D344" i="246" s="1"/>
  <c r="D395" i="246" s="1"/>
  <c r="D446" i="246" s="1"/>
  <c r="D497" i="246" s="1"/>
  <c r="D548" i="246" s="1"/>
  <c r="D599" i="246" s="1"/>
  <c r="D650" i="246" s="1"/>
  <c r="Q539" i="246"/>
  <c r="N26" i="95"/>
  <c r="F43" i="95" s="1"/>
  <c r="F47" i="95" s="1"/>
  <c r="Q131" i="246" s="1"/>
  <c r="F46" i="95"/>
  <c r="F18" i="95"/>
  <c r="F38" i="95" s="1"/>
  <c r="K29" i="246" s="1"/>
  <c r="F44" i="95"/>
  <c r="Q80" i="246" s="1"/>
  <c r="U10" i="246"/>
  <c r="U61" i="246" s="1"/>
  <c r="U112" i="246" s="1"/>
  <c r="U163" i="246" s="1"/>
  <c r="U214" i="246" s="1"/>
  <c r="U265" i="246" s="1"/>
  <c r="U316" i="246" s="1"/>
  <c r="U367" i="246" s="1"/>
  <c r="U418" i="246" s="1"/>
  <c r="U469" i="246" s="1"/>
  <c r="U520" i="246" s="1"/>
  <c r="U571" i="246" s="1"/>
  <c r="D61" i="246"/>
  <c r="D112" i="246" s="1"/>
  <c r="D163" i="246" s="1"/>
  <c r="D214" i="246" s="1"/>
  <c r="D265" i="246" s="1"/>
  <c r="D316" i="246" s="1"/>
  <c r="D367" i="246" s="1"/>
  <c r="D418" i="246" s="1"/>
  <c r="D469" i="246" s="1"/>
  <c r="D520" i="246" s="1"/>
  <c r="D571" i="246" s="1"/>
  <c r="D622" i="246" s="1"/>
  <c r="F11" i="293"/>
  <c r="N26" i="293" s="1"/>
  <c r="F43" i="293" s="1"/>
  <c r="F47" i="293" s="1"/>
  <c r="T55" i="294" s="1"/>
  <c r="M26" i="337"/>
  <c r="E18" i="337"/>
  <c r="J750" i="209" s="1"/>
  <c r="J691" i="209"/>
  <c r="E45" i="337"/>
  <c r="J160" i="209" s="1"/>
  <c r="J632" i="209"/>
  <c r="F644" i="246"/>
  <c r="F542" i="246"/>
  <c r="F134" i="246"/>
  <c r="F287" i="246"/>
  <c r="F32" i="246"/>
  <c r="F389" i="246"/>
  <c r="O302" i="246"/>
  <c r="P302" i="246"/>
  <c r="F27" i="172"/>
  <c r="F27" i="231"/>
  <c r="D42" i="368"/>
  <c r="I276" i="209" s="1"/>
  <c r="D37" i="368"/>
  <c r="O217" i="209" s="1"/>
  <c r="D39" i="368"/>
  <c r="O40" i="209" s="1"/>
  <c r="E11" i="95"/>
  <c r="E45" i="123"/>
  <c r="J152" i="209" s="1"/>
  <c r="U43" i="246"/>
  <c r="U94" i="246" s="1"/>
  <c r="U145" i="246" s="1"/>
  <c r="U196" i="246" s="1"/>
  <c r="U247" i="246" s="1"/>
  <c r="U298" i="246" s="1"/>
  <c r="U349" i="246" s="1"/>
  <c r="U400" i="246" s="1"/>
  <c r="U451" i="246" s="1"/>
  <c r="U502" i="246" s="1"/>
  <c r="U553" i="246" s="1"/>
  <c r="U604" i="246" s="1"/>
  <c r="F731" i="209"/>
  <c r="F436" i="209"/>
  <c r="F318" i="209"/>
  <c r="S584" i="246"/>
  <c r="U347" i="209"/>
  <c r="L577" i="246"/>
  <c r="O26" i="139"/>
  <c r="G43" i="139" s="1"/>
  <c r="G47" i="139" s="1"/>
  <c r="R118" i="246" s="1"/>
  <c r="R526" i="246"/>
  <c r="O748" i="209"/>
  <c r="L26" i="284"/>
  <c r="D43" i="284" s="1"/>
  <c r="D47" i="284" s="1"/>
  <c r="O112" i="246" s="1"/>
  <c r="G46" i="139"/>
  <c r="G18" i="368"/>
  <c r="H18" i="368" s="1"/>
  <c r="R630" i="209"/>
  <c r="R608" i="209"/>
  <c r="O26" i="6"/>
  <c r="F289" i="209"/>
  <c r="F348" i="209"/>
  <c r="F466" i="209"/>
  <c r="F439" i="246"/>
  <c r="F337" i="246"/>
  <c r="S698" i="209"/>
  <c r="E11" i="137"/>
  <c r="F11" i="137"/>
  <c r="F44" i="137" s="1"/>
  <c r="Q92" i="246" s="1"/>
  <c r="I531" i="246"/>
  <c r="D18" i="359"/>
  <c r="I582" i="246"/>
  <c r="D44" i="359"/>
  <c r="O72" i="246" s="1"/>
  <c r="D46" i="359"/>
  <c r="O633" i="209"/>
  <c r="D18" i="39"/>
  <c r="G11" i="359"/>
  <c r="G46" i="359" s="1"/>
  <c r="M13" i="294"/>
  <c r="I520" i="246"/>
  <c r="U288" i="209"/>
  <c r="L25" i="172"/>
  <c r="D45" i="359"/>
  <c r="I123" i="246" s="1"/>
  <c r="F11" i="326"/>
  <c r="F44" i="326" s="1"/>
  <c r="N16" i="324" s="1"/>
  <c r="F46" i="325"/>
  <c r="O129" i="294"/>
  <c r="G24" i="84"/>
  <c r="L357" i="246" s="1"/>
  <c r="L332" i="246"/>
  <c r="R434" i="246"/>
  <c r="D46" i="288"/>
  <c r="D45" i="288"/>
  <c r="M51" i="294" s="1"/>
  <c r="G18" i="353"/>
  <c r="G45" i="353"/>
  <c r="L166" i="209" s="1"/>
  <c r="L697" i="209"/>
  <c r="D41" i="290"/>
  <c r="H73" i="294" s="1"/>
  <c r="D46" i="14"/>
  <c r="G45" i="137"/>
  <c r="L143" i="246" s="1"/>
  <c r="D45" i="284"/>
  <c r="I112" i="246" s="1"/>
  <c r="F45" i="95"/>
  <c r="K131" i="246" s="1"/>
  <c r="P459" i="246"/>
  <c r="J357" i="246"/>
  <c r="E11" i="349"/>
  <c r="N136" i="294" s="1"/>
  <c r="D95" i="246"/>
  <c r="D146" i="246" s="1"/>
  <c r="D197" i="246" s="1"/>
  <c r="D248" i="246" s="1"/>
  <c r="D299" i="246" s="1"/>
  <c r="D350" i="246" s="1"/>
  <c r="D401" i="246" s="1"/>
  <c r="D452" i="246" s="1"/>
  <c r="D503" i="246" s="1"/>
  <c r="D554" i="246" s="1"/>
  <c r="D605" i="246" s="1"/>
  <c r="D656" i="246" s="1"/>
  <c r="U44" i="246"/>
  <c r="U95" i="246" s="1"/>
  <c r="U146" i="246" s="1"/>
  <c r="U197" i="246" s="1"/>
  <c r="U248" i="246" s="1"/>
  <c r="U299" i="246" s="1"/>
  <c r="U350" i="246" s="1"/>
  <c r="U401" i="246" s="1"/>
  <c r="U452" i="246" s="1"/>
  <c r="U503" i="246" s="1"/>
  <c r="U554" i="246" s="1"/>
  <c r="U605" i="246" s="1"/>
  <c r="E11" i="219"/>
  <c r="P637" i="209" s="1"/>
  <c r="D11" i="219"/>
  <c r="D45" i="219" s="1"/>
  <c r="I165" i="209" s="1"/>
  <c r="F44" i="333"/>
  <c r="T44" i="294" s="1"/>
  <c r="F46" i="333"/>
  <c r="M133" i="294"/>
  <c r="G46" i="137"/>
  <c r="D44" i="284"/>
  <c r="O61" i="246" s="1"/>
  <c r="K590" i="246"/>
  <c r="M26" i="14"/>
  <c r="E46" i="14"/>
  <c r="N128" i="294"/>
  <c r="E18" i="324"/>
  <c r="E44" i="324"/>
  <c r="S28" i="294" s="1"/>
  <c r="E11" i="359"/>
  <c r="D96" i="209"/>
  <c r="D155" i="209" s="1"/>
  <c r="D214" i="209" s="1"/>
  <c r="D273" i="209" s="1"/>
  <c r="D332" i="209" s="1"/>
  <c r="D391" i="209" s="1"/>
  <c r="D450" i="209" s="1"/>
  <c r="D509" i="209" s="1"/>
  <c r="D568" i="209" s="1"/>
  <c r="D627" i="209" s="1"/>
  <c r="D686" i="209" s="1"/>
  <c r="D745" i="209" s="1"/>
  <c r="U37" i="209"/>
  <c r="U96" i="209" s="1"/>
  <c r="U155" i="209" s="1"/>
  <c r="U214" i="209" s="1"/>
  <c r="U273" i="209" s="1"/>
  <c r="U332" i="209" s="1"/>
  <c r="U391" i="209" s="1"/>
  <c r="U450" i="209" s="1"/>
  <c r="U509" i="209" s="1"/>
  <c r="U568" i="209" s="1"/>
  <c r="U627" i="209" s="1"/>
  <c r="U686" i="209" s="1"/>
  <c r="U745" i="209" s="1"/>
  <c r="U25" i="246"/>
  <c r="U76" i="246" s="1"/>
  <c r="U127" i="246" s="1"/>
  <c r="U178" i="246" s="1"/>
  <c r="U229" i="246" s="1"/>
  <c r="U280" i="246" s="1"/>
  <c r="U331" i="246" s="1"/>
  <c r="U382" i="246" s="1"/>
  <c r="U433" i="246" s="1"/>
  <c r="U484" i="246" s="1"/>
  <c r="U535" i="246" s="1"/>
  <c r="U586" i="246" s="1"/>
  <c r="D76" i="246"/>
  <c r="D127" i="246" s="1"/>
  <c r="D178" i="246" s="1"/>
  <c r="D229" i="246" s="1"/>
  <c r="D280" i="246" s="1"/>
  <c r="D331" i="246" s="1"/>
  <c r="D382" i="246" s="1"/>
  <c r="D433" i="246" s="1"/>
  <c r="D484" i="246" s="1"/>
  <c r="D535" i="246" s="1"/>
  <c r="D586" i="246" s="1"/>
  <c r="D637" i="246" s="1"/>
  <c r="D38" i="290"/>
  <c r="R13" i="294" s="1"/>
  <c r="D46" i="290"/>
  <c r="Q600" i="209"/>
  <c r="F45" i="14"/>
  <c r="K128" i="209" s="1"/>
  <c r="D11" i="126"/>
  <c r="E11" i="126"/>
  <c r="G11" i="126"/>
  <c r="R547" i="246" s="1"/>
  <c r="D45" i="290"/>
  <c r="M53" i="294" s="1"/>
  <c r="G45" i="139"/>
  <c r="L118" i="246" s="1"/>
  <c r="L526" i="246"/>
  <c r="D69" i="209"/>
  <c r="D128" i="209" s="1"/>
  <c r="D187" i="209" s="1"/>
  <c r="D246" i="209" s="1"/>
  <c r="D305" i="209" s="1"/>
  <c r="D364" i="209" s="1"/>
  <c r="D423" i="209" s="1"/>
  <c r="D482" i="209" s="1"/>
  <c r="D541" i="209" s="1"/>
  <c r="D600" i="209" s="1"/>
  <c r="D659" i="209" s="1"/>
  <c r="D718" i="209" s="1"/>
  <c r="U10" i="209"/>
  <c r="U69" i="209" s="1"/>
  <c r="U128" i="209" s="1"/>
  <c r="U187" i="209" s="1"/>
  <c r="U246" i="209" s="1"/>
  <c r="U305" i="209" s="1"/>
  <c r="U364" i="209" s="1"/>
  <c r="U423" i="209" s="1"/>
  <c r="U482" i="209" s="1"/>
  <c r="U541" i="209" s="1"/>
  <c r="U600" i="209" s="1"/>
  <c r="U659" i="209" s="1"/>
  <c r="U718" i="209" s="1"/>
  <c r="C29" i="172"/>
  <c r="H30" i="104"/>
  <c r="H44" i="104" s="1"/>
  <c r="I266" i="246"/>
  <c r="C26" i="172"/>
  <c r="G11" i="11"/>
  <c r="O26" i="11" s="1"/>
  <c r="O272" i="246"/>
  <c r="O25" i="171"/>
  <c r="L404" i="246"/>
  <c r="G11" i="79"/>
  <c r="F13" i="228"/>
  <c r="G27" i="228"/>
  <c r="F32" i="228"/>
  <c r="E13" i="228"/>
  <c r="G17" i="170"/>
  <c r="C30" i="228"/>
  <c r="E32" i="170"/>
  <c r="E27" i="172"/>
  <c r="H32" i="186"/>
  <c r="M543" i="246" s="1"/>
  <c r="D11" i="11"/>
  <c r="I604" i="209" s="1"/>
  <c r="G11" i="372"/>
  <c r="G44" i="372" s="1"/>
  <c r="R98" i="209" s="1"/>
  <c r="D24" i="231"/>
  <c r="G11" i="190"/>
  <c r="C29" i="170"/>
  <c r="D103" i="209"/>
  <c r="D162" i="209" s="1"/>
  <c r="D221" i="209" s="1"/>
  <c r="D280" i="209" s="1"/>
  <c r="D339" i="209" s="1"/>
  <c r="D398" i="209" s="1"/>
  <c r="D457" i="209" s="1"/>
  <c r="D516" i="209" s="1"/>
  <c r="D575" i="209" s="1"/>
  <c r="D634" i="209" s="1"/>
  <c r="D693" i="209" s="1"/>
  <c r="D752" i="209" s="1"/>
  <c r="C28" i="172"/>
  <c r="F29" i="184"/>
  <c r="E28" i="231"/>
  <c r="L281" i="246"/>
  <c r="F29" i="172"/>
  <c r="H26" i="225"/>
  <c r="H40" i="225" s="1"/>
  <c r="M109" i="209" s="1"/>
  <c r="Q339" i="246"/>
  <c r="H33" i="186"/>
  <c r="E48" i="361"/>
  <c r="M20" i="360" s="1"/>
  <c r="G33" i="228"/>
  <c r="H28" i="225"/>
  <c r="H42" i="225" s="1"/>
  <c r="M286" i="209" s="1"/>
  <c r="M25" i="170"/>
  <c r="M25" i="175" s="1"/>
  <c r="H31" i="361"/>
  <c r="H45" i="361" s="1"/>
  <c r="G17" i="184"/>
  <c r="C29" i="171"/>
  <c r="L434" i="246"/>
  <c r="I353" i="246"/>
  <c r="E25" i="170"/>
  <c r="G32" i="231"/>
  <c r="S589" i="246"/>
  <c r="S596" i="246"/>
  <c r="S599" i="246"/>
  <c r="S605" i="246"/>
  <c r="N25" i="228"/>
  <c r="F32" i="171"/>
  <c r="H25" i="104"/>
  <c r="I510" i="246"/>
  <c r="S592" i="246"/>
  <c r="P25" i="186"/>
  <c r="G13" i="171"/>
  <c r="C28" i="184"/>
  <c r="G32" i="171"/>
  <c r="O230" i="246"/>
  <c r="D32" i="228"/>
  <c r="J492" i="246"/>
  <c r="D46" i="284"/>
  <c r="O520" i="246"/>
  <c r="J524" i="246"/>
  <c r="J575" i="246"/>
  <c r="E45" i="166"/>
  <c r="J116" i="246" s="1"/>
  <c r="E44" i="166"/>
  <c r="P65" i="246" s="1"/>
  <c r="P524" i="246"/>
  <c r="F45" i="126"/>
  <c r="K139" i="246" s="1"/>
  <c r="F44" i="126"/>
  <c r="Q88" i="246" s="1"/>
  <c r="P612" i="246"/>
  <c r="P408" i="246"/>
  <c r="D102" i="209"/>
  <c r="D161" i="209" s="1"/>
  <c r="D220" i="209" s="1"/>
  <c r="D279" i="209" s="1"/>
  <c r="D338" i="209" s="1"/>
  <c r="D397" i="209" s="1"/>
  <c r="D456" i="209" s="1"/>
  <c r="D515" i="209" s="1"/>
  <c r="D574" i="209" s="1"/>
  <c r="D633" i="209" s="1"/>
  <c r="D692" i="209" s="1"/>
  <c r="D751" i="209" s="1"/>
  <c r="U43" i="209"/>
  <c r="U102" i="209" s="1"/>
  <c r="U161" i="209" s="1"/>
  <c r="U220" i="209" s="1"/>
  <c r="U279" i="209" s="1"/>
  <c r="U338" i="209" s="1"/>
  <c r="U397" i="209" s="1"/>
  <c r="U456" i="209" s="1"/>
  <c r="U515" i="209" s="1"/>
  <c r="U574" i="209" s="1"/>
  <c r="U633" i="209" s="1"/>
  <c r="U692" i="209" s="1"/>
  <c r="U751" i="209" s="1"/>
  <c r="H38" i="7"/>
  <c r="M17" i="209" s="1"/>
  <c r="M312" i="209"/>
  <c r="M26" i="284"/>
  <c r="E43" i="284" s="1"/>
  <c r="E47" i="284" s="1"/>
  <c r="P112" i="246" s="1"/>
  <c r="E46" i="284"/>
  <c r="P520" i="246"/>
  <c r="J520" i="246"/>
  <c r="F44" i="99"/>
  <c r="Q73" i="246" s="1"/>
  <c r="F18" i="99"/>
  <c r="F40" i="99" s="1"/>
  <c r="K73" i="246" s="1"/>
  <c r="N26" i="99"/>
  <c r="F43" i="99" s="1"/>
  <c r="F47" i="99" s="1"/>
  <c r="Q124" i="246" s="1"/>
  <c r="F45" i="288"/>
  <c r="O51" i="294" s="1"/>
  <c r="N26" i="288"/>
  <c r="F43" i="288" s="1"/>
  <c r="F47" i="288" s="1"/>
  <c r="T51" i="294" s="1"/>
  <c r="F44" i="288"/>
  <c r="T31" i="294" s="1"/>
  <c r="E46" i="11"/>
  <c r="J663" i="209"/>
  <c r="M26" i="11"/>
  <c r="J604" i="209"/>
  <c r="P604" i="209"/>
  <c r="E44" i="11"/>
  <c r="P73" i="209" s="1"/>
  <c r="G27" i="84"/>
  <c r="H27" i="84" s="1"/>
  <c r="H41" i="84" s="1"/>
  <c r="M204" i="246" s="1"/>
  <c r="H27" i="104"/>
  <c r="H41" i="104" s="1"/>
  <c r="P13" i="176" s="1"/>
  <c r="E32" i="84"/>
  <c r="E32" i="172"/>
  <c r="D31" i="172"/>
  <c r="I506" i="246"/>
  <c r="H31" i="226"/>
  <c r="H45" i="226" s="1"/>
  <c r="M149" i="246" s="1"/>
  <c r="H46" i="226"/>
  <c r="S557" i="246" s="1"/>
  <c r="G39" i="162"/>
  <c r="J622" i="246"/>
  <c r="Q532" i="246"/>
  <c r="F46" i="288"/>
  <c r="E45" i="11"/>
  <c r="J132" i="209" s="1"/>
  <c r="F611" i="209"/>
  <c r="F21" i="209"/>
  <c r="F316" i="209"/>
  <c r="F257" i="209"/>
  <c r="F139" i="209"/>
  <c r="F552" i="209"/>
  <c r="F434" i="209"/>
  <c r="M567" i="209"/>
  <c r="D45" i="187"/>
  <c r="I117" i="246" s="1"/>
  <c r="L26" i="187"/>
  <c r="D43" i="187" s="1"/>
  <c r="D47" i="187" s="1"/>
  <c r="O117" i="246" s="1"/>
  <c r="D18" i="187"/>
  <c r="D39" i="187" s="1"/>
  <c r="O15" i="246" s="1"/>
  <c r="F11" i="313"/>
  <c r="F45" i="313" s="1"/>
  <c r="K134" i="246" s="1"/>
  <c r="E11" i="313"/>
  <c r="E31" i="184"/>
  <c r="P470" i="246"/>
  <c r="E48" i="185"/>
  <c r="C24" i="170"/>
  <c r="C24" i="172"/>
  <c r="I302" i="246"/>
  <c r="F46" i="99"/>
  <c r="I624" i="209"/>
  <c r="D44" i="123"/>
  <c r="O93" i="209" s="1"/>
  <c r="O26" i="137"/>
  <c r="G43" i="137" s="1"/>
  <c r="G47" i="137" s="1"/>
  <c r="R143" i="246" s="1"/>
  <c r="L551" i="246"/>
  <c r="U30" i="246"/>
  <c r="U81" i="246" s="1"/>
  <c r="U132" i="246" s="1"/>
  <c r="U183" i="246" s="1"/>
  <c r="U234" i="246" s="1"/>
  <c r="U285" i="246" s="1"/>
  <c r="U336" i="246" s="1"/>
  <c r="U387" i="246" s="1"/>
  <c r="U438" i="246" s="1"/>
  <c r="U489" i="246" s="1"/>
  <c r="U540" i="246" s="1"/>
  <c r="U591" i="246" s="1"/>
  <c r="F671" i="209"/>
  <c r="F22" i="209"/>
  <c r="F376" i="209"/>
  <c r="F553" i="209"/>
  <c r="F730" i="209"/>
  <c r="F140" i="209"/>
  <c r="F494" i="209"/>
  <c r="D74" i="209"/>
  <c r="D133" i="209" s="1"/>
  <c r="D192" i="209" s="1"/>
  <c r="D251" i="209" s="1"/>
  <c r="D310" i="209" s="1"/>
  <c r="D369" i="209" s="1"/>
  <c r="D428" i="209" s="1"/>
  <c r="D487" i="209" s="1"/>
  <c r="D546" i="209" s="1"/>
  <c r="D605" i="209" s="1"/>
  <c r="D664" i="209" s="1"/>
  <c r="D723" i="209" s="1"/>
  <c r="U15" i="209"/>
  <c r="U74" i="209" s="1"/>
  <c r="U133" i="209" s="1"/>
  <c r="U192" i="209" s="1"/>
  <c r="U251" i="209" s="1"/>
  <c r="U310" i="209" s="1"/>
  <c r="U369" i="209" s="1"/>
  <c r="U428" i="209" s="1"/>
  <c r="U487" i="209" s="1"/>
  <c r="U546" i="209" s="1"/>
  <c r="U605" i="209" s="1"/>
  <c r="U664" i="209" s="1"/>
  <c r="U723" i="209" s="1"/>
  <c r="E45" i="338"/>
  <c r="J150" i="209" s="1"/>
  <c r="E18" i="338"/>
  <c r="J740" i="209" s="1"/>
  <c r="J681" i="209"/>
  <c r="M26" i="338"/>
  <c r="G45" i="362"/>
  <c r="P59" i="294" s="1"/>
  <c r="G18" i="362"/>
  <c r="G46" i="362"/>
  <c r="O26" i="362"/>
  <c r="G43" i="362" s="1"/>
  <c r="G47" i="362" s="1"/>
  <c r="U59" i="294" s="1"/>
  <c r="G44" i="362"/>
  <c r="U39" i="294" s="1"/>
  <c r="H26" i="361"/>
  <c r="H40" i="361" s="1"/>
  <c r="P572" i="246"/>
  <c r="P368" i="246"/>
  <c r="J266" i="246"/>
  <c r="E24" i="171"/>
  <c r="G12" i="84"/>
  <c r="R383" i="246"/>
  <c r="R587" i="246"/>
  <c r="S587" i="246" s="1"/>
  <c r="F45" i="99"/>
  <c r="K124" i="246" s="1"/>
  <c r="H37" i="365"/>
  <c r="S212" i="209" s="1"/>
  <c r="S271" i="209"/>
  <c r="G31" i="171"/>
  <c r="G48" i="185"/>
  <c r="R470" i="246"/>
  <c r="I425" i="246"/>
  <c r="D33" i="231"/>
  <c r="E37" i="284"/>
  <c r="P163" i="246" s="1"/>
  <c r="U34" i="209"/>
  <c r="U93" i="209" s="1"/>
  <c r="U152" i="209" s="1"/>
  <c r="U211" i="209" s="1"/>
  <c r="U270" i="209" s="1"/>
  <c r="U329" i="209" s="1"/>
  <c r="U388" i="209" s="1"/>
  <c r="U447" i="209" s="1"/>
  <c r="U506" i="209" s="1"/>
  <c r="U565" i="209" s="1"/>
  <c r="U624" i="209" s="1"/>
  <c r="U683" i="209" s="1"/>
  <c r="U742" i="209" s="1"/>
  <c r="D67" i="209"/>
  <c r="D126" i="209" s="1"/>
  <c r="D185" i="209" s="1"/>
  <c r="D244" i="209" s="1"/>
  <c r="D303" i="209" s="1"/>
  <c r="D362" i="209" s="1"/>
  <c r="D421" i="209" s="1"/>
  <c r="D480" i="209" s="1"/>
  <c r="D539" i="209" s="1"/>
  <c r="D598" i="209" s="1"/>
  <c r="D657" i="209" s="1"/>
  <c r="D716" i="209" s="1"/>
  <c r="U8" i="209"/>
  <c r="U67" i="209" s="1"/>
  <c r="U126" i="209" s="1"/>
  <c r="U185" i="209" s="1"/>
  <c r="U244" i="209" s="1"/>
  <c r="U303" i="209" s="1"/>
  <c r="U362" i="209" s="1"/>
  <c r="U421" i="209" s="1"/>
  <c r="U480" i="209" s="1"/>
  <c r="U539" i="209" s="1"/>
  <c r="U598" i="209" s="1"/>
  <c r="U657" i="209" s="1"/>
  <c r="U716" i="209" s="1"/>
  <c r="D71" i="209"/>
  <c r="D130" i="209" s="1"/>
  <c r="D189" i="209" s="1"/>
  <c r="D248" i="209" s="1"/>
  <c r="D307" i="209" s="1"/>
  <c r="D366" i="209" s="1"/>
  <c r="D425" i="209" s="1"/>
  <c r="D484" i="209" s="1"/>
  <c r="D543" i="209" s="1"/>
  <c r="D602" i="209" s="1"/>
  <c r="D661" i="209" s="1"/>
  <c r="D720" i="209" s="1"/>
  <c r="U12" i="209"/>
  <c r="U71" i="209" s="1"/>
  <c r="U130" i="209" s="1"/>
  <c r="U189" i="209" s="1"/>
  <c r="U248" i="209" s="1"/>
  <c r="U307" i="209" s="1"/>
  <c r="U366" i="209" s="1"/>
  <c r="U425" i="209" s="1"/>
  <c r="U484" i="209" s="1"/>
  <c r="U543" i="209" s="1"/>
  <c r="U602" i="209" s="1"/>
  <c r="U661" i="209" s="1"/>
  <c r="U720" i="209" s="1"/>
  <c r="H38" i="338"/>
  <c r="M32" i="209" s="1"/>
  <c r="M327" i="209"/>
  <c r="H37" i="123"/>
  <c r="S211" i="209" s="1"/>
  <c r="S270" i="209"/>
  <c r="G12" i="184"/>
  <c r="R572" i="246"/>
  <c r="S572" i="246" s="1"/>
  <c r="R368" i="246"/>
  <c r="E17" i="184"/>
  <c r="E17" i="171"/>
  <c r="G24" i="184"/>
  <c r="G24" i="171"/>
  <c r="R419" i="246"/>
  <c r="D27" i="184"/>
  <c r="H27" i="185"/>
  <c r="H41" i="185" s="1"/>
  <c r="P13" i="284" s="1"/>
  <c r="G29" i="171"/>
  <c r="H29" i="185"/>
  <c r="C32" i="184"/>
  <c r="C32" i="171"/>
  <c r="H23" i="223"/>
  <c r="S221" i="246" s="1"/>
  <c r="L323" i="246"/>
  <c r="E45" i="241"/>
  <c r="J173" i="209" s="1"/>
  <c r="M26" i="241"/>
  <c r="J645" i="209"/>
  <c r="P645" i="209"/>
  <c r="E18" i="241"/>
  <c r="E46" i="241"/>
  <c r="G28" i="231"/>
  <c r="H28" i="226"/>
  <c r="H42" i="226" s="1"/>
  <c r="M251" i="246" s="1"/>
  <c r="G28" i="170"/>
  <c r="F18" i="288"/>
  <c r="F42" i="288" s="1"/>
  <c r="O71" i="294" s="1"/>
  <c r="U26" i="209"/>
  <c r="U85" i="209" s="1"/>
  <c r="U144" i="209" s="1"/>
  <c r="U203" i="209" s="1"/>
  <c r="U262" i="209" s="1"/>
  <c r="U321" i="209" s="1"/>
  <c r="U380" i="209" s="1"/>
  <c r="U439" i="209" s="1"/>
  <c r="U498" i="209" s="1"/>
  <c r="U557" i="209" s="1"/>
  <c r="U616" i="209" s="1"/>
  <c r="U675" i="209" s="1"/>
  <c r="U734" i="209" s="1"/>
  <c r="D74" i="246"/>
  <c r="D125" i="246" s="1"/>
  <c r="D176" i="246" s="1"/>
  <c r="D227" i="246" s="1"/>
  <c r="D278" i="246" s="1"/>
  <c r="D329" i="246" s="1"/>
  <c r="D380" i="246" s="1"/>
  <c r="D431" i="246" s="1"/>
  <c r="D482" i="246" s="1"/>
  <c r="D533" i="246" s="1"/>
  <c r="D584" i="246" s="1"/>
  <c r="D635" i="246" s="1"/>
  <c r="U23" i="246"/>
  <c r="U74" i="246" s="1"/>
  <c r="U125" i="246" s="1"/>
  <c r="U176" i="246" s="1"/>
  <c r="U227" i="246" s="1"/>
  <c r="U278" i="246" s="1"/>
  <c r="U329" i="246" s="1"/>
  <c r="U380" i="246" s="1"/>
  <c r="U431" i="246" s="1"/>
  <c r="U482" i="246" s="1"/>
  <c r="U533" i="246" s="1"/>
  <c r="U584" i="246" s="1"/>
  <c r="E46" i="160"/>
  <c r="J597" i="246"/>
  <c r="D13" i="171"/>
  <c r="D13" i="184"/>
  <c r="C25" i="171"/>
  <c r="O266" i="246"/>
  <c r="E39" i="284"/>
  <c r="P10" i="246" s="1"/>
  <c r="C30" i="172"/>
  <c r="S362" i="209"/>
  <c r="M364" i="209"/>
  <c r="S365" i="209"/>
  <c r="M367" i="209"/>
  <c r="S368" i="209"/>
  <c r="M370" i="209"/>
  <c r="D45" i="349"/>
  <c r="M56" i="294" s="1"/>
  <c r="D46" i="349"/>
  <c r="L26" i="349"/>
  <c r="D43" i="349" s="1"/>
  <c r="D47" i="349" s="1"/>
  <c r="R56" i="294" s="1"/>
  <c r="H67" i="164"/>
  <c r="H68" i="164"/>
  <c r="H37" i="10"/>
  <c r="S192" i="209" s="1"/>
  <c r="S251" i="209"/>
  <c r="R306" i="246"/>
  <c r="Q735" i="209"/>
  <c r="F43" i="162"/>
  <c r="F47" i="162" s="1"/>
  <c r="Q145" i="209" s="1"/>
  <c r="F114" i="209"/>
  <c r="F527" i="209"/>
  <c r="F586" i="209"/>
  <c r="F409" i="209"/>
  <c r="F763" i="209"/>
  <c r="F645" i="209"/>
  <c r="F468" i="209"/>
  <c r="F232" i="209"/>
  <c r="F350" i="209"/>
  <c r="F55" i="209"/>
  <c r="O556" i="246"/>
  <c r="I556" i="246"/>
  <c r="E42" i="284"/>
  <c r="J214" i="246" s="1"/>
  <c r="K600" i="209"/>
  <c r="K659" i="209"/>
  <c r="F46" i="14"/>
  <c r="M483" i="209"/>
  <c r="S487" i="209"/>
  <c r="E11" i="146"/>
  <c r="D11" i="146"/>
  <c r="I605" i="246" s="1"/>
  <c r="G11" i="146"/>
  <c r="L26" i="9"/>
  <c r="D44" i="9"/>
  <c r="O75" i="209" s="1"/>
  <c r="I606" i="209"/>
  <c r="D46" i="9"/>
  <c r="O606" i="209"/>
  <c r="I665" i="209"/>
  <c r="G32" i="172"/>
  <c r="M363" i="209"/>
  <c r="S367" i="209"/>
  <c r="S370" i="209"/>
  <c r="M372" i="209"/>
  <c r="S423" i="209"/>
  <c r="S480" i="209"/>
  <c r="S483" i="209"/>
  <c r="M485" i="209"/>
  <c r="S486" i="209"/>
  <c r="M488" i="209"/>
  <c r="S489" i="209"/>
  <c r="M539" i="209"/>
  <c r="S540" i="209"/>
  <c r="M544" i="209"/>
  <c r="S545" i="209"/>
  <c r="M547" i="209"/>
  <c r="S548" i="209"/>
  <c r="S574" i="209"/>
  <c r="M573" i="209"/>
  <c r="S567" i="209"/>
  <c r="S696" i="209"/>
  <c r="S681" i="209"/>
  <c r="S686" i="209"/>
  <c r="D30" i="173"/>
  <c r="F27" i="170"/>
  <c r="D13" i="172"/>
  <c r="C25" i="172"/>
  <c r="G29" i="184"/>
  <c r="O25" i="173"/>
  <c r="M429" i="209"/>
  <c r="S508" i="209"/>
  <c r="S539" i="209"/>
  <c r="M541" i="209"/>
  <c r="M563" i="209"/>
  <c r="S573" i="209"/>
  <c r="S577" i="246"/>
  <c r="S597" i="246"/>
  <c r="S600" i="246"/>
  <c r="S603" i="246"/>
  <c r="S606" i="246"/>
  <c r="H25" i="326"/>
  <c r="H39" i="326" s="1"/>
  <c r="G33" i="171"/>
  <c r="G33" i="231"/>
  <c r="F11" i="362"/>
  <c r="E11" i="362"/>
  <c r="D11" i="362"/>
  <c r="D46" i="362" s="1"/>
  <c r="M335" i="209"/>
  <c r="S247" i="209"/>
  <c r="S386" i="209"/>
  <c r="M390" i="209"/>
  <c r="S391" i="209"/>
  <c r="H46" i="361"/>
  <c r="M453" i="209"/>
  <c r="S512" i="209"/>
  <c r="S689" i="209"/>
  <c r="P425" i="246"/>
  <c r="H26" i="223"/>
  <c r="H40" i="223" s="1"/>
  <c r="M68" i="246" s="1"/>
  <c r="L302" i="246"/>
  <c r="D27" i="172"/>
  <c r="O25" i="172"/>
  <c r="F11" i="279"/>
  <c r="K589" i="246" s="1"/>
  <c r="H23" i="104"/>
  <c r="G33" i="170"/>
  <c r="L419" i="246"/>
  <c r="S338" i="209"/>
  <c r="D11" i="353"/>
  <c r="O638" i="209" s="1"/>
  <c r="D23" i="231"/>
  <c r="AA29" i="292"/>
  <c r="D17" i="171"/>
  <c r="G17" i="231"/>
  <c r="G11" i="279"/>
  <c r="H37" i="6"/>
  <c r="S195" i="209" s="1"/>
  <c r="O455" i="246"/>
  <c r="H32" i="226"/>
  <c r="M557" i="246" s="1"/>
  <c r="H37" i="154"/>
  <c r="S215" i="209" s="1"/>
  <c r="D15" i="171"/>
  <c r="E28" i="171"/>
  <c r="H33" i="326"/>
  <c r="S682" i="209"/>
  <c r="E16" i="228"/>
  <c r="E26" i="228"/>
  <c r="D31" i="173"/>
  <c r="F33" i="173"/>
  <c r="D16" i="170"/>
  <c r="G23" i="228"/>
  <c r="F28" i="170"/>
  <c r="C31" i="228"/>
  <c r="E28" i="184"/>
  <c r="AA30" i="292"/>
  <c r="R638" i="209"/>
  <c r="M600" i="209"/>
  <c r="S421" i="209"/>
  <c r="M425" i="209"/>
  <c r="S430" i="209"/>
  <c r="M451" i="209"/>
  <c r="S454" i="209"/>
  <c r="M445" i="209"/>
  <c r="S455" i="209"/>
  <c r="M569" i="209"/>
  <c r="H37" i="16"/>
  <c r="S185" i="209" s="1"/>
  <c r="F16" i="173"/>
  <c r="H33" i="104"/>
  <c r="M392" i="209"/>
  <c r="M386" i="209"/>
  <c r="S425" i="209"/>
  <c r="M447" i="209"/>
  <c r="S451" i="209"/>
  <c r="M456" i="209"/>
  <c r="S445" i="209"/>
  <c r="M449" i="209"/>
  <c r="S450" i="209"/>
  <c r="M506" i="209"/>
  <c r="S510" i="209"/>
  <c r="M515" i="209"/>
  <c r="S504" i="209"/>
  <c r="S509" i="209"/>
  <c r="M565" i="209"/>
  <c r="S569" i="209"/>
  <c r="J13" i="164"/>
  <c r="J20" i="164" s="1"/>
  <c r="J35" i="164" s="1"/>
  <c r="L95" i="209" s="1"/>
  <c r="H30" i="361"/>
  <c r="H44" i="361" s="1"/>
  <c r="P16" i="360" s="1"/>
  <c r="H33" i="361"/>
  <c r="F13" i="171"/>
  <c r="E25" i="231"/>
  <c r="C28" i="231"/>
  <c r="F16" i="172"/>
  <c r="O26" i="353"/>
  <c r="H33" i="226"/>
  <c r="G11" i="290"/>
  <c r="S252" i="209"/>
  <c r="D14" i="171"/>
  <c r="R425" i="246"/>
  <c r="E27" i="173"/>
  <c r="G29" i="173"/>
  <c r="C27" i="172"/>
  <c r="E31" i="170"/>
  <c r="D42" i="178"/>
  <c r="I285" i="209" s="1"/>
  <c r="D40" i="178"/>
  <c r="I108" i="209" s="1"/>
  <c r="D41" i="178"/>
  <c r="I226" i="209" s="1"/>
  <c r="D39" i="178"/>
  <c r="O49" i="209" s="1"/>
  <c r="D38" i="178"/>
  <c r="I49" i="209" s="1"/>
  <c r="K603" i="209"/>
  <c r="K662" i="209"/>
  <c r="Q603" i="209"/>
  <c r="F45" i="125"/>
  <c r="K131" i="209" s="1"/>
  <c r="F46" i="125"/>
  <c r="N26" i="125"/>
  <c r="F43" i="125" s="1"/>
  <c r="F47" i="125" s="1"/>
  <c r="Q131" i="209" s="1"/>
  <c r="E11" i="307"/>
  <c r="G11" i="307"/>
  <c r="D11" i="307"/>
  <c r="F11" i="307"/>
  <c r="H38" i="154"/>
  <c r="M38" i="209" s="1"/>
  <c r="M333" i="209"/>
  <c r="H47" i="11"/>
  <c r="S132" i="209" s="1"/>
  <c r="H43" i="11"/>
  <c r="D465" i="209"/>
  <c r="F44" i="125"/>
  <c r="Q72" i="209" s="1"/>
  <c r="U18" i="209"/>
  <c r="U77" i="209" s="1"/>
  <c r="U136" i="209" s="1"/>
  <c r="U195" i="209" s="1"/>
  <c r="U254" i="209" s="1"/>
  <c r="U313" i="209" s="1"/>
  <c r="U372" i="209" s="1"/>
  <c r="U431" i="209" s="1"/>
  <c r="U490" i="209" s="1"/>
  <c r="U549" i="209" s="1"/>
  <c r="U608" i="209" s="1"/>
  <c r="U667" i="209" s="1"/>
  <c r="U726" i="209" s="1"/>
  <c r="D77" i="209"/>
  <c r="D136" i="209" s="1"/>
  <c r="D195" i="209" s="1"/>
  <c r="D254" i="209" s="1"/>
  <c r="D313" i="209" s="1"/>
  <c r="D372" i="209" s="1"/>
  <c r="D431" i="209" s="1"/>
  <c r="D490" i="209" s="1"/>
  <c r="D549" i="209" s="1"/>
  <c r="D608" i="209" s="1"/>
  <c r="D667" i="209" s="1"/>
  <c r="D726" i="209" s="1"/>
  <c r="I459" i="246"/>
  <c r="P306" i="246"/>
  <c r="O306" i="246"/>
  <c r="M288" i="246"/>
  <c r="H38" i="186"/>
  <c r="N26" i="146"/>
  <c r="F43" i="146" s="1"/>
  <c r="F47" i="146" s="1"/>
  <c r="Q146" i="246" s="1"/>
  <c r="Q554" i="246"/>
  <c r="F44" i="146"/>
  <c r="Q95" i="246" s="1"/>
  <c r="K605" i="246"/>
  <c r="F18" i="146"/>
  <c r="K554" i="246"/>
  <c r="F45" i="146"/>
  <c r="K146" i="246" s="1"/>
  <c r="F46" i="146"/>
  <c r="D37" i="290"/>
  <c r="H33" i="294" s="1"/>
  <c r="F45" i="6"/>
  <c r="K136" i="209" s="1"/>
  <c r="F44" i="6"/>
  <c r="Q77" i="209" s="1"/>
  <c r="G11" i="367"/>
  <c r="D11" i="367"/>
  <c r="D46" i="367" s="1"/>
  <c r="F11" i="367"/>
  <c r="G48" i="361"/>
  <c r="H29" i="361"/>
  <c r="E12" i="171"/>
  <c r="P578" i="246"/>
  <c r="P374" i="246"/>
  <c r="E12" i="173"/>
  <c r="K601" i="209"/>
  <c r="F44" i="4"/>
  <c r="Q70" i="209" s="1"/>
  <c r="F45" i="4"/>
  <c r="K129" i="209" s="1"/>
  <c r="Q601" i="209"/>
  <c r="K660" i="209"/>
  <c r="H13" i="294"/>
  <c r="G44" i="194"/>
  <c r="R86" i="246" s="1"/>
  <c r="L596" i="246"/>
  <c r="L545" i="246"/>
  <c r="G18" i="194"/>
  <c r="G45" i="194"/>
  <c r="L137" i="246" s="1"/>
  <c r="R545" i="246"/>
  <c r="O26" i="194"/>
  <c r="G43" i="194" s="1"/>
  <c r="G47" i="194" s="1"/>
  <c r="R137" i="246" s="1"/>
  <c r="G46" i="194"/>
  <c r="H39" i="72"/>
  <c r="S36" i="209" s="1"/>
  <c r="S331" i="209"/>
  <c r="D39" i="290"/>
  <c r="M33" i="294" s="1"/>
  <c r="D42" i="290"/>
  <c r="U8" i="246"/>
  <c r="U59" i="246" s="1"/>
  <c r="U110" i="246" s="1"/>
  <c r="U161" i="246" s="1"/>
  <c r="U212" i="246" s="1"/>
  <c r="U263" i="246" s="1"/>
  <c r="U314" i="246" s="1"/>
  <c r="U365" i="246" s="1"/>
  <c r="U416" i="246" s="1"/>
  <c r="U467" i="246" s="1"/>
  <c r="U518" i="246" s="1"/>
  <c r="U569" i="246" s="1"/>
  <c r="D59" i="246"/>
  <c r="D110" i="246" s="1"/>
  <c r="D161" i="246" s="1"/>
  <c r="D212" i="246" s="1"/>
  <c r="D263" i="246" s="1"/>
  <c r="D314" i="246" s="1"/>
  <c r="D365" i="246" s="1"/>
  <c r="D416" i="246" s="1"/>
  <c r="D467" i="246" s="1"/>
  <c r="D518" i="246" s="1"/>
  <c r="D569" i="246" s="1"/>
  <c r="D620" i="246" s="1"/>
  <c r="H37" i="338"/>
  <c r="S209" i="209" s="1"/>
  <c r="S268" i="209"/>
  <c r="D40" i="290"/>
  <c r="N26" i="4"/>
  <c r="N20" i="190"/>
  <c r="N20" i="284"/>
  <c r="H39" i="16"/>
  <c r="S8" i="209" s="1"/>
  <c r="S303" i="209"/>
  <c r="E45" i="367"/>
  <c r="N62" i="294" s="1"/>
  <c r="M26" i="367"/>
  <c r="E43" i="367" s="1"/>
  <c r="E47" i="367" s="1"/>
  <c r="S62" i="294" s="1"/>
  <c r="N142" i="294"/>
  <c r="M132" i="294"/>
  <c r="D18" i="289"/>
  <c r="F11" i="105"/>
  <c r="D11" i="105"/>
  <c r="E11" i="105"/>
  <c r="G11" i="105"/>
  <c r="S312" i="209"/>
  <c r="H39" i="7"/>
  <c r="S17" i="209" s="1"/>
  <c r="H29" i="223"/>
  <c r="H43" i="223" s="1"/>
  <c r="D48" i="223"/>
  <c r="I476" i="246"/>
  <c r="D29" i="171"/>
  <c r="G30" i="173"/>
  <c r="G30" i="175" s="1"/>
  <c r="L374" i="246"/>
  <c r="G30" i="231"/>
  <c r="P25" i="223"/>
  <c r="L25" i="231"/>
  <c r="E25" i="173"/>
  <c r="P323" i="209"/>
  <c r="O345" i="209"/>
  <c r="P345" i="209"/>
  <c r="H25" i="225"/>
  <c r="H47" i="365"/>
  <c r="S153" i="209" s="1"/>
  <c r="H43" i="365"/>
  <c r="G25" i="184"/>
  <c r="H25" i="185"/>
  <c r="H39" i="185" s="1"/>
  <c r="F12" i="171"/>
  <c r="Q580" i="246" s="1"/>
  <c r="N33" i="292"/>
  <c r="F12" i="173"/>
  <c r="Q578" i="246"/>
  <c r="D33" i="292"/>
  <c r="F24" i="231"/>
  <c r="D35" i="292" s="1"/>
  <c r="F17" i="231"/>
  <c r="F17" i="170"/>
  <c r="G45" i="370"/>
  <c r="L151" i="209" s="1"/>
  <c r="E11" i="79"/>
  <c r="E44" i="79" s="1"/>
  <c r="P100" i="209" s="1"/>
  <c r="H30" i="212"/>
  <c r="F23" i="172"/>
  <c r="L682" i="209"/>
  <c r="F24" i="172"/>
  <c r="R690" i="209"/>
  <c r="E25" i="228"/>
  <c r="F490" i="246"/>
  <c r="F133" i="246"/>
  <c r="F82" i="246"/>
  <c r="F592" i="246"/>
  <c r="F184" i="246"/>
  <c r="U46" i="246"/>
  <c r="U97" i="246" s="1"/>
  <c r="U148" i="246" s="1"/>
  <c r="U199" i="246" s="1"/>
  <c r="U250" i="246" s="1"/>
  <c r="U301" i="246" s="1"/>
  <c r="U352" i="246" s="1"/>
  <c r="U403" i="246" s="1"/>
  <c r="U454" i="246" s="1"/>
  <c r="U505" i="246" s="1"/>
  <c r="U556" i="246" s="1"/>
  <c r="U607" i="246" s="1"/>
  <c r="D97" i="246"/>
  <c r="D148" i="246" s="1"/>
  <c r="D199" i="246" s="1"/>
  <c r="D250" i="246" s="1"/>
  <c r="D301" i="246" s="1"/>
  <c r="D352" i="246" s="1"/>
  <c r="D403" i="246" s="1"/>
  <c r="D454" i="246" s="1"/>
  <c r="D505" i="246" s="1"/>
  <c r="D556" i="246" s="1"/>
  <c r="D607" i="246" s="1"/>
  <c r="D658" i="246" s="1"/>
  <c r="H39" i="13"/>
  <c r="S12" i="209" s="1"/>
  <c r="S307" i="209"/>
  <c r="H47" i="125"/>
  <c r="S131" i="209" s="1"/>
  <c r="H43" i="125"/>
  <c r="D11" i="188"/>
  <c r="F11" i="188"/>
  <c r="G11" i="188"/>
  <c r="E33" i="84"/>
  <c r="J459" i="246" s="1"/>
  <c r="J434" i="246"/>
  <c r="L623" i="209"/>
  <c r="E11" i="370"/>
  <c r="J682" i="209" s="1"/>
  <c r="K339" i="246"/>
  <c r="E13" i="170"/>
  <c r="E13" i="175" s="1"/>
  <c r="L463" i="209"/>
  <c r="Q434" i="246"/>
  <c r="D28" i="171"/>
  <c r="F32" i="173"/>
  <c r="L667" i="209"/>
  <c r="L608" i="209"/>
  <c r="F111" i="209"/>
  <c r="F170" i="209" s="1"/>
  <c r="F229" i="209" s="1"/>
  <c r="F288" i="209" s="1"/>
  <c r="F347" i="209" s="1"/>
  <c r="F406" i="209" s="1"/>
  <c r="F465" i="209" s="1"/>
  <c r="F524" i="209" s="1"/>
  <c r="F583" i="209" s="1"/>
  <c r="F642" i="209" s="1"/>
  <c r="F701" i="209" s="1"/>
  <c r="F760" i="209" s="1"/>
  <c r="U41" i="246"/>
  <c r="U92" i="246" s="1"/>
  <c r="U143" i="246" s="1"/>
  <c r="U194" i="246" s="1"/>
  <c r="U245" i="246" s="1"/>
  <c r="U296" i="246" s="1"/>
  <c r="U347" i="246" s="1"/>
  <c r="U398" i="246" s="1"/>
  <c r="U449" i="246" s="1"/>
  <c r="U500" i="246" s="1"/>
  <c r="U551" i="246" s="1"/>
  <c r="U602" i="246" s="1"/>
  <c r="D92" i="246"/>
  <c r="D143" i="246" s="1"/>
  <c r="D194" i="246" s="1"/>
  <c r="D245" i="246" s="1"/>
  <c r="D296" i="246" s="1"/>
  <c r="D347" i="246" s="1"/>
  <c r="D398" i="246" s="1"/>
  <c r="D449" i="246" s="1"/>
  <c r="D500" i="246" s="1"/>
  <c r="D551" i="246" s="1"/>
  <c r="D602" i="246" s="1"/>
  <c r="D653" i="246" s="1"/>
  <c r="E11" i="347"/>
  <c r="E11" i="190"/>
  <c r="D11" i="190"/>
  <c r="L26" i="190" s="1"/>
  <c r="H31" i="326"/>
  <c r="H45" i="326" s="1"/>
  <c r="D48" i="326"/>
  <c r="G23" i="184"/>
  <c r="R215" i="246"/>
  <c r="G23" i="171"/>
  <c r="K434" i="246"/>
  <c r="F33" i="84"/>
  <c r="K459" i="246" s="1"/>
  <c r="C23" i="170"/>
  <c r="O251" i="246"/>
  <c r="H25" i="226"/>
  <c r="I455" i="246"/>
  <c r="M455" i="246" s="1"/>
  <c r="O353" i="246"/>
  <c r="C30" i="170"/>
  <c r="C30" i="175" s="1"/>
  <c r="O26" i="370"/>
  <c r="H27" i="212"/>
  <c r="H41" i="212" s="1"/>
  <c r="M205" i="209" s="1"/>
  <c r="C30" i="292"/>
  <c r="E32" i="228"/>
  <c r="R317" i="246"/>
  <c r="F24" i="84"/>
  <c r="D33" i="172"/>
  <c r="Q374" i="246"/>
  <c r="H47" i="4"/>
  <c r="S129" i="209" s="1"/>
  <c r="H43" i="4"/>
  <c r="F11" i="284"/>
  <c r="G11" i="284"/>
  <c r="L571" i="246" s="1"/>
  <c r="H47" i="39"/>
  <c r="S161" i="209" s="1"/>
  <c r="H43" i="39"/>
  <c r="C30" i="231"/>
  <c r="P485" i="246"/>
  <c r="J485" i="246"/>
  <c r="E44" i="160"/>
  <c r="P87" i="246" s="1"/>
  <c r="P546" i="246"/>
  <c r="E45" i="160"/>
  <c r="J138" i="246" s="1"/>
  <c r="J546" i="246"/>
  <c r="D31" i="184"/>
  <c r="D48" i="185"/>
  <c r="C23" i="171"/>
  <c r="O221" i="246"/>
  <c r="D11" i="15"/>
  <c r="E11" i="15"/>
  <c r="P599" i="209" s="1"/>
  <c r="G11" i="15"/>
  <c r="R599" i="209" s="1"/>
  <c r="F11" i="15"/>
  <c r="G32" i="18"/>
  <c r="G32" i="327" s="1"/>
  <c r="F31" i="18"/>
  <c r="G10" i="292" s="1"/>
  <c r="E28" i="44"/>
  <c r="E28" i="328" s="1"/>
  <c r="O25" i="44"/>
  <c r="O25" i="328" s="1"/>
  <c r="P667" i="209"/>
  <c r="D23" i="44"/>
  <c r="F26" i="44"/>
  <c r="F11" i="292" s="1"/>
  <c r="E30" i="18"/>
  <c r="E30" i="327" s="1"/>
  <c r="D29" i="44"/>
  <c r="F28" i="18"/>
  <c r="F28" i="327" s="1"/>
  <c r="E26" i="18"/>
  <c r="E26" i="327" s="1"/>
  <c r="N25" i="18"/>
  <c r="N25" i="327" s="1"/>
  <c r="C24" i="228"/>
  <c r="C24" i="173"/>
  <c r="D31" i="228"/>
  <c r="O559" i="209"/>
  <c r="R286" i="209"/>
  <c r="R404" i="209"/>
  <c r="E33" i="228"/>
  <c r="J522" i="209"/>
  <c r="D48" i="84"/>
  <c r="J425" i="246"/>
  <c r="Q237" i="246"/>
  <c r="D17" i="231"/>
  <c r="H28" i="185"/>
  <c r="H42" i="185" s="1"/>
  <c r="M215" i="246" s="1"/>
  <c r="F24" i="173"/>
  <c r="D31" i="171"/>
  <c r="G28" i="18"/>
  <c r="G28" i="327" s="1"/>
  <c r="O25" i="170"/>
  <c r="U9" i="209"/>
  <c r="U68" i="209" s="1"/>
  <c r="U127" i="209" s="1"/>
  <c r="U186" i="209" s="1"/>
  <c r="U245" i="209" s="1"/>
  <c r="U304" i="209" s="1"/>
  <c r="U363" i="209" s="1"/>
  <c r="U422" i="209" s="1"/>
  <c r="U481" i="209" s="1"/>
  <c r="U540" i="209" s="1"/>
  <c r="U599" i="209" s="1"/>
  <c r="U658" i="209" s="1"/>
  <c r="U717" i="209" s="1"/>
  <c r="D68" i="209"/>
  <c r="D127" i="209" s="1"/>
  <c r="D186" i="209" s="1"/>
  <c r="D245" i="209" s="1"/>
  <c r="D304" i="209" s="1"/>
  <c r="D363" i="209" s="1"/>
  <c r="D422" i="209" s="1"/>
  <c r="D481" i="209" s="1"/>
  <c r="D540" i="209" s="1"/>
  <c r="D599" i="209" s="1"/>
  <c r="D658" i="209" s="1"/>
  <c r="D717" i="209" s="1"/>
  <c r="H47" i="72"/>
  <c r="S154" i="209" s="1"/>
  <c r="H43" i="72"/>
  <c r="D11" i="333"/>
  <c r="G11" i="333"/>
  <c r="O26" i="333" s="1"/>
  <c r="G43" i="333" s="1"/>
  <c r="G47" i="333" s="1"/>
  <c r="U64" i="294" s="1"/>
  <c r="F11" i="183"/>
  <c r="G11" i="183"/>
  <c r="E11" i="183"/>
  <c r="E30" i="231"/>
  <c r="J374" i="246"/>
  <c r="H32" i="223"/>
  <c r="M527" i="246" s="1"/>
  <c r="G32" i="173"/>
  <c r="N26" i="292"/>
  <c r="P26" i="292" s="1"/>
  <c r="Q587" i="246"/>
  <c r="Q383" i="246"/>
  <c r="F23" i="84"/>
  <c r="Q357" i="246" s="1"/>
  <c r="Q230" i="246"/>
  <c r="R230" i="246"/>
  <c r="C26" i="292"/>
  <c r="K383" i="246"/>
  <c r="Q306" i="246"/>
  <c r="D11" i="6"/>
  <c r="E11" i="6"/>
  <c r="J667" i="209" s="1"/>
  <c r="D18" i="16"/>
  <c r="D42" i="16" s="1"/>
  <c r="D44" i="16"/>
  <c r="O67" i="209" s="1"/>
  <c r="D45" i="16"/>
  <c r="I126" i="209" s="1"/>
  <c r="O598" i="209"/>
  <c r="L26" i="16"/>
  <c r="G18" i="365"/>
  <c r="G44" i="365"/>
  <c r="R94" i="209" s="1"/>
  <c r="L625" i="209"/>
  <c r="R625" i="209"/>
  <c r="O26" i="365"/>
  <c r="G46" i="365"/>
  <c r="D24" i="228"/>
  <c r="I323" i="209"/>
  <c r="D16" i="172"/>
  <c r="D16" i="184"/>
  <c r="G23" i="172"/>
  <c r="L339" i="246"/>
  <c r="R441" i="246"/>
  <c r="R476" i="246"/>
  <c r="O288" i="246"/>
  <c r="S269" i="209"/>
  <c r="O25" i="228"/>
  <c r="G26" i="173"/>
  <c r="D27" i="231"/>
  <c r="D12" i="171"/>
  <c r="F11" i="79"/>
  <c r="K332" i="246"/>
  <c r="G46" i="370"/>
  <c r="K281" i="246"/>
  <c r="H37" i="125"/>
  <c r="S190" i="209" s="1"/>
  <c r="S249" i="209"/>
  <c r="D11" i="194"/>
  <c r="F11" i="194"/>
  <c r="E11" i="194"/>
  <c r="E46" i="194" s="1"/>
  <c r="D29" i="292"/>
  <c r="P29" i="292" s="1"/>
  <c r="Q368" i="246"/>
  <c r="L266" i="246"/>
  <c r="F24" i="171"/>
  <c r="K266" i="246"/>
  <c r="P25" i="185"/>
  <c r="L25" i="171"/>
  <c r="P221" i="246"/>
  <c r="E23" i="231"/>
  <c r="I441" i="246"/>
  <c r="D11" i="370"/>
  <c r="F33" i="228"/>
  <c r="G17" i="228"/>
  <c r="D26" i="170"/>
  <c r="H27" i="226"/>
  <c r="H41" i="226" s="1"/>
  <c r="M200" i="246" s="1"/>
  <c r="G25" i="171"/>
  <c r="I485" i="246"/>
  <c r="L272" i="246"/>
  <c r="D29" i="231"/>
  <c r="C23" i="18"/>
  <c r="C23" i="327" s="1"/>
  <c r="D67" i="246"/>
  <c r="D118" i="246" s="1"/>
  <c r="D169" i="246" s="1"/>
  <c r="D220" i="246" s="1"/>
  <c r="D271" i="246" s="1"/>
  <c r="D322" i="246" s="1"/>
  <c r="D373" i="246" s="1"/>
  <c r="D424" i="246" s="1"/>
  <c r="D475" i="246" s="1"/>
  <c r="D526" i="246" s="1"/>
  <c r="D577" i="246" s="1"/>
  <c r="D628" i="246" s="1"/>
  <c r="U16" i="246"/>
  <c r="U67" i="246" s="1"/>
  <c r="U118" i="246" s="1"/>
  <c r="U169" i="246" s="1"/>
  <c r="U220" i="246" s="1"/>
  <c r="U271" i="246" s="1"/>
  <c r="U322" i="246" s="1"/>
  <c r="U373" i="246" s="1"/>
  <c r="U424" i="246" s="1"/>
  <c r="U475" i="246" s="1"/>
  <c r="U526" i="246" s="1"/>
  <c r="U577" i="246" s="1"/>
  <c r="H47" i="338"/>
  <c r="S150" i="209" s="1"/>
  <c r="H43" i="338"/>
  <c r="J500" i="209"/>
  <c r="E24" i="173"/>
  <c r="F33" i="171"/>
  <c r="G26" i="171"/>
  <c r="O368" i="246"/>
  <c r="D25" i="170"/>
  <c r="C23" i="231"/>
  <c r="H46" i="154"/>
  <c r="S628" i="209" s="1"/>
  <c r="M628" i="209"/>
  <c r="C25" i="184"/>
  <c r="F16" i="170"/>
  <c r="F16" i="231"/>
  <c r="E26" i="170"/>
  <c r="E26" i="231"/>
  <c r="G28" i="172"/>
  <c r="D48" i="226"/>
  <c r="O506" i="246"/>
  <c r="D32" i="172"/>
  <c r="Q323" i="209"/>
  <c r="K272" i="246"/>
  <c r="G44" i="370"/>
  <c r="R92" i="209" s="1"/>
  <c r="G26" i="231"/>
  <c r="E25" i="171"/>
  <c r="F31" i="44"/>
  <c r="F31" i="328" s="1"/>
  <c r="U45" i="246"/>
  <c r="U96" i="246" s="1"/>
  <c r="U147" i="246" s="1"/>
  <c r="U198" i="246" s="1"/>
  <c r="U249" i="246" s="1"/>
  <c r="U300" i="246" s="1"/>
  <c r="U351" i="246" s="1"/>
  <c r="U402" i="246" s="1"/>
  <c r="U453" i="246" s="1"/>
  <c r="U504" i="246" s="1"/>
  <c r="U555" i="246" s="1"/>
  <c r="U606" i="246" s="1"/>
  <c r="D96" i="246"/>
  <c r="D147" i="246" s="1"/>
  <c r="D198" i="246" s="1"/>
  <c r="D249" i="246" s="1"/>
  <c r="D300" i="246" s="1"/>
  <c r="D351" i="246" s="1"/>
  <c r="D402" i="246" s="1"/>
  <c r="D453" i="246" s="1"/>
  <c r="D504" i="246" s="1"/>
  <c r="D555" i="246" s="1"/>
  <c r="D606" i="246" s="1"/>
  <c r="D657" i="246" s="1"/>
  <c r="F17" i="173"/>
  <c r="F17" i="228"/>
  <c r="O323" i="209"/>
  <c r="C25" i="228"/>
  <c r="S699" i="209"/>
  <c r="Q441" i="246"/>
  <c r="H46" i="186"/>
  <c r="H31" i="186"/>
  <c r="H45" i="186" s="1"/>
  <c r="E24" i="231"/>
  <c r="L317" i="246"/>
  <c r="P272" i="246"/>
  <c r="C33" i="18"/>
  <c r="C33" i="327" s="1"/>
  <c r="F23" i="44"/>
  <c r="F199" i="209"/>
  <c r="F612" i="209"/>
  <c r="F317" i="209"/>
  <c r="U14" i="209"/>
  <c r="U73" i="209" s="1"/>
  <c r="U132" i="209" s="1"/>
  <c r="U191" i="209" s="1"/>
  <c r="U250" i="209" s="1"/>
  <c r="U309" i="209" s="1"/>
  <c r="U368" i="209" s="1"/>
  <c r="U427" i="209" s="1"/>
  <c r="U486" i="209" s="1"/>
  <c r="U545" i="209" s="1"/>
  <c r="U604" i="209" s="1"/>
  <c r="U663" i="209" s="1"/>
  <c r="U722" i="209" s="1"/>
  <c r="D73" i="209"/>
  <c r="D132" i="209" s="1"/>
  <c r="D191" i="209" s="1"/>
  <c r="D250" i="209" s="1"/>
  <c r="D309" i="209" s="1"/>
  <c r="D368" i="209" s="1"/>
  <c r="D427" i="209" s="1"/>
  <c r="D486" i="209" s="1"/>
  <c r="D545" i="209" s="1"/>
  <c r="D604" i="209" s="1"/>
  <c r="D663" i="209" s="1"/>
  <c r="D722" i="209" s="1"/>
  <c r="S304" i="209"/>
  <c r="H39" i="15"/>
  <c r="S9" i="209" s="1"/>
  <c r="H39" i="4"/>
  <c r="S11" i="209" s="1"/>
  <c r="S306" i="209"/>
  <c r="F48" i="223"/>
  <c r="K476" i="246"/>
  <c r="G33" i="292"/>
  <c r="D28" i="172"/>
  <c r="H28" i="104"/>
  <c r="H42" i="104" s="1"/>
  <c r="P14" i="101" s="1"/>
  <c r="M480" i="209"/>
  <c r="S481" i="209"/>
  <c r="S484" i="209"/>
  <c r="M486" i="209"/>
  <c r="M489" i="209"/>
  <c r="S490" i="209"/>
  <c r="M540" i="209"/>
  <c r="M542" i="209"/>
  <c r="S543" i="209"/>
  <c r="M545" i="209"/>
  <c r="S546" i="209"/>
  <c r="M548" i="209"/>
  <c r="S549" i="209"/>
  <c r="S568" i="209"/>
  <c r="H27" i="326"/>
  <c r="H41" i="326" s="1"/>
  <c r="E13" i="184"/>
  <c r="M422" i="209"/>
  <c r="D26" i="231"/>
  <c r="D28" i="173"/>
  <c r="G13" i="228"/>
  <c r="F13" i="172"/>
  <c r="F32" i="172"/>
  <c r="H37" i="11"/>
  <c r="S191" i="209" s="1"/>
  <c r="M388" i="209"/>
  <c r="S424" i="209"/>
  <c r="O25" i="184"/>
  <c r="P25" i="184" s="1"/>
  <c r="F28" i="171"/>
  <c r="D28" i="231"/>
  <c r="E30" i="184"/>
  <c r="AA12" i="292"/>
  <c r="M394" i="209"/>
  <c r="S453" i="209"/>
  <c r="Q286" i="209"/>
  <c r="D33" i="228"/>
  <c r="S388" i="209"/>
  <c r="M395" i="209"/>
  <c r="S397" i="209"/>
  <c r="M396" i="209"/>
  <c r="S390" i="209"/>
  <c r="M454" i="209"/>
  <c r="S456" i="209"/>
  <c r="M455" i="209"/>
  <c r="S449" i="209"/>
  <c r="S506" i="209"/>
  <c r="M513" i="209"/>
  <c r="S515" i="209"/>
  <c r="S658" i="209"/>
  <c r="J323" i="209"/>
  <c r="S366" i="209"/>
  <c r="M426" i="209"/>
  <c r="D33" i="184"/>
  <c r="F16" i="184"/>
  <c r="G47" i="164"/>
  <c r="G54" i="164" s="1"/>
  <c r="G68" i="164" s="1"/>
  <c r="E33" i="184"/>
  <c r="J506" i="246"/>
  <c r="S575" i="209"/>
  <c r="S511" i="209"/>
  <c r="M393" i="209"/>
  <c r="S566" i="209"/>
  <c r="H24" i="361"/>
  <c r="H38" i="361" s="1"/>
  <c r="P10" i="296" s="1"/>
  <c r="H27" i="361"/>
  <c r="H41" i="361" s="1"/>
  <c r="F32" i="231"/>
  <c r="D30" i="184"/>
  <c r="O317" i="246"/>
  <c r="D30" i="171"/>
  <c r="H30" i="185"/>
  <c r="O470" i="246"/>
  <c r="Q221" i="246"/>
  <c r="K323" i="246"/>
  <c r="F23" i="171"/>
  <c r="K374" i="246"/>
  <c r="C33" i="292"/>
  <c r="R221" i="246"/>
  <c r="F23" i="231"/>
  <c r="Q323" i="246"/>
  <c r="Q425" i="246"/>
  <c r="C26" i="231"/>
  <c r="C26" i="171"/>
  <c r="D16" i="171"/>
  <c r="D16" i="231"/>
  <c r="G31" i="84"/>
  <c r="L485" i="246"/>
  <c r="H46" i="104"/>
  <c r="R485" i="246"/>
  <c r="H31" i="104"/>
  <c r="H45" i="104" s="1"/>
  <c r="G48" i="104"/>
  <c r="D11" i="13"/>
  <c r="G11" i="13"/>
  <c r="G46" i="13" s="1"/>
  <c r="F11" i="13"/>
  <c r="E11" i="13"/>
  <c r="F11" i="72"/>
  <c r="G11" i="72"/>
  <c r="D11" i="72"/>
  <c r="E11" i="72"/>
  <c r="E46" i="72" s="1"/>
  <c r="D14" i="228"/>
  <c r="D14" i="173"/>
  <c r="E20" i="292"/>
  <c r="F30" i="173"/>
  <c r="F30" i="228"/>
  <c r="E22" i="292" s="1"/>
  <c r="C33" i="173"/>
  <c r="C33" i="228"/>
  <c r="H23" i="225"/>
  <c r="D23" i="170"/>
  <c r="O286" i="209"/>
  <c r="I404" i="209"/>
  <c r="O404" i="209"/>
  <c r="O522" i="209"/>
  <c r="P286" i="209"/>
  <c r="Q345" i="209"/>
  <c r="K522" i="209"/>
  <c r="Q404" i="209"/>
  <c r="R345" i="209"/>
  <c r="F25" i="170"/>
  <c r="C28" i="170"/>
  <c r="C28" i="228"/>
  <c r="J463" i="209"/>
  <c r="P581" i="209"/>
  <c r="E30" i="170"/>
  <c r="E30" i="175" s="1"/>
  <c r="AA21" i="292"/>
  <c r="H32" i="225"/>
  <c r="M640" i="209" s="1"/>
  <c r="G32" i="170"/>
  <c r="C23" i="172"/>
  <c r="O237" i="246"/>
  <c r="Q288" i="246"/>
  <c r="E25" i="172"/>
  <c r="P339" i="246"/>
  <c r="J441" i="246"/>
  <c r="P441" i="246"/>
  <c r="P288" i="246"/>
  <c r="H27" i="186"/>
  <c r="H41" i="186" s="1"/>
  <c r="P13" i="95" s="1"/>
  <c r="G27" i="172"/>
  <c r="O492" i="246"/>
  <c r="D30" i="172"/>
  <c r="I390" i="246"/>
  <c r="H30" i="186"/>
  <c r="H44" i="186" s="1"/>
  <c r="O215" i="246"/>
  <c r="H23" i="185"/>
  <c r="D23" i="171"/>
  <c r="O419" i="246"/>
  <c r="N25" i="184"/>
  <c r="N25" i="171"/>
  <c r="S278" i="209"/>
  <c r="H37" i="337"/>
  <c r="S219" i="209" s="1"/>
  <c r="E23" i="184"/>
  <c r="Q215" i="246"/>
  <c r="E23" i="171"/>
  <c r="P215" i="246"/>
  <c r="F25" i="184"/>
  <c r="R266" i="246"/>
  <c r="K317" i="246"/>
  <c r="Q419" i="246"/>
  <c r="Q266" i="246"/>
  <c r="K368" i="246"/>
  <c r="F25" i="171"/>
  <c r="K419" i="246"/>
  <c r="D32" i="184"/>
  <c r="H32" i="185"/>
  <c r="M521" i="246" s="1"/>
  <c r="H46" i="185"/>
  <c r="D32" i="171"/>
  <c r="G29" i="84"/>
  <c r="H29" i="84" s="1"/>
  <c r="H29" i="104"/>
  <c r="G29" i="172"/>
  <c r="S287" i="246"/>
  <c r="H39" i="313"/>
  <c r="S32" i="246" s="1"/>
  <c r="N26" i="165"/>
  <c r="F43" i="165" s="1"/>
  <c r="F47" i="165" s="1"/>
  <c r="Q115" i="246" s="1"/>
  <c r="K523" i="246"/>
  <c r="K574" i="246"/>
  <c r="F44" i="165"/>
  <c r="Q64" i="246" s="1"/>
  <c r="F18" i="165"/>
  <c r="F46" i="165"/>
  <c r="F45" i="165"/>
  <c r="K115" i="246" s="1"/>
  <c r="D44" i="14"/>
  <c r="O69" i="209" s="1"/>
  <c r="I659" i="209"/>
  <c r="L26" i="14"/>
  <c r="I600" i="209"/>
  <c r="O600" i="209"/>
  <c r="V40" i="36"/>
  <c r="X40" i="36" s="1"/>
  <c r="X41" i="36" s="1"/>
  <c r="E14" i="7" s="1"/>
  <c r="J40" i="36"/>
  <c r="N40" i="36" s="1"/>
  <c r="R40" i="36" s="1"/>
  <c r="F18" i="190"/>
  <c r="F37" i="190" s="1"/>
  <c r="Q162" i="246" s="1"/>
  <c r="F45" i="190"/>
  <c r="K111" i="246" s="1"/>
  <c r="K570" i="246"/>
  <c r="K519" i="246"/>
  <c r="F44" i="190"/>
  <c r="Q60" i="246" s="1"/>
  <c r="F46" i="190"/>
  <c r="H37" i="126"/>
  <c r="S190" i="246" s="1"/>
  <c r="S241" i="246"/>
  <c r="L585" i="246"/>
  <c r="O26" i="101"/>
  <c r="G43" i="101" s="1"/>
  <c r="G47" i="101" s="1"/>
  <c r="R126" i="246" s="1"/>
  <c r="G44" i="101"/>
  <c r="R75" i="246" s="1"/>
  <c r="G45" i="101"/>
  <c r="L126" i="246" s="1"/>
  <c r="G46" i="101"/>
  <c r="G18" i="101"/>
  <c r="L534" i="246"/>
  <c r="R534" i="246"/>
  <c r="L607" i="209"/>
  <c r="G46" i="7"/>
  <c r="R607" i="209"/>
  <c r="U24" i="246"/>
  <c r="U75" i="246" s="1"/>
  <c r="U126" i="246" s="1"/>
  <c r="U177" i="246" s="1"/>
  <c r="U228" i="246" s="1"/>
  <c r="U279" i="246" s="1"/>
  <c r="U330" i="246" s="1"/>
  <c r="U381" i="246" s="1"/>
  <c r="U432" i="246" s="1"/>
  <c r="U483" i="246" s="1"/>
  <c r="U534" i="246" s="1"/>
  <c r="U585" i="246" s="1"/>
  <c r="D75" i="246"/>
  <c r="D126" i="246" s="1"/>
  <c r="D177" i="246" s="1"/>
  <c r="D228" i="246" s="1"/>
  <c r="D279" i="246" s="1"/>
  <c r="D330" i="246" s="1"/>
  <c r="D381" i="246" s="1"/>
  <c r="D432" i="246" s="1"/>
  <c r="D483" i="246" s="1"/>
  <c r="D534" i="246" s="1"/>
  <c r="D585" i="246" s="1"/>
  <c r="D636" i="246" s="1"/>
  <c r="D80" i="246"/>
  <c r="D131" i="246" s="1"/>
  <c r="D182" i="246" s="1"/>
  <c r="D233" i="246" s="1"/>
  <c r="D284" i="246" s="1"/>
  <c r="D335" i="246" s="1"/>
  <c r="D386" i="246" s="1"/>
  <c r="D437" i="246" s="1"/>
  <c r="D488" i="246" s="1"/>
  <c r="D539" i="246" s="1"/>
  <c r="D590" i="246" s="1"/>
  <c r="D641" i="246" s="1"/>
  <c r="U29" i="246"/>
  <c r="U80" i="246" s="1"/>
  <c r="U131" i="246" s="1"/>
  <c r="U182" i="246" s="1"/>
  <c r="U233" i="246" s="1"/>
  <c r="U284" i="246" s="1"/>
  <c r="U335" i="246" s="1"/>
  <c r="U386" i="246" s="1"/>
  <c r="U437" i="246" s="1"/>
  <c r="U488" i="246" s="1"/>
  <c r="U539" i="246" s="1"/>
  <c r="U590" i="246" s="1"/>
  <c r="G11" i="165"/>
  <c r="E11" i="165"/>
  <c r="D11" i="165"/>
  <c r="M309" i="209"/>
  <c r="H38" i="11"/>
  <c r="M14" i="209" s="1"/>
  <c r="H47" i="183"/>
  <c r="S148" i="246" s="1"/>
  <c r="H43" i="183"/>
  <c r="E11" i="141"/>
  <c r="G11" i="141"/>
  <c r="D11" i="141"/>
  <c r="F11" i="141"/>
  <c r="E11" i="101"/>
  <c r="D11" i="101"/>
  <c r="F11" i="101"/>
  <c r="I332" i="246"/>
  <c r="I281" i="246"/>
  <c r="D24" i="84"/>
  <c r="D24" i="172"/>
  <c r="O434" i="246"/>
  <c r="H24" i="104"/>
  <c r="J281" i="246"/>
  <c r="D26" i="84"/>
  <c r="H26" i="84" s="1"/>
  <c r="H40" i="84" s="1"/>
  <c r="M102" i="246" s="1"/>
  <c r="D26" i="172"/>
  <c r="H26" i="104"/>
  <c r="H40" i="104" s="1"/>
  <c r="D44" i="289"/>
  <c r="L26" i="289"/>
  <c r="D43" i="289" s="1"/>
  <c r="D47" i="289" s="1"/>
  <c r="R52" i="294" s="1"/>
  <c r="D45" i="289"/>
  <c r="M52" i="294" s="1"/>
  <c r="G45" i="7"/>
  <c r="L135" i="209" s="1"/>
  <c r="K667" i="209"/>
  <c r="F46" i="6"/>
  <c r="M131" i="294"/>
  <c r="D11" i="291"/>
  <c r="D41" i="191"/>
  <c r="I183" i="246" s="1"/>
  <c r="D42" i="191"/>
  <c r="I234" i="246" s="1"/>
  <c r="D39" i="191"/>
  <c r="O30" i="246" s="1"/>
  <c r="D45" i="360"/>
  <c r="D44" i="360"/>
  <c r="R41" i="294" s="1"/>
  <c r="D18" i="360"/>
  <c r="G27" i="292"/>
  <c r="K510" i="246"/>
  <c r="F48" i="84"/>
  <c r="Q547" i="246"/>
  <c r="K598" i="246"/>
  <c r="F46" i="126"/>
  <c r="F45" i="333"/>
  <c r="O64" i="294" s="1"/>
  <c r="F18" i="333"/>
  <c r="N26" i="333"/>
  <c r="F43" i="333" s="1"/>
  <c r="F47" i="333" s="1"/>
  <c r="T64" i="294" s="1"/>
  <c r="E46" i="166"/>
  <c r="M26" i="166"/>
  <c r="E43" i="166" s="1"/>
  <c r="E47" i="166" s="1"/>
  <c r="P116" i="246" s="1"/>
  <c r="E18" i="166"/>
  <c r="E37" i="166" s="1"/>
  <c r="P167" i="246" s="1"/>
  <c r="F45" i="11"/>
  <c r="K132" i="209" s="1"/>
  <c r="H47" i="196"/>
  <c r="S155" i="209" s="1"/>
  <c r="H43" i="196"/>
  <c r="F11" i="296"/>
  <c r="E11" i="296"/>
  <c r="D11" i="296"/>
  <c r="G11" i="296"/>
  <c r="E29" i="44"/>
  <c r="D31" i="44"/>
  <c r="D12" i="44"/>
  <c r="F25" i="44"/>
  <c r="G12" i="44"/>
  <c r="G33" i="44"/>
  <c r="G28" i="44"/>
  <c r="Q752" i="209"/>
  <c r="R752" i="209"/>
  <c r="G33" i="18"/>
  <c r="G33" i="327" s="1"/>
  <c r="D29" i="18"/>
  <c r="G31" i="44"/>
  <c r="N25" i="44"/>
  <c r="C23" i="44"/>
  <c r="C28" i="44"/>
  <c r="G23" i="44"/>
  <c r="G13" i="44"/>
  <c r="G13" i="328" s="1"/>
  <c r="D16" i="18"/>
  <c r="D16" i="327" s="1"/>
  <c r="R751" i="209"/>
  <c r="P693" i="209"/>
  <c r="G24" i="44"/>
  <c r="D32" i="44"/>
  <c r="D30" i="44"/>
  <c r="C26" i="44"/>
  <c r="C26" i="328" s="1"/>
  <c r="C24" i="44"/>
  <c r="E26" i="44"/>
  <c r="E26" i="328" s="1"/>
  <c r="G13" i="18"/>
  <c r="G13" i="327" s="1"/>
  <c r="O25" i="18"/>
  <c r="E29" i="18"/>
  <c r="L25" i="44"/>
  <c r="C25" i="44"/>
  <c r="F32" i="44"/>
  <c r="D28" i="44"/>
  <c r="G16" i="44"/>
  <c r="L25" i="18"/>
  <c r="G12" i="18"/>
  <c r="P692" i="209"/>
  <c r="F24" i="44"/>
  <c r="E27" i="44"/>
  <c r="E12" i="44"/>
  <c r="F30" i="44"/>
  <c r="D13" i="44"/>
  <c r="G27" i="18"/>
  <c r="E33" i="18"/>
  <c r="E33" i="327" s="1"/>
  <c r="M25" i="18"/>
  <c r="M25" i="327" s="1"/>
  <c r="M25" i="44"/>
  <c r="C30" i="44"/>
  <c r="D16" i="44"/>
  <c r="E31" i="44"/>
  <c r="R692" i="209"/>
  <c r="S692" i="209" s="1"/>
  <c r="F24" i="18"/>
  <c r="D10" i="292" s="1"/>
  <c r="D32" i="18"/>
  <c r="D32" i="327" s="1"/>
  <c r="C24" i="18"/>
  <c r="C24" i="327" s="1"/>
  <c r="E25" i="18"/>
  <c r="F28" i="44"/>
  <c r="D26" i="44"/>
  <c r="E16" i="44"/>
  <c r="E16" i="328" s="1"/>
  <c r="D17" i="44"/>
  <c r="C28" i="18"/>
  <c r="C28" i="327" s="1"/>
  <c r="P751" i="209"/>
  <c r="C30" i="18"/>
  <c r="C30" i="327" s="1"/>
  <c r="C29" i="18"/>
  <c r="C29" i="327" s="1"/>
  <c r="D30" i="18"/>
  <c r="C26" i="18"/>
  <c r="C26" i="327" s="1"/>
  <c r="F26" i="18"/>
  <c r="F26" i="327" s="1"/>
  <c r="I657" i="209"/>
  <c r="G29" i="44"/>
  <c r="F13" i="44"/>
  <c r="F33" i="44"/>
  <c r="F33" i="328" s="1"/>
  <c r="D33" i="44"/>
  <c r="F32" i="18"/>
  <c r="R693" i="209"/>
  <c r="O752" i="209"/>
  <c r="E23" i="18"/>
  <c r="D23" i="18"/>
  <c r="D23" i="327" s="1"/>
  <c r="D33" i="18"/>
  <c r="G26" i="18"/>
  <c r="D17" i="18"/>
  <c r="D17" i="327" s="1"/>
  <c r="F23" i="18"/>
  <c r="F23" i="327" s="1"/>
  <c r="C27" i="44"/>
  <c r="E32" i="44"/>
  <c r="E33" i="44"/>
  <c r="G16" i="18"/>
  <c r="G16" i="327" s="1"/>
  <c r="D26" i="18"/>
  <c r="D26" i="327" s="1"/>
  <c r="F30" i="18"/>
  <c r="E10" i="292" s="1"/>
  <c r="F27" i="18"/>
  <c r="F27" i="327" s="1"/>
  <c r="C32" i="18"/>
  <c r="C32" i="327" s="1"/>
  <c r="E12" i="18"/>
  <c r="D27" i="18"/>
  <c r="F13" i="18"/>
  <c r="F13" i="327" s="1"/>
  <c r="E17" i="44"/>
  <c r="E17" i="328" s="1"/>
  <c r="E13" i="44"/>
  <c r="C25" i="18"/>
  <c r="C25" i="327" s="1"/>
  <c r="F17" i="18"/>
  <c r="F17" i="327" s="1"/>
  <c r="F17" i="44"/>
  <c r="E30" i="44"/>
  <c r="C31" i="44"/>
  <c r="P752" i="209"/>
  <c r="P657" i="209"/>
  <c r="Q692" i="209"/>
  <c r="E13" i="18"/>
  <c r="E13" i="327" s="1"/>
  <c r="G30" i="44"/>
  <c r="G32" i="44"/>
  <c r="E24" i="44"/>
  <c r="E28" i="18"/>
  <c r="R657" i="209"/>
  <c r="D28" i="18"/>
  <c r="F25" i="18"/>
  <c r="D27" i="44"/>
  <c r="E23" i="44"/>
  <c r="D12" i="18"/>
  <c r="F33" i="18"/>
  <c r="F33" i="327" s="1"/>
  <c r="E32" i="18"/>
  <c r="E32" i="327" s="1"/>
  <c r="F29" i="44"/>
  <c r="G25" i="44"/>
  <c r="O693" i="209"/>
  <c r="G17" i="18"/>
  <c r="D24" i="18"/>
  <c r="F29" i="18"/>
  <c r="G25" i="18"/>
  <c r="C32" i="44"/>
  <c r="C33" i="44"/>
  <c r="D58" i="27"/>
  <c r="F12" i="18"/>
  <c r="G24" i="18"/>
  <c r="E27" i="18"/>
  <c r="E27" i="327" s="1"/>
  <c r="G30" i="18"/>
  <c r="O751" i="209"/>
  <c r="F27" i="44"/>
  <c r="F27" i="328" s="1"/>
  <c r="C29" i="44"/>
  <c r="D13" i="18"/>
  <c r="D13" i="327" s="1"/>
  <c r="C31" i="18"/>
  <c r="C31" i="327" s="1"/>
  <c r="E25" i="44"/>
  <c r="G26" i="44"/>
  <c r="G26" i="328" s="1"/>
  <c r="E31" i="18"/>
  <c r="O657" i="209"/>
  <c r="E17" i="18"/>
  <c r="E17" i="327" s="1"/>
  <c r="F16" i="18"/>
  <c r="F16" i="327" s="1"/>
  <c r="F12" i="44"/>
  <c r="G23" i="18"/>
  <c r="C27" i="18"/>
  <c r="C27" i="327" s="1"/>
  <c r="D31" i="18"/>
  <c r="F16" i="44"/>
  <c r="D24" i="44"/>
  <c r="G29" i="18"/>
  <c r="G29" i="327" s="1"/>
  <c r="E24" i="18"/>
  <c r="G17" i="44"/>
  <c r="D25" i="18"/>
  <c r="G12" i="228"/>
  <c r="R677" i="209"/>
  <c r="G12" i="173"/>
  <c r="E17" i="228"/>
  <c r="E17" i="173"/>
  <c r="E17" i="175" s="1"/>
  <c r="G24" i="228"/>
  <c r="G24" i="173"/>
  <c r="L323" i="209"/>
  <c r="H24" i="212"/>
  <c r="H38" i="212" s="1"/>
  <c r="M28" i="209" s="1"/>
  <c r="D27" i="228"/>
  <c r="D27" i="173"/>
  <c r="F29" i="173"/>
  <c r="F29" i="228"/>
  <c r="Q699" i="209"/>
  <c r="N21" i="292"/>
  <c r="F12" i="228"/>
  <c r="D17" i="228"/>
  <c r="D17" i="170"/>
  <c r="D21" i="292"/>
  <c r="K345" i="209"/>
  <c r="F24" i="170"/>
  <c r="K404" i="209"/>
  <c r="F24" i="228"/>
  <c r="Q522" i="209"/>
  <c r="C27" i="228"/>
  <c r="C27" i="170"/>
  <c r="E29" i="170"/>
  <c r="J581" i="209"/>
  <c r="E48" i="225"/>
  <c r="H31" i="225"/>
  <c r="H45" i="225" s="1"/>
  <c r="M168" i="209" s="1"/>
  <c r="H46" i="225"/>
  <c r="S640" i="209" s="1"/>
  <c r="G48" i="225"/>
  <c r="L581" i="209"/>
  <c r="M581" i="209" s="1"/>
  <c r="G31" i="170"/>
  <c r="E12" i="184"/>
  <c r="P594" i="246"/>
  <c r="P390" i="246"/>
  <c r="J339" i="246"/>
  <c r="J288" i="246"/>
  <c r="E24" i="172"/>
  <c r="K288" i="246"/>
  <c r="H26" i="186"/>
  <c r="H40" i="186" s="1"/>
  <c r="G26" i="172"/>
  <c r="D29" i="172"/>
  <c r="I492" i="246"/>
  <c r="H29" i="186"/>
  <c r="F31" i="184"/>
  <c r="F48" i="186"/>
  <c r="K492" i="246"/>
  <c r="F31" i="172"/>
  <c r="Q492" i="246"/>
  <c r="G30" i="292"/>
  <c r="L25" i="228"/>
  <c r="L25" i="173"/>
  <c r="H43" i="372"/>
  <c r="H47" i="372"/>
  <c r="S157" i="209" s="1"/>
  <c r="D11" i="7"/>
  <c r="E11" i="7"/>
  <c r="F11" i="7"/>
  <c r="E18" i="368"/>
  <c r="E37" i="368" s="1"/>
  <c r="P217" i="209" s="1"/>
  <c r="M26" i="368"/>
  <c r="I757" i="209"/>
  <c r="D37" i="178"/>
  <c r="O226" i="209" s="1"/>
  <c r="D18" i="349"/>
  <c r="D44" i="349"/>
  <c r="R36" i="294" s="1"/>
  <c r="L459" i="246"/>
  <c r="H25" i="84"/>
  <c r="R357" i="246"/>
  <c r="F45" i="325"/>
  <c r="O49" i="294" s="1"/>
  <c r="N26" i="325"/>
  <c r="F43" i="325" s="1"/>
  <c r="F47" i="325" s="1"/>
  <c r="T49" i="294" s="1"/>
  <c r="F18" i="325"/>
  <c r="F349" i="209"/>
  <c r="F762" i="209"/>
  <c r="F113" i="209"/>
  <c r="F231" i="209"/>
  <c r="F408" i="209"/>
  <c r="F172" i="209"/>
  <c r="F644" i="209"/>
  <c r="F703" i="209"/>
  <c r="U28" i="246"/>
  <c r="U79" i="246" s="1"/>
  <c r="U130" i="246" s="1"/>
  <c r="U181" i="246" s="1"/>
  <c r="U232" i="246" s="1"/>
  <c r="U283" i="246" s="1"/>
  <c r="U334" i="246" s="1"/>
  <c r="U385" i="246" s="1"/>
  <c r="U436" i="246" s="1"/>
  <c r="U487" i="246" s="1"/>
  <c r="U538" i="246" s="1"/>
  <c r="U589" i="246" s="1"/>
  <c r="D79" i="246"/>
  <c r="D130" i="246" s="1"/>
  <c r="D181" i="246" s="1"/>
  <c r="D232" i="246" s="1"/>
  <c r="D283" i="246" s="1"/>
  <c r="D334" i="246" s="1"/>
  <c r="D385" i="246" s="1"/>
  <c r="D436" i="246" s="1"/>
  <c r="D487" i="246" s="1"/>
  <c r="D538" i="246" s="1"/>
  <c r="D589" i="246" s="1"/>
  <c r="D640" i="246" s="1"/>
  <c r="H47" i="151"/>
  <c r="S140" i="246" s="1"/>
  <c r="H43" i="151"/>
  <c r="H47" i="101"/>
  <c r="S126" i="246" s="1"/>
  <c r="H43" i="101"/>
  <c r="U9" i="246"/>
  <c r="U60" i="246" s="1"/>
  <c r="U111" i="246" s="1"/>
  <c r="U162" i="246" s="1"/>
  <c r="U213" i="246" s="1"/>
  <c r="U264" i="246" s="1"/>
  <c r="U315" i="246" s="1"/>
  <c r="U366" i="246" s="1"/>
  <c r="U417" i="246" s="1"/>
  <c r="U468" i="246" s="1"/>
  <c r="U519" i="246" s="1"/>
  <c r="U570" i="246" s="1"/>
  <c r="D60" i="246"/>
  <c r="D111" i="246" s="1"/>
  <c r="D162" i="246" s="1"/>
  <c r="D213" i="246" s="1"/>
  <c r="D264" i="246" s="1"/>
  <c r="D315" i="246" s="1"/>
  <c r="D366" i="246" s="1"/>
  <c r="D417" i="246" s="1"/>
  <c r="D468" i="246" s="1"/>
  <c r="D519" i="246" s="1"/>
  <c r="D570" i="246" s="1"/>
  <c r="D621" i="246" s="1"/>
  <c r="H47" i="359"/>
  <c r="S123" i="246" s="1"/>
  <c r="H43" i="359"/>
  <c r="S233" i="246"/>
  <c r="H37" i="95"/>
  <c r="S182" i="246" s="1"/>
  <c r="E11" i="360"/>
  <c r="F11" i="360"/>
  <c r="G11" i="360"/>
  <c r="G11" i="271"/>
  <c r="E11" i="271"/>
  <c r="D11" i="271"/>
  <c r="F11" i="271"/>
  <c r="H47" i="293"/>
  <c r="H43" i="293"/>
  <c r="F672" i="209"/>
  <c r="F200" i="209"/>
  <c r="F82" i="209"/>
  <c r="F554" i="209"/>
  <c r="F613" i="209"/>
  <c r="F495" i="209"/>
  <c r="D11" i="139"/>
  <c r="F11" i="139"/>
  <c r="E11" i="139"/>
  <c r="E11" i="353"/>
  <c r="F11" i="353"/>
  <c r="E11" i="290"/>
  <c r="F11" i="290"/>
  <c r="G33" i="173"/>
  <c r="H33" i="223"/>
  <c r="E13" i="84"/>
  <c r="E13" i="172"/>
  <c r="E13" i="174" s="1"/>
  <c r="F112" i="209"/>
  <c r="F525" i="209"/>
  <c r="F761" i="209"/>
  <c r="F230" i="209"/>
  <c r="F702" i="209"/>
  <c r="H47" i="165"/>
  <c r="S115" i="246" s="1"/>
  <c r="H43" i="165"/>
  <c r="H47" i="271"/>
  <c r="S125" i="246" s="1"/>
  <c r="H43" i="271"/>
  <c r="S263" i="209"/>
  <c r="H37" i="162"/>
  <c r="S204" i="209" s="1"/>
  <c r="D26" i="184"/>
  <c r="H26" i="185"/>
  <c r="H40" i="185" s="1"/>
  <c r="S403" i="209"/>
  <c r="F11" i="219"/>
  <c r="G11" i="219"/>
  <c r="S332" i="209"/>
  <c r="H39" i="196"/>
  <c r="S37" i="209" s="1"/>
  <c r="H43" i="360"/>
  <c r="H47" i="360"/>
  <c r="F27" i="173"/>
  <c r="F27" i="171"/>
  <c r="E32" i="173"/>
  <c r="E32" i="231"/>
  <c r="E32" i="171"/>
  <c r="O383" i="246"/>
  <c r="D23" i="84"/>
  <c r="I383" i="246"/>
  <c r="D23" i="172"/>
  <c r="I434" i="246"/>
  <c r="D25" i="172"/>
  <c r="P281" i="246"/>
  <c r="O281" i="246"/>
  <c r="O332" i="246"/>
  <c r="G24" i="170"/>
  <c r="G24" i="231"/>
  <c r="L353" i="246"/>
  <c r="H24" i="226"/>
  <c r="G24" i="172"/>
  <c r="R455" i="246"/>
  <c r="F29" i="231"/>
  <c r="K506" i="246"/>
  <c r="C32" i="231"/>
  <c r="C32" i="172"/>
  <c r="D45" i="368"/>
  <c r="I158" i="209" s="1"/>
  <c r="O630" i="209"/>
  <c r="I689" i="209"/>
  <c r="I630" i="209"/>
  <c r="D46" i="368"/>
  <c r="D44" i="368"/>
  <c r="O99" i="209" s="1"/>
  <c r="D45" i="39"/>
  <c r="I161" i="209" s="1"/>
  <c r="D44" i="39"/>
  <c r="O102" i="209" s="1"/>
  <c r="I692" i="209"/>
  <c r="D46" i="39"/>
  <c r="I633" i="209"/>
  <c r="D13" i="173"/>
  <c r="D13" i="228"/>
  <c r="L404" i="209"/>
  <c r="R522" i="209"/>
  <c r="D27" i="170"/>
  <c r="F48" i="225"/>
  <c r="K581" i="209"/>
  <c r="F12" i="184"/>
  <c r="Q390" i="246"/>
  <c r="Q594" i="246"/>
  <c r="N30" i="292"/>
  <c r="D30" i="292"/>
  <c r="L288" i="246"/>
  <c r="G48" i="186"/>
  <c r="G31" i="172"/>
  <c r="Q272" i="246"/>
  <c r="F25" i="231"/>
  <c r="G27" i="171"/>
  <c r="G27" i="231"/>
  <c r="H27" i="223"/>
  <c r="H41" i="223" s="1"/>
  <c r="M170" i="246" s="1"/>
  <c r="H30" i="223"/>
  <c r="D30" i="231"/>
  <c r="O476" i="246"/>
  <c r="D13" i="170"/>
  <c r="D13" i="231"/>
  <c r="H39" i="123"/>
  <c r="S34" i="209" s="1"/>
  <c r="S329" i="209"/>
  <c r="G11" i="313"/>
  <c r="D11" i="313"/>
  <c r="H47" i="13"/>
  <c r="S130" i="209" s="1"/>
  <c r="H43" i="13"/>
  <c r="H39" i="9"/>
  <c r="S16" i="209" s="1"/>
  <c r="S311" i="209"/>
  <c r="S313" i="209"/>
  <c r="H39" i="6"/>
  <c r="S18" i="209" s="1"/>
  <c r="D25" i="184"/>
  <c r="I419" i="246"/>
  <c r="P266" i="246"/>
  <c r="E27" i="184"/>
  <c r="E27" i="171"/>
  <c r="C30" i="184"/>
  <c r="C30" i="171"/>
  <c r="G31" i="184"/>
  <c r="H31" i="185"/>
  <c r="H45" i="185" s="1"/>
  <c r="M25" i="171"/>
  <c r="M25" i="184"/>
  <c r="H25" i="223"/>
  <c r="R272" i="246"/>
  <c r="R323" i="246"/>
  <c r="E31" i="84"/>
  <c r="E31" i="172"/>
  <c r="E48" i="104"/>
  <c r="P25" i="225"/>
  <c r="L25" i="170"/>
  <c r="P25" i="170" s="1"/>
  <c r="D17" i="184"/>
  <c r="E26" i="184"/>
  <c r="E26" i="171"/>
  <c r="D98" i="209"/>
  <c r="D157" i="209" s="1"/>
  <c r="D216" i="209" s="1"/>
  <c r="D275" i="209" s="1"/>
  <c r="D334" i="209" s="1"/>
  <c r="D393" i="209" s="1"/>
  <c r="D452" i="209" s="1"/>
  <c r="D511" i="209" s="1"/>
  <c r="D570" i="209" s="1"/>
  <c r="D629" i="209" s="1"/>
  <c r="D688" i="209" s="1"/>
  <c r="D747" i="209" s="1"/>
  <c r="U39" i="209"/>
  <c r="U98" i="209" s="1"/>
  <c r="U157" i="209" s="1"/>
  <c r="U216" i="209" s="1"/>
  <c r="U275" i="209" s="1"/>
  <c r="U334" i="209" s="1"/>
  <c r="U393" i="209" s="1"/>
  <c r="U452" i="209" s="1"/>
  <c r="U511" i="209" s="1"/>
  <c r="U570" i="209" s="1"/>
  <c r="U629" i="209" s="1"/>
  <c r="U688" i="209" s="1"/>
  <c r="U747" i="209" s="1"/>
  <c r="H30" i="326"/>
  <c r="D11" i="325"/>
  <c r="D18" i="325" s="1"/>
  <c r="E11" i="325"/>
  <c r="E45" i="325" s="1"/>
  <c r="N49" i="294" s="1"/>
  <c r="G11" i="325"/>
  <c r="O26" i="325" s="1"/>
  <c r="H33" i="185"/>
  <c r="S296" i="246"/>
  <c r="H39" i="137"/>
  <c r="S41" i="246" s="1"/>
  <c r="S299" i="246"/>
  <c r="H39" i="146"/>
  <c r="S44" i="246" s="1"/>
  <c r="G26" i="184"/>
  <c r="D11" i="125"/>
  <c r="G11" i="125"/>
  <c r="E11" i="125"/>
  <c r="P690" i="209"/>
  <c r="Q690" i="209"/>
  <c r="R667" i="209"/>
  <c r="O667" i="209"/>
  <c r="D15" i="184"/>
  <c r="D18" i="324"/>
  <c r="D33" i="171"/>
  <c r="F11" i="166"/>
  <c r="G11" i="166"/>
  <c r="D11" i="166"/>
  <c r="F11" i="212"/>
  <c r="Q618" i="209" s="1"/>
  <c r="F46" i="162"/>
  <c r="G29" i="231"/>
  <c r="O25" i="231"/>
  <c r="D31" i="170"/>
  <c r="D31" i="231"/>
  <c r="F17" i="172"/>
  <c r="G11" i="324"/>
  <c r="F541" i="246"/>
  <c r="H38" i="160"/>
  <c r="M36" i="246" s="1"/>
  <c r="M291" i="246"/>
  <c r="D11" i="295"/>
  <c r="E11" i="295"/>
  <c r="F11" i="295"/>
  <c r="E11" i="220"/>
  <c r="D11" i="220"/>
  <c r="G11" i="214"/>
  <c r="E11" i="214"/>
  <c r="C31" i="171"/>
  <c r="C31" i="174" s="1"/>
  <c r="C31" i="231"/>
  <c r="C31" i="173"/>
  <c r="G29" i="170"/>
  <c r="H29" i="226"/>
  <c r="H39" i="279"/>
  <c r="S28" i="246" s="1"/>
  <c r="S283" i="246"/>
  <c r="F32" i="184"/>
  <c r="F11" i="187"/>
  <c r="N26" i="187" s="1"/>
  <c r="G11" i="187"/>
  <c r="F16" i="84"/>
  <c r="R666" i="209"/>
  <c r="S666" i="209" s="1"/>
  <c r="Q666" i="209"/>
  <c r="P666" i="209"/>
  <c r="G11" i="241"/>
  <c r="F11" i="241"/>
  <c r="D11" i="241"/>
  <c r="G16" i="184"/>
  <c r="G16" i="171"/>
  <c r="G30" i="184"/>
  <c r="G12" i="170"/>
  <c r="M299" i="246"/>
  <c r="H38" i="146"/>
  <c r="M44" i="246" s="1"/>
  <c r="C27" i="184"/>
  <c r="E29" i="184"/>
  <c r="G13" i="170"/>
  <c r="G13" i="175" s="1"/>
  <c r="F13" i="173"/>
  <c r="I522" i="209"/>
  <c r="D25" i="228"/>
  <c r="M345" i="246"/>
  <c r="S399" i="246"/>
  <c r="H39" i="307"/>
  <c r="S31" i="246" s="1"/>
  <c r="S286" i="246"/>
  <c r="C23" i="184"/>
  <c r="F25" i="228"/>
  <c r="C28" i="173"/>
  <c r="E30" i="228"/>
  <c r="G32" i="228"/>
  <c r="I463" i="209"/>
  <c r="O581" i="209"/>
  <c r="S581" i="209" s="1"/>
  <c r="E32" i="184"/>
  <c r="S688" i="209"/>
  <c r="F34" i="292"/>
  <c r="F26" i="170"/>
  <c r="M568" i="209"/>
  <c r="D29" i="184"/>
  <c r="D26" i="228"/>
  <c r="H26" i="228" s="1"/>
  <c r="H40" i="228" s="1"/>
  <c r="M120" i="209" s="1"/>
  <c r="C33" i="184"/>
  <c r="D28" i="228"/>
  <c r="D23" i="184"/>
  <c r="F27" i="184"/>
  <c r="D33" i="170"/>
  <c r="E11" i="372"/>
  <c r="E18" i="372" s="1"/>
  <c r="F13" i="184"/>
  <c r="G27" i="184"/>
  <c r="E33" i="170"/>
  <c r="C24" i="184"/>
  <c r="G28" i="184"/>
  <c r="H28" i="184" s="1"/>
  <c r="H42" i="184" s="1"/>
  <c r="M256" i="246" s="1"/>
  <c r="S422" i="209"/>
  <c r="F17" i="184"/>
  <c r="F24" i="184"/>
  <c r="G16" i="231"/>
  <c r="M499" i="209"/>
  <c r="M508" i="209"/>
  <c r="M320" i="246"/>
  <c r="M352" i="246"/>
  <c r="M373" i="246"/>
  <c r="P12" i="292"/>
  <c r="F23" i="184"/>
  <c r="E25" i="184"/>
  <c r="E27" i="231"/>
  <c r="M482" i="209"/>
  <c r="M366" i="246"/>
  <c r="S385" i="246"/>
  <c r="G13" i="184"/>
  <c r="E24" i="184"/>
  <c r="C26" i="184"/>
  <c r="G32" i="184"/>
  <c r="E27" i="228"/>
  <c r="M570" i="209"/>
  <c r="S24" i="209"/>
  <c r="S319" i="209"/>
  <c r="S378" i="209"/>
  <c r="D42" i="151"/>
  <c r="I242" i="246" s="1"/>
  <c r="O538" i="246"/>
  <c r="D18" i="279"/>
  <c r="I538" i="246"/>
  <c r="I589" i="246"/>
  <c r="P14" i="220"/>
  <c r="F42" i="39"/>
  <c r="K279" i="209" s="1"/>
  <c r="F37" i="39"/>
  <c r="Q220" i="209" s="1"/>
  <c r="F39" i="39"/>
  <c r="Q43" i="209" s="1"/>
  <c r="F38" i="39"/>
  <c r="K43" i="209" s="1"/>
  <c r="N26" i="39"/>
  <c r="F43" i="39" s="1"/>
  <c r="F47" i="39" s="1"/>
  <c r="Q161" i="209" s="1"/>
  <c r="F46" i="39"/>
  <c r="F44" i="39"/>
  <c r="Q102" i="209" s="1"/>
  <c r="L602" i="246"/>
  <c r="H30" i="84"/>
  <c r="L408" i="246"/>
  <c r="T15" i="371"/>
  <c r="G44" i="137"/>
  <c r="R92" i="246" s="1"/>
  <c r="R551" i="246"/>
  <c r="H38" i="14"/>
  <c r="M10" i="209" s="1"/>
  <c r="M305" i="209"/>
  <c r="S349" i="209"/>
  <c r="H39" i="220"/>
  <c r="S54" i="209" s="1"/>
  <c r="G45" i="156"/>
  <c r="L110" i="246" s="1"/>
  <c r="R518" i="246"/>
  <c r="L569" i="246"/>
  <c r="C528" i="209"/>
  <c r="V469" i="209"/>
  <c r="N13" i="155"/>
  <c r="E14" i="154"/>
  <c r="D14" i="44"/>
  <c r="E11" i="176"/>
  <c r="F11" i="176"/>
  <c r="G11" i="176"/>
  <c r="D11" i="176"/>
  <c r="F11" i="156"/>
  <c r="E11" i="156"/>
  <c r="D11" i="156"/>
  <c r="F11" i="349"/>
  <c r="G11" i="349"/>
  <c r="H37" i="353"/>
  <c r="S225" i="209" s="1"/>
  <c r="S284" i="209"/>
  <c r="F729" i="209"/>
  <c r="D75" i="209"/>
  <c r="D134" i="209" s="1"/>
  <c r="D193" i="209" s="1"/>
  <c r="D252" i="209" s="1"/>
  <c r="D311" i="209" s="1"/>
  <c r="D370" i="209" s="1"/>
  <c r="D429" i="209" s="1"/>
  <c r="D488" i="209" s="1"/>
  <c r="D547" i="209" s="1"/>
  <c r="D606" i="209" s="1"/>
  <c r="D665" i="209" s="1"/>
  <c r="D724" i="209" s="1"/>
  <c r="U16" i="209"/>
  <c r="U75" i="209" s="1"/>
  <c r="U134" i="209" s="1"/>
  <c r="U193" i="209" s="1"/>
  <c r="U252" i="209" s="1"/>
  <c r="U311" i="209" s="1"/>
  <c r="U370" i="209" s="1"/>
  <c r="U429" i="209" s="1"/>
  <c r="U488" i="209" s="1"/>
  <c r="U547" i="209" s="1"/>
  <c r="U606" i="209" s="1"/>
  <c r="U665" i="209" s="1"/>
  <c r="U724" i="209" s="1"/>
  <c r="M7" i="9"/>
  <c r="N7" i="9"/>
  <c r="P7" i="9"/>
  <c r="F35" i="178"/>
  <c r="H21" i="178"/>
  <c r="P23" i="178" s="1"/>
  <c r="F7" i="178"/>
  <c r="F375" i="209"/>
  <c r="D70" i="209"/>
  <c r="D129" i="209" s="1"/>
  <c r="D188" i="209" s="1"/>
  <c r="D247" i="209" s="1"/>
  <c r="D306" i="209" s="1"/>
  <c r="D365" i="209" s="1"/>
  <c r="D424" i="209" s="1"/>
  <c r="D483" i="209" s="1"/>
  <c r="D542" i="209" s="1"/>
  <c r="D601" i="209" s="1"/>
  <c r="D660" i="209" s="1"/>
  <c r="D719" i="209" s="1"/>
  <c r="U11" i="209"/>
  <c r="U70" i="209" s="1"/>
  <c r="U129" i="209" s="1"/>
  <c r="U188" i="209" s="1"/>
  <c r="U247" i="209" s="1"/>
  <c r="U306" i="209" s="1"/>
  <c r="U365" i="209" s="1"/>
  <c r="U424" i="209" s="1"/>
  <c r="U483" i="209" s="1"/>
  <c r="U542" i="209" s="1"/>
  <c r="U601" i="209" s="1"/>
  <c r="U660" i="209" s="1"/>
  <c r="U719" i="209" s="1"/>
  <c r="F21" i="139"/>
  <c r="N23" i="139" s="1"/>
  <c r="F35" i="139"/>
  <c r="G14" i="185"/>
  <c r="D5" i="191"/>
  <c r="D7" i="191" s="1"/>
  <c r="H7" i="191"/>
  <c r="O7" i="284"/>
  <c r="N7" i="284"/>
  <c r="L5" i="284"/>
  <c r="L7" i="284" s="1"/>
  <c r="H38" i="162"/>
  <c r="M27" i="209" s="1"/>
  <c r="M322" i="209"/>
  <c r="G21" i="221"/>
  <c r="O23" i="221" s="1"/>
  <c r="G7" i="221"/>
  <c r="F7" i="95"/>
  <c r="F35" i="95"/>
  <c r="E7" i="219"/>
  <c r="G7" i="219"/>
  <c r="U49" i="209"/>
  <c r="U108" i="209" s="1"/>
  <c r="U167" i="209" s="1"/>
  <c r="U226" i="209" s="1"/>
  <c r="U285" i="209" s="1"/>
  <c r="U344" i="209" s="1"/>
  <c r="U403" i="209" s="1"/>
  <c r="U462" i="209" s="1"/>
  <c r="U521" i="209" s="1"/>
  <c r="U580" i="209" s="1"/>
  <c r="U639" i="209" s="1"/>
  <c r="U698" i="209" s="1"/>
  <c r="U757" i="209" s="1"/>
  <c r="D108" i="209"/>
  <c r="D167" i="209" s="1"/>
  <c r="D226" i="209" s="1"/>
  <c r="D285" i="209" s="1"/>
  <c r="D344" i="209" s="1"/>
  <c r="D403" i="209" s="1"/>
  <c r="D462" i="209" s="1"/>
  <c r="D521" i="209" s="1"/>
  <c r="D580" i="209" s="1"/>
  <c r="D639" i="209" s="1"/>
  <c r="D698" i="209" s="1"/>
  <c r="D757" i="209" s="1"/>
  <c r="O7" i="139"/>
  <c r="N7" i="139"/>
  <c r="F7" i="141"/>
  <c r="H35" i="141"/>
  <c r="D5" i="141"/>
  <c r="D7" i="141" s="1"/>
  <c r="F21" i="141"/>
  <c r="N23" i="141" s="1"/>
  <c r="E7" i="141"/>
  <c r="F35" i="324"/>
  <c r="H35" i="324"/>
  <c r="F585" i="209"/>
  <c r="F54" i="209"/>
  <c r="F526" i="209"/>
  <c r="U17" i="209"/>
  <c r="U76" i="209" s="1"/>
  <c r="U135" i="209" s="1"/>
  <c r="U194" i="209" s="1"/>
  <c r="U253" i="209" s="1"/>
  <c r="U312" i="209" s="1"/>
  <c r="U371" i="209" s="1"/>
  <c r="U430" i="209" s="1"/>
  <c r="U489" i="209" s="1"/>
  <c r="U548" i="209" s="1"/>
  <c r="U607" i="209" s="1"/>
  <c r="U666" i="209" s="1"/>
  <c r="U725" i="209" s="1"/>
  <c r="D76" i="209"/>
  <c r="D135" i="209" s="1"/>
  <c r="D194" i="209" s="1"/>
  <c r="D253" i="209" s="1"/>
  <c r="D312" i="209" s="1"/>
  <c r="D371" i="209" s="1"/>
  <c r="D430" i="209" s="1"/>
  <c r="D489" i="209" s="1"/>
  <c r="D548" i="209" s="1"/>
  <c r="D607" i="209" s="1"/>
  <c r="D666" i="209" s="1"/>
  <c r="D725" i="209" s="1"/>
  <c r="H35" i="72"/>
  <c r="G21" i="72"/>
  <c r="O23" i="72" s="1"/>
  <c r="M23" i="324"/>
  <c r="M29" i="324"/>
  <c r="L5" i="6"/>
  <c r="L7" i="6" s="1"/>
  <c r="O7" i="6"/>
  <c r="N7" i="125"/>
  <c r="M7" i="125"/>
  <c r="N29" i="362"/>
  <c r="M29" i="362"/>
  <c r="P29" i="362"/>
  <c r="O29" i="362"/>
  <c r="F21" i="213"/>
  <c r="N23" i="213" s="1"/>
  <c r="F7" i="213"/>
  <c r="L5" i="79"/>
  <c r="L7" i="79" s="1"/>
  <c r="G21" i="125"/>
  <c r="O23" i="125" s="1"/>
  <c r="F7" i="125"/>
  <c r="N7" i="176"/>
  <c r="O7" i="176"/>
  <c r="L5" i="176"/>
  <c r="L7" i="176" s="1"/>
  <c r="G35" i="6"/>
  <c r="F21" i="6"/>
  <c r="N23" i="6" s="1"/>
  <c r="O7" i="219"/>
  <c r="N7" i="219"/>
  <c r="G35" i="195"/>
  <c r="F21" i="195"/>
  <c r="N23" i="195" s="1"/>
  <c r="E21" i="195"/>
  <c r="M23" i="195" s="1"/>
  <c r="F643" i="246"/>
  <c r="F235" i="246"/>
  <c r="F286" i="246"/>
  <c r="N7" i="296"/>
  <c r="O29" i="296"/>
  <c r="O7" i="296"/>
  <c r="T17" i="49"/>
  <c r="G46" i="6"/>
  <c r="G44" i="6"/>
  <c r="R77" i="209" s="1"/>
  <c r="G45" i="6"/>
  <c r="L136" i="209" s="1"/>
  <c r="M7" i="146"/>
  <c r="N7" i="146"/>
  <c r="M7" i="196"/>
  <c r="N7" i="196"/>
  <c r="N29" i="293"/>
  <c r="O29" i="293"/>
  <c r="H35" i="288"/>
  <c r="F21" i="288"/>
  <c r="N23" i="288" s="1"/>
  <c r="M381" i="209"/>
  <c r="S563" i="209"/>
  <c r="G35" i="39"/>
  <c r="F21" i="39"/>
  <c r="N23" i="39" s="1"/>
  <c r="P7" i="290"/>
  <c r="O23" i="290"/>
  <c r="O7" i="338"/>
  <c r="P7" i="338"/>
  <c r="P7" i="241"/>
  <c r="L5" i="241"/>
  <c r="L7" i="241" s="1"/>
  <c r="S676" i="209"/>
  <c r="S664" i="209"/>
  <c r="S660" i="209"/>
  <c r="R17" i="27"/>
  <c r="T17" i="27" s="1"/>
  <c r="R12" i="155"/>
  <c r="T11" i="161"/>
  <c r="R11" i="27"/>
  <c r="T11" i="27" s="1"/>
  <c r="R27" i="27"/>
  <c r="T27" i="27" s="1"/>
  <c r="T16" i="100"/>
  <c r="R28" i="37"/>
  <c r="T28" i="37" s="1"/>
  <c r="R18" i="161"/>
  <c r="R19" i="161" s="1"/>
  <c r="T11" i="29"/>
  <c r="R15" i="27"/>
  <c r="R15" i="28"/>
  <c r="T15" i="28" s="1"/>
  <c r="T26" i="27"/>
  <c r="R16" i="28"/>
  <c r="T16" i="28" s="1"/>
  <c r="R15" i="34"/>
  <c r="M507" i="209"/>
  <c r="T14" i="100"/>
  <c r="T14" i="34"/>
  <c r="R23" i="36"/>
  <c r="T23" i="36" s="1"/>
  <c r="T25" i="27"/>
  <c r="T13" i="29"/>
  <c r="T24" i="34"/>
  <c r="T15" i="100"/>
  <c r="C33" i="170"/>
  <c r="R16" i="36"/>
  <c r="T16" i="36" s="1"/>
  <c r="R15" i="124"/>
  <c r="T15" i="124" s="1"/>
  <c r="G21" i="18"/>
  <c r="G35" i="18"/>
  <c r="G35" i="372"/>
  <c r="E7" i="372"/>
  <c r="D28" i="170"/>
  <c r="T11" i="80"/>
  <c r="M452" i="209"/>
  <c r="T18" i="34"/>
  <c r="T11" i="34" s="1"/>
  <c r="P11" i="34" s="1"/>
  <c r="R11" i="34" s="1"/>
  <c r="I688" i="209"/>
  <c r="L26" i="372"/>
  <c r="O747" i="209" s="1"/>
  <c r="I629" i="209"/>
  <c r="D44" i="372"/>
  <c r="O98" i="209" s="1"/>
  <c r="O404" i="246"/>
  <c r="M571" i="209"/>
  <c r="E12" i="172"/>
  <c r="P610" i="246" s="1"/>
  <c r="C25" i="231"/>
  <c r="O308" i="246" s="1"/>
  <c r="G23" i="173"/>
  <c r="F26" i="173"/>
  <c r="E29" i="173"/>
  <c r="S452" i="209"/>
  <c r="T33" i="36"/>
  <c r="D16" i="228"/>
  <c r="S570" i="209"/>
  <c r="T10" i="36"/>
  <c r="S275" i="209"/>
  <c r="M511" i="209"/>
  <c r="S393" i="209"/>
  <c r="F11" i="372"/>
  <c r="S684" i="209"/>
  <c r="E16" i="172"/>
  <c r="D16" i="173"/>
  <c r="C23" i="173"/>
  <c r="C23" i="228"/>
  <c r="R323" i="209"/>
  <c r="R500" i="209"/>
  <c r="G25" i="228"/>
  <c r="L500" i="209"/>
  <c r="M500" i="209" s="1"/>
  <c r="H25" i="212"/>
  <c r="R382" i="209"/>
  <c r="G25" i="173"/>
  <c r="F28" i="228"/>
  <c r="F28" i="173"/>
  <c r="P559" i="209"/>
  <c r="E48" i="212"/>
  <c r="J559" i="209"/>
  <c r="E31" i="228"/>
  <c r="E31" i="173"/>
  <c r="E26" i="173"/>
  <c r="C26" i="228"/>
  <c r="C26" i="173"/>
  <c r="F31" i="228"/>
  <c r="Q559" i="209"/>
  <c r="F48" i="212"/>
  <c r="K559" i="209"/>
  <c r="G20" i="292"/>
  <c r="F31" i="173"/>
  <c r="E23" i="173"/>
  <c r="E23" i="228"/>
  <c r="P264" i="209"/>
  <c r="J382" i="209"/>
  <c r="C29" i="228"/>
  <c r="C29" i="173"/>
  <c r="D23" i="228"/>
  <c r="O500" i="209"/>
  <c r="I441" i="209"/>
  <c r="H23" i="212"/>
  <c r="I382" i="209"/>
  <c r="G28" i="228"/>
  <c r="G28" i="173"/>
  <c r="D26" i="173"/>
  <c r="R559" i="209"/>
  <c r="L559" i="209"/>
  <c r="G31" i="228"/>
  <c r="O382" i="209"/>
  <c r="D23" i="173"/>
  <c r="G31" i="173"/>
  <c r="G48" i="212"/>
  <c r="Q264" i="209"/>
  <c r="K441" i="209"/>
  <c r="F23" i="228"/>
  <c r="Q382" i="209"/>
  <c r="K382" i="209"/>
  <c r="C20" i="292"/>
  <c r="Q500" i="209"/>
  <c r="F23" i="173"/>
  <c r="I559" i="209"/>
  <c r="H29" i="212"/>
  <c r="D29" i="173"/>
  <c r="D29" i="228"/>
  <c r="D48" i="212"/>
  <c r="C32" i="173"/>
  <c r="C32" i="175" s="1"/>
  <c r="C32" i="228"/>
  <c r="O264" i="209"/>
  <c r="H28" i="212"/>
  <c r="H42" i="212" s="1"/>
  <c r="M264" i="209" s="1"/>
  <c r="J441" i="209"/>
  <c r="P500" i="209"/>
  <c r="H31" i="212"/>
  <c r="H45" i="212" s="1"/>
  <c r="M146" i="209" s="1"/>
  <c r="P382" i="209"/>
  <c r="H46" i="212"/>
  <c r="L382" i="209"/>
  <c r="L441" i="209"/>
  <c r="R264" i="209"/>
  <c r="E29" i="228"/>
  <c r="H32" i="212"/>
  <c r="M618" i="209" s="1"/>
  <c r="D32" i="173"/>
  <c r="F26" i="228"/>
  <c r="G16" i="172"/>
  <c r="E16" i="231"/>
  <c r="E16" i="170"/>
  <c r="F12" i="231"/>
  <c r="Q404" i="246"/>
  <c r="F12" i="170"/>
  <c r="F12" i="172"/>
  <c r="N34" i="292"/>
  <c r="P34" i="292" s="1"/>
  <c r="S598" i="246"/>
  <c r="P608" i="246"/>
  <c r="D12" i="170"/>
  <c r="D14" i="172"/>
  <c r="D14" i="231"/>
  <c r="D14" i="170"/>
  <c r="D12" i="172"/>
  <c r="O608" i="246"/>
  <c r="D12" i="231"/>
  <c r="G12" i="231"/>
  <c r="G12" i="172"/>
  <c r="R608" i="246"/>
  <c r="E12" i="170"/>
  <c r="P404" i="246"/>
  <c r="E12" i="231"/>
  <c r="C25" i="170"/>
  <c r="C25" i="175" s="1"/>
  <c r="F29" i="170"/>
  <c r="H47" i="126"/>
  <c r="S139" i="246" s="1"/>
  <c r="F48" i="226"/>
  <c r="F31" i="231"/>
  <c r="Q506" i="246"/>
  <c r="M7" i="190"/>
  <c r="P7" i="190"/>
  <c r="H7" i="13"/>
  <c r="E7" i="187"/>
  <c r="M23" i="170"/>
  <c r="E35" i="223"/>
  <c r="P7" i="215"/>
  <c r="O7" i="191"/>
  <c r="F35" i="223"/>
  <c r="H35" i="284"/>
  <c r="L5" i="215"/>
  <c r="L7" i="215" s="1"/>
  <c r="G35" i="170"/>
  <c r="G21" i="223"/>
  <c r="E7" i="178"/>
  <c r="G7" i="187"/>
  <c r="D21" i="18"/>
  <c r="O23" i="18"/>
  <c r="G21" i="170"/>
  <c r="F35" i="337"/>
  <c r="E21" i="337"/>
  <c r="M23" i="337" s="1"/>
  <c r="H21" i="223"/>
  <c r="O29" i="349"/>
  <c r="O7" i="353"/>
  <c r="F35" i="170"/>
  <c r="F7" i="337"/>
  <c r="G7" i="337"/>
  <c r="M7" i="183"/>
  <c r="H35" i="223"/>
  <c r="F7" i="13"/>
  <c r="H21" i="284"/>
  <c r="P23" i="284" s="1"/>
  <c r="F35" i="284"/>
  <c r="F7" i="187"/>
  <c r="N7" i="349"/>
  <c r="E21" i="338"/>
  <c r="M23" i="338" s="1"/>
  <c r="E21" i="170"/>
  <c r="H35" i="146"/>
  <c r="H35" i="337"/>
  <c r="N7" i="214"/>
  <c r="P7" i="183"/>
  <c r="M7" i="296"/>
  <c r="E21" i="223"/>
  <c r="G7" i="293"/>
  <c r="H21" i="95"/>
  <c r="P23" i="95" s="1"/>
  <c r="P7" i="160"/>
  <c r="L5" i="165"/>
  <c r="L7" i="165" s="1"/>
  <c r="L5" i="349"/>
  <c r="D5" i="170"/>
  <c r="D35" i="170" s="1"/>
  <c r="P7" i="214"/>
  <c r="M23" i="18"/>
  <c r="P7" i="353"/>
  <c r="E7" i="279"/>
  <c r="F35" i="295"/>
  <c r="O23" i="170"/>
  <c r="E35" i="187"/>
  <c r="L5" i="369"/>
  <c r="L7" i="369" s="1"/>
  <c r="M7" i="353"/>
  <c r="P7" i="151"/>
  <c r="G7" i="369"/>
  <c r="M7" i="349"/>
  <c r="N7" i="353"/>
  <c r="M7" i="191"/>
  <c r="F35" i="187"/>
  <c r="G21" i="187"/>
  <c r="O23" i="187" s="1"/>
  <c r="H35" i="187"/>
  <c r="G21" i="295"/>
  <c r="O23" i="295" s="1"/>
  <c r="G35" i="313"/>
  <c r="N7" i="165"/>
  <c r="O7" i="349"/>
  <c r="O7" i="160"/>
  <c r="E35" i="295"/>
  <c r="P29" i="296"/>
  <c r="H7" i="95"/>
  <c r="D21" i="248"/>
  <c r="N7" i="183"/>
  <c r="G21" i="337"/>
  <c r="O23" i="337" s="1"/>
  <c r="E7" i="295"/>
  <c r="N7" i="215"/>
  <c r="N29" i="296"/>
  <c r="E21" i="284"/>
  <c r="M23" i="284" s="1"/>
  <c r="P7" i="99"/>
  <c r="D5" i="295"/>
  <c r="D21" i="295" s="1"/>
  <c r="L23" i="295" s="1"/>
  <c r="G35" i="295"/>
  <c r="E35" i="337"/>
  <c r="L5" i="160"/>
  <c r="L7" i="160" s="1"/>
  <c r="N7" i="160"/>
  <c r="D35" i="367"/>
  <c r="N23" i="170"/>
  <c r="F21" i="337"/>
  <c r="N23" i="337" s="1"/>
  <c r="O7" i="213"/>
  <c r="H21" i="170"/>
  <c r="N23" i="18"/>
  <c r="P23" i="18"/>
  <c r="P7" i="213"/>
  <c r="F21" i="223"/>
  <c r="O7" i="151"/>
  <c r="M7" i="215"/>
  <c r="G35" i="184"/>
  <c r="L5" i="172"/>
  <c r="L23" i="172" s="1"/>
  <c r="F35" i="166"/>
  <c r="E21" i="215"/>
  <c r="M23" i="215" s="1"/>
  <c r="L5" i="330"/>
  <c r="L23" i="330" s="1"/>
  <c r="M23" i="330"/>
  <c r="N23" i="330"/>
  <c r="P23" i="330"/>
  <c r="H35" i="220"/>
  <c r="G21" i="220"/>
  <c r="O23" i="220" s="1"/>
  <c r="E7" i="220"/>
  <c r="E35" i="220"/>
  <c r="H7" i="220"/>
  <c r="H21" i="220"/>
  <c r="P23" i="220" s="1"/>
  <c r="F35" i="220"/>
  <c r="F7" i="220"/>
  <c r="G35" i="220"/>
  <c r="G7" i="220"/>
  <c r="H35" i="126"/>
  <c r="E7" i="126"/>
  <c r="F7" i="126"/>
  <c r="E21" i="126"/>
  <c r="M23" i="126" s="1"/>
  <c r="G21" i="126"/>
  <c r="O23" i="126" s="1"/>
  <c r="H7" i="126"/>
  <c r="D5" i="126"/>
  <c r="H21" i="126"/>
  <c r="P23" i="126" s="1"/>
  <c r="E35" i="126"/>
  <c r="G35" i="126"/>
  <c r="J65" i="164"/>
  <c r="J31" i="164"/>
  <c r="F35" i="194"/>
  <c r="E7" i="194"/>
  <c r="H58" i="164"/>
  <c r="J24" i="164"/>
  <c r="K65" i="164"/>
  <c r="F7" i="194"/>
  <c r="G7" i="194"/>
  <c r="F21" i="194"/>
  <c r="N23" i="194" s="1"/>
  <c r="G35" i="194"/>
  <c r="K24" i="164"/>
  <c r="J9" i="164"/>
  <c r="H43" i="164"/>
  <c r="I43" i="164"/>
  <c r="H21" i="194"/>
  <c r="P23" i="194" s="1"/>
  <c r="K31" i="164"/>
  <c r="I31" i="164"/>
  <c r="H9" i="164"/>
  <c r="K58" i="164"/>
  <c r="D5" i="194"/>
  <c r="G31" i="164" s="1"/>
  <c r="H7" i="194"/>
  <c r="E35" i="194"/>
  <c r="I58" i="164"/>
  <c r="H24" i="164"/>
  <c r="I65" i="164"/>
  <c r="I9" i="164"/>
  <c r="I24" i="164"/>
  <c r="J58" i="164"/>
  <c r="H31" i="164"/>
  <c r="G21" i="194"/>
  <c r="O23" i="194" s="1"/>
  <c r="K9" i="164"/>
  <c r="N35" i="325"/>
  <c r="M35" i="325"/>
  <c r="P7" i="325"/>
  <c r="N23" i="325"/>
  <c r="M23" i="325"/>
  <c r="O35" i="325"/>
  <c r="M7" i="325"/>
  <c r="M29" i="325"/>
  <c r="G21" i="15"/>
  <c r="O23" i="15" s="1"/>
  <c r="H7" i="15"/>
  <c r="L5" i="221"/>
  <c r="L7" i="221" s="1"/>
  <c r="O7" i="221"/>
  <c r="E21" i="194"/>
  <c r="M23" i="194" s="1"/>
  <c r="P7" i="189"/>
  <c r="L5" i="189"/>
  <c r="L7" i="189" s="1"/>
  <c r="M7" i="189"/>
  <c r="D5" i="370"/>
  <c r="D7" i="370" s="1"/>
  <c r="G7" i="370"/>
  <c r="H21" i="370"/>
  <c r="P23" i="370" s="1"/>
  <c r="E21" i="370"/>
  <c r="M23" i="370" s="1"/>
  <c r="E35" i="370"/>
  <c r="E7" i="370"/>
  <c r="G35" i="370"/>
  <c r="H35" i="370"/>
  <c r="H7" i="370"/>
  <c r="G21" i="370"/>
  <c r="O23" i="370" s="1"/>
  <c r="F7" i="370"/>
  <c r="E35" i="369"/>
  <c r="G21" i="369"/>
  <c r="O23" i="369" s="1"/>
  <c r="D5" i="369"/>
  <c r="D21" i="369" s="1"/>
  <c r="L23" i="369" s="1"/>
  <c r="G35" i="369"/>
  <c r="F7" i="369"/>
  <c r="H35" i="369"/>
  <c r="H7" i="369"/>
  <c r="F21" i="369"/>
  <c r="N23" i="369" s="1"/>
  <c r="F35" i="369"/>
  <c r="E7" i="369"/>
  <c r="E21" i="369"/>
  <c r="M23" i="369" s="1"/>
  <c r="H35" i="194"/>
  <c r="E7" i="215"/>
  <c r="J43" i="164"/>
  <c r="O7" i="10"/>
  <c r="N7" i="10"/>
  <c r="P7" i="10"/>
  <c r="L5" i="10"/>
  <c r="L7" i="10" s="1"/>
  <c r="F21" i="15"/>
  <c r="N23" i="15" s="1"/>
  <c r="K43" i="164"/>
  <c r="G7" i="10"/>
  <c r="G21" i="10"/>
  <c r="O23" i="10" s="1"/>
  <c r="H35" i="10"/>
  <c r="D5" i="10"/>
  <c r="D35" i="10" s="1"/>
  <c r="E7" i="10"/>
  <c r="O7" i="166"/>
  <c r="P7" i="166"/>
  <c r="L5" i="166"/>
  <c r="L7" i="166" s="1"/>
  <c r="M7" i="166"/>
  <c r="G35" i="250"/>
  <c r="E35" i="250"/>
  <c r="G21" i="250"/>
  <c r="H35" i="250"/>
  <c r="M7" i="194"/>
  <c r="L5" i="194"/>
  <c r="L7" i="194" s="1"/>
  <c r="N7" i="194"/>
  <c r="O7" i="194"/>
  <c r="P7" i="194"/>
  <c r="H65" i="164"/>
  <c r="N7" i="333"/>
  <c r="P7" i="333"/>
  <c r="O7" i="333"/>
  <c r="L5" i="333"/>
  <c r="L7" i="333" s="1"/>
  <c r="O29" i="333"/>
  <c r="P29" i="333"/>
  <c r="N29" i="333"/>
  <c r="G21" i="353"/>
  <c r="O23" i="353" s="1"/>
  <c r="D5" i="353"/>
  <c r="E7" i="353"/>
  <c r="G7" i="353"/>
  <c r="H21" i="353"/>
  <c r="P23" i="353" s="1"/>
  <c r="F35" i="353"/>
  <c r="H7" i="353"/>
  <c r="H35" i="353"/>
  <c r="F7" i="353"/>
  <c r="E21" i="353"/>
  <c r="M23" i="353" s="1"/>
  <c r="E35" i="215"/>
  <c r="F7" i="215"/>
  <c r="G21" i="215"/>
  <c r="O23" i="215" s="1"/>
  <c r="F35" i="215"/>
  <c r="E21" i="189"/>
  <c r="M23" i="189" s="1"/>
  <c r="G7" i="189"/>
  <c r="E35" i="189"/>
  <c r="H7" i="189"/>
  <c r="H35" i="189"/>
  <c r="E7" i="189"/>
  <c r="F7" i="189"/>
  <c r="F35" i="189"/>
  <c r="F21" i="189"/>
  <c r="N23" i="189" s="1"/>
  <c r="G21" i="189"/>
  <c r="O23" i="189" s="1"/>
  <c r="H21" i="189"/>
  <c r="P23" i="189" s="1"/>
  <c r="G35" i="189"/>
  <c r="O7" i="189"/>
  <c r="D7" i="324"/>
  <c r="D21" i="324"/>
  <c r="E7" i="15"/>
  <c r="L5" i="174"/>
  <c r="L23" i="174" s="1"/>
  <c r="P23" i="174"/>
  <c r="N23" i="174"/>
  <c r="M23" i="174"/>
  <c r="N7" i="189"/>
  <c r="F35" i="231"/>
  <c r="D5" i="231"/>
  <c r="D21" i="231" s="1"/>
  <c r="H21" i="231"/>
  <c r="H35" i="231"/>
  <c r="F21" i="231"/>
  <c r="E35" i="231"/>
  <c r="E7" i="39"/>
  <c r="F7" i="39"/>
  <c r="D5" i="39"/>
  <c r="D35" i="39" s="1"/>
  <c r="H35" i="39"/>
  <c r="H21" i="39"/>
  <c r="P23" i="39" s="1"/>
  <c r="G21" i="39"/>
  <c r="O23" i="39" s="1"/>
  <c r="E21" i="39"/>
  <c r="M23" i="39" s="1"/>
  <c r="F35" i="39"/>
  <c r="G7" i="39"/>
  <c r="H7" i="39"/>
  <c r="E35" i="39"/>
  <c r="N7" i="270"/>
  <c r="L5" i="270"/>
  <c r="L7" i="270" s="1"/>
  <c r="O7" i="270"/>
  <c r="P7" i="270"/>
  <c r="E21" i="174"/>
  <c r="E35" i="174"/>
  <c r="H21" i="174"/>
  <c r="G35" i="174"/>
  <c r="H35" i="174"/>
  <c r="G21" i="174"/>
  <c r="F21" i="174"/>
  <c r="F35" i="174"/>
  <c r="D5" i="174"/>
  <c r="F21" i="126"/>
  <c r="N23" i="126" s="1"/>
  <c r="L5" i="186"/>
  <c r="L23" i="186" s="1"/>
  <c r="N23" i="186"/>
  <c r="O23" i="186"/>
  <c r="M23" i="186"/>
  <c r="P23" i="186"/>
  <c r="D21" i="189"/>
  <c r="L23" i="189" s="1"/>
  <c r="D7" i="189"/>
  <c r="D35" i="189"/>
  <c r="H21" i="166"/>
  <c r="P23" i="166" s="1"/>
  <c r="E7" i="166"/>
  <c r="G7" i="166"/>
  <c r="D5" i="166"/>
  <c r="D7" i="166" s="1"/>
  <c r="F21" i="166"/>
  <c r="N23" i="166" s="1"/>
  <c r="H35" i="166"/>
  <c r="E21" i="166"/>
  <c r="M23" i="166" s="1"/>
  <c r="F7" i="166"/>
  <c r="G35" i="166"/>
  <c r="E35" i="166"/>
  <c r="H7" i="166"/>
  <c r="D5" i="220"/>
  <c r="P29" i="325"/>
  <c r="O23" i="330"/>
  <c r="E21" i="221"/>
  <c r="M23" i="221" s="1"/>
  <c r="N7" i="369"/>
  <c r="P7" i="369"/>
  <c r="G35" i="99"/>
  <c r="D5" i="101"/>
  <c r="D21" i="101" s="1"/>
  <c r="L23" i="101" s="1"/>
  <c r="H21" i="338"/>
  <c r="P23" i="338" s="1"/>
  <c r="D5" i="338"/>
  <c r="E35" i="212"/>
  <c r="H35" i="44"/>
  <c r="N7" i="190"/>
  <c r="F35" i="214"/>
  <c r="M7" i="139"/>
  <c r="O29" i="295"/>
  <c r="G35" i="338"/>
  <c r="E21" i="139"/>
  <c r="M23" i="139" s="1"/>
  <c r="F7" i="296"/>
  <c r="N23" i="361"/>
  <c r="F35" i="361"/>
  <c r="H35" i="221"/>
  <c r="N7" i="162"/>
  <c r="F7" i="99"/>
  <c r="H21" i="270"/>
  <c r="P23" i="270" s="1"/>
  <c r="E35" i="101"/>
  <c r="E7" i="333"/>
  <c r="H35" i="139"/>
  <c r="H35" i="212"/>
  <c r="P7" i="139"/>
  <c r="N7" i="137"/>
  <c r="N7" i="191"/>
  <c r="M7" i="284"/>
  <c r="D5" i="219"/>
  <c r="H7" i="139"/>
  <c r="H21" i="79"/>
  <c r="P23" i="79" s="1"/>
  <c r="E21" i="154"/>
  <c r="M23" i="154" s="1"/>
  <c r="E21" i="333"/>
  <c r="M23" i="333" s="1"/>
  <c r="E21" i="137"/>
  <c r="M23" i="137" s="1"/>
  <c r="G35" i="137"/>
  <c r="G7" i="137"/>
  <c r="N7" i="151"/>
  <c r="G35" i="293"/>
  <c r="H21" i="295"/>
  <c r="P23" i="295" s="1"/>
  <c r="P7" i="125"/>
  <c r="H21" i="171"/>
  <c r="H35" i="184"/>
  <c r="G21" i="361"/>
  <c r="D7" i="213"/>
  <c r="H21" i="221"/>
  <c r="P23" i="221" s="1"/>
  <c r="E35" i="184"/>
  <c r="D5" i="99"/>
  <c r="H35" i="270"/>
  <c r="D5" i="44"/>
  <c r="G7" i="214"/>
  <c r="E35" i="214"/>
  <c r="P23" i="250"/>
  <c r="M23" i="184"/>
  <c r="O7" i="196"/>
  <c r="N7" i="295"/>
  <c r="F35" i="101"/>
  <c r="P29" i="295"/>
  <c r="H35" i="333"/>
  <c r="E7" i="296"/>
  <c r="F7" i="372"/>
  <c r="E21" i="184"/>
  <c r="D5" i="270"/>
  <c r="H7" i="333"/>
  <c r="F21" i="184"/>
  <c r="D35" i="213"/>
  <c r="E35" i="221"/>
  <c r="H21" i="184"/>
  <c r="H35" i="99"/>
  <c r="E35" i="270"/>
  <c r="E21" i="44"/>
  <c r="D5" i="214"/>
  <c r="D21" i="214" s="1"/>
  <c r="L23" i="214" s="1"/>
  <c r="H7" i="214"/>
  <c r="N23" i="250"/>
  <c r="L5" i="184"/>
  <c r="L23" i="184" s="1"/>
  <c r="D5" i="139"/>
  <c r="G21" i="101"/>
  <c r="O23" i="101" s="1"/>
  <c r="G21" i="137"/>
  <c r="O23" i="137" s="1"/>
  <c r="E35" i="188"/>
  <c r="L5" i="9"/>
  <c r="L7" i="9" s="1"/>
  <c r="O7" i="279"/>
  <c r="F21" i="295"/>
  <c r="N23" i="295" s="1"/>
  <c r="M7" i="290"/>
  <c r="F21" i="212"/>
  <c r="G7" i="296"/>
  <c r="H7" i="295"/>
  <c r="D5" i="296"/>
  <c r="M7" i="7"/>
  <c r="O7" i="9"/>
  <c r="E35" i="229"/>
  <c r="D5" i="372"/>
  <c r="D21" i="372" s="1"/>
  <c r="L23" i="372" s="1"/>
  <c r="D5" i="184"/>
  <c r="H7" i="101"/>
  <c r="F21" i="44"/>
  <c r="G35" i="214"/>
  <c r="L5" i="139"/>
  <c r="L7" i="139" s="1"/>
  <c r="O7" i="190"/>
  <c r="L5" i="250"/>
  <c r="L23" i="250" s="1"/>
  <c r="E7" i="160"/>
  <c r="P7" i="284"/>
  <c r="G35" i="139"/>
  <c r="H21" i="172"/>
  <c r="H21" i="333"/>
  <c r="P23" i="333" s="1"/>
  <c r="D5" i="333"/>
  <c r="D7" i="333" s="1"/>
  <c r="F21" i="188"/>
  <c r="N23" i="188" s="1"/>
  <c r="P23" i="290"/>
  <c r="H21" i="296"/>
  <c r="P23" i="296" s="1"/>
  <c r="H35" i="101"/>
  <c r="E35" i="44"/>
  <c r="P7" i="7"/>
  <c r="E21" i="214"/>
  <c r="M23" i="214" s="1"/>
  <c r="M7" i="213"/>
  <c r="N29" i="295"/>
  <c r="G21" i="139"/>
  <c r="O23" i="139" s="1"/>
  <c r="F35" i="333"/>
  <c r="G7" i="333"/>
  <c r="E21" i="72"/>
  <c r="M23" i="72" s="1"/>
  <c r="H35" i="295"/>
  <c r="G7" i="295"/>
  <c r="M23" i="225"/>
  <c r="F35" i="296"/>
  <c r="G35" i="361"/>
  <c r="O7" i="195"/>
  <c r="D5" i="223"/>
  <c r="P23" i="328"/>
  <c r="E21" i="361"/>
  <c r="H35" i="372"/>
  <c r="M7" i="289"/>
  <c r="E7" i="101"/>
  <c r="G35" i="44"/>
  <c r="E7" i="214"/>
  <c r="M7" i="79"/>
  <c r="N23" i="184"/>
  <c r="H21" i="101"/>
  <c r="P23" i="101" s="1"/>
  <c r="H21" i="139"/>
  <c r="P23" i="139" s="1"/>
  <c r="H35" i="338"/>
  <c r="E35" i="333"/>
  <c r="L5" i="151"/>
  <c r="L7" i="151" s="1"/>
  <c r="F35" i="229"/>
  <c r="E35" i="361"/>
  <c r="H7" i="221"/>
  <c r="F21" i="99"/>
  <c r="N23" i="99" s="1"/>
  <c r="G35" i="101"/>
  <c r="G21" i="333"/>
  <c r="O23" i="333" s="1"/>
  <c r="G21" i="44"/>
  <c r="L5" i="162"/>
  <c r="L7" i="162" s="1"/>
  <c r="G7" i="324"/>
  <c r="H35" i="160"/>
  <c r="P7" i="137"/>
  <c r="F7" i="139"/>
  <c r="H7" i="338"/>
  <c r="E7" i="154"/>
  <c r="E35" i="271"/>
  <c r="F21" i="333"/>
  <c r="N23" i="333" s="1"/>
  <c r="H7" i="137"/>
  <c r="N7" i="195"/>
  <c r="H35" i="104"/>
  <c r="G21" i="296"/>
  <c r="O23" i="296" s="1"/>
  <c r="G21" i="229"/>
  <c r="O23" i="361"/>
  <c r="D5" i="84"/>
  <c r="D21" i="84" s="1"/>
  <c r="H21" i="361"/>
  <c r="D5" i="221"/>
  <c r="D21" i="221" s="1"/>
  <c r="L23" i="221" s="1"/>
  <c r="E7" i="99"/>
  <c r="F21" i="338"/>
  <c r="N23" i="338" s="1"/>
  <c r="G7" i="139"/>
  <c r="P7" i="196"/>
  <c r="P7" i="191"/>
  <c r="L5" i="295"/>
  <c r="E35" i="139"/>
  <c r="F35" i="338"/>
  <c r="F7" i="72"/>
  <c r="G7" i="72"/>
  <c r="L5" i="307"/>
  <c r="L7" i="307" s="1"/>
  <c r="E21" i="295"/>
  <c r="M23" i="295" s="1"/>
  <c r="D5" i="229"/>
  <c r="L5" i="361"/>
  <c r="L23" i="361" s="1"/>
  <c r="H35" i="361"/>
  <c r="E7" i="324"/>
  <c r="D5" i="226"/>
  <c r="D21" i="361"/>
  <c r="D35" i="361"/>
  <c r="G21" i="196"/>
  <c r="O23" i="196" s="1"/>
  <c r="D21" i="173"/>
  <c r="F21" i="10"/>
  <c r="N23" i="10" s="1"/>
  <c r="E21" i="190"/>
  <c r="M23" i="190" s="1"/>
  <c r="E21" i="183"/>
  <c r="M23" i="183" s="1"/>
  <c r="M7" i="333"/>
  <c r="E21" i="347"/>
  <c r="M23" i="347" s="1"/>
  <c r="H21" i="4"/>
  <c r="P23" i="4" s="1"/>
  <c r="G35" i="353"/>
  <c r="H7" i="79"/>
  <c r="N29" i="360"/>
  <c r="G35" i="146"/>
  <c r="G7" i="290"/>
  <c r="F35" i="146"/>
  <c r="E21" i="325"/>
  <c r="O7" i="165"/>
  <c r="O7" i="220"/>
  <c r="M7" i="10"/>
  <c r="G7" i="338"/>
  <c r="E7" i="156"/>
  <c r="F21" i="123"/>
  <c r="N23" i="123" s="1"/>
  <c r="M7" i="221"/>
  <c r="M7" i="337"/>
  <c r="E21" i="175"/>
  <c r="E7" i="195"/>
  <c r="E7" i="151"/>
  <c r="F21" i="4"/>
  <c r="N23" i="4" s="1"/>
  <c r="D5" i="72"/>
  <c r="E35" i="226"/>
  <c r="G21" i="228"/>
  <c r="H21" i="58"/>
  <c r="G35" i="290"/>
  <c r="L5" i="13"/>
  <c r="L7" i="13" s="1"/>
  <c r="F21" i="196"/>
  <c r="N23" i="196" s="1"/>
  <c r="M7" i="313"/>
  <c r="F35" i="123"/>
  <c r="O7" i="347"/>
  <c r="L5" i="326"/>
  <c r="L23" i="326" s="1"/>
  <c r="E21" i="171"/>
  <c r="N7" i="13"/>
  <c r="F21" i="290"/>
  <c r="G7" i="146"/>
  <c r="F7" i="325"/>
  <c r="D35" i="95"/>
  <c r="E35" i="290"/>
  <c r="H7" i="146"/>
  <c r="E35" i="123"/>
  <c r="E7" i="123"/>
  <c r="F21" i="171"/>
  <c r="E21" i="191"/>
  <c r="M23" i="191" s="1"/>
  <c r="F35" i="84"/>
  <c r="O7" i="13"/>
  <c r="F35" i="290"/>
  <c r="F7" i="123"/>
  <c r="E35" i="325"/>
  <c r="F21" i="16"/>
  <c r="N23" i="16" s="1"/>
  <c r="E21" i="290"/>
  <c r="G35" i="123"/>
  <c r="G21" i="123"/>
  <c r="O23" i="123" s="1"/>
  <c r="G35" i="171"/>
  <c r="M23" i="326"/>
  <c r="D7" i="190"/>
  <c r="M7" i="13"/>
  <c r="G35" i="16"/>
  <c r="E7" i="290"/>
  <c r="G21" i="146"/>
  <c r="O23" i="146" s="1"/>
  <c r="N7" i="154"/>
  <c r="P7" i="165"/>
  <c r="O7" i="162"/>
  <c r="M7" i="126"/>
  <c r="O7" i="137"/>
  <c r="E35" i="338"/>
  <c r="E7" i="72"/>
  <c r="F21" i="156"/>
  <c r="N23" i="156" s="1"/>
  <c r="G7" i="123"/>
  <c r="E35" i="72"/>
  <c r="F7" i="183"/>
  <c r="P7" i="221"/>
  <c r="G21" i="325"/>
  <c r="F35" i="325"/>
  <c r="F35" i="191"/>
  <c r="H7" i="195"/>
  <c r="H21" i="226"/>
  <c r="H21" i="228"/>
  <c r="H35" i="228"/>
  <c r="D5" i="250"/>
  <c r="M7" i="372"/>
  <c r="H35" i="156"/>
  <c r="F35" i="72"/>
  <c r="F7" i="271"/>
  <c r="G35" i="72"/>
  <c r="H35" i="191"/>
  <c r="G21" i="226"/>
  <c r="H7" i="325"/>
  <c r="E21" i="58"/>
  <c r="G21" i="313"/>
  <c r="O23" i="313" s="1"/>
  <c r="H35" i="58"/>
  <c r="O7" i="183"/>
  <c r="H7" i="4"/>
  <c r="H7" i="72"/>
  <c r="N7" i="221"/>
  <c r="E35" i="156"/>
  <c r="D5" i="290"/>
  <c r="D21" i="290" s="1"/>
  <c r="G7" i="196"/>
  <c r="E21" i="16"/>
  <c r="M23" i="16" s="1"/>
  <c r="D5" i="146"/>
  <c r="O23" i="291"/>
  <c r="H35" i="123"/>
  <c r="P7" i="347"/>
  <c r="L5" i="313"/>
  <c r="L7" i="313" s="1"/>
  <c r="E35" i="313"/>
  <c r="G35" i="325"/>
  <c r="E7" i="16"/>
  <c r="F7" i="146"/>
  <c r="N23" i="291"/>
  <c r="L5" i="347"/>
  <c r="L7" i="347" s="1"/>
  <c r="H35" i="325"/>
  <c r="E21" i="313"/>
  <c r="M23" i="313" s="1"/>
  <c r="F21" i="191"/>
  <c r="N23" i="191" s="1"/>
  <c r="F21" i="190"/>
  <c r="N23" i="190" s="1"/>
  <c r="L5" i="271"/>
  <c r="L7" i="271" s="1"/>
  <c r="H7" i="347"/>
  <c r="H7" i="196"/>
  <c r="O7" i="15"/>
  <c r="E7" i="196"/>
  <c r="G7" i="16"/>
  <c r="D5" i="16"/>
  <c r="F21" i="146"/>
  <c r="N23" i="146" s="1"/>
  <c r="E7" i="337"/>
  <c r="H7" i="362"/>
  <c r="E21" i="79"/>
  <c r="M23" i="79" s="1"/>
  <c r="M23" i="291"/>
  <c r="G7" i="271"/>
  <c r="H7" i="123"/>
  <c r="F21" i="72"/>
  <c r="N23" i="72" s="1"/>
  <c r="G21" i="13"/>
  <c r="O23" i="13" s="1"/>
  <c r="M29" i="293"/>
  <c r="G21" i="195"/>
  <c r="O23" i="195" s="1"/>
  <c r="F21" i="325"/>
  <c r="G21" i="191"/>
  <c r="O23" i="191" s="1"/>
  <c r="H21" i="229"/>
  <c r="F21" i="229"/>
  <c r="D35" i="324"/>
  <c r="F7" i="196"/>
  <c r="D5" i="13"/>
  <c r="G35" i="190"/>
  <c r="F35" i="347"/>
  <c r="M7" i="359"/>
  <c r="D5" i="79"/>
  <c r="E21" i="270"/>
  <c r="M23" i="270" s="1"/>
  <c r="F7" i="16"/>
  <c r="H21" i="146"/>
  <c r="P23" i="146" s="1"/>
  <c r="D5" i="337"/>
  <c r="O23" i="250"/>
  <c r="E21" i="15"/>
  <c r="M23" i="15" s="1"/>
  <c r="G35" i="15"/>
  <c r="H21" i="123"/>
  <c r="P23" i="123" s="1"/>
  <c r="H21" i="324"/>
  <c r="L5" i="293"/>
  <c r="F35" i="327"/>
  <c r="F35" i="195"/>
  <c r="H21" i="151"/>
  <c r="P23" i="151" s="1"/>
  <c r="G21" i="171"/>
  <c r="F7" i="191"/>
  <c r="H7" i="290"/>
  <c r="E7" i="191"/>
  <c r="G21" i="84"/>
  <c r="P7" i="372"/>
  <c r="G35" i="191"/>
  <c r="F35" i="196"/>
  <c r="D5" i="123"/>
  <c r="D5" i="196"/>
  <c r="H35" i="16"/>
  <c r="E7" i="146"/>
  <c r="F35" i="15"/>
  <c r="E7" i="270"/>
  <c r="L5" i="291"/>
  <c r="L23" i="291" s="1"/>
  <c r="H21" i="271"/>
  <c r="P23" i="271" s="1"/>
  <c r="E7" i="271"/>
  <c r="D5" i="151"/>
  <c r="G7" i="195"/>
  <c r="E21" i="229"/>
  <c r="G35" i="228"/>
  <c r="G35" i="84"/>
  <c r="H21" i="84"/>
  <c r="G7" i="284"/>
  <c r="H21" i="215"/>
  <c r="P23" i="215" s="1"/>
  <c r="N7" i="166"/>
  <c r="M23" i="212"/>
  <c r="D35" i="190"/>
  <c r="D7" i="6"/>
  <c r="D35" i="187"/>
  <c r="G7" i="191"/>
  <c r="E7" i="190"/>
  <c r="M29" i="333"/>
  <c r="E35" i="353"/>
  <c r="F21" i="270"/>
  <c r="N23" i="270" s="1"/>
  <c r="F35" i="16"/>
  <c r="G7" i="313"/>
  <c r="F7" i="290"/>
  <c r="E35" i="146"/>
  <c r="L5" i="220"/>
  <c r="L7" i="220" s="1"/>
  <c r="M7" i="220"/>
  <c r="N23" i="228"/>
  <c r="L5" i="228"/>
  <c r="L23" i="228" s="1"/>
  <c r="G7" i="15"/>
  <c r="F7" i="270"/>
  <c r="F7" i="156"/>
  <c r="P7" i="337"/>
  <c r="H35" i="195"/>
  <c r="H21" i="191"/>
  <c r="P23" i="191" s="1"/>
  <c r="H35" i="84"/>
  <c r="E35" i="84"/>
  <c r="H7" i="178"/>
  <c r="M7" i="137"/>
  <c r="H7" i="270"/>
  <c r="G35" i="13"/>
  <c r="M7" i="293"/>
  <c r="M7" i="347"/>
  <c r="P7" i="293"/>
  <c r="N7" i="293"/>
  <c r="H7" i="313"/>
  <c r="D5" i="195"/>
  <c r="O23" i="326"/>
  <c r="E35" i="191"/>
  <c r="E35" i="151"/>
  <c r="H21" i="16"/>
  <c r="P23" i="16" s="1"/>
  <c r="G21" i="290"/>
  <c r="H21" i="196"/>
  <c r="P23" i="196" s="1"/>
  <c r="H7" i="16"/>
  <c r="F21" i="313"/>
  <c r="N23" i="313" s="1"/>
  <c r="D5" i="313"/>
  <c r="F21" i="324"/>
  <c r="G21" i="338"/>
  <c r="O23" i="338" s="1"/>
  <c r="G7" i="13"/>
  <c r="D5" i="271"/>
  <c r="G35" i="327"/>
  <c r="L5" i="337"/>
  <c r="L7" i="337" s="1"/>
  <c r="O7" i="313"/>
  <c r="P29" i="293"/>
  <c r="H21" i="325"/>
  <c r="E21" i="84"/>
  <c r="P23" i="324"/>
  <c r="D35" i="347"/>
  <c r="H21" i="10"/>
  <c r="P23" i="10" s="1"/>
  <c r="F35" i="10"/>
  <c r="L5" i="15"/>
  <c r="L7" i="15" s="1"/>
  <c r="N7" i="15"/>
  <c r="P7" i="15"/>
  <c r="E21" i="291"/>
  <c r="G21" i="291"/>
  <c r="G35" i="291"/>
  <c r="H21" i="291"/>
  <c r="H35" i="291"/>
  <c r="E35" i="291"/>
  <c r="D5" i="291"/>
  <c r="F21" i="291"/>
  <c r="O23" i="84"/>
  <c r="L5" i="84"/>
  <c r="L23" i="84" s="1"/>
  <c r="P23" i="84"/>
  <c r="N23" i="84"/>
  <c r="D7" i="347"/>
  <c r="D35" i="185"/>
  <c r="D21" i="185"/>
  <c r="D35" i="171"/>
  <c r="G35" i="10"/>
  <c r="F7" i="362"/>
  <c r="D5" i="362"/>
  <c r="F35" i="362"/>
  <c r="H35" i="362"/>
  <c r="G7" i="362"/>
  <c r="G35" i="362"/>
  <c r="H21" i="362"/>
  <c r="P23" i="362" s="1"/>
  <c r="E21" i="362"/>
  <c r="M23" i="362" s="1"/>
  <c r="G21" i="362"/>
  <c r="O23" i="362" s="1"/>
  <c r="E35" i="362"/>
  <c r="H35" i="186"/>
  <c r="E21" i="186"/>
  <c r="E35" i="186"/>
  <c r="F35" i="186"/>
  <c r="D5" i="186"/>
  <c r="G35" i="186"/>
  <c r="G21" i="186"/>
  <c r="H21" i="186"/>
  <c r="D35" i="349"/>
  <c r="D21" i="212"/>
  <c r="E35" i="360"/>
  <c r="E21" i="360"/>
  <c r="M23" i="360" s="1"/>
  <c r="D5" i="360"/>
  <c r="H21" i="360"/>
  <c r="P23" i="360" s="1"/>
  <c r="F7" i="360"/>
  <c r="G21" i="360"/>
  <c r="O23" i="360" s="1"/>
  <c r="G7" i="360"/>
  <c r="E7" i="360"/>
  <c r="H7" i="360"/>
  <c r="G35" i="360"/>
  <c r="F21" i="360"/>
  <c r="N23" i="360" s="1"/>
  <c r="H7" i="10"/>
  <c r="D35" i="9"/>
  <c r="F35" i="291"/>
  <c r="H7" i="176"/>
  <c r="G7" i="176"/>
  <c r="F7" i="176"/>
  <c r="G35" i="176"/>
  <c r="F21" i="176"/>
  <c r="N23" i="176" s="1"/>
  <c r="H21" i="176"/>
  <c r="P23" i="176" s="1"/>
  <c r="E21" i="176"/>
  <c r="M23" i="176" s="1"/>
  <c r="F35" i="176"/>
  <c r="F7" i="349"/>
  <c r="H35" i="349"/>
  <c r="G21" i="349"/>
  <c r="O23" i="349" s="1"/>
  <c r="D7" i="9"/>
  <c r="E21" i="10"/>
  <c r="M23" i="10" s="1"/>
  <c r="L5" i="219"/>
  <c r="L7" i="219" s="1"/>
  <c r="P7" i="219"/>
  <c r="E35" i="10"/>
  <c r="D5" i="326"/>
  <c r="H35" i="326"/>
  <c r="G35" i="326"/>
  <c r="H21" i="326"/>
  <c r="G21" i="326"/>
  <c r="F21" i="326"/>
  <c r="E21" i="326"/>
  <c r="F7" i="10"/>
  <c r="G35" i="172"/>
  <c r="G21" i="172"/>
  <c r="H35" i="172"/>
  <c r="D5" i="172"/>
  <c r="E21" i="172"/>
  <c r="F35" i="172"/>
  <c r="F21" i="172"/>
  <c r="G35" i="324"/>
  <c r="E35" i="15"/>
  <c r="H21" i="15"/>
  <c r="P23" i="15" s="1"/>
  <c r="P7" i="72"/>
  <c r="G35" i="219"/>
  <c r="G35" i="178"/>
  <c r="E21" i="178"/>
  <c r="M23" i="178" s="1"/>
  <c r="G21" i="173"/>
  <c r="P29" i="289"/>
  <c r="D5" i="289"/>
  <c r="L5" i="196"/>
  <c r="L7" i="196" s="1"/>
  <c r="L5" i="325"/>
  <c r="L5" i="279"/>
  <c r="L7" i="279" s="1"/>
  <c r="O7" i="325"/>
  <c r="N23" i="290"/>
  <c r="M29" i="290"/>
  <c r="G21" i="95"/>
  <c r="O23" i="95" s="1"/>
  <c r="G7" i="215"/>
  <c r="D5" i="284"/>
  <c r="F35" i="250"/>
  <c r="F21" i="173"/>
  <c r="O7" i="372"/>
  <c r="E21" i="372"/>
  <c r="M23" i="372" s="1"/>
  <c r="O7" i="95"/>
  <c r="P7" i="141"/>
  <c r="D5" i="15"/>
  <c r="M29" i="289"/>
  <c r="F35" i="372"/>
  <c r="N7" i="289"/>
  <c r="O29" i="289"/>
  <c r="F7" i="15"/>
  <c r="F35" i="219"/>
  <c r="H7" i="141"/>
  <c r="E21" i="141"/>
  <c r="M23" i="141" s="1"/>
  <c r="D5" i="178"/>
  <c r="H21" i="173"/>
  <c r="O23" i="324"/>
  <c r="M7" i="195"/>
  <c r="P7" i="279"/>
  <c r="F35" i="313"/>
  <c r="P29" i="324"/>
  <c r="O7" i="290"/>
  <c r="H7" i="284"/>
  <c r="G21" i="58"/>
  <c r="L5" i="146"/>
  <c r="L7" i="146" s="1"/>
  <c r="P29" i="290"/>
  <c r="F21" i="95"/>
  <c r="N23" i="95" s="1"/>
  <c r="N7" i="72"/>
  <c r="G7" i="325"/>
  <c r="N7" i="279"/>
  <c r="E35" i="58"/>
  <c r="O23" i="225"/>
  <c r="F21" i="372"/>
  <c r="N23" i="372" s="1"/>
  <c r="E35" i="372"/>
  <c r="L5" i="372"/>
  <c r="L7" i="372" s="1"/>
  <c r="E21" i="173"/>
  <c r="H7" i="372"/>
  <c r="F7" i="284"/>
  <c r="G21" i="284"/>
  <c r="O23" i="284" s="1"/>
  <c r="E7" i="284"/>
  <c r="G35" i="196"/>
  <c r="H35" i="15"/>
  <c r="L5" i="289"/>
  <c r="L5" i="195"/>
  <c r="L7" i="195" s="1"/>
  <c r="D5" i="325"/>
  <c r="H35" i="171"/>
  <c r="H35" i="215"/>
  <c r="H21" i="250"/>
  <c r="G21" i="372"/>
  <c r="O23" i="372" s="1"/>
  <c r="N7" i="141"/>
  <c r="P7" i="324"/>
  <c r="G21" i="219"/>
  <c r="O23" i="219" s="1"/>
  <c r="G21" i="141"/>
  <c r="O23" i="141" s="1"/>
  <c r="F21" i="178"/>
  <c r="N23" i="178" s="1"/>
  <c r="H35" i="196"/>
  <c r="P23" i="326"/>
  <c r="F21" i="284"/>
  <c r="N23" i="284" s="1"/>
  <c r="D5" i="215"/>
  <c r="H21" i="313"/>
  <c r="P23" i="313" s="1"/>
  <c r="F21" i="250"/>
  <c r="F35" i="58"/>
  <c r="O7" i="79"/>
  <c r="N29" i="324"/>
  <c r="P7" i="289"/>
  <c r="M7" i="72"/>
  <c r="L5" i="72"/>
  <c r="L7" i="72" s="1"/>
  <c r="H7" i="219"/>
  <c r="E35" i="141"/>
  <c r="E21" i="220"/>
  <c r="M23" i="220" s="1"/>
  <c r="G35" i="173"/>
  <c r="O29" i="325"/>
  <c r="N29" i="325"/>
  <c r="E35" i="171"/>
  <c r="F35" i="171"/>
  <c r="E21" i="95"/>
  <c r="M23" i="95" s="1"/>
  <c r="G35" i="215"/>
  <c r="F21" i="58"/>
  <c r="E21" i="250"/>
  <c r="H21" i="372"/>
  <c r="P23" i="372" s="1"/>
  <c r="G21" i="178"/>
  <c r="O23" i="178" s="1"/>
  <c r="E35" i="284"/>
  <c r="N7" i="313"/>
  <c r="P23" i="325"/>
  <c r="N7" i="325"/>
  <c r="H7" i="215"/>
  <c r="D5" i="58"/>
  <c r="G7" i="372"/>
  <c r="E35" i="178"/>
  <c r="P35" i="325"/>
  <c r="O23" i="325"/>
  <c r="H35" i="173"/>
  <c r="H47" i="10"/>
  <c r="S133" i="209" s="1"/>
  <c r="H43" i="10"/>
  <c r="F18" i="368"/>
  <c r="Q630" i="209"/>
  <c r="F45" i="368"/>
  <c r="K158" i="209" s="1"/>
  <c r="F46" i="368"/>
  <c r="K630" i="209"/>
  <c r="F44" i="368"/>
  <c r="Q99" i="209" s="1"/>
  <c r="N26" i="368"/>
  <c r="F41" i="337"/>
  <c r="K219" i="209" s="1"/>
  <c r="F42" i="337"/>
  <c r="K278" i="209" s="1"/>
  <c r="F40" i="337"/>
  <c r="K101" i="209" s="1"/>
  <c r="F39" i="337"/>
  <c r="Q42" i="209" s="1"/>
  <c r="F38" i="337"/>
  <c r="K42" i="209" s="1"/>
  <c r="I632" i="209"/>
  <c r="D46" i="337"/>
  <c r="D44" i="337"/>
  <c r="L26" i="337"/>
  <c r="D45" i="337"/>
  <c r="I691" i="209"/>
  <c r="D18" i="337"/>
  <c r="F43" i="14"/>
  <c r="F47" i="14" s="1"/>
  <c r="Q128" i="209" s="1"/>
  <c r="N26" i="154"/>
  <c r="F44" i="154"/>
  <c r="Q97" i="209" s="1"/>
  <c r="K687" i="209"/>
  <c r="K628" i="209"/>
  <c r="F45" i="154"/>
  <c r="K156" i="209" s="1"/>
  <c r="F46" i="154"/>
  <c r="O624" i="209"/>
  <c r="D45" i="123"/>
  <c r="L26" i="123"/>
  <c r="I683" i="209"/>
  <c r="M683" i="209" s="1"/>
  <c r="D46" i="123"/>
  <c r="M26" i="123"/>
  <c r="P624" i="209"/>
  <c r="E44" i="123"/>
  <c r="P93" i="209" s="1"/>
  <c r="J683" i="209"/>
  <c r="E46" i="123"/>
  <c r="K683" i="209"/>
  <c r="N26" i="123"/>
  <c r="Q624" i="209"/>
  <c r="H38" i="16"/>
  <c r="M8" i="209" s="1"/>
  <c r="M303" i="209"/>
  <c r="E45" i="14"/>
  <c r="J128" i="209" s="1"/>
  <c r="P600" i="209"/>
  <c r="J659" i="209"/>
  <c r="E44" i="368"/>
  <c r="P99" i="209" s="1"/>
  <c r="E45" i="368"/>
  <c r="J158" i="209" s="1"/>
  <c r="P630" i="209"/>
  <c r="H23" i="326"/>
  <c r="H46" i="326"/>
  <c r="O26" i="337"/>
  <c r="L632" i="209"/>
  <c r="R632" i="209"/>
  <c r="G44" i="337"/>
  <c r="R101" i="209" s="1"/>
  <c r="D38" i="196"/>
  <c r="D40" i="196"/>
  <c r="D39" i="196"/>
  <c r="I745" i="209"/>
  <c r="H46" i="10"/>
  <c r="S605" i="209" s="1"/>
  <c r="M605" i="209"/>
  <c r="H37" i="7"/>
  <c r="S194" i="209" s="1"/>
  <c r="S253" i="209"/>
  <c r="L600" i="209"/>
  <c r="G45" i="14"/>
  <c r="L128" i="209" s="1"/>
  <c r="L659" i="209"/>
  <c r="R600" i="209"/>
  <c r="O26" i="14"/>
  <c r="Q608" i="209"/>
  <c r="K608" i="209"/>
  <c r="N26" i="6"/>
  <c r="H43" i="324"/>
  <c r="H47" i="324"/>
  <c r="F45" i="324"/>
  <c r="O48" i="294" s="1"/>
  <c r="N26" i="324"/>
  <c r="H43" i="15"/>
  <c r="H37" i="79"/>
  <c r="S218" i="209" s="1"/>
  <c r="S277" i="209"/>
  <c r="M311" i="209"/>
  <c r="H38" i="9"/>
  <c r="M16" i="209" s="1"/>
  <c r="H43" i="6"/>
  <c r="H47" i="6"/>
  <c r="S136" i="209" s="1"/>
  <c r="D46" i="196"/>
  <c r="D45" i="196"/>
  <c r="O627" i="209"/>
  <c r="H38" i="372"/>
  <c r="M39" i="209" s="1"/>
  <c r="M334" i="209"/>
  <c r="D18" i="372"/>
  <c r="S334" i="209"/>
  <c r="D45" i="372"/>
  <c r="D46" i="372"/>
  <c r="O629" i="209"/>
  <c r="M672" i="209" l="1"/>
  <c r="N20" i="288"/>
  <c r="L7" i="367"/>
  <c r="L29" i="367"/>
  <c r="L692" i="209"/>
  <c r="L751" i="209"/>
  <c r="G45" i="39"/>
  <c r="L161" i="209" s="1"/>
  <c r="G44" i="39"/>
  <c r="R102" i="209" s="1"/>
  <c r="G39" i="39"/>
  <c r="R43" i="209" s="1"/>
  <c r="G38" i="39"/>
  <c r="L43" i="209" s="1"/>
  <c r="L20" i="214"/>
  <c r="G14" i="176"/>
  <c r="G14" i="104" s="1"/>
  <c r="G14" i="84" s="1"/>
  <c r="L20" i="105"/>
  <c r="L633" i="209"/>
  <c r="S323" i="246"/>
  <c r="G41" i="39"/>
  <c r="L220" i="209" s="1"/>
  <c r="D43" i="196"/>
  <c r="D47" i="196" s="1"/>
  <c r="O155" i="209" s="1"/>
  <c r="G40" i="39"/>
  <c r="L102" i="209" s="1"/>
  <c r="G42" i="39"/>
  <c r="L279" i="209" s="1"/>
  <c r="O26" i="39"/>
  <c r="G43" i="39" s="1"/>
  <c r="G47" i="39" s="1"/>
  <c r="R161" i="209" s="1"/>
  <c r="R633" i="209"/>
  <c r="G46" i="39"/>
  <c r="P633" i="209"/>
  <c r="E37" i="39"/>
  <c r="P220" i="209" s="1"/>
  <c r="D35" i="175"/>
  <c r="K356" i="209"/>
  <c r="D35" i="137"/>
  <c r="D35" i="6"/>
  <c r="F15" i="228"/>
  <c r="S374" i="246"/>
  <c r="O20" i="221"/>
  <c r="Q633" i="209"/>
  <c r="F45" i="39"/>
  <c r="K161" i="209" s="1"/>
  <c r="F41" i="39"/>
  <c r="K220" i="209" s="1"/>
  <c r="K751" i="209"/>
  <c r="O20" i="347"/>
  <c r="K633" i="209"/>
  <c r="P15" i="221"/>
  <c r="D39" i="189"/>
  <c r="O43" i="246" s="1"/>
  <c r="I604" i="246"/>
  <c r="O553" i="246"/>
  <c r="D45" i="189"/>
  <c r="I145" i="246" s="1"/>
  <c r="D46" i="189"/>
  <c r="D44" i="189"/>
  <c r="O94" i="246" s="1"/>
  <c r="L26" i="189"/>
  <c r="D43" i="189" s="1"/>
  <c r="D47" i="189" s="1"/>
  <c r="O145" i="246" s="1"/>
  <c r="D40" i="189"/>
  <c r="I94" i="246" s="1"/>
  <c r="I553" i="246"/>
  <c r="D37" i="189"/>
  <c r="O196" i="246" s="1"/>
  <c r="F38" i="162"/>
  <c r="H44" i="225"/>
  <c r="S109" i="209" s="1"/>
  <c r="P11" i="213"/>
  <c r="D41" i="213"/>
  <c r="I200" i="209" s="1"/>
  <c r="T16" i="70"/>
  <c r="T18" i="70" s="1"/>
  <c r="J36" i="70" s="1"/>
  <c r="D15" i="125" s="1"/>
  <c r="E15" i="125" s="1"/>
  <c r="P16" i="70"/>
  <c r="D38" i="213"/>
  <c r="I23" i="209" s="1"/>
  <c r="D37" i="213"/>
  <c r="O200" i="209" s="1"/>
  <c r="L473" i="209"/>
  <c r="R414" i="209"/>
  <c r="R19" i="371"/>
  <c r="X49" i="371" s="1"/>
  <c r="P11" i="214"/>
  <c r="G43" i="10"/>
  <c r="G47" i="10" s="1"/>
  <c r="R133" i="209" s="1"/>
  <c r="L664" i="209"/>
  <c r="G18" i="10"/>
  <c r="L723" i="209" s="1"/>
  <c r="R605" i="209"/>
  <c r="O26" i="10"/>
  <c r="K604" i="209"/>
  <c r="F46" i="11"/>
  <c r="K663" i="209"/>
  <c r="N26" i="370"/>
  <c r="F43" i="370" s="1"/>
  <c r="F47" i="370" s="1"/>
  <c r="Q151" i="209" s="1"/>
  <c r="G46" i="16"/>
  <c r="N26" i="11"/>
  <c r="Q722" i="209" s="1"/>
  <c r="Q604" i="209"/>
  <c r="F43" i="220"/>
  <c r="F47" i="220" s="1"/>
  <c r="Q172" i="209" s="1"/>
  <c r="J34" i="28"/>
  <c r="J43" i="28" s="1"/>
  <c r="S587" i="209"/>
  <c r="N26" i="10"/>
  <c r="Q723" i="209" s="1"/>
  <c r="Q627" i="209"/>
  <c r="F18" i="196"/>
  <c r="F41" i="196" s="1"/>
  <c r="K214" i="209" s="1"/>
  <c r="F18" i="10"/>
  <c r="K723" i="209" s="1"/>
  <c r="E18" i="196"/>
  <c r="E39" i="196" s="1"/>
  <c r="P37" i="209" s="1"/>
  <c r="M339" i="246"/>
  <c r="K605" i="209"/>
  <c r="E42" i="288"/>
  <c r="N71" i="294" s="1"/>
  <c r="F25" i="175"/>
  <c r="Q605" i="209"/>
  <c r="P14" i="191"/>
  <c r="S131" i="294"/>
  <c r="E39" i="288"/>
  <c r="N31" i="294" s="1"/>
  <c r="J12" i="292"/>
  <c r="K627" i="209"/>
  <c r="F45" i="196"/>
  <c r="K155" i="209" s="1"/>
  <c r="E46" i="288"/>
  <c r="K664" i="209"/>
  <c r="F18" i="289"/>
  <c r="Q745" i="209"/>
  <c r="AA18" i="292"/>
  <c r="N26" i="289"/>
  <c r="E44" i="288"/>
  <c r="S31" i="294" s="1"/>
  <c r="D40" i="213"/>
  <c r="I82" i="209" s="1"/>
  <c r="H23" i="250"/>
  <c r="H37" i="250" s="1"/>
  <c r="S237" i="209" s="1"/>
  <c r="Q296" i="209"/>
  <c r="H44" i="248"/>
  <c r="P16" i="347" s="1"/>
  <c r="D27" i="174"/>
  <c r="F44" i="196"/>
  <c r="Q96" i="209" s="1"/>
  <c r="F46" i="196"/>
  <c r="K686" i="209"/>
  <c r="H39" i="186"/>
  <c r="P11" i="95" s="1"/>
  <c r="P15" i="347"/>
  <c r="H47" i="248"/>
  <c r="P19" i="347" s="1"/>
  <c r="E46" i="178"/>
  <c r="H26" i="250"/>
  <c r="H40" i="250" s="1"/>
  <c r="M119" i="209" s="1"/>
  <c r="E39" i="178"/>
  <c r="P49" i="209" s="1"/>
  <c r="D7" i="156"/>
  <c r="E40" i="178"/>
  <c r="J108" i="209" s="1"/>
  <c r="J698" i="209"/>
  <c r="E42" i="178"/>
  <c r="J285" i="209" s="1"/>
  <c r="M26" i="178"/>
  <c r="E43" i="178" s="1"/>
  <c r="E47" i="178" s="1"/>
  <c r="P167" i="209" s="1"/>
  <c r="S555" i="209"/>
  <c r="E44" i="178"/>
  <c r="P108" i="209" s="1"/>
  <c r="D35" i="165"/>
  <c r="D21" i="241"/>
  <c r="L23" i="241" s="1"/>
  <c r="D21" i="176"/>
  <c r="L23" i="176" s="1"/>
  <c r="D48" i="250"/>
  <c r="D35" i="156"/>
  <c r="D35" i="241"/>
  <c r="H37" i="248"/>
  <c r="D7" i="176"/>
  <c r="D21" i="165"/>
  <c r="L23" i="165" s="1"/>
  <c r="S292" i="209"/>
  <c r="H29" i="250"/>
  <c r="H47" i="250" s="1"/>
  <c r="S178" i="209" s="1"/>
  <c r="O20" i="288"/>
  <c r="O20" i="290"/>
  <c r="M441" i="246"/>
  <c r="D18" i="137"/>
  <c r="D37" i="137" s="1"/>
  <c r="O194" i="246" s="1"/>
  <c r="D7" i="125"/>
  <c r="D45" i="137"/>
  <c r="I143" i="246" s="1"/>
  <c r="L26" i="137"/>
  <c r="D43" i="137" s="1"/>
  <c r="D47" i="137" s="1"/>
  <c r="O143" i="246" s="1"/>
  <c r="D46" i="137"/>
  <c r="G14" i="178"/>
  <c r="G14" i="225" s="1"/>
  <c r="G14" i="170" s="1"/>
  <c r="D44" i="137"/>
  <c r="O92" i="246" s="1"/>
  <c r="Q531" i="246"/>
  <c r="I551" i="246"/>
  <c r="I602" i="246"/>
  <c r="M602" i="246" s="1"/>
  <c r="F44" i="359"/>
  <c r="Q72" i="246" s="1"/>
  <c r="K531" i="246"/>
  <c r="F18" i="359"/>
  <c r="F39" i="359" s="1"/>
  <c r="Q21" i="246" s="1"/>
  <c r="K606" i="209"/>
  <c r="F46" i="9"/>
  <c r="F44" i="9"/>
  <c r="Q75" i="209" s="1"/>
  <c r="M260" i="209"/>
  <c r="K665" i="209"/>
  <c r="F16" i="174"/>
  <c r="F45" i="9"/>
  <c r="K134" i="209" s="1"/>
  <c r="F42" i="347"/>
  <c r="K288" i="209" s="1"/>
  <c r="I461" i="246"/>
  <c r="S492" i="246"/>
  <c r="K760" i="209"/>
  <c r="F41" i="347"/>
  <c r="K229" i="209" s="1"/>
  <c r="F37" i="347"/>
  <c r="Q229" i="209" s="1"/>
  <c r="M506" i="246"/>
  <c r="F38" i="347"/>
  <c r="K52" i="209" s="1"/>
  <c r="Q606" i="209"/>
  <c r="L23" i="367"/>
  <c r="P478" i="246"/>
  <c r="J33" i="292"/>
  <c r="D21" i="137"/>
  <c r="L23" i="137" s="1"/>
  <c r="N26" i="338"/>
  <c r="Q740" i="209" s="1"/>
  <c r="J553" i="246"/>
  <c r="E31" i="174"/>
  <c r="H39" i="248"/>
  <c r="P11" i="221" s="1"/>
  <c r="E37" i="279"/>
  <c r="P181" i="246" s="1"/>
  <c r="S731" i="209"/>
  <c r="P26" i="213"/>
  <c r="F18" i="338"/>
  <c r="F38" i="338" s="1"/>
  <c r="K32" i="209" s="1"/>
  <c r="P131" i="294"/>
  <c r="G40" i="288"/>
  <c r="K51" i="294" s="1"/>
  <c r="S201" i="209"/>
  <c r="G39" i="295"/>
  <c r="P37" i="294" s="1"/>
  <c r="J604" i="246"/>
  <c r="D7" i="11"/>
  <c r="P9" i="105"/>
  <c r="P9" i="213"/>
  <c r="E28" i="174"/>
  <c r="E44" i="189"/>
  <c r="P94" i="246" s="1"/>
  <c r="M378" i="209"/>
  <c r="F45" i="195"/>
  <c r="K144" i="246" s="1"/>
  <c r="E18" i="189"/>
  <c r="E40" i="189" s="1"/>
  <c r="J94" i="246" s="1"/>
  <c r="K552" i="246"/>
  <c r="E46" i="189"/>
  <c r="C31" i="175"/>
  <c r="K603" i="246"/>
  <c r="G42" i="295"/>
  <c r="G38" i="295"/>
  <c r="U17" i="294" s="1"/>
  <c r="K17" i="294"/>
  <c r="D18" i="365"/>
  <c r="D39" i="365" s="1"/>
  <c r="O35" i="209" s="1"/>
  <c r="I15" i="292"/>
  <c r="H27" i="170"/>
  <c r="H41" i="170" s="1"/>
  <c r="P13" i="215" s="1"/>
  <c r="U137" i="294"/>
  <c r="S260" i="209"/>
  <c r="P17" i="294"/>
  <c r="E45" i="189"/>
  <c r="J145" i="246" s="1"/>
  <c r="G40" i="295"/>
  <c r="K57" i="294" s="1"/>
  <c r="P553" i="246"/>
  <c r="G41" i="295"/>
  <c r="D35" i="11"/>
  <c r="D45" i="154"/>
  <c r="I156" i="209" s="1"/>
  <c r="H30" i="170"/>
  <c r="H44" i="170" s="1"/>
  <c r="P16" i="187" s="1"/>
  <c r="G15" i="178"/>
  <c r="G15" i="225" s="1"/>
  <c r="G15" i="228" s="1"/>
  <c r="F11" i="248"/>
  <c r="E46" i="347"/>
  <c r="E11" i="248"/>
  <c r="O26" i="347"/>
  <c r="G43" i="347" s="1"/>
  <c r="G47" i="347" s="1"/>
  <c r="R170" i="209" s="1"/>
  <c r="G11" i="248"/>
  <c r="D46" i="347"/>
  <c r="D11" i="248"/>
  <c r="D21" i="349"/>
  <c r="L23" i="349" s="1"/>
  <c r="F40" i="347"/>
  <c r="K111" i="209" s="1"/>
  <c r="J532" i="209"/>
  <c r="M437" i="209"/>
  <c r="M469" i="209"/>
  <c r="M83" i="209"/>
  <c r="I628" i="209"/>
  <c r="P12" i="214"/>
  <c r="J69" i="164"/>
  <c r="L86" i="209" s="1"/>
  <c r="D43" i="213"/>
  <c r="D47" i="213" s="1"/>
  <c r="O141" i="209" s="1"/>
  <c r="R532" i="246"/>
  <c r="L26" i="214"/>
  <c r="D43" i="214" s="1"/>
  <c r="D47" i="214" s="1"/>
  <c r="O139" i="209" s="1"/>
  <c r="I611" i="209"/>
  <c r="D45" i="214"/>
  <c r="I139" i="209" s="1"/>
  <c r="C28" i="174"/>
  <c r="O611" i="209"/>
  <c r="L660" i="209"/>
  <c r="M660" i="209" s="1"/>
  <c r="I670" i="209"/>
  <c r="D18" i="214"/>
  <c r="D42" i="214" s="1"/>
  <c r="I257" i="209" s="1"/>
  <c r="D44" i="214"/>
  <c r="O80" i="209" s="1"/>
  <c r="G41" i="137"/>
  <c r="L194" i="246" s="1"/>
  <c r="G38" i="137"/>
  <c r="L41" i="246" s="1"/>
  <c r="G42" i="137"/>
  <c r="L245" i="246" s="1"/>
  <c r="G40" i="137"/>
  <c r="L92" i="246" s="1"/>
  <c r="L653" i="246"/>
  <c r="F14" i="184"/>
  <c r="G39" i="137"/>
  <c r="R41" i="246" s="1"/>
  <c r="K623" i="209"/>
  <c r="F46" i="370"/>
  <c r="F45" i="370"/>
  <c r="K151" i="209" s="1"/>
  <c r="I605" i="209"/>
  <c r="K682" i="209"/>
  <c r="O746" i="209"/>
  <c r="S746" i="209" s="1"/>
  <c r="P26" i="154"/>
  <c r="O605" i="209"/>
  <c r="D46" i="154"/>
  <c r="I664" i="209"/>
  <c r="O628" i="209"/>
  <c r="I687" i="209"/>
  <c r="M687" i="209" s="1"/>
  <c r="D18" i="10"/>
  <c r="D39" i="10" s="1"/>
  <c r="O15" i="209" s="1"/>
  <c r="H43" i="326"/>
  <c r="P15" i="325" s="1"/>
  <c r="L26" i="10"/>
  <c r="O723" i="209" s="1"/>
  <c r="D44" i="154"/>
  <c r="O97" i="209" s="1"/>
  <c r="P19" i="325"/>
  <c r="F44" i="370"/>
  <c r="Q92" i="209" s="1"/>
  <c r="P14" i="213"/>
  <c r="F44" i="289"/>
  <c r="T32" i="294" s="1"/>
  <c r="F46" i="289"/>
  <c r="D43" i="4"/>
  <c r="D47" i="4" s="1"/>
  <c r="O129" i="209" s="1"/>
  <c r="N131" i="294"/>
  <c r="M26" i="288"/>
  <c r="E43" i="288" s="1"/>
  <c r="E47" i="288" s="1"/>
  <c r="S51" i="294" s="1"/>
  <c r="M698" i="209"/>
  <c r="F41" i="270"/>
  <c r="K198" i="246" s="1"/>
  <c r="K555" i="246"/>
  <c r="F45" i="270"/>
  <c r="K147" i="246" s="1"/>
  <c r="F44" i="270"/>
  <c r="Q96" i="246" s="1"/>
  <c r="K606" i="246"/>
  <c r="G45" i="16"/>
  <c r="L126" i="209" s="1"/>
  <c r="L598" i="209"/>
  <c r="F46" i="270"/>
  <c r="M404" i="246"/>
  <c r="M26" i="196"/>
  <c r="E43" i="196" s="1"/>
  <c r="E47" i="196" s="1"/>
  <c r="P155" i="209" s="1"/>
  <c r="D46" i="215"/>
  <c r="S485" i="246"/>
  <c r="G23" i="175"/>
  <c r="D25" i="175"/>
  <c r="J686" i="209"/>
  <c r="P627" i="209"/>
  <c r="H25" i="231"/>
  <c r="H39" i="231" s="1"/>
  <c r="S53" i="246" s="1"/>
  <c r="M425" i="246"/>
  <c r="E45" i="196"/>
  <c r="J155" i="209" s="1"/>
  <c r="F40" i="270"/>
  <c r="K96" i="246" s="1"/>
  <c r="J627" i="209"/>
  <c r="Q555" i="246"/>
  <c r="E46" i="196"/>
  <c r="J67" i="164"/>
  <c r="K414" i="209"/>
  <c r="D39" i="213"/>
  <c r="O23" i="209" s="1"/>
  <c r="K597" i="246"/>
  <c r="F29" i="174"/>
  <c r="K478" i="246"/>
  <c r="F37" i="160"/>
  <c r="Q189" i="246" s="1"/>
  <c r="F42" i="160"/>
  <c r="K240" i="246" s="1"/>
  <c r="F40" i="160"/>
  <c r="K87" i="246" s="1"/>
  <c r="K546" i="246"/>
  <c r="F46" i="160"/>
  <c r="F41" i="160"/>
  <c r="K189" i="246" s="1"/>
  <c r="S441" i="246"/>
  <c r="K648" i="246"/>
  <c r="M24" i="209"/>
  <c r="I731" i="209"/>
  <c r="M522" i="209"/>
  <c r="F38" i="365"/>
  <c r="K35" i="209" s="1"/>
  <c r="E46" i="154"/>
  <c r="J478" i="246"/>
  <c r="I690" i="209"/>
  <c r="H26" i="170"/>
  <c r="H40" i="170" s="1"/>
  <c r="P12" i="188" s="1"/>
  <c r="L23" i="290"/>
  <c r="L7" i="290"/>
  <c r="D46" i="79"/>
  <c r="O631" i="209"/>
  <c r="J687" i="209"/>
  <c r="I631" i="209"/>
  <c r="I68" i="164"/>
  <c r="Q27" i="209" s="1"/>
  <c r="I69" i="164"/>
  <c r="F40" i="162" s="1"/>
  <c r="D44" i="79"/>
  <c r="O100" i="209" s="1"/>
  <c r="L26" i="79"/>
  <c r="D43" i="79" s="1"/>
  <c r="D47" i="79" s="1"/>
  <c r="O159" i="209" s="1"/>
  <c r="M26" i="154"/>
  <c r="E43" i="154" s="1"/>
  <c r="E47" i="154" s="1"/>
  <c r="P156" i="209" s="1"/>
  <c r="G26" i="175"/>
  <c r="F46" i="365"/>
  <c r="E44" i="154"/>
  <c r="P97" i="209" s="1"/>
  <c r="P628" i="209"/>
  <c r="J628" i="209"/>
  <c r="P12" i="105"/>
  <c r="H26" i="171"/>
  <c r="H40" i="171" s="1"/>
  <c r="F39" i="270"/>
  <c r="Q45" i="246" s="1"/>
  <c r="E18" i="99"/>
  <c r="E42" i="99" s="1"/>
  <c r="J226" i="246" s="1"/>
  <c r="E46" i="99"/>
  <c r="P532" i="246"/>
  <c r="I597" i="246"/>
  <c r="J583" i="246"/>
  <c r="E45" i="99"/>
  <c r="J124" i="246" s="1"/>
  <c r="E44" i="99"/>
  <c r="P73" i="246" s="1"/>
  <c r="P14" i="324"/>
  <c r="D7" i="95"/>
  <c r="M492" i="246"/>
  <c r="J532" i="246"/>
  <c r="C27" i="175"/>
  <c r="G16" i="175"/>
  <c r="F37" i="270"/>
  <c r="Q198" i="246" s="1"/>
  <c r="K657" i="246"/>
  <c r="Q510" i="246"/>
  <c r="S425" i="246"/>
  <c r="K684" i="209"/>
  <c r="K625" i="209"/>
  <c r="N26" i="365"/>
  <c r="Q743" i="209" s="1"/>
  <c r="Q625" i="209"/>
  <c r="F39" i="365"/>
  <c r="Q35" i="209" s="1"/>
  <c r="K743" i="209"/>
  <c r="F40" i="365"/>
  <c r="K94" i="209" s="1"/>
  <c r="F42" i="365"/>
  <c r="K271" i="209" s="1"/>
  <c r="F41" i="365"/>
  <c r="K212" i="209" s="1"/>
  <c r="M345" i="209"/>
  <c r="H38" i="225"/>
  <c r="M50" i="209" s="1"/>
  <c r="D21" i="328"/>
  <c r="D35" i="105"/>
  <c r="S142" i="209"/>
  <c r="D12" i="175"/>
  <c r="G27" i="175"/>
  <c r="G46" i="4"/>
  <c r="L20" i="288"/>
  <c r="L29" i="288"/>
  <c r="D21" i="105"/>
  <c r="L23" i="105" s="1"/>
  <c r="L20" i="290"/>
  <c r="O26" i="4"/>
  <c r="G43" i="4" s="1"/>
  <c r="G47" i="4" s="1"/>
  <c r="R129" i="209" s="1"/>
  <c r="E27" i="174"/>
  <c r="L7" i="296"/>
  <c r="L474" i="209"/>
  <c r="F18" i="178"/>
  <c r="F42" i="178" s="1"/>
  <c r="K285" i="209" s="1"/>
  <c r="F46" i="137"/>
  <c r="D21" i="307"/>
  <c r="L23" i="307" s="1"/>
  <c r="D21" i="125"/>
  <c r="L23" i="125" s="1"/>
  <c r="S332" i="246"/>
  <c r="J274" i="246"/>
  <c r="D33" i="175"/>
  <c r="F17" i="174"/>
  <c r="E16" i="175"/>
  <c r="F45" i="16"/>
  <c r="K126" i="209" s="1"/>
  <c r="K639" i="209"/>
  <c r="P474" i="209"/>
  <c r="D21" i="162"/>
  <c r="L23" i="162" s="1"/>
  <c r="M410" i="209"/>
  <c r="L627" i="209"/>
  <c r="G46" i="196"/>
  <c r="G15" i="176"/>
  <c r="G15" i="104" s="1"/>
  <c r="G15" i="84" s="1"/>
  <c r="G45" i="196"/>
  <c r="L155" i="209" s="1"/>
  <c r="M587" i="209"/>
  <c r="H33" i="173"/>
  <c r="G28" i="174"/>
  <c r="M383" i="246"/>
  <c r="E17" i="174"/>
  <c r="D21" i="188"/>
  <c r="L23" i="188" s="1"/>
  <c r="N26" i="178"/>
  <c r="Q757" i="209" s="1"/>
  <c r="M555" i="209"/>
  <c r="R627" i="209"/>
  <c r="F44" i="16"/>
  <c r="Q67" i="209" s="1"/>
  <c r="D35" i="188"/>
  <c r="M319" i="209"/>
  <c r="Q355" i="209"/>
  <c r="M20" i="213"/>
  <c r="E32" i="175"/>
  <c r="E18" i="162"/>
  <c r="E42" i="162" s="1"/>
  <c r="J263" i="209" s="1"/>
  <c r="F44" i="178"/>
  <c r="Q108" i="209" s="1"/>
  <c r="O26" i="196"/>
  <c r="P26" i="196" s="1"/>
  <c r="G18" i="196"/>
  <c r="L745" i="209" s="1"/>
  <c r="M745" i="209" s="1"/>
  <c r="M20" i="214"/>
  <c r="G44" i="196"/>
  <c r="R96" i="209" s="1"/>
  <c r="D35" i="162"/>
  <c r="P355" i="209"/>
  <c r="D17" i="175"/>
  <c r="L20" i="220"/>
  <c r="D21" i="327"/>
  <c r="E18" i="289"/>
  <c r="E37" i="289" s="1"/>
  <c r="I32" i="294" s="1"/>
  <c r="H44" i="247"/>
  <c r="S83" i="209" s="1"/>
  <c r="J461" i="246"/>
  <c r="P538" i="246"/>
  <c r="E24" i="175"/>
  <c r="G39" i="288"/>
  <c r="P31" i="294" s="1"/>
  <c r="R359" i="246"/>
  <c r="E18" i="365"/>
  <c r="E40" i="365" s="1"/>
  <c r="J94" i="209" s="1"/>
  <c r="E39" i="279"/>
  <c r="P28" i="246" s="1"/>
  <c r="E46" i="279"/>
  <c r="L461" i="246"/>
  <c r="E42" i="279"/>
  <c r="J232" i="246" s="1"/>
  <c r="G46" i="288"/>
  <c r="U131" i="294"/>
  <c r="O26" i="288"/>
  <c r="G43" i="288" s="1"/>
  <c r="G47" i="288" s="1"/>
  <c r="U51" i="294" s="1"/>
  <c r="E45" i="279"/>
  <c r="J130" i="246" s="1"/>
  <c r="P11" i="294"/>
  <c r="E46" i="365"/>
  <c r="E44" i="279"/>
  <c r="P79" i="246" s="1"/>
  <c r="P11" i="296"/>
  <c r="E45" i="365"/>
  <c r="J153" i="209" s="1"/>
  <c r="G44" i="288"/>
  <c r="U31" i="294" s="1"/>
  <c r="M26" i="279"/>
  <c r="E43" i="279" s="1"/>
  <c r="E47" i="279" s="1"/>
  <c r="P130" i="246" s="1"/>
  <c r="G41" i="288"/>
  <c r="K71" i="294" s="1"/>
  <c r="F48" i="171"/>
  <c r="N20" i="173" s="1"/>
  <c r="J589" i="246"/>
  <c r="J538" i="246"/>
  <c r="S434" i="246"/>
  <c r="P11" i="295"/>
  <c r="J625" i="209"/>
  <c r="G37" i="288"/>
  <c r="K31" i="294" s="1"/>
  <c r="P11" i="367"/>
  <c r="J640" i="246"/>
  <c r="P625" i="209"/>
  <c r="E38" i="279"/>
  <c r="J28" i="246" s="1"/>
  <c r="G45" i="288"/>
  <c r="P51" i="294" s="1"/>
  <c r="G43" i="7"/>
  <c r="G47" i="7" s="1"/>
  <c r="R135" i="209" s="1"/>
  <c r="E40" i="279"/>
  <c r="J79" i="246" s="1"/>
  <c r="D18" i="288"/>
  <c r="R131" i="294" s="1"/>
  <c r="L26" i="288"/>
  <c r="D43" i="288" s="1"/>
  <c r="D47" i="288" s="1"/>
  <c r="R51" i="294" s="1"/>
  <c r="G38" i="288"/>
  <c r="U11" i="294" s="1"/>
  <c r="M26" i="365"/>
  <c r="E44" i="365"/>
  <c r="P94" i="209" s="1"/>
  <c r="O399" i="209"/>
  <c r="F32" i="175"/>
  <c r="F33" i="174"/>
  <c r="P18" i="292"/>
  <c r="I675" i="209"/>
  <c r="D18" i="215"/>
  <c r="D41" i="215" s="1"/>
  <c r="I203" i="209" s="1"/>
  <c r="D45" i="215"/>
  <c r="I144" i="209" s="1"/>
  <c r="D44" i="215"/>
  <c r="O85" i="209" s="1"/>
  <c r="K655" i="246"/>
  <c r="G46" i="178"/>
  <c r="L26" i="186"/>
  <c r="D43" i="186" s="1"/>
  <c r="R41" i="36"/>
  <c r="J45" i="36" s="1"/>
  <c r="E44" i="4"/>
  <c r="P70" i="209" s="1"/>
  <c r="I274" i="246"/>
  <c r="G44" i="178"/>
  <c r="R108" i="209" s="1"/>
  <c r="D46" i="365"/>
  <c r="F40" i="189"/>
  <c r="K94" i="246" s="1"/>
  <c r="R598" i="209"/>
  <c r="M323" i="246"/>
  <c r="E33" i="175"/>
  <c r="E11" i="369"/>
  <c r="I325" i="246"/>
  <c r="K657" i="209"/>
  <c r="F11" i="369"/>
  <c r="F11" i="44" s="1"/>
  <c r="K635" i="209" s="1"/>
  <c r="N26" i="270"/>
  <c r="F43" i="270" s="1"/>
  <c r="F47" i="270" s="1"/>
  <c r="Q147" i="246" s="1"/>
  <c r="O757" i="209"/>
  <c r="O26" i="16"/>
  <c r="G43" i="16" s="1"/>
  <c r="G47" i="16" s="1"/>
  <c r="R126" i="209" s="1"/>
  <c r="Q598" i="209"/>
  <c r="D45" i="365"/>
  <c r="I153" i="209" s="1"/>
  <c r="G45" i="178"/>
  <c r="L167" i="209" s="1"/>
  <c r="E18" i="72"/>
  <c r="E42" i="72" s="1"/>
  <c r="J272" i="209" s="1"/>
  <c r="D11" i="369"/>
  <c r="I634" i="209" s="1"/>
  <c r="K34" i="292"/>
  <c r="F39" i="189"/>
  <c r="Q43" i="246" s="1"/>
  <c r="F41" i="189"/>
  <c r="K196" i="246" s="1"/>
  <c r="K598" i="209"/>
  <c r="Q546" i="246"/>
  <c r="I625" i="209"/>
  <c r="F30" i="174"/>
  <c r="E37" i="292" s="1"/>
  <c r="E40" i="288"/>
  <c r="I51" i="294" s="1"/>
  <c r="N26" i="16"/>
  <c r="F43" i="16" s="1"/>
  <c r="F47" i="16" s="1"/>
  <c r="Q126" i="209" s="1"/>
  <c r="N26" i="160"/>
  <c r="F43" i="160" s="1"/>
  <c r="F47" i="160" s="1"/>
  <c r="Q138" i="246" s="1"/>
  <c r="F42" i="270"/>
  <c r="K249" i="246" s="1"/>
  <c r="D18" i="221"/>
  <c r="D40" i="221" s="1"/>
  <c r="I112" i="209" s="1"/>
  <c r="P639" i="209"/>
  <c r="E41" i="178"/>
  <c r="J226" i="209" s="1"/>
  <c r="K698" i="209"/>
  <c r="I684" i="209"/>
  <c r="M684" i="209" s="1"/>
  <c r="O26" i="178"/>
  <c r="G43" i="178" s="1"/>
  <c r="G47" i="178" s="1"/>
  <c r="R167" i="209" s="1"/>
  <c r="R639" i="209"/>
  <c r="E45" i="288"/>
  <c r="N51" i="294" s="1"/>
  <c r="I11" i="294"/>
  <c r="E41" i="288"/>
  <c r="I71" i="294" s="1"/>
  <c r="E45" i="178"/>
  <c r="J167" i="209" s="1"/>
  <c r="J757" i="209"/>
  <c r="F45" i="178"/>
  <c r="K167" i="209" s="1"/>
  <c r="J639" i="209"/>
  <c r="F18" i="16"/>
  <c r="K716" i="209" s="1"/>
  <c r="M272" i="246"/>
  <c r="E12" i="175"/>
  <c r="M691" i="209"/>
  <c r="E16" i="174"/>
  <c r="S677" i="209"/>
  <c r="H24" i="171"/>
  <c r="H38" i="171" s="1"/>
  <c r="F39" i="160"/>
  <c r="Q36" i="246" s="1"/>
  <c r="E37" i="178"/>
  <c r="P226" i="209" s="1"/>
  <c r="G18" i="16"/>
  <c r="G38" i="16" s="1"/>
  <c r="L8" i="209" s="1"/>
  <c r="L657" i="209"/>
  <c r="M657" i="209" s="1"/>
  <c r="F45" i="160"/>
  <c r="K138" i="246" s="1"/>
  <c r="F44" i="160"/>
  <c r="Q87" i="246" s="1"/>
  <c r="O625" i="209"/>
  <c r="E37" i="288"/>
  <c r="I31" i="294" s="1"/>
  <c r="F46" i="178"/>
  <c r="L26" i="365"/>
  <c r="O743" i="209" s="1"/>
  <c r="E38" i="288"/>
  <c r="S11" i="294" s="1"/>
  <c r="N32" i="36"/>
  <c r="I667" i="209"/>
  <c r="M667" i="209" s="1"/>
  <c r="D44" i="6"/>
  <c r="O77" i="209" s="1"/>
  <c r="M20" i="220"/>
  <c r="H30" i="228"/>
  <c r="K22" i="292" s="1"/>
  <c r="O132" i="294"/>
  <c r="T15" i="80"/>
  <c r="D15" i="79" s="1"/>
  <c r="J15" i="292"/>
  <c r="I681" i="209"/>
  <c r="S690" i="209"/>
  <c r="J685" i="209"/>
  <c r="P13" i="221"/>
  <c r="D44" i="338"/>
  <c r="O91" i="209" s="1"/>
  <c r="P13" i="220"/>
  <c r="R18" i="49"/>
  <c r="R19" i="49" s="1"/>
  <c r="D45" i="338"/>
  <c r="I150" i="209" s="1"/>
  <c r="L26" i="338"/>
  <c r="P26" i="338" s="1"/>
  <c r="M233" i="209"/>
  <c r="D46" i="338"/>
  <c r="S339" i="246"/>
  <c r="S496" i="209"/>
  <c r="R14" i="49"/>
  <c r="I658" i="246"/>
  <c r="M26" i="72"/>
  <c r="P744" i="209" s="1"/>
  <c r="D41" i="183"/>
  <c r="I199" i="246" s="1"/>
  <c r="E45" i="72"/>
  <c r="J154" i="209" s="1"/>
  <c r="J626" i="209"/>
  <c r="P10" i="214"/>
  <c r="L597" i="246"/>
  <c r="L616" i="209"/>
  <c r="E15" i="173"/>
  <c r="F42" i="189"/>
  <c r="K247" i="246" s="1"/>
  <c r="G44" i="160"/>
  <c r="R87" i="246" s="1"/>
  <c r="L355" i="209"/>
  <c r="D7" i="293"/>
  <c r="P274" i="246"/>
  <c r="G42" i="139"/>
  <c r="L220" i="246" s="1"/>
  <c r="I591" i="209"/>
  <c r="D43" i="95"/>
  <c r="D47" i="95" s="1"/>
  <c r="E44" i="195"/>
  <c r="P93" i="246" s="1"/>
  <c r="N25" i="174"/>
  <c r="F33" i="175"/>
  <c r="L628" i="246"/>
  <c r="G39" i="139"/>
  <c r="R16" i="246" s="1"/>
  <c r="O26" i="372"/>
  <c r="G43" i="372" s="1"/>
  <c r="G47" i="372" s="1"/>
  <c r="R157" i="209" s="1"/>
  <c r="E45" i="195"/>
  <c r="J144" i="246" s="1"/>
  <c r="G41" i="139"/>
  <c r="L169" i="246" s="1"/>
  <c r="D21" i="183"/>
  <c r="L23" i="183" s="1"/>
  <c r="D7" i="183"/>
  <c r="J552" i="246"/>
  <c r="H31" i="250"/>
  <c r="H45" i="250" s="1"/>
  <c r="M178" i="209" s="1"/>
  <c r="L629" i="209"/>
  <c r="E46" i="195"/>
  <c r="F28" i="174"/>
  <c r="O274" i="246"/>
  <c r="G37" i="139"/>
  <c r="R169" i="246" s="1"/>
  <c r="L414" i="209"/>
  <c r="J25" i="36"/>
  <c r="J30" i="36" s="1"/>
  <c r="J36" i="36" s="1"/>
  <c r="O20" i="105"/>
  <c r="D21" i="288"/>
  <c r="L23" i="288" s="1"/>
  <c r="K681" i="209"/>
  <c r="L688" i="209"/>
  <c r="M688" i="209" s="1"/>
  <c r="R629" i="209"/>
  <c r="R478" i="246"/>
  <c r="G38" i="139"/>
  <c r="L16" i="246" s="1"/>
  <c r="Q414" i="209"/>
  <c r="Q532" i="209"/>
  <c r="G30" i="174"/>
  <c r="K532" i="209"/>
  <c r="D35" i="293"/>
  <c r="M25" i="174"/>
  <c r="F45" i="338"/>
  <c r="K150" i="209" s="1"/>
  <c r="D46" i="95"/>
  <c r="D7" i="288"/>
  <c r="G45" i="372"/>
  <c r="L157" i="209" s="1"/>
  <c r="O591" i="209"/>
  <c r="F26" i="174"/>
  <c r="F37" i="292" s="1"/>
  <c r="O20" i="325"/>
  <c r="M689" i="209"/>
  <c r="E45" i="4"/>
  <c r="J129" i="209" s="1"/>
  <c r="E46" i="4"/>
  <c r="G34" i="164"/>
  <c r="O36" i="209" s="1"/>
  <c r="H34" i="164"/>
  <c r="P36" i="209" s="1"/>
  <c r="J601" i="209"/>
  <c r="G33" i="164"/>
  <c r="I36" i="209" s="1"/>
  <c r="J660" i="209"/>
  <c r="H35" i="164"/>
  <c r="J95" i="209" s="1"/>
  <c r="N20" i="324"/>
  <c r="M26" i="4"/>
  <c r="P719" i="209" s="1"/>
  <c r="P10" i="213"/>
  <c r="H32" i="250"/>
  <c r="M650" i="209" s="1"/>
  <c r="N26" i="359"/>
  <c r="F43" i="359" s="1"/>
  <c r="F47" i="359" s="1"/>
  <c r="Q123" i="246" s="1"/>
  <c r="F44" i="365"/>
  <c r="Q94" i="209" s="1"/>
  <c r="J676" i="209"/>
  <c r="E30" i="174"/>
  <c r="L639" i="209"/>
  <c r="M26" i="162"/>
  <c r="E43" i="162" s="1"/>
  <c r="E47" i="162" s="1"/>
  <c r="P145" i="209" s="1"/>
  <c r="J617" i="209"/>
  <c r="E14" i="171"/>
  <c r="P617" i="209"/>
  <c r="F45" i="359"/>
  <c r="K123" i="246" s="1"/>
  <c r="F46" i="359"/>
  <c r="F14" i="14"/>
  <c r="F18" i="14" s="1"/>
  <c r="F42" i="14" s="1"/>
  <c r="K246" i="209" s="1"/>
  <c r="O20" i="213"/>
  <c r="F37" i="189"/>
  <c r="Q196" i="246" s="1"/>
  <c r="F40" i="95"/>
  <c r="K80" i="246" s="1"/>
  <c r="N20" i="359"/>
  <c r="M186" i="246"/>
  <c r="C30" i="174"/>
  <c r="P14" i="279"/>
  <c r="K457" i="246"/>
  <c r="F25" i="174"/>
  <c r="K463" i="246" s="1"/>
  <c r="Q304" i="246"/>
  <c r="C24" i="174"/>
  <c r="M470" i="246"/>
  <c r="J406" i="246"/>
  <c r="L20" i="359"/>
  <c r="L20" i="101"/>
  <c r="L20" i="176"/>
  <c r="L20" i="99"/>
  <c r="L26" i="11"/>
  <c r="O722" i="209" s="1"/>
  <c r="O604" i="209"/>
  <c r="D45" i="11"/>
  <c r="I132" i="209" s="1"/>
  <c r="I663" i="209"/>
  <c r="P26" i="39"/>
  <c r="D44" i="11"/>
  <c r="O73" i="209" s="1"/>
  <c r="D46" i="11"/>
  <c r="G39" i="337"/>
  <c r="R42" i="209" s="1"/>
  <c r="G42" i="337"/>
  <c r="L278" i="209" s="1"/>
  <c r="L750" i="209"/>
  <c r="G31" i="330"/>
  <c r="D18" i="353"/>
  <c r="D41" i="353" s="1"/>
  <c r="I225" i="209" s="1"/>
  <c r="J473" i="209"/>
  <c r="E40" i="160"/>
  <c r="J87" i="246" s="1"/>
  <c r="J512" i="246"/>
  <c r="I642" i="209"/>
  <c r="E42" i="160"/>
  <c r="J240" i="246" s="1"/>
  <c r="R473" i="209"/>
  <c r="L26" i="347"/>
  <c r="D44" i="347"/>
  <c r="O111" i="209" s="1"/>
  <c r="J648" i="246"/>
  <c r="E38" i="160"/>
  <c r="J36" i="246" s="1"/>
  <c r="V13" i="142"/>
  <c r="L20" i="347"/>
  <c r="G45" i="293"/>
  <c r="P55" i="294" s="1"/>
  <c r="O355" i="209"/>
  <c r="D45" i="347"/>
  <c r="I170" i="209" s="1"/>
  <c r="D18" i="347"/>
  <c r="I701" i="209"/>
  <c r="R21" i="37"/>
  <c r="S709" i="209"/>
  <c r="D37" i="151"/>
  <c r="O191" i="246" s="1"/>
  <c r="G33" i="174"/>
  <c r="H33" i="172"/>
  <c r="N26" i="151"/>
  <c r="F43" i="151" s="1"/>
  <c r="F47" i="151" s="1"/>
  <c r="Q140" i="246" s="1"/>
  <c r="X47" i="80"/>
  <c r="F41" i="220"/>
  <c r="K231" i="209" s="1"/>
  <c r="F46" i="151"/>
  <c r="I650" i="246"/>
  <c r="M650" i="246" s="1"/>
  <c r="P18" i="347"/>
  <c r="X49" i="80"/>
  <c r="F37" i="220"/>
  <c r="Q231" i="209" s="1"/>
  <c r="K599" i="246"/>
  <c r="P18" i="220"/>
  <c r="F42" i="220"/>
  <c r="K290" i="209" s="1"/>
  <c r="F18" i="151"/>
  <c r="F38" i="151" s="1"/>
  <c r="K38" i="246" s="1"/>
  <c r="K762" i="209"/>
  <c r="X48" i="80"/>
  <c r="N22" i="294"/>
  <c r="F38" i="220"/>
  <c r="K54" i="209" s="1"/>
  <c r="F48" i="250"/>
  <c r="I532" i="209"/>
  <c r="P14" i="95"/>
  <c r="D38" i="151"/>
  <c r="I38" i="246" s="1"/>
  <c r="P18" i="221"/>
  <c r="D41" i="151"/>
  <c r="I191" i="246" s="1"/>
  <c r="E39" i="367"/>
  <c r="N42" i="294" s="1"/>
  <c r="N20" i="367"/>
  <c r="F39" i="220"/>
  <c r="Q54" i="209" s="1"/>
  <c r="D39" i="151"/>
  <c r="O38" i="246" s="1"/>
  <c r="F41" i="214"/>
  <c r="K198" i="209" s="1"/>
  <c r="I637" i="209"/>
  <c r="Q548" i="246"/>
  <c r="R304" i="246"/>
  <c r="F15" i="184"/>
  <c r="S646" i="209"/>
  <c r="O414" i="209"/>
  <c r="S414" i="209" s="1"/>
  <c r="O296" i="209"/>
  <c r="Q721" i="209"/>
  <c r="R606" i="209"/>
  <c r="H27" i="228"/>
  <c r="H41" i="228" s="1"/>
  <c r="M238" i="209" s="1"/>
  <c r="J525" i="246"/>
  <c r="M390" i="246"/>
  <c r="O26" i="95"/>
  <c r="G43" i="95" s="1"/>
  <c r="G47" i="95" s="1"/>
  <c r="R131" i="246" s="1"/>
  <c r="G18" i="215"/>
  <c r="G37" i="215" s="1"/>
  <c r="R203" i="209" s="1"/>
  <c r="D35" i="104"/>
  <c r="L457" i="246"/>
  <c r="H24" i="170"/>
  <c r="H38" i="170" s="1"/>
  <c r="P10" i="353" s="1"/>
  <c r="G25" i="174"/>
  <c r="P512" i="246"/>
  <c r="H38" i="248"/>
  <c r="M56" i="209" s="1"/>
  <c r="G46" i="215"/>
  <c r="P716" i="209"/>
  <c r="E45" i="333"/>
  <c r="N64" i="294" s="1"/>
  <c r="X36" i="142"/>
  <c r="H29" i="170"/>
  <c r="H43" i="170" s="1"/>
  <c r="L675" i="209"/>
  <c r="L546" i="246"/>
  <c r="L590" i="246"/>
  <c r="P13" i="101"/>
  <c r="C26" i="175"/>
  <c r="E48" i="231"/>
  <c r="I729" i="209"/>
  <c r="P13" i="288"/>
  <c r="G44" i="95"/>
  <c r="R80" i="246" s="1"/>
  <c r="P17" i="288"/>
  <c r="P17" i="289"/>
  <c r="K376" i="246"/>
  <c r="R539" i="246"/>
  <c r="V222" i="209"/>
  <c r="E46" i="187"/>
  <c r="G46" i="95"/>
  <c r="E18" i="187"/>
  <c r="J627" i="246" s="1"/>
  <c r="L539" i="246"/>
  <c r="E44" i="187"/>
  <c r="P66" i="246" s="1"/>
  <c r="M20" i="221"/>
  <c r="L29" i="362"/>
  <c r="E45" i="187"/>
  <c r="J117" i="246" s="1"/>
  <c r="K26" i="292"/>
  <c r="P525" i="246"/>
  <c r="G17" i="175"/>
  <c r="S463" i="209"/>
  <c r="V163" i="209"/>
  <c r="N25" i="37"/>
  <c r="N37" i="37" s="1"/>
  <c r="S528" i="209"/>
  <c r="H32" i="231"/>
  <c r="M563" i="246" s="1"/>
  <c r="D45" i="95"/>
  <c r="I131" i="246" s="1"/>
  <c r="E33" i="174"/>
  <c r="D24" i="175"/>
  <c r="E29" i="174"/>
  <c r="H24" i="250"/>
  <c r="J18" i="292" s="1"/>
  <c r="R532" i="209"/>
  <c r="R17" i="34"/>
  <c r="R30" i="34" s="1"/>
  <c r="P308" i="246"/>
  <c r="G18" i="293"/>
  <c r="G38" i="293" s="1"/>
  <c r="U15" i="294" s="1"/>
  <c r="O26" i="293"/>
  <c r="G43" i="293" s="1"/>
  <c r="G47" i="293" s="1"/>
  <c r="U55" i="294" s="1"/>
  <c r="G15" i="173"/>
  <c r="Q478" i="246"/>
  <c r="H32" i="228"/>
  <c r="M651" i="209" s="1"/>
  <c r="H31" i="18"/>
  <c r="H45" i="18" s="1"/>
  <c r="P17" i="10" s="1"/>
  <c r="E18" i="195"/>
  <c r="J654" i="246" s="1"/>
  <c r="H23" i="170"/>
  <c r="H37" i="170" s="1"/>
  <c r="P9" i="195" s="1"/>
  <c r="D45" i="270"/>
  <c r="I147" i="246" s="1"/>
  <c r="I17" i="292"/>
  <c r="D16" i="175"/>
  <c r="P13" i="359"/>
  <c r="L553" i="246"/>
  <c r="M374" i="246"/>
  <c r="O546" i="246"/>
  <c r="D44" i="99"/>
  <c r="O73" i="246" s="1"/>
  <c r="O532" i="246"/>
  <c r="P17" i="347"/>
  <c r="D46" i="160"/>
  <c r="M164" i="246"/>
  <c r="F41" i="215"/>
  <c r="K203" i="209" s="1"/>
  <c r="O26" i="189"/>
  <c r="G43" i="189" s="1"/>
  <c r="G47" i="189" s="1"/>
  <c r="R145" i="246" s="1"/>
  <c r="H18" i="213"/>
  <c r="G46" i="162"/>
  <c r="F15" i="171"/>
  <c r="M351" i="209"/>
  <c r="X37" i="142"/>
  <c r="M332" i="246"/>
  <c r="C33" i="174"/>
  <c r="D45" i="160"/>
  <c r="I138" i="246" s="1"/>
  <c r="M659" i="209"/>
  <c r="K734" i="209"/>
  <c r="F38" i="215"/>
  <c r="K26" i="209" s="1"/>
  <c r="G46" i="189"/>
  <c r="G41" i="270"/>
  <c r="L198" i="246" s="1"/>
  <c r="G11" i="212"/>
  <c r="G45" i="212" s="1"/>
  <c r="L146" i="209" s="1"/>
  <c r="R553" i="246"/>
  <c r="S404" i="246"/>
  <c r="G40" i="195"/>
  <c r="L93" i="246" s="1"/>
  <c r="L20" i="295"/>
  <c r="Q760" i="209"/>
  <c r="G45" i="189"/>
  <c r="L145" i="246" s="1"/>
  <c r="M317" i="246"/>
  <c r="G18" i="220"/>
  <c r="L762" i="209" s="1"/>
  <c r="G44" i="220"/>
  <c r="R113" i="209" s="1"/>
  <c r="L731" i="209"/>
  <c r="L617" i="209"/>
  <c r="P17" i="221"/>
  <c r="D35" i="14"/>
  <c r="G41" i="195"/>
  <c r="L195" i="246" s="1"/>
  <c r="M353" i="246"/>
  <c r="H27" i="173"/>
  <c r="H41" i="173" s="1"/>
  <c r="P13" i="165" s="1"/>
  <c r="L20" i="333"/>
  <c r="L604" i="246"/>
  <c r="M604" i="246" s="1"/>
  <c r="L644" i="209"/>
  <c r="R644" i="209"/>
  <c r="G40" i="213"/>
  <c r="L82" i="209" s="1"/>
  <c r="D39" i="183"/>
  <c r="O46" i="246" s="1"/>
  <c r="L654" i="246"/>
  <c r="O474" i="209"/>
  <c r="J576" i="246"/>
  <c r="L703" i="209"/>
  <c r="E44" i="270"/>
  <c r="P96" i="246" s="1"/>
  <c r="G44" i="162"/>
  <c r="R86" i="209" s="1"/>
  <c r="M174" i="209"/>
  <c r="D21" i="14"/>
  <c r="L23" i="14" s="1"/>
  <c r="G37" i="195"/>
  <c r="R195" i="246" s="1"/>
  <c r="S506" i="246"/>
  <c r="G46" i="220"/>
  <c r="D46" i="99"/>
  <c r="L26" i="99"/>
  <c r="D43" i="99" s="1"/>
  <c r="D47" i="99" s="1"/>
  <c r="O124" i="246" s="1"/>
  <c r="F39" i="215"/>
  <c r="Q26" i="209" s="1"/>
  <c r="O592" i="209"/>
  <c r="L20" i="360"/>
  <c r="O26" i="220"/>
  <c r="G43" i="220" s="1"/>
  <c r="G47" i="220" s="1"/>
  <c r="R172" i="209" s="1"/>
  <c r="L606" i="209"/>
  <c r="F42" i="215"/>
  <c r="K262" i="209" s="1"/>
  <c r="H24" i="173"/>
  <c r="H38" i="173" s="1"/>
  <c r="P10" i="166" s="1"/>
  <c r="I532" i="246"/>
  <c r="D45" i="99"/>
  <c r="I124" i="246" s="1"/>
  <c r="G48" i="250"/>
  <c r="O26" i="9"/>
  <c r="R724" i="209" s="1"/>
  <c r="E26" i="174"/>
  <c r="D42" i="183"/>
  <c r="I250" i="246" s="1"/>
  <c r="C27" i="174"/>
  <c r="G42" i="195"/>
  <c r="L246" i="246" s="1"/>
  <c r="N17" i="29"/>
  <c r="L676" i="209"/>
  <c r="M676" i="209" s="1"/>
  <c r="G13" i="174"/>
  <c r="L26" i="219"/>
  <c r="L26" i="225" s="1"/>
  <c r="G40" i="270"/>
  <c r="L96" i="246" s="1"/>
  <c r="D38" i="183"/>
  <c r="I46" i="246" s="1"/>
  <c r="D18" i="99"/>
  <c r="D38" i="99" s="1"/>
  <c r="I22" i="246" s="1"/>
  <c r="O26" i="162"/>
  <c r="G43" i="162" s="1"/>
  <c r="G47" i="162" s="1"/>
  <c r="R145" i="209" s="1"/>
  <c r="P18" i="290"/>
  <c r="G18" i="189"/>
  <c r="G42" i="189" s="1"/>
  <c r="L247" i="246" s="1"/>
  <c r="L665" i="209"/>
  <c r="M665" i="209" s="1"/>
  <c r="G44" i="9"/>
  <c r="R75" i="209" s="1"/>
  <c r="D18" i="160"/>
  <c r="D41" i="160" s="1"/>
  <c r="I189" i="246" s="1"/>
  <c r="G42" i="270"/>
  <c r="L249" i="246" s="1"/>
  <c r="D37" i="183"/>
  <c r="O199" i="246" s="1"/>
  <c r="E27" i="175"/>
  <c r="I30" i="292"/>
  <c r="P18" i="289"/>
  <c r="F30" i="327"/>
  <c r="K443" i="209" s="1"/>
  <c r="G45" i="9"/>
  <c r="L134" i="209" s="1"/>
  <c r="D35" i="228"/>
  <c r="L26" i="160"/>
  <c r="D43" i="160" s="1"/>
  <c r="D47" i="160" s="1"/>
  <c r="O138" i="246" s="1"/>
  <c r="G39" i="195"/>
  <c r="R42" i="246" s="1"/>
  <c r="M686" i="209"/>
  <c r="H37" i="186"/>
  <c r="P9" i="279" s="1"/>
  <c r="G45" i="162"/>
  <c r="L145" i="209" s="1"/>
  <c r="R604" i="209"/>
  <c r="G46" i="11"/>
  <c r="M26" i="221"/>
  <c r="E43" i="221" s="1"/>
  <c r="E47" i="221" s="1"/>
  <c r="P171" i="209" s="1"/>
  <c r="G44" i="11"/>
  <c r="R73" i="209" s="1"/>
  <c r="M12" i="292"/>
  <c r="S12" i="292" s="1"/>
  <c r="T12" i="292" s="1"/>
  <c r="H28" i="250"/>
  <c r="H42" i="250" s="1"/>
  <c r="M296" i="209" s="1"/>
  <c r="T19" i="371"/>
  <c r="J26" i="371" s="1"/>
  <c r="D15" i="370" s="1"/>
  <c r="F44" i="10"/>
  <c r="Q74" i="209" s="1"/>
  <c r="L532" i="246"/>
  <c r="P13" i="290"/>
  <c r="H27" i="250"/>
  <c r="H41" i="250" s="1"/>
  <c r="M237" i="209" s="1"/>
  <c r="O642" i="209"/>
  <c r="L583" i="246"/>
  <c r="M583" i="246" s="1"/>
  <c r="G46" i="99"/>
  <c r="S469" i="209"/>
  <c r="S251" i="246"/>
  <c r="L491" i="209"/>
  <c r="H37" i="226"/>
  <c r="S200" i="246" s="1"/>
  <c r="G46" i="372"/>
  <c r="H27" i="184"/>
  <c r="H41" i="184" s="1"/>
  <c r="M205" i="246" s="1"/>
  <c r="S470" i="246"/>
  <c r="E45" i="162"/>
  <c r="J145" i="209" s="1"/>
  <c r="H43" i="247"/>
  <c r="G44" i="347"/>
  <c r="R111" i="209" s="1"/>
  <c r="M26" i="195"/>
  <c r="E43" i="195" s="1"/>
  <c r="E47" i="195" s="1"/>
  <c r="P144" i="246" s="1"/>
  <c r="N20" i="99"/>
  <c r="E46" i="162"/>
  <c r="P11" i="290"/>
  <c r="P11" i="289"/>
  <c r="C29" i="175"/>
  <c r="G44" i="99"/>
  <c r="R73" i="246" s="1"/>
  <c r="O26" i="99"/>
  <c r="G43" i="99" s="1"/>
  <c r="G47" i="99" s="1"/>
  <c r="R124" i="246" s="1"/>
  <c r="I554" i="246"/>
  <c r="C24" i="175"/>
  <c r="O554" i="246"/>
  <c r="P12" i="290"/>
  <c r="E44" i="325"/>
  <c r="S29" i="294" s="1"/>
  <c r="D45" i="146"/>
  <c r="I146" i="246" s="1"/>
  <c r="G18" i="95"/>
  <c r="G39" i="95" s="1"/>
  <c r="R29" i="246" s="1"/>
  <c r="H24" i="228"/>
  <c r="H38" i="228" s="1"/>
  <c r="M61" i="209" s="1"/>
  <c r="H25" i="250"/>
  <c r="H39" i="250" s="1"/>
  <c r="S60" i="209" s="1"/>
  <c r="K17" i="292"/>
  <c r="G32" i="58"/>
  <c r="G32" i="229" s="1"/>
  <c r="E46" i="221"/>
  <c r="J37" i="37"/>
  <c r="J46" i="37" s="1"/>
  <c r="P473" i="209"/>
  <c r="F45" i="365"/>
  <c r="K153" i="209" s="1"/>
  <c r="G38" i="213"/>
  <c r="L23" i="209" s="1"/>
  <c r="N20" i="221"/>
  <c r="N20" i="220"/>
  <c r="N20" i="347"/>
  <c r="G37" i="213"/>
  <c r="R200" i="209" s="1"/>
  <c r="D35" i="307"/>
  <c r="G67" i="164"/>
  <c r="I27" i="209" s="1"/>
  <c r="G29" i="174"/>
  <c r="F14" i="226"/>
  <c r="H46" i="250"/>
  <c r="G32" i="174"/>
  <c r="P555" i="246"/>
  <c r="G18" i="338"/>
  <c r="G39" i="338" s="1"/>
  <c r="R32" i="209" s="1"/>
  <c r="G9" i="164"/>
  <c r="G37" i="151"/>
  <c r="R191" i="246" s="1"/>
  <c r="I414" i="209"/>
  <c r="E32" i="174"/>
  <c r="G40" i="337"/>
  <c r="L101" i="209" s="1"/>
  <c r="E18" i="325"/>
  <c r="E18" i="326" s="1"/>
  <c r="G46" i="293"/>
  <c r="N20" i="295"/>
  <c r="G37" i="337"/>
  <c r="R219" i="209" s="1"/>
  <c r="F43" i="337"/>
  <c r="F47" i="337" s="1"/>
  <c r="Q160" i="209" s="1"/>
  <c r="J355" i="209"/>
  <c r="E15" i="171"/>
  <c r="O473" i="209"/>
  <c r="L598" i="246"/>
  <c r="N144" i="294"/>
  <c r="E15" i="184"/>
  <c r="D45" i="195"/>
  <c r="I144" i="246" s="1"/>
  <c r="G45" i="338"/>
  <c r="L150" i="209" s="1"/>
  <c r="D21" i="160"/>
  <c r="L23" i="160" s="1"/>
  <c r="G46" i="338"/>
  <c r="G11" i="292"/>
  <c r="Q432" i="209"/>
  <c r="E18" i="333"/>
  <c r="E39" i="333" s="1"/>
  <c r="N44" i="294" s="1"/>
  <c r="I702" i="209"/>
  <c r="M702" i="209" s="1"/>
  <c r="N21" i="49"/>
  <c r="S296" i="209"/>
  <c r="G15" i="186"/>
  <c r="P19" i="213"/>
  <c r="P19" i="105"/>
  <c r="F24" i="327"/>
  <c r="K384" i="209" s="1"/>
  <c r="D18" i="219"/>
  <c r="D38" i="219" s="1"/>
  <c r="I47" i="209" s="1"/>
  <c r="G45" i="4"/>
  <c r="L129" i="209" s="1"/>
  <c r="L532" i="209"/>
  <c r="G43" i="338"/>
  <c r="G47" i="338" s="1"/>
  <c r="R150" i="209" s="1"/>
  <c r="T13" i="28"/>
  <c r="T17" i="28" s="1"/>
  <c r="T34" i="28" s="1"/>
  <c r="R355" i="209"/>
  <c r="X36" i="32"/>
  <c r="X37" i="32"/>
  <c r="J17" i="32"/>
  <c r="L601" i="209"/>
  <c r="D35" i="160"/>
  <c r="H33" i="250"/>
  <c r="G42" i="213"/>
  <c r="L259" i="209" s="1"/>
  <c r="G39" i="213"/>
  <c r="R23" i="209" s="1"/>
  <c r="D41" i="189"/>
  <c r="I196" i="246" s="1"/>
  <c r="D42" i="189"/>
  <c r="I247" i="246" s="1"/>
  <c r="D38" i="189"/>
  <c r="I43" i="246" s="1"/>
  <c r="E44" i="333"/>
  <c r="S44" i="294" s="1"/>
  <c r="R601" i="209"/>
  <c r="F43" i="214"/>
  <c r="F47" i="214" s="1"/>
  <c r="Q139" i="209" s="1"/>
  <c r="L681" i="209"/>
  <c r="K355" i="209"/>
  <c r="P14" i="289"/>
  <c r="P14" i="288"/>
  <c r="P14" i="290"/>
  <c r="G44" i="126"/>
  <c r="R88" i="246" s="1"/>
  <c r="M26" i="333"/>
  <c r="E43" i="333" s="1"/>
  <c r="E47" i="333" s="1"/>
  <c r="S64" i="294" s="1"/>
  <c r="I552" i="246"/>
  <c r="I18" i="292"/>
  <c r="G44" i="338"/>
  <c r="R91" i="209" s="1"/>
  <c r="G45" i="126"/>
  <c r="L139" i="246" s="1"/>
  <c r="O508" i="246"/>
  <c r="L622" i="209"/>
  <c r="G17" i="174"/>
  <c r="O409" i="246"/>
  <c r="R622" i="209"/>
  <c r="V406" i="209"/>
  <c r="C465" i="209"/>
  <c r="T24" i="37"/>
  <c r="R25" i="37"/>
  <c r="R761" i="209"/>
  <c r="P550" i="209"/>
  <c r="J603" i="246"/>
  <c r="F14" i="4"/>
  <c r="G14" i="4" s="1"/>
  <c r="V11" i="142"/>
  <c r="N20" i="214"/>
  <c r="J716" i="209"/>
  <c r="I355" i="209"/>
  <c r="J25" i="142"/>
  <c r="J27" i="142" s="1"/>
  <c r="J28" i="142" s="1"/>
  <c r="J30" i="142" s="1"/>
  <c r="O532" i="209"/>
  <c r="K308" i="246"/>
  <c r="S353" i="246"/>
  <c r="M20" i="367"/>
  <c r="D11" i="212"/>
  <c r="D44" i="212" s="1"/>
  <c r="O87" i="209" s="1"/>
  <c r="N20" i="105"/>
  <c r="E24" i="174"/>
  <c r="L325" i="246"/>
  <c r="R376" i="246"/>
  <c r="G38" i="337"/>
  <c r="L42" i="209" s="1"/>
  <c r="F24" i="175"/>
  <c r="K548" i="246"/>
  <c r="F45" i="151"/>
  <c r="K140" i="246" s="1"/>
  <c r="M434" i="246"/>
  <c r="N132" i="294"/>
  <c r="H33" i="184"/>
  <c r="E45" i="9"/>
  <c r="J134" i="209" s="1"/>
  <c r="N20" i="271"/>
  <c r="N20" i="101"/>
  <c r="E44" i="349"/>
  <c r="S36" i="294" s="1"/>
  <c r="F13" i="175"/>
  <c r="L406" i="246"/>
  <c r="E14" i="184"/>
  <c r="O617" i="209"/>
  <c r="E46" i="349"/>
  <c r="I307" i="246"/>
  <c r="F37" i="324"/>
  <c r="J28" i="294" s="1"/>
  <c r="E45" i="349"/>
  <c r="N56" i="294" s="1"/>
  <c r="C25" i="174"/>
  <c r="F40" i="324"/>
  <c r="J48" i="294" s="1"/>
  <c r="F46" i="338"/>
  <c r="F44" i="338"/>
  <c r="Q91" i="209" s="1"/>
  <c r="L26" i="162"/>
  <c r="D43" i="162" s="1"/>
  <c r="D47" i="162" s="1"/>
  <c r="O145" i="209" s="1"/>
  <c r="M692" i="209"/>
  <c r="D30" i="175"/>
  <c r="H30" i="175" s="1"/>
  <c r="H44" i="175" s="1"/>
  <c r="F38" i="324"/>
  <c r="T8" i="294" s="1"/>
  <c r="D17" i="174"/>
  <c r="G39" i="270"/>
  <c r="R45" i="246" s="1"/>
  <c r="T128" i="294"/>
  <c r="D18" i="338"/>
  <c r="I622" i="209"/>
  <c r="F39" i="324"/>
  <c r="O28" i="294" s="1"/>
  <c r="J606" i="209"/>
  <c r="E46" i="9"/>
  <c r="E44" i="9"/>
  <c r="P75" i="209" s="1"/>
  <c r="G37" i="270"/>
  <c r="R198" i="246" s="1"/>
  <c r="E44" i="289"/>
  <c r="S32" i="294" s="1"/>
  <c r="G18" i="99"/>
  <c r="F41" i="324"/>
  <c r="J68" i="294" s="1"/>
  <c r="P606" i="209"/>
  <c r="M26" i="289"/>
  <c r="E43" i="289" s="1"/>
  <c r="E47" i="289" s="1"/>
  <c r="S52" i="294" s="1"/>
  <c r="F15" i="173"/>
  <c r="K622" i="209"/>
  <c r="E45" i="289"/>
  <c r="N52" i="294" s="1"/>
  <c r="H24" i="184"/>
  <c r="J31" i="292" s="1"/>
  <c r="E11" i="212"/>
  <c r="P618" i="209" s="1"/>
  <c r="I617" i="209"/>
  <c r="O8" i="294"/>
  <c r="M26" i="9"/>
  <c r="P724" i="209" s="1"/>
  <c r="J304" i="246"/>
  <c r="D21" i="370"/>
  <c r="L23" i="370" s="1"/>
  <c r="S559" i="209"/>
  <c r="F18" i="195"/>
  <c r="F42" i="195" s="1"/>
  <c r="K246" i="246" s="1"/>
  <c r="D44" i="95"/>
  <c r="O80" i="246" s="1"/>
  <c r="F46" i="195"/>
  <c r="D18" i="95"/>
  <c r="D38" i="95" s="1"/>
  <c r="I29" i="246" s="1"/>
  <c r="R748" i="209"/>
  <c r="S748" i="209" s="1"/>
  <c r="I590" i="246"/>
  <c r="I539" i="246"/>
  <c r="O539" i="246"/>
  <c r="D44" i="160"/>
  <c r="O87" i="246" s="1"/>
  <c r="N26" i="195"/>
  <c r="F43" i="195" s="1"/>
  <c r="F47" i="195" s="1"/>
  <c r="Q144" i="246" s="1"/>
  <c r="L26" i="221"/>
  <c r="P26" i="221" s="1"/>
  <c r="Q552" i="246"/>
  <c r="J29" i="292"/>
  <c r="D14" i="175"/>
  <c r="F30" i="175"/>
  <c r="G43" i="368"/>
  <c r="G47" i="368" s="1"/>
  <c r="R158" i="209" s="1"/>
  <c r="P12" i="289"/>
  <c r="D45" i="162"/>
  <c r="I145" i="209" s="1"/>
  <c r="D44" i="162"/>
  <c r="O86" i="209" s="1"/>
  <c r="D46" i="162"/>
  <c r="D18" i="162"/>
  <c r="M20" i="295"/>
  <c r="N34" i="28"/>
  <c r="L26" i="270"/>
  <c r="P26" i="270" s="1"/>
  <c r="O555" i="246"/>
  <c r="M476" i="246"/>
  <c r="P511" i="246"/>
  <c r="E42" i="367"/>
  <c r="N82" i="294" s="1"/>
  <c r="E40" i="367"/>
  <c r="I62" i="294" s="1"/>
  <c r="O643" i="209"/>
  <c r="K314" i="209"/>
  <c r="E38" i="367"/>
  <c r="S22" i="294" s="1"/>
  <c r="S142" i="294"/>
  <c r="I555" i="246"/>
  <c r="E31" i="327"/>
  <c r="P561" i="209" s="1"/>
  <c r="L26" i="353"/>
  <c r="P26" i="353" s="1"/>
  <c r="D45" i="353"/>
  <c r="I166" i="209" s="1"/>
  <c r="L415" i="209"/>
  <c r="F42" i="99"/>
  <c r="K226" i="246" s="1"/>
  <c r="D46" i="270"/>
  <c r="E41" i="367"/>
  <c r="I82" i="294" s="1"/>
  <c r="E37" i="367"/>
  <c r="I42" i="294" s="1"/>
  <c r="I606" i="246"/>
  <c r="M606" i="246" s="1"/>
  <c r="P9" i="289"/>
  <c r="P9" i="290"/>
  <c r="P9" i="288"/>
  <c r="K373" i="209"/>
  <c r="I33" i="164"/>
  <c r="K36" i="209" s="1"/>
  <c r="I34" i="164"/>
  <c r="Q36" i="209" s="1"/>
  <c r="I35" i="164"/>
  <c r="K95" i="209" s="1"/>
  <c r="E46" i="79"/>
  <c r="K432" i="209"/>
  <c r="S383" i="246"/>
  <c r="E45" i="194"/>
  <c r="J137" i="246" s="1"/>
  <c r="S455" i="246"/>
  <c r="L20" i="296"/>
  <c r="H29" i="171"/>
  <c r="H43" i="171" s="1"/>
  <c r="F40" i="215"/>
  <c r="K85" i="209" s="1"/>
  <c r="P532" i="209"/>
  <c r="X55" i="29"/>
  <c r="X57" i="29" s="1"/>
  <c r="J28" i="29"/>
  <c r="H28" i="231"/>
  <c r="H42" i="231" s="1"/>
  <c r="M257" i="246" s="1"/>
  <c r="E37" i="215"/>
  <c r="P203" i="209" s="1"/>
  <c r="E41" i="215"/>
  <c r="J203" i="209" s="1"/>
  <c r="J410" i="246"/>
  <c r="I533" i="209"/>
  <c r="C23" i="174"/>
  <c r="G44" i="293"/>
  <c r="U35" i="294" s="1"/>
  <c r="J8" i="294"/>
  <c r="D18" i="270"/>
  <c r="D45" i="221"/>
  <c r="I171" i="209" s="1"/>
  <c r="H38" i="291"/>
  <c r="K634" i="246"/>
  <c r="E18" i="349"/>
  <c r="N16" i="294" s="1"/>
  <c r="D46" i="221"/>
  <c r="E14" i="226"/>
  <c r="E38" i="166"/>
  <c r="J14" i="246" s="1"/>
  <c r="I696" i="209"/>
  <c r="P414" i="209"/>
  <c r="J414" i="209"/>
  <c r="F13" i="174"/>
  <c r="P296" i="209"/>
  <c r="H38" i="185"/>
  <c r="R14" i="32"/>
  <c r="J30" i="70"/>
  <c r="N18" i="70"/>
  <c r="X46" i="30"/>
  <c r="X47" i="30" s="1"/>
  <c r="P14" i="214"/>
  <c r="F23" i="174"/>
  <c r="M26" i="349"/>
  <c r="E43" i="349" s="1"/>
  <c r="E47" i="349" s="1"/>
  <c r="S56" i="294" s="1"/>
  <c r="T18" i="124"/>
  <c r="D15" i="123" s="1"/>
  <c r="D35" i="7"/>
  <c r="D7" i="7"/>
  <c r="D21" i="170"/>
  <c r="E41" i="338"/>
  <c r="J209" i="209" s="1"/>
  <c r="G38" i="270"/>
  <c r="L45" i="246" s="1"/>
  <c r="E37" i="338"/>
  <c r="P209" i="209" s="1"/>
  <c r="D46" i="219"/>
  <c r="M201" i="209"/>
  <c r="C28" i="175"/>
  <c r="J599" i="209"/>
  <c r="E42" i="368"/>
  <c r="J276" i="209" s="1"/>
  <c r="E18" i="15"/>
  <c r="E41" i="15" s="1"/>
  <c r="J186" i="209" s="1"/>
  <c r="O432" i="209"/>
  <c r="G44" i="215"/>
  <c r="R85" i="209" s="1"/>
  <c r="G45" i="215"/>
  <c r="L144" i="209" s="1"/>
  <c r="O26" i="215"/>
  <c r="O26" i="160"/>
  <c r="G43" i="160" s="1"/>
  <c r="G47" i="160" s="1"/>
  <c r="R138" i="246" s="1"/>
  <c r="R546" i="246"/>
  <c r="G45" i="160"/>
  <c r="L138" i="246" s="1"/>
  <c r="G46" i="160"/>
  <c r="D22" i="292"/>
  <c r="E44" i="15"/>
  <c r="P68" i="209" s="1"/>
  <c r="Q355" i="246"/>
  <c r="M571" i="246"/>
  <c r="O25" i="175"/>
  <c r="E37" i="16"/>
  <c r="P185" i="209" s="1"/>
  <c r="E41" i="16"/>
  <c r="J185" i="209" s="1"/>
  <c r="E38" i="16"/>
  <c r="J8" i="209" s="1"/>
  <c r="E40" i="16"/>
  <c r="J67" i="209" s="1"/>
  <c r="E42" i="16"/>
  <c r="J244" i="209" s="1"/>
  <c r="F43" i="215"/>
  <c r="F47" i="215" s="1"/>
  <c r="Q144" i="209" s="1"/>
  <c r="Q734" i="209"/>
  <c r="O616" i="209"/>
  <c r="E38" i="368"/>
  <c r="J40" i="209" s="1"/>
  <c r="E41" i="368"/>
  <c r="J217" i="209" s="1"/>
  <c r="L356" i="209"/>
  <c r="L26" i="215"/>
  <c r="O734" i="209" s="1"/>
  <c r="J675" i="209"/>
  <c r="E44" i="215"/>
  <c r="P85" i="209" s="1"/>
  <c r="E46" i="215"/>
  <c r="E45" i="215"/>
  <c r="J144" i="209" s="1"/>
  <c r="M26" i="215"/>
  <c r="J616" i="209"/>
  <c r="P616" i="209"/>
  <c r="L358" i="246"/>
  <c r="R459" i="246"/>
  <c r="L642" i="209"/>
  <c r="D44" i="221"/>
  <c r="O112" i="209" s="1"/>
  <c r="J748" i="209"/>
  <c r="K729" i="209"/>
  <c r="F38" i="214"/>
  <c r="K21" i="209" s="1"/>
  <c r="F37" i="214"/>
  <c r="Q198" i="209" s="1"/>
  <c r="F40" i="214"/>
  <c r="K80" i="209" s="1"/>
  <c r="F39" i="214"/>
  <c r="Q21" i="209" s="1"/>
  <c r="D35" i="191"/>
  <c r="G31" i="175"/>
  <c r="F39" i="95"/>
  <c r="Q29" i="246" s="1"/>
  <c r="L531" i="246"/>
  <c r="G18" i="292"/>
  <c r="L591" i="209"/>
  <c r="K591" i="209"/>
  <c r="D21" i="191"/>
  <c r="L23" i="191" s="1"/>
  <c r="G44" i="359"/>
  <c r="R72" i="246" s="1"/>
  <c r="Q709" i="209"/>
  <c r="Q473" i="209"/>
  <c r="D35" i="370"/>
  <c r="G18" i="359"/>
  <c r="G39" i="359" s="1"/>
  <c r="R21" i="246" s="1"/>
  <c r="G39" i="151"/>
  <c r="R38" i="246" s="1"/>
  <c r="R531" i="246"/>
  <c r="I308" i="246"/>
  <c r="R18" i="124"/>
  <c r="X41" i="124" s="1"/>
  <c r="F42" i="95"/>
  <c r="K233" i="246" s="1"/>
  <c r="E45" i="219"/>
  <c r="J165" i="209" s="1"/>
  <c r="G18" i="347"/>
  <c r="G46" i="151"/>
  <c r="P16" i="289"/>
  <c r="P16" i="288"/>
  <c r="P16" i="290"/>
  <c r="I473" i="209"/>
  <c r="M473" i="209" s="1"/>
  <c r="H30" i="250"/>
  <c r="P15" i="290"/>
  <c r="P15" i="289"/>
  <c r="P15" i="288"/>
  <c r="G41" i="151"/>
  <c r="L191" i="246" s="1"/>
  <c r="G45" i="347"/>
  <c r="L170" i="209" s="1"/>
  <c r="P13" i="214"/>
  <c r="P13" i="213"/>
  <c r="G44" i="325"/>
  <c r="U29" i="294" s="1"/>
  <c r="D21" i="10"/>
  <c r="L23" i="10" s="1"/>
  <c r="P14" i="156"/>
  <c r="K641" i="246"/>
  <c r="L599" i="246"/>
  <c r="M599" i="246" s="1"/>
  <c r="I373" i="209"/>
  <c r="D7" i="10"/>
  <c r="P14" i="284"/>
  <c r="F16" i="175"/>
  <c r="F41" i="95"/>
  <c r="K182" i="246" s="1"/>
  <c r="G45" i="151"/>
  <c r="L140" i="246" s="1"/>
  <c r="M142" i="209"/>
  <c r="P17" i="214"/>
  <c r="P17" i="213"/>
  <c r="P17" i="105"/>
  <c r="E42" i="215"/>
  <c r="J262" i="209" s="1"/>
  <c r="E39" i="215"/>
  <c r="P26" i="209" s="1"/>
  <c r="E40" i="215"/>
  <c r="J85" i="209" s="1"/>
  <c r="E38" i="215"/>
  <c r="J26" i="209" s="1"/>
  <c r="J734" i="209"/>
  <c r="G44" i="151"/>
  <c r="R89" i="246" s="1"/>
  <c r="P605" i="209"/>
  <c r="E43" i="10"/>
  <c r="E47" i="10" s="1"/>
  <c r="P133" i="209" s="1"/>
  <c r="J605" i="209"/>
  <c r="J664" i="209"/>
  <c r="E18" i="10"/>
  <c r="E38" i="10" s="1"/>
  <c r="M26" i="10"/>
  <c r="R548" i="246"/>
  <c r="L548" i="246"/>
  <c r="J658" i="209"/>
  <c r="C26" i="174"/>
  <c r="O26" i="151"/>
  <c r="G43" i="151" s="1"/>
  <c r="G47" i="151" s="1"/>
  <c r="R140" i="246" s="1"/>
  <c r="G38" i="151"/>
  <c r="L38" i="246" s="1"/>
  <c r="M26" i="270"/>
  <c r="E43" i="270" s="1"/>
  <c r="E47" i="270" s="1"/>
  <c r="P147" i="246" s="1"/>
  <c r="E18" i="270"/>
  <c r="J606" i="246"/>
  <c r="E45" i="270"/>
  <c r="J147" i="246" s="1"/>
  <c r="E46" i="270"/>
  <c r="G40" i="151"/>
  <c r="L89" i="246" s="1"/>
  <c r="H18" i="151"/>
  <c r="P18" i="105"/>
  <c r="S614" i="209"/>
  <c r="P18" i="214"/>
  <c r="P18" i="213"/>
  <c r="E41" i="191"/>
  <c r="J183" i="246" s="1"/>
  <c r="E37" i="191"/>
  <c r="P183" i="246" s="1"/>
  <c r="E40" i="191"/>
  <c r="J81" i="246" s="1"/>
  <c r="E39" i="191"/>
  <c r="P30" i="246" s="1"/>
  <c r="J642" i="246"/>
  <c r="E42" i="191"/>
  <c r="J234" i="246" s="1"/>
  <c r="E38" i="191"/>
  <c r="J30" i="246" s="1"/>
  <c r="O26" i="359"/>
  <c r="G43" i="359" s="1"/>
  <c r="G47" i="359" s="1"/>
  <c r="R123" i="246" s="1"/>
  <c r="D7" i="154"/>
  <c r="D35" i="154"/>
  <c r="D21" i="154"/>
  <c r="L23" i="154" s="1"/>
  <c r="S419" i="246"/>
  <c r="F37" i="95"/>
  <c r="Q182" i="246" s="1"/>
  <c r="E44" i="221"/>
  <c r="P112" i="209" s="1"/>
  <c r="E18" i="221"/>
  <c r="J702" i="209"/>
  <c r="E45" i="221"/>
  <c r="J171" i="209" s="1"/>
  <c r="P643" i="209"/>
  <c r="F18" i="221"/>
  <c r="F44" i="221"/>
  <c r="Q112" i="209" s="1"/>
  <c r="N26" i="221"/>
  <c r="F45" i="221"/>
  <c r="K171" i="209" s="1"/>
  <c r="Q643" i="209"/>
  <c r="K702" i="209"/>
  <c r="F46" i="221"/>
  <c r="K643" i="209"/>
  <c r="G13" i="330"/>
  <c r="O25" i="330"/>
  <c r="G48" i="18"/>
  <c r="O20" i="16" s="1"/>
  <c r="F10" i="292"/>
  <c r="P623" i="209"/>
  <c r="J623" i="209"/>
  <c r="G48" i="327"/>
  <c r="F11" i="226"/>
  <c r="M34" i="292" s="1"/>
  <c r="D45" i="362"/>
  <c r="M59" i="294" s="1"/>
  <c r="D44" i="362"/>
  <c r="R39" i="294" s="1"/>
  <c r="F18" i="293"/>
  <c r="T135" i="294" s="1"/>
  <c r="H25" i="170"/>
  <c r="H39" i="170" s="1"/>
  <c r="P11" i="293" s="1"/>
  <c r="D18" i="362"/>
  <c r="M19" i="294" s="1"/>
  <c r="G46" i="347"/>
  <c r="R642" i="209"/>
  <c r="L701" i="209"/>
  <c r="F45" i="212"/>
  <c r="K146" i="209" s="1"/>
  <c r="P9" i="295"/>
  <c r="D18" i="195"/>
  <c r="D46" i="195"/>
  <c r="I603" i="246"/>
  <c r="M603" i="246" s="1"/>
  <c r="O552" i="246"/>
  <c r="L26" i="195"/>
  <c r="D23" i="328"/>
  <c r="P9" i="296"/>
  <c r="M26" i="151"/>
  <c r="E43" i="151" s="1"/>
  <c r="E47" i="151" s="1"/>
  <c r="P140" i="246" s="1"/>
  <c r="E45" i="151"/>
  <c r="J140" i="246" s="1"/>
  <c r="P548" i="246"/>
  <c r="J599" i="246"/>
  <c r="J548" i="246"/>
  <c r="E18" i="151"/>
  <c r="E44" i="151"/>
  <c r="P89" i="246" s="1"/>
  <c r="E46" i="151"/>
  <c r="D23" i="58"/>
  <c r="D23" i="229" s="1"/>
  <c r="P9" i="360"/>
  <c r="E12" i="58"/>
  <c r="E12" i="229" s="1"/>
  <c r="J457" i="246"/>
  <c r="F44" i="279"/>
  <c r="Q79" i="246" s="1"/>
  <c r="G42" i="151"/>
  <c r="L242" i="246" s="1"/>
  <c r="P304" i="246"/>
  <c r="F45" i="279"/>
  <c r="K130" i="246" s="1"/>
  <c r="P355" i="246"/>
  <c r="N26" i="279"/>
  <c r="N26" i="186" s="1"/>
  <c r="D15" i="11"/>
  <c r="E15" i="11" s="1"/>
  <c r="J21" i="32"/>
  <c r="F32" i="174"/>
  <c r="E18" i="219"/>
  <c r="E38" i="219" s="1"/>
  <c r="J47" i="209" s="1"/>
  <c r="D21" i="141"/>
  <c r="L23" i="141" s="1"/>
  <c r="G45" i="333"/>
  <c r="P64" i="294" s="1"/>
  <c r="P144" i="294"/>
  <c r="D35" i="141"/>
  <c r="Q415" i="209"/>
  <c r="H27" i="231"/>
  <c r="H41" i="231" s="1"/>
  <c r="M206" i="246" s="1"/>
  <c r="S522" i="209"/>
  <c r="M26" i="6"/>
  <c r="P726" i="209" s="1"/>
  <c r="I359" i="246"/>
  <c r="E46" i="6"/>
  <c r="P10" i="295"/>
  <c r="E39" i="166"/>
  <c r="P14" i="246" s="1"/>
  <c r="G46" i="284"/>
  <c r="P14" i="367"/>
  <c r="R17" i="29"/>
  <c r="R21" i="27"/>
  <c r="R28" i="27" s="1"/>
  <c r="E40" i="166"/>
  <c r="J65" i="246" s="1"/>
  <c r="K359" i="246"/>
  <c r="O461" i="246"/>
  <c r="D32" i="174"/>
  <c r="S404" i="209"/>
  <c r="X51" i="371"/>
  <c r="D14" i="9"/>
  <c r="E14" i="9" s="1"/>
  <c r="F14" i="9" s="1"/>
  <c r="G14" i="9" s="1"/>
  <c r="X54" i="34"/>
  <c r="X55" i="34" s="1"/>
  <c r="J36" i="34"/>
  <c r="H32" i="172"/>
  <c r="M559" i="246" s="1"/>
  <c r="E46" i="219"/>
  <c r="C26" i="58"/>
  <c r="C26" i="229" s="1"/>
  <c r="J629" i="209"/>
  <c r="D35" i="295"/>
  <c r="E28" i="330"/>
  <c r="F31" i="58"/>
  <c r="G13" i="292" s="1"/>
  <c r="E38" i="338"/>
  <c r="J32" i="209" s="1"/>
  <c r="P12" i="347"/>
  <c r="D21" i="4"/>
  <c r="L23" i="4" s="1"/>
  <c r="D7" i="4"/>
  <c r="D35" i="4"/>
  <c r="F31" i="330"/>
  <c r="F45" i="187"/>
  <c r="K117" i="246" s="1"/>
  <c r="E42" i="338"/>
  <c r="J268" i="209" s="1"/>
  <c r="L23" i="324"/>
  <c r="L7" i="324"/>
  <c r="L29" i="324"/>
  <c r="K550" i="209"/>
  <c r="P12" i="220"/>
  <c r="M115" i="209"/>
  <c r="P12" i="221"/>
  <c r="E45" i="6"/>
  <c r="J136" i="209" s="1"/>
  <c r="M20" i="324"/>
  <c r="M20" i="325"/>
  <c r="X53" i="161"/>
  <c r="X55" i="161"/>
  <c r="X54" i="161"/>
  <c r="X51" i="161"/>
  <c r="X50" i="161"/>
  <c r="X56" i="161"/>
  <c r="X49" i="161"/>
  <c r="X48" i="161"/>
  <c r="X52" i="161"/>
  <c r="J31" i="161"/>
  <c r="Q461" i="246"/>
  <c r="H23" i="231"/>
  <c r="H37" i="231" s="1"/>
  <c r="S206" i="246" s="1"/>
  <c r="P14" i="360"/>
  <c r="P14" i="295"/>
  <c r="L7" i="360"/>
  <c r="L29" i="360"/>
  <c r="G44" i="289"/>
  <c r="U32" i="294" s="1"/>
  <c r="Q356" i="209"/>
  <c r="Q457" i="246"/>
  <c r="G18" i="289"/>
  <c r="G39" i="289" s="1"/>
  <c r="P32" i="294" s="1"/>
  <c r="O26" i="289"/>
  <c r="G43" i="289" s="1"/>
  <c r="G47" i="289" s="1"/>
  <c r="U52" i="294" s="1"/>
  <c r="D21" i="166"/>
  <c r="L23" i="166" s="1"/>
  <c r="D35" i="166"/>
  <c r="D35" i="84"/>
  <c r="T19" i="37"/>
  <c r="H46" i="18"/>
  <c r="P18" i="10" s="1"/>
  <c r="H47" i="223"/>
  <c r="S119" i="246" s="1"/>
  <c r="O25" i="174"/>
  <c r="D18" i="367"/>
  <c r="D41" i="367" s="1"/>
  <c r="H82" i="294" s="1"/>
  <c r="Q550" i="209"/>
  <c r="P223" i="246"/>
  <c r="F31" i="327"/>
  <c r="T18" i="161"/>
  <c r="T19" i="161" s="1"/>
  <c r="J30" i="161" s="1"/>
  <c r="K30" i="292"/>
  <c r="J30" i="30"/>
  <c r="J32" i="30" s="1"/>
  <c r="D15" i="13"/>
  <c r="E15" i="13" s="1"/>
  <c r="F15" i="13" s="1"/>
  <c r="G15" i="13" s="1"/>
  <c r="G18" i="13" s="1"/>
  <c r="M459" i="246"/>
  <c r="M20" i="173"/>
  <c r="M20" i="223"/>
  <c r="M20" i="185"/>
  <c r="V281" i="209"/>
  <c r="V340" i="209" s="1"/>
  <c r="C340" i="209"/>
  <c r="C399" i="209" s="1"/>
  <c r="F14" i="173"/>
  <c r="F14" i="228"/>
  <c r="F26" i="175"/>
  <c r="T17" i="129"/>
  <c r="T20" i="129" s="1"/>
  <c r="R20" i="129"/>
  <c r="K473" i="209"/>
  <c r="E18" i="292"/>
  <c r="R591" i="209"/>
  <c r="Q591" i="209"/>
  <c r="T14" i="49"/>
  <c r="D16" i="174"/>
  <c r="E48" i="170"/>
  <c r="M20" i="187" s="1"/>
  <c r="D7" i="368"/>
  <c r="D21" i="368"/>
  <c r="L23" i="368" s="1"/>
  <c r="E14" i="173"/>
  <c r="K642" i="246"/>
  <c r="F42" i="191"/>
  <c r="K234" i="246" s="1"/>
  <c r="F37" i="191"/>
  <c r="Q183" i="246" s="1"/>
  <c r="F39" i="191"/>
  <c r="Q30" i="246" s="1"/>
  <c r="F38" i="191"/>
  <c r="K30" i="246" s="1"/>
  <c r="F41" i="191"/>
  <c r="K183" i="246" s="1"/>
  <c r="F40" i="191"/>
  <c r="K81" i="246" s="1"/>
  <c r="G29" i="175"/>
  <c r="G37" i="191"/>
  <c r="R183" i="246" s="1"/>
  <c r="G40" i="191"/>
  <c r="L81" i="246" s="1"/>
  <c r="G39" i="191"/>
  <c r="R30" i="246" s="1"/>
  <c r="H18" i="191"/>
  <c r="L642" i="246"/>
  <c r="M642" i="246" s="1"/>
  <c r="G42" i="191"/>
  <c r="L234" i="246" s="1"/>
  <c r="G41" i="191"/>
  <c r="L183" i="246" s="1"/>
  <c r="G38" i="191"/>
  <c r="L30" i="246" s="1"/>
  <c r="O355" i="246"/>
  <c r="G11" i="226"/>
  <c r="L608" i="246" s="1"/>
  <c r="E11" i="186"/>
  <c r="E44" i="186" s="1"/>
  <c r="P9" i="220"/>
  <c r="S233" i="209"/>
  <c r="P9" i="221"/>
  <c r="P9" i="347"/>
  <c r="D35" i="333"/>
  <c r="G18" i="284"/>
  <c r="G42" i="284" s="1"/>
  <c r="L214" i="246" s="1"/>
  <c r="H27" i="172"/>
  <c r="H41" i="172" s="1"/>
  <c r="P13" i="225" s="1"/>
  <c r="E39" i="160"/>
  <c r="P36" i="246" s="1"/>
  <c r="E41" i="160"/>
  <c r="J189" i="246" s="1"/>
  <c r="L29" i="333"/>
  <c r="D7" i="295"/>
  <c r="G17" i="58"/>
  <c r="G17" i="229" s="1"/>
  <c r="H33" i="231"/>
  <c r="N20" i="360"/>
  <c r="N20" i="296"/>
  <c r="P12" i="324"/>
  <c r="P12" i="325"/>
  <c r="R18" i="100"/>
  <c r="X46" i="100" s="1"/>
  <c r="S266" i="246"/>
  <c r="I376" i="246"/>
  <c r="D29" i="58"/>
  <c r="D29" i="229" s="1"/>
  <c r="M20" i="288"/>
  <c r="M20" i="289"/>
  <c r="M20" i="290"/>
  <c r="D7" i="372"/>
  <c r="C29" i="174"/>
  <c r="D21" i="279"/>
  <c r="L23" i="279" s="1"/>
  <c r="D7" i="279"/>
  <c r="D35" i="279"/>
  <c r="P132" i="294"/>
  <c r="G46" i="289"/>
  <c r="G14" i="162"/>
  <c r="F18" i="162"/>
  <c r="J591" i="209"/>
  <c r="E48" i="250"/>
  <c r="P591" i="209"/>
  <c r="G18" i="156"/>
  <c r="G15" i="185"/>
  <c r="T15" i="29"/>
  <c r="G14" i="186"/>
  <c r="G14" i="172" s="1"/>
  <c r="D29" i="330"/>
  <c r="S368" i="246"/>
  <c r="E37" i="324"/>
  <c r="I28" i="294" s="1"/>
  <c r="N8" i="294"/>
  <c r="E39" i="324"/>
  <c r="N28" i="294" s="1"/>
  <c r="S128" i="294"/>
  <c r="E38" i="324"/>
  <c r="S8" i="294" s="1"/>
  <c r="E40" i="324"/>
  <c r="I48" i="294" s="1"/>
  <c r="E42" i="324"/>
  <c r="N68" i="294" s="1"/>
  <c r="E41" i="324"/>
  <c r="I68" i="294" s="1"/>
  <c r="I8" i="294"/>
  <c r="D41" i="39"/>
  <c r="I220" i="209" s="1"/>
  <c r="D37" i="39"/>
  <c r="O220" i="209" s="1"/>
  <c r="I751" i="209"/>
  <c r="M751" i="209" s="1"/>
  <c r="D40" i="39"/>
  <c r="I102" i="209" s="1"/>
  <c r="D38" i="39"/>
  <c r="I43" i="209" s="1"/>
  <c r="D42" i="39"/>
  <c r="I279" i="209" s="1"/>
  <c r="D39" i="39"/>
  <c r="O43" i="209" s="1"/>
  <c r="I622" i="246"/>
  <c r="D40" i="284"/>
  <c r="I61" i="246" s="1"/>
  <c r="D41" i="284"/>
  <c r="I163" i="246" s="1"/>
  <c r="D37" i="284"/>
  <c r="O163" i="246" s="1"/>
  <c r="D38" i="284"/>
  <c r="I10" i="246" s="1"/>
  <c r="D39" i="284"/>
  <c r="O10" i="246" s="1"/>
  <c r="D42" i="284"/>
  <c r="I214" i="246" s="1"/>
  <c r="F48" i="18"/>
  <c r="N20" i="13" s="1"/>
  <c r="F26" i="330"/>
  <c r="H33" i="170"/>
  <c r="E29" i="175"/>
  <c r="G18" i="372"/>
  <c r="G37" i="372" s="1"/>
  <c r="R216" i="209" s="1"/>
  <c r="O359" i="246"/>
  <c r="G18" i="333"/>
  <c r="G41" i="333" s="1"/>
  <c r="K84" i="294" s="1"/>
  <c r="D42" i="187"/>
  <c r="I219" i="246" s="1"/>
  <c r="D40" i="187"/>
  <c r="I66" i="246" s="1"/>
  <c r="M20" i="296"/>
  <c r="M20" i="333"/>
  <c r="P757" i="209"/>
  <c r="E43" i="337"/>
  <c r="E47" i="337" s="1"/>
  <c r="P160" i="209" s="1"/>
  <c r="P750" i="209"/>
  <c r="R519" i="246"/>
  <c r="G46" i="190"/>
  <c r="O26" i="190"/>
  <c r="G43" i="190" s="1"/>
  <c r="G47" i="190" s="1"/>
  <c r="R111" i="246" s="1"/>
  <c r="G44" i="190"/>
  <c r="R60" i="246" s="1"/>
  <c r="L519" i="246"/>
  <c r="L570" i="246"/>
  <c r="G45" i="190"/>
  <c r="L111" i="246" s="1"/>
  <c r="M26" i="347"/>
  <c r="E43" i="347" s="1"/>
  <c r="E47" i="347" s="1"/>
  <c r="P170" i="209" s="1"/>
  <c r="P642" i="209"/>
  <c r="O135" i="294"/>
  <c r="F33" i="330"/>
  <c r="E17" i="58"/>
  <c r="E17" i="229" s="1"/>
  <c r="P257" i="246"/>
  <c r="L599" i="209"/>
  <c r="J642" i="209"/>
  <c r="F45" i="293"/>
  <c r="O55" i="294" s="1"/>
  <c r="S281" i="246"/>
  <c r="H39" i="104"/>
  <c r="G46" i="126"/>
  <c r="L547" i="246"/>
  <c r="O26" i="126"/>
  <c r="G43" i="126" s="1"/>
  <c r="G47" i="126" s="1"/>
  <c r="R139" i="246" s="1"/>
  <c r="G42" i="353"/>
  <c r="L284" i="209" s="1"/>
  <c r="G40" i="353"/>
  <c r="L107" i="209" s="1"/>
  <c r="G39" i="353"/>
  <c r="R48" i="209" s="1"/>
  <c r="G37" i="353"/>
  <c r="R225" i="209" s="1"/>
  <c r="L756" i="209"/>
  <c r="G41" i="353"/>
  <c r="L225" i="209" s="1"/>
  <c r="G38" i="353"/>
  <c r="L48" i="209" s="1"/>
  <c r="D38" i="359"/>
  <c r="I21" i="246" s="1"/>
  <c r="I633" i="246"/>
  <c r="D39" i="359"/>
  <c r="O21" i="246" s="1"/>
  <c r="D42" i="359"/>
  <c r="I225" i="246" s="1"/>
  <c r="D37" i="359"/>
  <c r="O174" i="246" s="1"/>
  <c r="D40" i="359"/>
  <c r="I72" i="246" s="1"/>
  <c r="D41" i="359"/>
  <c r="I174" i="246" s="1"/>
  <c r="R355" i="246"/>
  <c r="L690" i="209"/>
  <c r="L631" i="209"/>
  <c r="G46" i="79"/>
  <c r="R631" i="209"/>
  <c r="G45" i="79"/>
  <c r="L159" i="209" s="1"/>
  <c r="O26" i="79"/>
  <c r="G44" i="79"/>
  <c r="R100" i="209" s="1"/>
  <c r="J688" i="209"/>
  <c r="J34" i="164"/>
  <c r="R36" i="209" s="1"/>
  <c r="E39" i="337"/>
  <c r="P42" i="209" s="1"/>
  <c r="N16" i="325"/>
  <c r="P13" i="146"/>
  <c r="E31" i="175"/>
  <c r="R533" i="209"/>
  <c r="F46" i="293"/>
  <c r="G45" i="15"/>
  <c r="L127" i="209" s="1"/>
  <c r="H24" i="18"/>
  <c r="H38" i="18" s="1"/>
  <c r="H26" i="18"/>
  <c r="H40" i="18" s="1"/>
  <c r="P12" i="6" s="1"/>
  <c r="Q576" i="209"/>
  <c r="J550" i="209"/>
  <c r="E44" i="347"/>
  <c r="P111" i="209" s="1"/>
  <c r="E41" i="337"/>
  <c r="J219" i="209" s="1"/>
  <c r="J598" i="246"/>
  <c r="J547" i="246"/>
  <c r="E44" i="126"/>
  <c r="P88" i="246" s="1"/>
  <c r="P547" i="246"/>
  <c r="E45" i="126"/>
  <c r="J139" i="246" s="1"/>
  <c r="E46" i="126"/>
  <c r="M26" i="126"/>
  <c r="E43" i="126" s="1"/>
  <c r="E47" i="126" s="1"/>
  <c r="P139" i="246" s="1"/>
  <c r="E43" i="14"/>
  <c r="E47" i="14" s="1"/>
  <c r="P128" i="209" s="1"/>
  <c r="P718" i="209"/>
  <c r="G43" i="6"/>
  <c r="G47" i="6" s="1"/>
  <c r="R136" i="209" s="1"/>
  <c r="R726" i="209"/>
  <c r="E44" i="372"/>
  <c r="P98" i="209" s="1"/>
  <c r="E40" i="337"/>
  <c r="J101" i="209" s="1"/>
  <c r="E42" i="337"/>
  <c r="J278" i="209" s="1"/>
  <c r="R253" i="246"/>
  <c r="R257" i="246"/>
  <c r="O257" i="246"/>
  <c r="M419" i="246"/>
  <c r="E18" i="347"/>
  <c r="R520" i="246"/>
  <c r="E25" i="175"/>
  <c r="F46" i="313"/>
  <c r="O547" i="246"/>
  <c r="D45" i="126"/>
  <c r="I139" i="246" s="1"/>
  <c r="L26" i="126"/>
  <c r="D46" i="126"/>
  <c r="I598" i="246"/>
  <c r="D44" i="126"/>
  <c r="O88" i="246" s="1"/>
  <c r="I547" i="246"/>
  <c r="F45" i="137"/>
  <c r="K143" i="246" s="1"/>
  <c r="Q551" i="246"/>
  <c r="K602" i="246"/>
  <c r="K551" i="246"/>
  <c r="F18" i="137"/>
  <c r="N26" i="137"/>
  <c r="F43" i="137" s="1"/>
  <c r="F47" i="137" s="1"/>
  <c r="Q143" i="246" s="1"/>
  <c r="F44" i="293"/>
  <c r="T35" i="294" s="1"/>
  <c r="I406" i="246"/>
  <c r="G18" i="190"/>
  <c r="G42" i="190" s="1"/>
  <c r="L213" i="246" s="1"/>
  <c r="G11" i="44"/>
  <c r="L694" i="209" s="1"/>
  <c r="K410" i="246"/>
  <c r="F27" i="174"/>
  <c r="J701" i="209"/>
  <c r="P16" i="295"/>
  <c r="I33" i="292"/>
  <c r="D38" i="187"/>
  <c r="I15" i="246" s="1"/>
  <c r="D37" i="187"/>
  <c r="O168" i="246" s="1"/>
  <c r="P551" i="246"/>
  <c r="J551" i="246"/>
  <c r="J602" i="246"/>
  <c r="E45" i="137"/>
  <c r="J143" i="246" s="1"/>
  <c r="E44" i="137"/>
  <c r="P92" i="246" s="1"/>
  <c r="M26" i="137"/>
  <c r="E43" i="137" s="1"/>
  <c r="E47" i="137" s="1"/>
  <c r="P143" i="246" s="1"/>
  <c r="E46" i="137"/>
  <c r="E18" i="137"/>
  <c r="S317" i="246"/>
  <c r="E33" i="330"/>
  <c r="C32" i="174"/>
  <c r="F27" i="175"/>
  <c r="G48" i="170"/>
  <c r="O20" i="293" s="1"/>
  <c r="J314" i="209"/>
  <c r="P255" i="209"/>
  <c r="F24" i="58"/>
  <c r="D13" i="292" s="1"/>
  <c r="E26" i="330"/>
  <c r="E45" i="347"/>
  <c r="J170" i="209" s="1"/>
  <c r="H37" i="223"/>
  <c r="S170" i="246" s="1"/>
  <c r="I627" i="246"/>
  <c r="P17" i="295"/>
  <c r="P17" i="296"/>
  <c r="P17" i="367"/>
  <c r="P17" i="360"/>
  <c r="L663" i="209"/>
  <c r="L604" i="209"/>
  <c r="G45" i="11"/>
  <c r="L132" i="209" s="1"/>
  <c r="O637" i="209"/>
  <c r="D44" i="219"/>
  <c r="O106" i="209" s="1"/>
  <c r="L582" i="246"/>
  <c r="M582" i="246" s="1"/>
  <c r="G45" i="359"/>
  <c r="L123" i="246" s="1"/>
  <c r="J539" i="246"/>
  <c r="E44" i="95"/>
  <c r="P80" i="246" s="1"/>
  <c r="E45" i="95"/>
  <c r="J131" i="246" s="1"/>
  <c r="P539" i="246"/>
  <c r="E18" i="95"/>
  <c r="E46" i="95"/>
  <c r="J590" i="246"/>
  <c r="M26" i="95"/>
  <c r="G44" i="333"/>
  <c r="U44" i="294" s="1"/>
  <c r="F18" i="313"/>
  <c r="F41" i="313" s="1"/>
  <c r="K185" i="246" s="1"/>
  <c r="H18" i="39"/>
  <c r="F45" i="326"/>
  <c r="N17" i="324" s="1"/>
  <c r="C35" i="292"/>
  <c r="R602" i="209"/>
  <c r="M26" i="15"/>
  <c r="E43" i="15" s="1"/>
  <c r="E47" i="15" s="1"/>
  <c r="P127" i="209" s="1"/>
  <c r="E11" i="18"/>
  <c r="AA35" i="292"/>
  <c r="I697" i="209"/>
  <c r="M697" i="209" s="1"/>
  <c r="D41" i="187"/>
  <c r="I168" i="246" s="1"/>
  <c r="E38" i="337"/>
  <c r="J42" i="209" s="1"/>
  <c r="E45" i="359"/>
  <c r="J123" i="246" s="1"/>
  <c r="E44" i="359"/>
  <c r="P72" i="246" s="1"/>
  <c r="E18" i="359"/>
  <c r="J531" i="246"/>
  <c r="J582" i="246"/>
  <c r="P531" i="246"/>
  <c r="E46" i="359"/>
  <c r="M26" i="359"/>
  <c r="E43" i="359" s="1"/>
  <c r="E47" i="359" s="1"/>
  <c r="P123" i="246" s="1"/>
  <c r="J637" i="209"/>
  <c r="M26" i="219"/>
  <c r="J696" i="209"/>
  <c r="E44" i="219"/>
  <c r="P106" i="209" s="1"/>
  <c r="F41" i="359"/>
  <c r="K174" i="246" s="1"/>
  <c r="D18" i="293"/>
  <c r="M135" i="294"/>
  <c r="D44" i="293"/>
  <c r="R35" i="294" s="1"/>
  <c r="L26" i="293"/>
  <c r="D43" i="293" s="1"/>
  <c r="D47" i="293" s="1"/>
  <c r="R55" i="294" s="1"/>
  <c r="D45" i="293"/>
  <c r="M55" i="294" s="1"/>
  <c r="D46" i="293"/>
  <c r="G46" i="333"/>
  <c r="F46" i="326"/>
  <c r="N18" i="324" s="1"/>
  <c r="Q257" i="246"/>
  <c r="F46" i="212"/>
  <c r="O26" i="13"/>
  <c r="G43" i="13" s="1"/>
  <c r="G47" i="13" s="1"/>
  <c r="R130" i="209" s="1"/>
  <c r="D24" i="58"/>
  <c r="D24" i="229" s="1"/>
  <c r="D44" i="353"/>
  <c r="O107" i="209" s="1"/>
  <c r="H33" i="228"/>
  <c r="P359" i="246"/>
  <c r="S476" i="246"/>
  <c r="E37" i="337"/>
  <c r="P219" i="209" s="1"/>
  <c r="G39" i="160"/>
  <c r="R36" i="246" s="1"/>
  <c r="G40" i="160"/>
  <c r="L87" i="246" s="1"/>
  <c r="G41" i="160"/>
  <c r="L189" i="246" s="1"/>
  <c r="G37" i="160"/>
  <c r="R189" i="246" s="1"/>
  <c r="G42" i="160"/>
  <c r="L240" i="246" s="1"/>
  <c r="G38" i="160"/>
  <c r="L36" i="246" s="1"/>
  <c r="L648" i="246"/>
  <c r="G41" i="368"/>
  <c r="L217" i="209" s="1"/>
  <c r="G40" i="368"/>
  <c r="L99" i="209" s="1"/>
  <c r="G38" i="368"/>
  <c r="L40" i="209" s="1"/>
  <c r="G42" i="368"/>
  <c r="L276" i="209" s="1"/>
  <c r="G37" i="368"/>
  <c r="R217" i="209" s="1"/>
  <c r="G39" i="368"/>
  <c r="R40" i="209" s="1"/>
  <c r="L748" i="209"/>
  <c r="M748" i="209" s="1"/>
  <c r="N135" i="294"/>
  <c r="M26" i="293"/>
  <c r="E43" i="293" s="1"/>
  <c r="E47" i="293" s="1"/>
  <c r="S55" i="294" s="1"/>
  <c r="E44" i="293"/>
  <c r="S35" i="294" s="1"/>
  <c r="E18" i="293"/>
  <c r="E46" i="293"/>
  <c r="E45" i="293"/>
  <c r="N55" i="294" s="1"/>
  <c r="P763" i="209"/>
  <c r="E43" i="241"/>
  <c r="E47" i="241" s="1"/>
  <c r="P173" i="209" s="1"/>
  <c r="M20" i="284"/>
  <c r="M20" i="190"/>
  <c r="M20" i="156"/>
  <c r="L314" i="209"/>
  <c r="K355" i="246"/>
  <c r="D14" i="174"/>
  <c r="H28" i="228"/>
  <c r="H42" i="228" s="1"/>
  <c r="M297" i="209" s="1"/>
  <c r="C23" i="175"/>
  <c r="O356" i="209"/>
  <c r="C24" i="58"/>
  <c r="C24" i="229" s="1"/>
  <c r="N26" i="313"/>
  <c r="F43" i="313" s="1"/>
  <c r="F47" i="313" s="1"/>
  <c r="Q134" i="246" s="1"/>
  <c r="P27" i="209"/>
  <c r="E39" i="162"/>
  <c r="D38" i="137"/>
  <c r="I41" i="246" s="1"/>
  <c r="P133" i="294"/>
  <c r="G44" i="290"/>
  <c r="U33" i="294" s="1"/>
  <c r="G18" i="290"/>
  <c r="G45" i="290"/>
  <c r="P53" i="294" s="1"/>
  <c r="O26" i="290"/>
  <c r="G11" i="291"/>
  <c r="G46" i="290"/>
  <c r="P18" i="367"/>
  <c r="P18" i="296"/>
  <c r="P18" i="360"/>
  <c r="P18" i="295"/>
  <c r="Q724" i="209"/>
  <c r="F43" i="9"/>
  <c r="F47" i="9" s="1"/>
  <c r="Q134" i="209" s="1"/>
  <c r="E38" i="162"/>
  <c r="J27" i="209"/>
  <c r="P13" i="99"/>
  <c r="M179" i="246"/>
  <c r="P13" i="271"/>
  <c r="J634" i="246"/>
  <c r="S230" i="246"/>
  <c r="H37" i="104"/>
  <c r="I26" i="292"/>
  <c r="P12" i="360"/>
  <c r="P12" i="295"/>
  <c r="P12" i="367"/>
  <c r="P12" i="296"/>
  <c r="P722" i="209"/>
  <c r="E43" i="11"/>
  <c r="E47" i="11" s="1"/>
  <c r="P132" i="209" s="1"/>
  <c r="D29" i="327"/>
  <c r="H29" i="327" s="1"/>
  <c r="H43" i="327" s="1"/>
  <c r="M26" i="325"/>
  <c r="E43" i="325" s="1"/>
  <c r="E47" i="325" s="1"/>
  <c r="S49" i="294" s="1"/>
  <c r="L602" i="209"/>
  <c r="O427" i="246"/>
  <c r="G11" i="18"/>
  <c r="G45" i="18" s="1"/>
  <c r="H29" i="44"/>
  <c r="H47" i="44" s="1"/>
  <c r="Q542" i="246"/>
  <c r="D29" i="328"/>
  <c r="H30" i="173"/>
  <c r="H44" i="173" s="1"/>
  <c r="Q736" i="209"/>
  <c r="Q538" i="246"/>
  <c r="F18" i="279"/>
  <c r="F46" i="279"/>
  <c r="K538" i="246"/>
  <c r="K20" i="164"/>
  <c r="C33" i="175"/>
  <c r="L661" i="209"/>
  <c r="H26" i="184"/>
  <c r="H40" i="184" s="1"/>
  <c r="M103" i="246" s="1"/>
  <c r="K542" i="246"/>
  <c r="R756" i="209"/>
  <c r="G43" i="353"/>
  <c r="G47" i="353" s="1"/>
  <c r="R166" i="209" s="1"/>
  <c r="P11" i="324"/>
  <c r="P11" i="325"/>
  <c r="E45" i="313"/>
  <c r="J134" i="246" s="1"/>
  <c r="E46" i="313"/>
  <c r="J542" i="246"/>
  <c r="P542" i="246"/>
  <c r="E18" i="313"/>
  <c r="J593" i="246"/>
  <c r="M26" i="313"/>
  <c r="E43" i="313" s="1"/>
  <c r="E47" i="313" s="1"/>
  <c r="P134" i="246" s="1"/>
  <c r="E44" i="313"/>
  <c r="P83" i="246" s="1"/>
  <c r="G18" i="279"/>
  <c r="H18" i="279" s="1"/>
  <c r="L538" i="246"/>
  <c r="G44" i="279"/>
  <c r="R79" i="246" s="1"/>
  <c r="G46" i="279"/>
  <c r="R538" i="246"/>
  <c r="L589" i="246"/>
  <c r="M589" i="246" s="1"/>
  <c r="O26" i="279"/>
  <c r="G45" i="279"/>
  <c r="L130" i="246" s="1"/>
  <c r="D43" i="9"/>
  <c r="D47" i="9" s="1"/>
  <c r="O134" i="209" s="1"/>
  <c r="O724" i="209"/>
  <c r="F38" i="288"/>
  <c r="T11" i="294" s="1"/>
  <c r="F37" i="288"/>
  <c r="J31" i="294" s="1"/>
  <c r="T131" i="294"/>
  <c r="F39" i="288"/>
  <c r="O31" i="294" s="1"/>
  <c r="F41" i="288"/>
  <c r="J71" i="294" s="1"/>
  <c r="O11" i="294"/>
  <c r="J11" i="294"/>
  <c r="F40" i="288"/>
  <c r="J51" i="294" s="1"/>
  <c r="R409" i="246"/>
  <c r="R613" i="246"/>
  <c r="S613" i="246" s="1"/>
  <c r="E48" i="18"/>
  <c r="M20" i="4" s="1"/>
  <c r="K593" i="246"/>
  <c r="R554" i="246"/>
  <c r="G46" i="146"/>
  <c r="L605" i="246"/>
  <c r="M605" i="246" s="1"/>
  <c r="G18" i="146"/>
  <c r="L554" i="246"/>
  <c r="G44" i="146"/>
  <c r="R95" i="246" s="1"/>
  <c r="G45" i="146"/>
  <c r="L146" i="246" s="1"/>
  <c r="O26" i="146"/>
  <c r="G43" i="146" s="1"/>
  <c r="G47" i="146" s="1"/>
  <c r="R146" i="246" s="1"/>
  <c r="H43" i="185"/>
  <c r="H47" i="185"/>
  <c r="G40" i="362"/>
  <c r="K59" i="294" s="1"/>
  <c r="U139" i="294"/>
  <c r="G38" i="362"/>
  <c r="U19" i="294" s="1"/>
  <c r="P19" i="294"/>
  <c r="G39" i="362"/>
  <c r="P39" i="294" s="1"/>
  <c r="G37" i="362"/>
  <c r="K39" i="294" s="1"/>
  <c r="K19" i="294"/>
  <c r="G41" i="362"/>
  <c r="K79" i="294" s="1"/>
  <c r="G42" i="362"/>
  <c r="P79" i="294" s="1"/>
  <c r="R457" i="246"/>
  <c r="G45" i="13"/>
  <c r="L130" i="209" s="1"/>
  <c r="P253" i="246"/>
  <c r="F44" i="313"/>
  <c r="Q83" i="246" s="1"/>
  <c r="P14" i="99"/>
  <c r="M485" i="246"/>
  <c r="J533" i="209"/>
  <c r="O223" i="246"/>
  <c r="M139" i="294"/>
  <c r="L26" i="362"/>
  <c r="D46" i="146"/>
  <c r="D18" i="146"/>
  <c r="L26" i="146"/>
  <c r="D44" i="146"/>
  <c r="O95" i="246" s="1"/>
  <c r="P25" i="172"/>
  <c r="L561" i="209"/>
  <c r="J33" i="164"/>
  <c r="L36" i="209" s="1"/>
  <c r="D48" i="18"/>
  <c r="L20" i="16" s="1"/>
  <c r="F27" i="58"/>
  <c r="F27" i="229" s="1"/>
  <c r="I550" i="209"/>
  <c r="P356" i="209"/>
  <c r="H28" i="170"/>
  <c r="H42" i="170" s="1"/>
  <c r="P14" i="146" s="1"/>
  <c r="G44" i="13"/>
  <c r="R71" i="209" s="1"/>
  <c r="C23" i="58"/>
  <c r="C23" i="229" s="1"/>
  <c r="Q255" i="246"/>
  <c r="G23" i="174"/>
  <c r="N139" i="294"/>
  <c r="M26" i="362"/>
  <c r="E43" i="362" s="1"/>
  <c r="E47" i="362" s="1"/>
  <c r="S59" i="294" s="1"/>
  <c r="E46" i="362"/>
  <c r="E44" i="362"/>
  <c r="S39" i="294" s="1"/>
  <c r="E18" i="362"/>
  <c r="E45" i="362"/>
  <c r="N59" i="294" s="1"/>
  <c r="E44" i="146"/>
  <c r="P95" i="246" s="1"/>
  <c r="M26" i="146"/>
  <c r="E43" i="146" s="1"/>
  <c r="E47" i="146" s="1"/>
  <c r="P146" i="246" s="1"/>
  <c r="E18" i="146"/>
  <c r="E45" i="146"/>
  <c r="J146" i="246" s="1"/>
  <c r="J605" i="246"/>
  <c r="J554" i="246"/>
  <c r="P554" i="246"/>
  <c r="E46" i="146"/>
  <c r="E37" i="241"/>
  <c r="P232" i="209" s="1"/>
  <c r="E40" i="241"/>
  <c r="J114" i="209" s="1"/>
  <c r="E42" i="241"/>
  <c r="J291" i="209" s="1"/>
  <c r="E41" i="241"/>
  <c r="J232" i="209" s="1"/>
  <c r="E39" i="241"/>
  <c r="P55" i="209" s="1"/>
  <c r="J763" i="209"/>
  <c r="E38" i="241"/>
  <c r="J55" i="209" s="1"/>
  <c r="P13" i="156"/>
  <c r="P13" i="190"/>
  <c r="O20" i="190"/>
  <c r="O20" i="284"/>
  <c r="O20" i="156"/>
  <c r="P740" i="209"/>
  <c r="E43" i="338"/>
  <c r="E47" i="338" s="1"/>
  <c r="P150" i="209" s="1"/>
  <c r="S667" i="209"/>
  <c r="I356" i="209"/>
  <c r="I511" i="246"/>
  <c r="F46" i="362"/>
  <c r="F18" i="362"/>
  <c r="F44" i="362"/>
  <c r="T39" i="294" s="1"/>
  <c r="O139" i="294"/>
  <c r="F45" i="362"/>
  <c r="O59" i="294" s="1"/>
  <c r="N26" i="362"/>
  <c r="F43" i="362" s="1"/>
  <c r="F47" i="362" s="1"/>
  <c r="T59" i="294" s="1"/>
  <c r="D13" i="174"/>
  <c r="L478" i="246"/>
  <c r="G48" i="171"/>
  <c r="R408" i="246"/>
  <c r="R612" i="246"/>
  <c r="S612" i="246" s="1"/>
  <c r="F39" i="99"/>
  <c r="Q22" i="246" s="1"/>
  <c r="F41" i="99"/>
  <c r="K175" i="246" s="1"/>
  <c r="F37" i="99"/>
  <c r="Q175" i="246" s="1"/>
  <c r="F38" i="99"/>
  <c r="K22" i="246" s="1"/>
  <c r="H23" i="172"/>
  <c r="H37" i="172" s="1"/>
  <c r="L274" i="246"/>
  <c r="P16" i="296"/>
  <c r="P16" i="367"/>
  <c r="D46" i="353"/>
  <c r="I638" i="209"/>
  <c r="D11" i="225"/>
  <c r="E40" i="338"/>
  <c r="J91" i="209" s="1"/>
  <c r="E39" i="338"/>
  <c r="P32" i="209" s="1"/>
  <c r="J432" i="209"/>
  <c r="D41" i="16"/>
  <c r="I185" i="209" s="1"/>
  <c r="D39" i="16"/>
  <c r="O8" i="209" s="1"/>
  <c r="D38" i="16"/>
  <c r="I8" i="209" s="1"/>
  <c r="I716" i="209"/>
  <c r="D37" i="16"/>
  <c r="O185" i="209" s="1"/>
  <c r="D40" i="16"/>
  <c r="I67" i="209" s="1"/>
  <c r="E16" i="330"/>
  <c r="E25" i="174"/>
  <c r="F39" i="190"/>
  <c r="Q9" i="246" s="1"/>
  <c r="P13" i="324"/>
  <c r="P13" i="325"/>
  <c r="P18" i="191"/>
  <c r="S543" i="246"/>
  <c r="P18" i="95"/>
  <c r="P18" i="279"/>
  <c r="D44" i="370"/>
  <c r="O92" i="209" s="1"/>
  <c r="D46" i="370"/>
  <c r="O623" i="209"/>
  <c r="I623" i="209"/>
  <c r="I682" i="209"/>
  <c r="M682" i="209" s="1"/>
  <c r="D45" i="370"/>
  <c r="I151" i="209" s="1"/>
  <c r="L26" i="370"/>
  <c r="E18" i="194"/>
  <c r="E44" i="194"/>
  <c r="P86" i="246" s="1"/>
  <c r="J596" i="246"/>
  <c r="L26" i="6"/>
  <c r="D45" i="6"/>
  <c r="I136" i="209" s="1"/>
  <c r="O608" i="209"/>
  <c r="D46" i="6"/>
  <c r="I608" i="209"/>
  <c r="F18" i="284"/>
  <c r="K571" i="246"/>
  <c r="N26" i="284"/>
  <c r="F43" i="284" s="1"/>
  <c r="F47" i="284" s="1"/>
  <c r="Q112" i="246" s="1"/>
  <c r="K520" i="246"/>
  <c r="F44" i="284"/>
  <c r="Q61" i="246" s="1"/>
  <c r="F45" i="284"/>
  <c r="K112" i="246" s="1"/>
  <c r="Q520" i="246"/>
  <c r="F46" i="284"/>
  <c r="G18" i="188"/>
  <c r="L549" i="246"/>
  <c r="G44" i="188"/>
  <c r="R90" i="246" s="1"/>
  <c r="G45" i="188"/>
  <c r="L141" i="246" s="1"/>
  <c r="O26" i="188"/>
  <c r="G43" i="188" s="1"/>
  <c r="G47" i="188" s="1"/>
  <c r="R141" i="246" s="1"/>
  <c r="G46" i="188"/>
  <c r="L600" i="246"/>
  <c r="R549" i="246"/>
  <c r="S345" i="209"/>
  <c r="H39" i="225"/>
  <c r="S50" i="209" s="1"/>
  <c r="P13" i="360"/>
  <c r="P13" i="296"/>
  <c r="P13" i="295"/>
  <c r="P13" i="367"/>
  <c r="M26" i="79"/>
  <c r="P631" i="209"/>
  <c r="E45" i="79"/>
  <c r="J159" i="209" s="1"/>
  <c r="J690" i="209"/>
  <c r="G45" i="367"/>
  <c r="P62" i="294" s="1"/>
  <c r="O26" i="367"/>
  <c r="G43" i="367" s="1"/>
  <c r="G47" i="367" s="1"/>
  <c r="U62" i="294" s="1"/>
  <c r="P142" i="294"/>
  <c r="G46" i="367"/>
  <c r="G44" i="367"/>
  <c r="U42" i="294" s="1"/>
  <c r="G18" i="367"/>
  <c r="E16" i="58"/>
  <c r="E16" i="229" s="1"/>
  <c r="Q533" i="209"/>
  <c r="F38" i="190"/>
  <c r="K9" i="246" s="1"/>
  <c r="M463" i="209"/>
  <c r="P30" i="292"/>
  <c r="G45" i="284"/>
  <c r="L112" i="246" s="1"/>
  <c r="F26" i="328"/>
  <c r="K545" i="246"/>
  <c r="N26" i="194"/>
  <c r="F43" i="194" s="1"/>
  <c r="F47" i="194" s="1"/>
  <c r="Q137" i="246" s="1"/>
  <c r="F46" i="194"/>
  <c r="F44" i="194"/>
  <c r="Q86" i="246" s="1"/>
  <c r="K596" i="246"/>
  <c r="Q545" i="246"/>
  <c r="F18" i="194"/>
  <c r="F45" i="194"/>
  <c r="K137" i="246" s="1"/>
  <c r="R743" i="209"/>
  <c r="G43" i="365"/>
  <c r="G47" i="365" s="1"/>
  <c r="R153" i="209" s="1"/>
  <c r="F44" i="188"/>
  <c r="Q90" i="246" s="1"/>
  <c r="F18" i="188"/>
  <c r="F45" i="188"/>
  <c r="K141" i="246" s="1"/>
  <c r="K600" i="246"/>
  <c r="Q549" i="246"/>
  <c r="K549" i="246"/>
  <c r="N26" i="188"/>
  <c r="F43" i="188" s="1"/>
  <c r="F47" i="188" s="1"/>
  <c r="Q141" i="246" s="1"/>
  <c r="F46" i="188"/>
  <c r="G40" i="194"/>
  <c r="L86" i="246" s="1"/>
  <c r="G37" i="194"/>
  <c r="R188" i="246" s="1"/>
  <c r="G39" i="194"/>
  <c r="R35" i="246" s="1"/>
  <c r="G42" i="194"/>
  <c r="L239" i="246" s="1"/>
  <c r="G38" i="194"/>
  <c r="L35" i="246" s="1"/>
  <c r="G41" i="194"/>
  <c r="L188" i="246" s="1"/>
  <c r="L647" i="246"/>
  <c r="E23" i="327"/>
  <c r="P266" i="209" s="1"/>
  <c r="K621" i="246"/>
  <c r="G26" i="330"/>
  <c r="L520" i="246"/>
  <c r="I545" i="246"/>
  <c r="D44" i="194"/>
  <c r="O86" i="246" s="1"/>
  <c r="D18" i="194"/>
  <c r="O545" i="246"/>
  <c r="D45" i="194"/>
  <c r="I137" i="246" s="1"/>
  <c r="I596" i="246"/>
  <c r="M596" i="246" s="1"/>
  <c r="D46" i="194"/>
  <c r="L26" i="194"/>
  <c r="I478" i="246"/>
  <c r="D31" i="174"/>
  <c r="D48" i="171"/>
  <c r="H31" i="171"/>
  <c r="H45" i="171" s="1"/>
  <c r="G43" i="370"/>
  <c r="G47" i="370" s="1"/>
  <c r="R151" i="209" s="1"/>
  <c r="R741" i="209"/>
  <c r="D28" i="174"/>
  <c r="H28" i="174" s="1"/>
  <c r="H42" i="174" s="1"/>
  <c r="H28" i="171"/>
  <c r="H42" i="171" s="1"/>
  <c r="D18" i="188"/>
  <c r="I549" i="246"/>
  <c r="L26" i="188"/>
  <c r="D45" i="188"/>
  <c r="I141" i="246" s="1"/>
  <c r="D46" i="188"/>
  <c r="I600" i="246"/>
  <c r="O549" i="246"/>
  <c r="D44" i="188"/>
  <c r="O90" i="246" s="1"/>
  <c r="F27" i="330"/>
  <c r="G26" i="58"/>
  <c r="G26" i="229" s="1"/>
  <c r="G16" i="174"/>
  <c r="M26" i="194"/>
  <c r="E43" i="194" s="1"/>
  <c r="E47" i="194" s="1"/>
  <c r="P137" i="246" s="1"/>
  <c r="O26" i="284"/>
  <c r="G43" i="284" s="1"/>
  <c r="G47" i="284" s="1"/>
  <c r="R112" i="246" s="1"/>
  <c r="P14" i="271"/>
  <c r="M230" i="246"/>
  <c r="P14" i="176"/>
  <c r="J556" i="246"/>
  <c r="E45" i="183"/>
  <c r="J148" i="246" s="1"/>
  <c r="P556" i="246"/>
  <c r="M26" i="183"/>
  <c r="E43" i="183" s="1"/>
  <c r="E47" i="183" s="1"/>
  <c r="P148" i="246" s="1"/>
  <c r="E44" i="183"/>
  <c r="P97" i="246" s="1"/>
  <c r="E18" i="183"/>
  <c r="J607" i="246"/>
  <c r="E46" i="183"/>
  <c r="L20" i="324"/>
  <c r="L20" i="325"/>
  <c r="F43" i="4"/>
  <c r="F47" i="4" s="1"/>
  <c r="Q129" i="209" s="1"/>
  <c r="Q719" i="209"/>
  <c r="M73" i="294"/>
  <c r="M33" i="246"/>
  <c r="P10" i="279"/>
  <c r="P10" i="95"/>
  <c r="P10" i="191"/>
  <c r="J545" i="246"/>
  <c r="J427" i="246"/>
  <c r="G44" i="284"/>
  <c r="R61" i="246" s="1"/>
  <c r="H28" i="172"/>
  <c r="H42" i="172" s="1"/>
  <c r="G18" i="183"/>
  <c r="R556" i="246"/>
  <c r="G44" i="183"/>
  <c r="R97" i="246" s="1"/>
  <c r="G46" i="183"/>
  <c r="L556" i="246"/>
  <c r="G45" i="183"/>
  <c r="L148" i="246" s="1"/>
  <c r="L607" i="246"/>
  <c r="M607" i="246" s="1"/>
  <c r="O26" i="183"/>
  <c r="P14" i="359"/>
  <c r="P14" i="190"/>
  <c r="P17" i="325"/>
  <c r="P17" i="324"/>
  <c r="G46" i="105"/>
  <c r="G44" i="105"/>
  <c r="R81" i="209" s="1"/>
  <c r="R612" i="209"/>
  <c r="G45" i="105"/>
  <c r="L140" i="209" s="1"/>
  <c r="L612" i="209"/>
  <c r="L671" i="209"/>
  <c r="G18" i="105"/>
  <c r="O26" i="105"/>
  <c r="F23" i="328"/>
  <c r="C11" i="292"/>
  <c r="P12" i="173"/>
  <c r="P12" i="223"/>
  <c r="M70" i="246"/>
  <c r="P12" i="228"/>
  <c r="P12" i="212"/>
  <c r="P12" i="185"/>
  <c r="P25" i="171"/>
  <c r="L25" i="174"/>
  <c r="K556" i="246"/>
  <c r="F45" i="183"/>
  <c r="K148" i="246" s="1"/>
  <c r="F46" i="183"/>
  <c r="K607" i="246"/>
  <c r="F44" i="183"/>
  <c r="Q97" i="246" s="1"/>
  <c r="F18" i="183"/>
  <c r="Q556" i="246"/>
  <c r="N26" i="183"/>
  <c r="F43" i="183" s="1"/>
  <c r="F47" i="183" s="1"/>
  <c r="Q148" i="246" s="1"/>
  <c r="F18" i="15"/>
  <c r="F46" i="15"/>
  <c r="K599" i="209"/>
  <c r="N26" i="15"/>
  <c r="Q599" i="209"/>
  <c r="F45" i="15"/>
  <c r="K127" i="209" s="1"/>
  <c r="K658" i="209"/>
  <c r="F44" i="15"/>
  <c r="Q68" i="209" s="1"/>
  <c r="D45" i="190"/>
  <c r="I111" i="246" s="1"/>
  <c r="O519" i="246"/>
  <c r="E45" i="105"/>
  <c r="J140" i="209" s="1"/>
  <c r="E44" i="105"/>
  <c r="P81" i="209" s="1"/>
  <c r="E46" i="105"/>
  <c r="M26" i="105"/>
  <c r="P612" i="209"/>
  <c r="E18" i="105"/>
  <c r="J612" i="209"/>
  <c r="J671" i="209"/>
  <c r="P376" i="246"/>
  <c r="P580" i="246"/>
  <c r="K592" i="246"/>
  <c r="F46" i="307"/>
  <c r="F45" i="307"/>
  <c r="K133" i="246" s="1"/>
  <c r="F44" i="307"/>
  <c r="Q82" i="246" s="1"/>
  <c r="F18" i="307"/>
  <c r="K541" i="246"/>
  <c r="N26" i="307"/>
  <c r="F43" i="307" s="1"/>
  <c r="F47" i="307" s="1"/>
  <c r="Q133" i="246" s="1"/>
  <c r="Q541" i="246"/>
  <c r="D11" i="18"/>
  <c r="D44" i="18" s="1"/>
  <c r="S752" i="209"/>
  <c r="D46" i="190"/>
  <c r="F17" i="175"/>
  <c r="D43" i="16"/>
  <c r="D47" i="16" s="1"/>
  <c r="O126" i="209" s="1"/>
  <c r="O716" i="209"/>
  <c r="O26" i="15"/>
  <c r="L658" i="209"/>
  <c r="G18" i="15"/>
  <c r="G44" i="15"/>
  <c r="R68" i="209" s="1"/>
  <c r="G46" i="15"/>
  <c r="J519" i="246"/>
  <c r="M26" i="190"/>
  <c r="E43" i="190" s="1"/>
  <c r="E47" i="190" s="1"/>
  <c r="P111" i="246" s="1"/>
  <c r="E45" i="190"/>
  <c r="J111" i="246" s="1"/>
  <c r="E44" i="190"/>
  <c r="P60" i="246" s="1"/>
  <c r="E18" i="190"/>
  <c r="E46" i="190"/>
  <c r="J570" i="246"/>
  <c r="P519" i="246"/>
  <c r="P33" i="292"/>
  <c r="D46" i="105"/>
  <c r="L26" i="105"/>
  <c r="D45" i="105"/>
  <c r="I140" i="209" s="1"/>
  <c r="I612" i="209"/>
  <c r="D44" i="105"/>
  <c r="O81" i="209" s="1"/>
  <c r="D18" i="105"/>
  <c r="I671" i="209"/>
  <c r="O612" i="209"/>
  <c r="D11" i="247"/>
  <c r="F40" i="10"/>
  <c r="K74" i="209" s="1"/>
  <c r="H53" i="294"/>
  <c r="H43" i="361"/>
  <c r="H47" i="361"/>
  <c r="D45" i="307"/>
  <c r="I592" i="246"/>
  <c r="D46" i="307"/>
  <c r="D44" i="307"/>
  <c r="I541" i="246"/>
  <c r="L26" i="307"/>
  <c r="O541" i="246"/>
  <c r="D18" i="307"/>
  <c r="L26" i="72"/>
  <c r="O744" i="209" s="1"/>
  <c r="I626" i="209"/>
  <c r="E26" i="58"/>
  <c r="E26" i="229" s="1"/>
  <c r="G17" i="327"/>
  <c r="F24" i="330"/>
  <c r="H30" i="172"/>
  <c r="H44" i="172" s="1"/>
  <c r="P16" i="170" s="1"/>
  <c r="K415" i="209"/>
  <c r="H29" i="172"/>
  <c r="H43" i="172" s="1"/>
  <c r="H25" i="18"/>
  <c r="H39" i="18" s="1"/>
  <c r="Q491" i="209"/>
  <c r="E11" i="226"/>
  <c r="E46" i="226" s="1"/>
  <c r="I570" i="246"/>
  <c r="G69" i="164"/>
  <c r="K54" i="164"/>
  <c r="L427" i="246"/>
  <c r="H25" i="171"/>
  <c r="R427" i="246"/>
  <c r="R325" i="246"/>
  <c r="K408" i="246"/>
  <c r="C27" i="292"/>
  <c r="R255" i="246"/>
  <c r="M144" i="294"/>
  <c r="D44" i="333"/>
  <c r="R44" i="294" s="1"/>
  <c r="D45" i="333"/>
  <c r="M64" i="294" s="1"/>
  <c r="L26" i="333"/>
  <c r="D46" i="333"/>
  <c r="D18" i="333"/>
  <c r="E46" i="15"/>
  <c r="E45" i="15"/>
  <c r="J127" i="209" s="1"/>
  <c r="H39" i="226"/>
  <c r="S47" i="246" s="1"/>
  <c r="S302" i="246"/>
  <c r="R512" i="246"/>
  <c r="L410" i="246"/>
  <c r="F44" i="105"/>
  <c r="Q81" i="209" s="1"/>
  <c r="F18" i="105"/>
  <c r="K671" i="209"/>
  <c r="F46" i="105"/>
  <c r="K612" i="209"/>
  <c r="F45" i="105"/>
  <c r="K140" i="209" s="1"/>
  <c r="N26" i="105"/>
  <c r="Q612" i="209"/>
  <c r="F11" i="247"/>
  <c r="O20" i="360"/>
  <c r="O20" i="367"/>
  <c r="O20" i="295"/>
  <c r="O20" i="333"/>
  <c r="O20" i="296"/>
  <c r="F39" i="151"/>
  <c r="Q38" i="246" s="1"/>
  <c r="F37" i="151"/>
  <c r="Q191" i="246" s="1"/>
  <c r="J356" i="209"/>
  <c r="L592" i="246"/>
  <c r="G46" i="307"/>
  <c r="R541" i="246"/>
  <c r="G44" i="307"/>
  <c r="R82" i="246" s="1"/>
  <c r="O26" i="307"/>
  <c r="G43" i="307" s="1"/>
  <c r="G47" i="307" s="1"/>
  <c r="R133" i="246" s="1"/>
  <c r="G18" i="307"/>
  <c r="L541" i="246"/>
  <c r="G45" i="307"/>
  <c r="L133" i="246" s="1"/>
  <c r="G40" i="365"/>
  <c r="L94" i="209" s="1"/>
  <c r="L743" i="209"/>
  <c r="G37" i="365"/>
  <c r="R212" i="209" s="1"/>
  <c r="G41" i="365"/>
  <c r="L212" i="209" s="1"/>
  <c r="G39" i="365"/>
  <c r="R35" i="209" s="1"/>
  <c r="G42" i="365"/>
  <c r="L271" i="209" s="1"/>
  <c r="G38" i="365"/>
  <c r="L35" i="209" s="1"/>
  <c r="H18" i="365"/>
  <c r="F12" i="175"/>
  <c r="K533" i="209"/>
  <c r="F11" i="186"/>
  <c r="K594" i="246" s="1"/>
  <c r="D44" i="72"/>
  <c r="O95" i="209" s="1"/>
  <c r="E28" i="58"/>
  <c r="E28" i="229" s="1"/>
  <c r="E12" i="174"/>
  <c r="P616" i="246" s="1"/>
  <c r="G12" i="175"/>
  <c r="D13" i="175"/>
  <c r="G26" i="174"/>
  <c r="P545" i="246"/>
  <c r="D18" i="190"/>
  <c r="G11" i="185"/>
  <c r="R521" i="246" s="1"/>
  <c r="Q376" i="246"/>
  <c r="K274" i="246"/>
  <c r="F24" i="174"/>
  <c r="D37" i="292" s="1"/>
  <c r="I599" i="209"/>
  <c r="D46" i="15"/>
  <c r="D44" i="15"/>
  <c r="O68" i="209" s="1"/>
  <c r="I658" i="209"/>
  <c r="O599" i="209"/>
  <c r="D45" i="15"/>
  <c r="I127" i="209" s="1"/>
  <c r="L26" i="15"/>
  <c r="D18" i="15"/>
  <c r="Q459" i="246"/>
  <c r="D27" i="292"/>
  <c r="P27" i="292" s="1"/>
  <c r="Q408" i="246"/>
  <c r="L306" i="246"/>
  <c r="K306" i="246"/>
  <c r="K357" i="246"/>
  <c r="M26" i="370"/>
  <c r="E46" i="370"/>
  <c r="E44" i="370"/>
  <c r="P92" i="209" s="1"/>
  <c r="E45" i="370"/>
  <c r="J151" i="209" s="1"/>
  <c r="K406" i="246"/>
  <c r="Q253" i="246"/>
  <c r="M12" i="294"/>
  <c r="D42" i="289"/>
  <c r="D39" i="289"/>
  <c r="D38" i="289"/>
  <c r="R12" i="294" s="1"/>
  <c r="R132" i="294"/>
  <c r="D41" i="289"/>
  <c r="D40" i="289"/>
  <c r="H52" i="294" s="1"/>
  <c r="D37" i="289"/>
  <c r="H32" i="294" s="1"/>
  <c r="H12" i="294"/>
  <c r="F46" i="367"/>
  <c r="F45" i="367"/>
  <c r="O62" i="294" s="1"/>
  <c r="F18" i="367"/>
  <c r="O142" i="294"/>
  <c r="N26" i="367"/>
  <c r="F43" i="367" s="1"/>
  <c r="F47" i="367" s="1"/>
  <c r="T62" i="294" s="1"/>
  <c r="F44" i="367"/>
  <c r="T42" i="294" s="1"/>
  <c r="L376" i="246"/>
  <c r="E46" i="307"/>
  <c r="E45" i="307"/>
  <c r="J133" i="246" s="1"/>
  <c r="E44" i="307"/>
  <c r="P82" i="246" s="1"/>
  <c r="J541" i="246"/>
  <c r="J592" i="246"/>
  <c r="P541" i="246"/>
  <c r="E18" i="307"/>
  <c r="M26" i="307"/>
  <c r="E43" i="307" s="1"/>
  <c r="E47" i="307" s="1"/>
  <c r="P133" i="246" s="1"/>
  <c r="F33" i="58"/>
  <c r="F33" i="229" s="1"/>
  <c r="D46" i="72"/>
  <c r="E28" i="327"/>
  <c r="L508" i="246"/>
  <c r="M404" i="209"/>
  <c r="D44" i="190"/>
  <c r="O60" i="246" s="1"/>
  <c r="H26" i="231"/>
  <c r="H40" i="231" s="1"/>
  <c r="M104" i="246" s="1"/>
  <c r="J308" i="246"/>
  <c r="J359" i="246"/>
  <c r="P461" i="246"/>
  <c r="K690" i="209"/>
  <c r="K631" i="209"/>
  <c r="F45" i="79"/>
  <c r="K159" i="209" s="1"/>
  <c r="F44" i="79"/>
  <c r="Q100" i="209" s="1"/>
  <c r="F46" i="79"/>
  <c r="N26" i="79"/>
  <c r="Q631" i="209"/>
  <c r="K20" i="292"/>
  <c r="H44" i="212"/>
  <c r="S87" i="209" s="1"/>
  <c r="R358" i="246"/>
  <c r="L460" i="246"/>
  <c r="R460" i="246"/>
  <c r="M142" i="294"/>
  <c r="L26" i="367"/>
  <c r="D44" i="367"/>
  <c r="R42" i="294" s="1"/>
  <c r="D45" i="367"/>
  <c r="M62" i="294" s="1"/>
  <c r="F38" i="146"/>
  <c r="K44" i="246" s="1"/>
  <c r="F42" i="146"/>
  <c r="K248" i="246" s="1"/>
  <c r="F40" i="146"/>
  <c r="K95" i="246" s="1"/>
  <c r="F37" i="146"/>
  <c r="Q197" i="246" s="1"/>
  <c r="F41" i="146"/>
  <c r="K197" i="246" s="1"/>
  <c r="K656" i="246"/>
  <c r="F39" i="146"/>
  <c r="Q44" i="246" s="1"/>
  <c r="O376" i="246"/>
  <c r="O580" i="246"/>
  <c r="S580" i="246" s="1"/>
  <c r="J631" i="209"/>
  <c r="P25" i="231"/>
  <c r="S751" i="209"/>
  <c r="I519" i="246"/>
  <c r="P10" i="367"/>
  <c r="P10" i="360"/>
  <c r="P17" i="191"/>
  <c r="P17" i="95"/>
  <c r="M135" i="246"/>
  <c r="P17" i="279"/>
  <c r="J608" i="209"/>
  <c r="P608" i="209"/>
  <c r="E44" i="6"/>
  <c r="P77" i="209" s="1"/>
  <c r="L20" i="190"/>
  <c r="L20" i="156"/>
  <c r="L20" i="284"/>
  <c r="U465" i="209"/>
  <c r="D524" i="209"/>
  <c r="F18" i="241"/>
  <c r="Q645" i="209"/>
  <c r="F45" i="241"/>
  <c r="K173" i="209" s="1"/>
  <c r="F44" i="241"/>
  <c r="Q114" i="209" s="1"/>
  <c r="N26" i="241"/>
  <c r="K645" i="209"/>
  <c r="K704" i="209"/>
  <c r="F46" i="241"/>
  <c r="H39" i="84"/>
  <c r="S51" i="246" s="1"/>
  <c r="S306" i="246"/>
  <c r="P406" i="246"/>
  <c r="J355" i="246"/>
  <c r="P457" i="246"/>
  <c r="K304" i="246"/>
  <c r="Q710" i="209"/>
  <c r="N22" i="292"/>
  <c r="Q474" i="209"/>
  <c r="G23" i="327"/>
  <c r="H23" i="327" s="1"/>
  <c r="R255" i="209"/>
  <c r="R373" i="209"/>
  <c r="E24" i="328"/>
  <c r="E24" i="58"/>
  <c r="J399" i="209"/>
  <c r="P517" i="209"/>
  <c r="J340" i="209"/>
  <c r="E24" i="330"/>
  <c r="E13" i="328"/>
  <c r="E13" i="330"/>
  <c r="C27" i="328"/>
  <c r="C27" i="58"/>
  <c r="C27" i="229" s="1"/>
  <c r="C27" i="330"/>
  <c r="F13" i="328"/>
  <c r="F13" i="58"/>
  <c r="F13" i="229" s="1"/>
  <c r="F13" i="330"/>
  <c r="H26" i="44"/>
  <c r="H40" i="44" s="1"/>
  <c r="D26" i="328"/>
  <c r="H26" i="328" s="1"/>
  <c r="H40" i="328" s="1"/>
  <c r="D26" i="58"/>
  <c r="D26" i="229" s="1"/>
  <c r="D26" i="330"/>
  <c r="F32" i="330"/>
  <c r="F32" i="328"/>
  <c r="F32" i="58"/>
  <c r="F32" i="229" s="1"/>
  <c r="F45" i="296"/>
  <c r="O58" i="294" s="1"/>
  <c r="F46" i="296"/>
  <c r="F18" i="296"/>
  <c r="F44" i="296"/>
  <c r="T38" i="294" s="1"/>
  <c r="O138" i="294"/>
  <c r="N26" i="296"/>
  <c r="F43" i="296" s="1"/>
  <c r="F47" i="296" s="1"/>
  <c r="T58" i="294" s="1"/>
  <c r="L512" i="246"/>
  <c r="H29" i="231"/>
  <c r="G48" i="231"/>
  <c r="E41" i="187"/>
  <c r="J168" i="246" s="1"/>
  <c r="D47" i="178"/>
  <c r="O167" i="209" s="1"/>
  <c r="F31" i="174"/>
  <c r="Q508" i="246"/>
  <c r="K508" i="246"/>
  <c r="F48" i="172"/>
  <c r="F29" i="328"/>
  <c r="F48" i="328" s="1"/>
  <c r="K576" i="209"/>
  <c r="F29" i="58"/>
  <c r="F29" i="229" s="1"/>
  <c r="F48" i="44"/>
  <c r="N20" i="370" s="1"/>
  <c r="G30" i="328"/>
  <c r="L458" i="209"/>
  <c r="AA11" i="292"/>
  <c r="G30" i="58"/>
  <c r="G30" i="330"/>
  <c r="P314" i="209"/>
  <c r="E25" i="327"/>
  <c r="P373" i="209"/>
  <c r="J491" i="209"/>
  <c r="P491" i="209"/>
  <c r="D13" i="58"/>
  <c r="D13" i="229" s="1"/>
  <c r="D13" i="328"/>
  <c r="D13" i="330"/>
  <c r="L25" i="58"/>
  <c r="L25" i="328"/>
  <c r="P25" i="328" s="1"/>
  <c r="L25" i="330"/>
  <c r="P25" i="44"/>
  <c r="G33" i="328"/>
  <c r="G33" i="58"/>
  <c r="G33" i="229" s="1"/>
  <c r="G33" i="330"/>
  <c r="I29" i="292"/>
  <c r="S215" i="246"/>
  <c r="H37" i="185"/>
  <c r="O137" i="294"/>
  <c r="N26" i="295"/>
  <c r="F43" i="295" s="1"/>
  <c r="F47" i="295" s="1"/>
  <c r="T57" i="294" s="1"/>
  <c r="F45" i="295"/>
  <c r="O57" i="294" s="1"/>
  <c r="F46" i="295"/>
  <c r="F44" i="295"/>
  <c r="T37" i="294" s="1"/>
  <c r="F18" i="295"/>
  <c r="F18" i="353"/>
  <c r="F46" i="353"/>
  <c r="K638" i="209"/>
  <c r="K697" i="209"/>
  <c r="F44" i="353"/>
  <c r="Q107" i="209" s="1"/>
  <c r="Q638" i="209"/>
  <c r="N26" i="353"/>
  <c r="F45" i="353"/>
  <c r="K166" i="209" s="1"/>
  <c r="H47" i="104"/>
  <c r="H43" i="104"/>
  <c r="G48" i="172"/>
  <c r="O20" i="186" s="1"/>
  <c r="H47" i="84"/>
  <c r="S153" i="246" s="1"/>
  <c r="H43" i="84"/>
  <c r="H46" i="172"/>
  <c r="P18" i="186" s="1"/>
  <c r="P13" i="189"/>
  <c r="M302" i="246"/>
  <c r="H38" i="226"/>
  <c r="M47" i="246" s="1"/>
  <c r="J34" i="292"/>
  <c r="E18" i="139"/>
  <c r="E44" i="139"/>
  <c r="P67" i="246" s="1"/>
  <c r="J526" i="246"/>
  <c r="J577" i="246"/>
  <c r="E46" i="139"/>
  <c r="M26" i="139"/>
  <c r="E11" i="223"/>
  <c r="E45" i="139"/>
  <c r="J118" i="246" s="1"/>
  <c r="P526" i="246"/>
  <c r="G45" i="369"/>
  <c r="L162" i="209" s="1"/>
  <c r="G18" i="369"/>
  <c r="L634" i="209"/>
  <c r="R634" i="209"/>
  <c r="G44" i="369"/>
  <c r="R103" i="209" s="1"/>
  <c r="L693" i="209"/>
  <c r="G46" i="369"/>
  <c r="O26" i="369"/>
  <c r="G43" i="369" s="1"/>
  <c r="G47" i="369" s="1"/>
  <c r="R162" i="209" s="1"/>
  <c r="M62" i="246"/>
  <c r="P12" i="284"/>
  <c r="P12" i="190"/>
  <c r="P12" i="156"/>
  <c r="P12" i="359"/>
  <c r="D18" i="220"/>
  <c r="D44" i="220"/>
  <c r="O113" i="209" s="1"/>
  <c r="I644" i="209"/>
  <c r="O644" i="209"/>
  <c r="D45" i="220"/>
  <c r="I172" i="209" s="1"/>
  <c r="L26" i="220"/>
  <c r="I703" i="209"/>
  <c r="D46" i="220"/>
  <c r="D48" i="170"/>
  <c r="D31" i="175"/>
  <c r="H46" i="170"/>
  <c r="P18" i="215" s="1"/>
  <c r="I410" i="246"/>
  <c r="H30" i="231"/>
  <c r="K35" i="292" s="1"/>
  <c r="O512" i="246"/>
  <c r="H31" i="172"/>
  <c r="H45" i="172" s="1"/>
  <c r="R508" i="246"/>
  <c r="G31" i="174"/>
  <c r="L308" i="246"/>
  <c r="L359" i="246"/>
  <c r="H24" i="231"/>
  <c r="R461" i="246"/>
  <c r="E45" i="372"/>
  <c r="J157" i="209" s="1"/>
  <c r="M26" i="372"/>
  <c r="P747" i="209" s="1"/>
  <c r="P629" i="209"/>
  <c r="E46" i="372"/>
  <c r="P17" i="284"/>
  <c r="P17" i="156"/>
  <c r="P17" i="359"/>
  <c r="M113" i="246"/>
  <c r="P17" i="190"/>
  <c r="F44" i="101"/>
  <c r="Q75" i="246" s="1"/>
  <c r="K585" i="246"/>
  <c r="K534" i="246"/>
  <c r="F45" i="101"/>
  <c r="K126" i="246" s="1"/>
  <c r="N26" i="101"/>
  <c r="F43" i="101" s="1"/>
  <c r="F47" i="101" s="1"/>
  <c r="Q126" i="246" s="1"/>
  <c r="Q534" i="246"/>
  <c r="F18" i="101"/>
  <c r="F46" i="101"/>
  <c r="M26" i="165"/>
  <c r="E43" i="165" s="1"/>
  <c r="E47" i="165" s="1"/>
  <c r="P115" i="246" s="1"/>
  <c r="E44" i="165"/>
  <c r="P64" i="246" s="1"/>
  <c r="E18" i="165"/>
  <c r="E46" i="165"/>
  <c r="E45" i="165"/>
  <c r="J115" i="246" s="1"/>
  <c r="J523" i="246"/>
  <c r="J574" i="246"/>
  <c r="P523" i="246"/>
  <c r="O20" i="95"/>
  <c r="O20" i="279"/>
  <c r="O20" i="191"/>
  <c r="R710" i="209"/>
  <c r="S710" i="209" s="1"/>
  <c r="R491" i="209"/>
  <c r="G24" i="327"/>
  <c r="L373" i="209"/>
  <c r="E13" i="58"/>
  <c r="E13" i="229" s="1"/>
  <c r="D27" i="327"/>
  <c r="H27" i="18"/>
  <c r="H41" i="18" s="1"/>
  <c r="R694" i="209"/>
  <c r="R458" i="209"/>
  <c r="G12" i="328"/>
  <c r="G12" i="58"/>
  <c r="G12" i="229" s="1"/>
  <c r="G12" i="330"/>
  <c r="D44" i="291"/>
  <c r="D46" i="291"/>
  <c r="D45" i="291"/>
  <c r="L26" i="101"/>
  <c r="D46" i="101"/>
  <c r="O534" i="246"/>
  <c r="D44" i="101"/>
  <c r="O75" i="246" s="1"/>
  <c r="D45" i="101"/>
  <c r="I126" i="246" s="1"/>
  <c r="I585" i="246"/>
  <c r="M585" i="246" s="1"/>
  <c r="D18" i="101"/>
  <c r="I534" i="246"/>
  <c r="R523" i="246"/>
  <c r="G46" i="165"/>
  <c r="G18" i="165"/>
  <c r="G44" i="165"/>
  <c r="R64" i="246" s="1"/>
  <c r="G11" i="223"/>
  <c r="G45" i="165"/>
  <c r="L115" i="246" s="1"/>
  <c r="O26" i="165"/>
  <c r="L523" i="246"/>
  <c r="L574" i="246"/>
  <c r="Q358" i="246"/>
  <c r="Q307" i="246"/>
  <c r="R307" i="246"/>
  <c r="K460" i="246"/>
  <c r="S286" i="209"/>
  <c r="H37" i="225"/>
  <c r="S227" i="209" s="1"/>
  <c r="I21" i="292"/>
  <c r="M26" i="13"/>
  <c r="E44" i="13"/>
  <c r="P71" i="209" s="1"/>
  <c r="J602" i="209"/>
  <c r="E45" i="13"/>
  <c r="J130" i="209" s="1"/>
  <c r="P602" i="209"/>
  <c r="E46" i="13"/>
  <c r="H23" i="184"/>
  <c r="O256" i="246"/>
  <c r="I358" i="246"/>
  <c r="G45" i="241"/>
  <c r="L173" i="209" s="1"/>
  <c r="L645" i="209"/>
  <c r="L704" i="209"/>
  <c r="R645" i="209"/>
  <c r="O26" i="241"/>
  <c r="G18" i="241"/>
  <c r="G44" i="241"/>
  <c r="R114" i="209" s="1"/>
  <c r="G46" i="241"/>
  <c r="E44" i="295"/>
  <c r="S37" i="294" s="1"/>
  <c r="E45" i="295"/>
  <c r="E46" i="295"/>
  <c r="N137" i="294"/>
  <c r="M26" i="295"/>
  <c r="E43" i="295" s="1"/>
  <c r="E47" i="295" s="1"/>
  <c r="S57" i="294" s="1"/>
  <c r="E18" i="295"/>
  <c r="H46" i="184"/>
  <c r="S562" i="246" s="1"/>
  <c r="L511" i="246"/>
  <c r="H31" i="184"/>
  <c r="H45" i="184" s="1"/>
  <c r="M154" i="246" s="1"/>
  <c r="R511" i="246"/>
  <c r="G48" i="184"/>
  <c r="K33" i="292"/>
  <c r="H44" i="223"/>
  <c r="S68" i="246" s="1"/>
  <c r="F44" i="139"/>
  <c r="Q67" i="246" s="1"/>
  <c r="F11" i="223"/>
  <c r="F18" i="139"/>
  <c r="K526" i="246"/>
  <c r="K577" i="246"/>
  <c r="Q526" i="246"/>
  <c r="N26" i="139"/>
  <c r="F43" i="139" s="1"/>
  <c r="F47" i="139" s="1"/>
  <c r="Q118" i="246" s="1"/>
  <c r="F46" i="139"/>
  <c r="F45" i="139"/>
  <c r="K118" i="246" s="1"/>
  <c r="N26" i="271"/>
  <c r="F43" i="271" s="1"/>
  <c r="F47" i="271" s="1"/>
  <c r="Q125" i="246" s="1"/>
  <c r="F44" i="271"/>
  <c r="Q74" i="246" s="1"/>
  <c r="K584" i="246"/>
  <c r="F18" i="271"/>
  <c r="K533" i="246"/>
  <c r="F45" i="271"/>
  <c r="K125" i="246" s="1"/>
  <c r="Q533" i="246"/>
  <c r="F46" i="271"/>
  <c r="D39" i="349"/>
  <c r="M36" i="294" s="1"/>
  <c r="R136" i="294"/>
  <c r="D42" i="349"/>
  <c r="M76" i="294" s="1"/>
  <c r="D40" i="349"/>
  <c r="H56" i="294" s="1"/>
  <c r="M16" i="294"/>
  <c r="D37" i="349"/>
  <c r="H36" i="294" s="1"/>
  <c r="D41" i="349"/>
  <c r="H76" i="294" s="1"/>
  <c r="D38" i="349"/>
  <c r="R16" i="294" s="1"/>
  <c r="H16" i="294"/>
  <c r="E11" i="292"/>
  <c r="F30" i="330"/>
  <c r="F30" i="58"/>
  <c r="F30" i="328"/>
  <c r="K458" i="209"/>
  <c r="H29" i="18"/>
  <c r="H43" i="18" s="1"/>
  <c r="G25" i="327"/>
  <c r="L502" i="209" s="1"/>
  <c r="K491" i="209"/>
  <c r="E17" i="330"/>
  <c r="I355" i="246"/>
  <c r="D31" i="292"/>
  <c r="L307" i="246"/>
  <c r="K307" i="246"/>
  <c r="K358" i="246"/>
  <c r="Q460" i="246"/>
  <c r="L26" i="295"/>
  <c r="D45" i="295"/>
  <c r="M57" i="294" s="1"/>
  <c r="D46" i="295"/>
  <c r="D44" i="295"/>
  <c r="R37" i="294" s="1"/>
  <c r="M137" i="294"/>
  <c r="D18" i="295"/>
  <c r="D11" i="361"/>
  <c r="K618" i="209"/>
  <c r="F44" i="212"/>
  <c r="Q87" i="209" s="1"/>
  <c r="M20" i="292"/>
  <c r="S20" i="292" s="1"/>
  <c r="T20" i="292" s="1"/>
  <c r="K677" i="209"/>
  <c r="L26" i="139"/>
  <c r="D18" i="139"/>
  <c r="D45" i="139"/>
  <c r="O526" i="246"/>
  <c r="I577" i="246"/>
  <c r="M577" i="246" s="1"/>
  <c r="D44" i="139"/>
  <c r="O67" i="246" s="1"/>
  <c r="I526" i="246"/>
  <c r="D46" i="139"/>
  <c r="D11" i="223"/>
  <c r="D44" i="271"/>
  <c r="O74" i="246" s="1"/>
  <c r="D46" i="271"/>
  <c r="I584" i="246"/>
  <c r="O533" i="246"/>
  <c r="L26" i="271"/>
  <c r="D18" i="271"/>
  <c r="I533" i="246"/>
  <c r="D45" i="271"/>
  <c r="I125" i="246" s="1"/>
  <c r="N20" i="95"/>
  <c r="N20" i="279"/>
  <c r="N20" i="191"/>
  <c r="D25" i="327"/>
  <c r="I491" i="209"/>
  <c r="D25" i="330"/>
  <c r="D25" i="58"/>
  <c r="O373" i="209"/>
  <c r="O314" i="209"/>
  <c r="N10" i="292"/>
  <c r="P10" i="292" s="1"/>
  <c r="F12" i="327"/>
  <c r="Q679" i="209" s="1"/>
  <c r="Q668" i="209"/>
  <c r="E12" i="327"/>
  <c r="P668" i="209"/>
  <c r="P432" i="209"/>
  <c r="D33" i="327"/>
  <c r="H33" i="327" s="1"/>
  <c r="H33" i="18"/>
  <c r="H32" i="18"/>
  <c r="M609" i="209" s="1"/>
  <c r="P694" i="209"/>
  <c r="P458" i="209"/>
  <c r="E12" i="330"/>
  <c r="E12" i="328"/>
  <c r="O25" i="327"/>
  <c r="O25" i="58"/>
  <c r="O25" i="229" s="1"/>
  <c r="H23" i="44"/>
  <c r="G23" i="328"/>
  <c r="G23" i="58"/>
  <c r="G23" i="330"/>
  <c r="R281" i="209"/>
  <c r="Q399" i="209"/>
  <c r="K517" i="209"/>
  <c r="F25" i="328"/>
  <c r="F25" i="58"/>
  <c r="F25" i="330"/>
  <c r="Q340" i="209"/>
  <c r="P16" i="176"/>
  <c r="S77" i="246"/>
  <c r="P16" i="101"/>
  <c r="P16" i="99"/>
  <c r="P16" i="271"/>
  <c r="M77" i="246"/>
  <c r="P12" i="99"/>
  <c r="P12" i="271"/>
  <c r="P12" i="176"/>
  <c r="P12" i="101"/>
  <c r="E45" i="101"/>
  <c r="J126" i="246" s="1"/>
  <c r="J534" i="246"/>
  <c r="E44" i="101"/>
  <c r="P75" i="246" s="1"/>
  <c r="E46" i="101"/>
  <c r="P534" i="246"/>
  <c r="E18" i="101"/>
  <c r="J585" i="246"/>
  <c r="M26" i="101"/>
  <c r="E43" i="101" s="1"/>
  <c r="E47" i="101" s="1"/>
  <c r="P126" i="246" s="1"/>
  <c r="G37" i="101"/>
  <c r="R177" i="246" s="1"/>
  <c r="L636" i="246"/>
  <c r="G39" i="101"/>
  <c r="R24" i="246" s="1"/>
  <c r="G42" i="101"/>
  <c r="L228" i="246" s="1"/>
  <c r="G41" i="101"/>
  <c r="L177" i="246" s="1"/>
  <c r="G40" i="101"/>
  <c r="L75" i="246" s="1"/>
  <c r="G38" i="101"/>
  <c r="L24" i="246" s="1"/>
  <c r="H32" i="171"/>
  <c r="M529" i="246" s="1"/>
  <c r="H46" i="171"/>
  <c r="N26" i="13"/>
  <c r="K661" i="209"/>
  <c r="F45" i="13"/>
  <c r="K130" i="209" s="1"/>
  <c r="K602" i="209"/>
  <c r="F46" i="13"/>
  <c r="F44" i="13"/>
  <c r="Q71" i="209" s="1"/>
  <c r="Q602" i="209"/>
  <c r="F11" i="18"/>
  <c r="K609" i="209" s="1"/>
  <c r="O457" i="246"/>
  <c r="E48" i="184"/>
  <c r="J511" i="246"/>
  <c r="H43" i="226"/>
  <c r="H47" i="226"/>
  <c r="S149" i="246" s="1"/>
  <c r="D44" i="166"/>
  <c r="O524" i="246"/>
  <c r="D46" i="166"/>
  <c r="L26" i="166"/>
  <c r="I524" i="246"/>
  <c r="D18" i="166"/>
  <c r="D45" i="166"/>
  <c r="I116" i="246" s="1"/>
  <c r="I575" i="246"/>
  <c r="M20" i="271"/>
  <c r="M20" i="359"/>
  <c r="M20" i="101"/>
  <c r="M20" i="176"/>
  <c r="M20" i="99"/>
  <c r="D46" i="313"/>
  <c r="D18" i="313"/>
  <c r="L26" i="313"/>
  <c r="D11" i="186"/>
  <c r="O542" i="246"/>
  <c r="D44" i="313"/>
  <c r="D45" i="313"/>
  <c r="I542" i="246"/>
  <c r="I593" i="246"/>
  <c r="E44" i="271"/>
  <c r="P74" i="246" s="1"/>
  <c r="P533" i="246"/>
  <c r="E45" i="271"/>
  <c r="J125" i="246" s="1"/>
  <c r="E46" i="271"/>
  <c r="M26" i="271"/>
  <c r="E43" i="271" s="1"/>
  <c r="E47" i="271" s="1"/>
  <c r="P125" i="246" s="1"/>
  <c r="J533" i="246"/>
  <c r="J584" i="246"/>
  <c r="E18" i="271"/>
  <c r="F46" i="7"/>
  <c r="F45" i="7"/>
  <c r="K135" i="209" s="1"/>
  <c r="N26" i="7"/>
  <c r="F44" i="7"/>
  <c r="Q76" i="209" s="1"/>
  <c r="K666" i="209"/>
  <c r="Q607" i="209"/>
  <c r="K607" i="209"/>
  <c r="Q511" i="246"/>
  <c r="G31" i="292"/>
  <c r="K511" i="246"/>
  <c r="F48" i="184"/>
  <c r="P613" i="246"/>
  <c r="P409" i="246"/>
  <c r="D27" i="175"/>
  <c r="G17" i="328"/>
  <c r="G17" i="330"/>
  <c r="O668" i="209"/>
  <c r="D12" i="327"/>
  <c r="H23" i="18"/>
  <c r="O255" i="209"/>
  <c r="D23" i="330"/>
  <c r="D30" i="327"/>
  <c r="I443" i="209" s="1"/>
  <c r="I432" i="209"/>
  <c r="H30" i="18"/>
  <c r="E27" i="58"/>
  <c r="E27" i="229" s="1"/>
  <c r="E27" i="330"/>
  <c r="E27" i="328"/>
  <c r="C28" i="58"/>
  <c r="C28" i="229" s="1"/>
  <c r="C28" i="328"/>
  <c r="C28" i="330"/>
  <c r="D12" i="330"/>
  <c r="O458" i="209"/>
  <c r="D12" i="328"/>
  <c r="D12" i="58"/>
  <c r="O694" i="209"/>
  <c r="D26" i="174"/>
  <c r="H26" i="172"/>
  <c r="H40" i="172" s="1"/>
  <c r="Q550" i="246"/>
  <c r="F18" i="141"/>
  <c r="K550" i="246"/>
  <c r="F45" i="141"/>
  <c r="K142" i="246" s="1"/>
  <c r="F46" i="141"/>
  <c r="F44" i="141"/>
  <c r="Q91" i="246" s="1"/>
  <c r="K601" i="246"/>
  <c r="N26" i="141"/>
  <c r="F37" i="165"/>
  <c r="Q166" i="246" s="1"/>
  <c r="F41" i="165"/>
  <c r="K166" i="246" s="1"/>
  <c r="F38" i="165"/>
  <c r="K13" i="246" s="1"/>
  <c r="F39" i="165"/>
  <c r="Q13" i="246" s="1"/>
  <c r="F42" i="165"/>
  <c r="K217" i="246" s="1"/>
  <c r="F40" i="165"/>
  <c r="K64" i="246" s="1"/>
  <c r="K625" i="246"/>
  <c r="S521" i="246"/>
  <c r="P18" i="284"/>
  <c r="P18" i="156"/>
  <c r="P18" i="359"/>
  <c r="P18" i="190"/>
  <c r="E23" i="174"/>
  <c r="P427" i="246"/>
  <c r="P325" i="246"/>
  <c r="J325" i="246"/>
  <c r="J376" i="246"/>
  <c r="R314" i="209"/>
  <c r="G26" i="327"/>
  <c r="H26" i="327" s="1"/>
  <c r="H40" i="327" s="1"/>
  <c r="M89" i="209" s="1"/>
  <c r="R474" i="209"/>
  <c r="D23" i="174"/>
  <c r="R524" i="246"/>
  <c r="G45" i="166"/>
  <c r="L116" i="246" s="1"/>
  <c r="L524" i="246"/>
  <c r="G46" i="166"/>
  <c r="O26" i="166"/>
  <c r="G43" i="166" s="1"/>
  <c r="G47" i="166" s="1"/>
  <c r="R116" i="246" s="1"/>
  <c r="G44" i="166"/>
  <c r="R65" i="246" s="1"/>
  <c r="L575" i="246"/>
  <c r="G18" i="166"/>
  <c r="G18" i="325"/>
  <c r="G45" i="325"/>
  <c r="P49" i="294" s="1"/>
  <c r="G46" i="325"/>
  <c r="P129" i="294"/>
  <c r="G11" i="326"/>
  <c r="P508" i="246"/>
  <c r="E48" i="172"/>
  <c r="J508" i="246"/>
  <c r="R542" i="246"/>
  <c r="L542" i="246"/>
  <c r="G45" i="313"/>
  <c r="L134" i="246" s="1"/>
  <c r="G44" i="313"/>
  <c r="R83" i="246" s="1"/>
  <c r="O26" i="313"/>
  <c r="G43" i="313" s="1"/>
  <c r="G47" i="313" s="1"/>
  <c r="R134" i="246" s="1"/>
  <c r="G46" i="313"/>
  <c r="L593" i="246"/>
  <c r="G11" i="186"/>
  <c r="G18" i="313"/>
  <c r="H27" i="171"/>
  <c r="H41" i="171" s="1"/>
  <c r="G27" i="174"/>
  <c r="L533" i="246"/>
  <c r="G45" i="271"/>
  <c r="L125" i="246" s="1"/>
  <c r="R533" i="246"/>
  <c r="O26" i="271"/>
  <c r="G43" i="271" s="1"/>
  <c r="G47" i="271" s="1"/>
  <c r="R125" i="246" s="1"/>
  <c r="G46" i="271"/>
  <c r="G18" i="271"/>
  <c r="G44" i="271"/>
  <c r="R74" i="246" s="1"/>
  <c r="L584" i="246"/>
  <c r="E43" i="368"/>
  <c r="E47" i="368" s="1"/>
  <c r="P158" i="209" s="1"/>
  <c r="P748" i="209"/>
  <c r="E44" i="7"/>
  <c r="P76" i="209" s="1"/>
  <c r="J666" i="209"/>
  <c r="M26" i="7"/>
  <c r="P607" i="209"/>
  <c r="E45" i="7"/>
  <c r="J135" i="209" s="1"/>
  <c r="J607" i="209"/>
  <c r="E46" i="7"/>
  <c r="H47" i="186"/>
  <c r="H43" i="186"/>
  <c r="H31" i="170"/>
  <c r="H45" i="170" s="1"/>
  <c r="J373" i="209"/>
  <c r="E24" i="327"/>
  <c r="C33" i="328"/>
  <c r="C33" i="330"/>
  <c r="C33" i="58"/>
  <c r="C33" i="229" s="1"/>
  <c r="E23" i="330"/>
  <c r="E23" i="58"/>
  <c r="E23" i="229" s="1"/>
  <c r="Q281" i="209"/>
  <c r="E23" i="328"/>
  <c r="P281" i="209"/>
  <c r="Q517" i="209"/>
  <c r="F24" i="328"/>
  <c r="D11" i="292"/>
  <c r="K399" i="209"/>
  <c r="K340" i="209"/>
  <c r="C23" i="328"/>
  <c r="C23" i="330"/>
  <c r="O281" i="209"/>
  <c r="D48" i="44"/>
  <c r="D31" i="58"/>
  <c r="D31" i="328"/>
  <c r="H31" i="44"/>
  <c r="H45" i="44" s="1"/>
  <c r="D31" i="330"/>
  <c r="I576" i="209"/>
  <c r="O576" i="209"/>
  <c r="D38" i="353"/>
  <c r="I48" i="209" s="1"/>
  <c r="R32" i="294"/>
  <c r="L26" i="141"/>
  <c r="I601" i="246"/>
  <c r="D46" i="141"/>
  <c r="D18" i="141"/>
  <c r="D11" i="226"/>
  <c r="I550" i="246"/>
  <c r="D44" i="141"/>
  <c r="O91" i="246" s="1"/>
  <c r="O550" i="246"/>
  <c r="D45" i="141"/>
  <c r="F42" i="190"/>
  <c r="K213" i="246" s="1"/>
  <c r="F40" i="190"/>
  <c r="K60" i="246" s="1"/>
  <c r="F41" i="190"/>
  <c r="K162" i="246" s="1"/>
  <c r="D43" i="14"/>
  <c r="D47" i="14" s="1"/>
  <c r="O128" i="209" s="1"/>
  <c r="O718" i="209"/>
  <c r="I602" i="209"/>
  <c r="D45" i="13"/>
  <c r="I130" i="209" s="1"/>
  <c r="O602" i="209"/>
  <c r="J661" i="209"/>
  <c r="I661" i="209"/>
  <c r="D44" i="13"/>
  <c r="O71" i="209" s="1"/>
  <c r="L26" i="13"/>
  <c r="D46" i="13"/>
  <c r="M129" i="294"/>
  <c r="I314" i="209"/>
  <c r="G24" i="175"/>
  <c r="P358" i="246"/>
  <c r="J460" i="246"/>
  <c r="P307" i="246"/>
  <c r="H29" i="184"/>
  <c r="D48" i="184"/>
  <c r="K575" i="246"/>
  <c r="F45" i="166"/>
  <c r="K116" i="246" s="1"/>
  <c r="N26" i="166"/>
  <c r="F43" i="166" s="1"/>
  <c r="F47" i="166" s="1"/>
  <c r="Q116" i="246" s="1"/>
  <c r="Q524" i="246"/>
  <c r="F44" i="166"/>
  <c r="Q65" i="246" s="1"/>
  <c r="F18" i="166"/>
  <c r="K524" i="246"/>
  <c r="F46" i="166"/>
  <c r="J662" i="209"/>
  <c r="P603" i="209"/>
  <c r="E46" i="125"/>
  <c r="E45" i="125"/>
  <c r="J131" i="209" s="1"/>
  <c r="J603" i="209"/>
  <c r="E44" i="125"/>
  <c r="P72" i="209" s="1"/>
  <c r="M26" i="125"/>
  <c r="N129" i="294"/>
  <c r="E46" i="325"/>
  <c r="E11" i="326"/>
  <c r="P510" i="246"/>
  <c r="J510" i="246"/>
  <c r="E48" i="84"/>
  <c r="K461" i="246"/>
  <c r="Q359" i="246"/>
  <c r="Q308" i="246"/>
  <c r="R308" i="246"/>
  <c r="H25" i="172"/>
  <c r="I457" i="246"/>
  <c r="O304" i="246"/>
  <c r="D25" i="174"/>
  <c r="T129" i="294"/>
  <c r="F40" i="325"/>
  <c r="J49" i="294" s="1"/>
  <c r="F42" i="325"/>
  <c r="O69" i="294" s="1"/>
  <c r="O9" i="294"/>
  <c r="F38" i="325"/>
  <c r="T9" i="294" s="1"/>
  <c r="J9" i="294"/>
  <c r="F39" i="325"/>
  <c r="O29" i="294" s="1"/>
  <c r="F41" i="325"/>
  <c r="J69" i="294" s="1"/>
  <c r="F18" i="326"/>
  <c r="F37" i="325"/>
  <c r="J29" i="294" s="1"/>
  <c r="E39" i="368"/>
  <c r="P40" i="209" s="1"/>
  <c r="E40" i="368"/>
  <c r="J99" i="209" s="1"/>
  <c r="I607" i="209"/>
  <c r="I666" i="209"/>
  <c r="M666" i="209" s="1"/>
  <c r="D44" i="7"/>
  <c r="O76" i="209" s="1"/>
  <c r="O607" i="209"/>
  <c r="D46" i="7"/>
  <c r="L26" i="7"/>
  <c r="D45" i="7"/>
  <c r="I135" i="209" s="1"/>
  <c r="M323" i="209"/>
  <c r="J20" i="292"/>
  <c r="E25" i="328"/>
  <c r="E25" i="330"/>
  <c r="J517" i="209"/>
  <c r="P340" i="209"/>
  <c r="E25" i="58"/>
  <c r="P399" i="209"/>
  <c r="C32" i="330"/>
  <c r="C32" i="58"/>
  <c r="C32" i="229" s="1"/>
  <c r="C32" i="328"/>
  <c r="D27" i="330"/>
  <c r="D27" i="58"/>
  <c r="D27" i="328"/>
  <c r="H27" i="328" s="1"/>
  <c r="H41" i="328" s="1"/>
  <c r="H27" i="44"/>
  <c r="H41" i="44" s="1"/>
  <c r="C31" i="328"/>
  <c r="C31" i="58"/>
  <c r="C31" i="229" s="1"/>
  <c r="C31" i="330"/>
  <c r="E31" i="328"/>
  <c r="E31" i="58"/>
  <c r="E31" i="229" s="1"/>
  <c r="E31" i="330"/>
  <c r="E48" i="44"/>
  <c r="P576" i="209"/>
  <c r="J576" i="209"/>
  <c r="C24" i="328"/>
  <c r="C24" i="330"/>
  <c r="N25" i="328"/>
  <c r="N25" i="58"/>
  <c r="N25" i="229" s="1"/>
  <c r="N25" i="330"/>
  <c r="E29" i="58"/>
  <c r="E29" i="229" s="1"/>
  <c r="E29" i="328"/>
  <c r="E29" i="330"/>
  <c r="E42" i="166"/>
  <c r="J218" i="246" s="1"/>
  <c r="E41" i="166"/>
  <c r="J167" i="246" s="1"/>
  <c r="J626" i="246"/>
  <c r="O26" i="141"/>
  <c r="L550" i="246"/>
  <c r="G46" i="141"/>
  <c r="G44" i="141"/>
  <c r="R91" i="246" s="1"/>
  <c r="L601" i="246"/>
  <c r="G45" i="141"/>
  <c r="L142" i="246" s="1"/>
  <c r="G18" i="141"/>
  <c r="R550" i="246"/>
  <c r="D43" i="190"/>
  <c r="D47" i="190" s="1"/>
  <c r="O111" i="246" s="1"/>
  <c r="H32" i="184"/>
  <c r="M562" i="246" s="1"/>
  <c r="J409" i="246"/>
  <c r="P256" i="246"/>
  <c r="P11" i="190"/>
  <c r="P11" i="284"/>
  <c r="P11" i="359"/>
  <c r="S11" i="246"/>
  <c r="P11" i="156"/>
  <c r="O20" i="176"/>
  <c r="O20" i="101"/>
  <c r="O20" i="99"/>
  <c r="O20" i="271"/>
  <c r="O20" i="359"/>
  <c r="Q223" i="246"/>
  <c r="R223" i="246"/>
  <c r="K325" i="246"/>
  <c r="C31" i="292"/>
  <c r="R256" i="246"/>
  <c r="K409" i="246"/>
  <c r="Q256" i="246"/>
  <c r="I427" i="246"/>
  <c r="D33" i="174"/>
  <c r="H33" i="171"/>
  <c r="R603" i="209"/>
  <c r="L662" i="209"/>
  <c r="G45" i="125"/>
  <c r="L131" i="209" s="1"/>
  <c r="O26" i="125"/>
  <c r="L603" i="209"/>
  <c r="G46" i="125"/>
  <c r="G44" i="125"/>
  <c r="R72" i="209" s="1"/>
  <c r="D44" i="325"/>
  <c r="R29" i="294" s="1"/>
  <c r="D46" i="325"/>
  <c r="D45" i="325"/>
  <c r="M49" i="294" s="1"/>
  <c r="L26" i="325"/>
  <c r="P26" i="325" s="1"/>
  <c r="D11" i="326"/>
  <c r="G44" i="360"/>
  <c r="U41" i="294" s="1"/>
  <c r="G45" i="360"/>
  <c r="P61" i="294" s="1"/>
  <c r="G46" i="360"/>
  <c r="P141" i="294"/>
  <c r="O26" i="360"/>
  <c r="G18" i="360"/>
  <c r="D29" i="174"/>
  <c r="D48" i="172"/>
  <c r="I508" i="246"/>
  <c r="D24" i="330"/>
  <c r="D24" i="328"/>
  <c r="I340" i="209"/>
  <c r="O517" i="209"/>
  <c r="I399" i="209"/>
  <c r="H24" i="44"/>
  <c r="F25" i="327"/>
  <c r="Q373" i="209"/>
  <c r="Q314" i="209"/>
  <c r="E30" i="328"/>
  <c r="J458" i="209"/>
  <c r="E30" i="330"/>
  <c r="E30" i="58"/>
  <c r="E30" i="229" s="1"/>
  <c r="S693" i="209"/>
  <c r="D16" i="328"/>
  <c r="D16" i="58"/>
  <c r="D16" i="229" s="1"/>
  <c r="D16" i="330"/>
  <c r="R668" i="209"/>
  <c r="G12" i="327"/>
  <c r="R432" i="209"/>
  <c r="H46" i="44"/>
  <c r="G31" i="328"/>
  <c r="R576" i="209"/>
  <c r="G48" i="44"/>
  <c r="G31" i="58"/>
  <c r="G31" i="229" s="1"/>
  <c r="L576" i="209"/>
  <c r="H21" i="294"/>
  <c r="D38" i="360"/>
  <c r="R21" i="294" s="1"/>
  <c r="D41" i="360"/>
  <c r="H81" i="294" s="1"/>
  <c r="D37" i="360"/>
  <c r="H41" i="294" s="1"/>
  <c r="D42" i="360"/>
  <c r="M81" i="294" s="1"/>
  <c r="D39" i="360"/>
  <c r="M41" i="294" s="1"/>
  <c r="R141" i="294"/>
  <c r="M21" i="294"/>
  <c r="D40" i="360"/>
  <c r="P10" i="324"/>
  <c r="P10" i="325"/>
  <c r="J26" i="292"/>
  <c r="H38" i="104"/>
  <c r="M281" i="246"/>
  <c r="P550" i="246"/>
  <c r="J550" i="246"/>
  <c r="E45" i="141"/>
  <c r="J142" i="246" s="1"/>
  <c r="E18" i="141"/>
  <c r="M26" i="141"/>
  <c r="E44" i="141"/>
  <c r="P91" i="246" s="1"/>
  <c r="E46" i="141"/>
  <c r="J601" i="246"/>
  <c r="P13" i="279"/>
  <c r="P13" i="191"/>
  <c r="G32" i="175"/>
  <c r="H32" i="170"/>
  <c r="P17" i="271"/>
  <c r="P17" i="176"/>
  <c r="P17" i="101"/>
  <c r="P17" i="99"/>
  <c r="M128" i="246"/>
  <c r="L576" i="246"/>
  <c r="M576" i="246" s="1"/>
  <c r="G18" i="187"/>
  <c r="R525" i="246"/>
  <c r="G45" i="187"/>
  <c r="L117" i="246" s="1"/>
  <c r="G44" i="187"/>
  <c r="R66" i="246" s="1"/>
  <c r="G46" i="187"/>
  <c r="O26" i="187"/>
  <c r="L525" i="246"/>
  <c r="G46" i="324"/>
  <c r="G45" i="324"/>
  <c r="P48" i="294" s="1"/>
  <c r="O26" i="324"/>
  <c r="O26" i="326" s="1"/>
  <c r="P128" i="294"/>
  <c r="G44" i="324"/>
  <c r="U28" i="294" s="1"/>
  <c r="G18" i="324"/>
  <c r="H18" i="324" s="1"/>
  <c r="I662" i="209"/>
  <c r="D44" i="125"/>
  <c r="O72" i="209" s="1"/>
  <c r="D46" i="125"/>
  <c r="L26" i="125"/>
  <c r="O603" i="209"/>
  <c r="D45" i="125"/>
  <c r="I131" i="209" s="1"/>
  <c r="I603" i="209"/>
  <c r="H44" i="326"/>
  <c r="K12" i="292"/>
  <c r="Q613" i="246"/>
  <c r="N31" i="292"/>
  <c r="Q409" i="246"/>
  <c r="N26" i="360"/>
  <c r="F43" i="360" s="1"/>
  <c r="F47" i="360" s="1"/>
  <c r="T61" i="294" s="1"/>
  <c r="F46" i="360"/>
  <c r="O141" i="294"/>
  <c r="F45" i="360"/>
  <c r="O61" i="294" s="1"/>
  <c r="F44" i="360"/>
  <c r="T41" i="294" s="1"/>
  <c r="F18" i="360"/>
  <c r="F16" i="330"/>
  <c r="F16" i="58"/>
  <c r="F16" i="229" s="1"/>
  <c r="F16" i="328"/>
  <c r="F29" i="330"/>
  <c r="F29" i="327"/>
  <c r="D28" i="327"/>
  <c r="H28" i="327" s="1"/>
  <c r="H42" i="327" s="1"/>
  <c r="M266" i="209" s="1"/>
  <c r="H28" i="18"/>
  <c r="H42" i="18" s="1"/>
  <c r="F17" i="328"/>
  <c r="F17" i="330"/>
  <c r="F17" i="58"/>
  <c r="F17" i="229" s="1"/>
  <c r="F32" i="327"/>
  <c r="C30" i="58"/>
  <c r="C30" i="229" s="1"/>
  <c r="C30" i="328"/>
  <c r="C30" i="330"/>
  <c r="L25" i="327"/>
  <c r="P25" i="18"/>
  <c r="H30" i="44"/>
  <c r="D30" i="58"/>
  <c r="D30" i="328"/>
  <c r="D30" i="330"/>
  <c r="I458" i="209"/>
  <c r="G18" i="296"/>
  <c r="G44" i="296"/>
  <c r="U38" i="294" s="1"/>
  <c r="G45" i="296"/>
  <c r="P58" i="294" s="1"/>
  <c r="O26" i="296"/>
  <c r="G43" i="296" s="1"/>
  <c r="G47" i="296" s="1"/>
  <c r="U58" i="294" s="1"/>
  <c r="P138" i="294"/>
  <c r="G46" i="296"/>
  <c r="E44" i="369"/>
  <c r="P103" i="209" s="1"/>
  <c r="M26" i="369"/>
  <c r="E43" i="369" s="1"/>
  <c r="E47" i="369" s="1"/>
  <c r="P162" i="209" s="1"/>
  <c r="J634" i="209"/>
  <c r="E18" i="369"/>
  <c r="P634" i="209"/>
  <c r="E46" i="369"/>
  <c r="J693" i="209"/>
  <c r="E45" i="369"/>
  <c r="J162" i="209" s="1"/>
  <c r="Q427" i="246"/>
  <c r="Q274" i="246"/>
  <c r="K427" i="246"/>
  <c r="Q325" i="246"/>
  <c r="R274" i="246"/>
  <c r="C26" i="330"/>
  <c r="E29" i="327"/>
  <c r="D11" i="104"/>
  <c r="I587" i="246" s="1"/>
  <c r="L409" i="246"/>
  <c r="AA31" i="292"/>
  <c r="Q525" i="246"/>
  <c r="F18" i="187"/>
  <c r="F44" i="187"/>
  <c r="Q66" i="246" s="1"/>
  <c r="F46" i="187"/>
  <c r="K576" i="246"/>
  <c r="K525" i="246"/>
  <c r="J611" i="209"/>
  <c r="E18" i="214"/>
  <c r="E45" i="214"/>
  <c r="J139" i="209" s="1"/>
  <c r="J670" i="209"/>
  <c r="E44" i="214"/>
  <c r="P80" i="209" s="1"/>
  <c r="E11" i="247"/>
  <c r="M26" i="214"/>
  <c r="P611" i="209"/>
  <c r="E46" i="214"/>
  <c r="O307" i="246"/>
  <c r="O460" i="246"/>
  <c r="O358" i="246"/>
  <c r="I460" i="246"/>
  <c r="H25" i="184"/>
  <c r="R637" i="209"/>
  <c r="G44" i="219"/>
  <c r="R106" i="209" s="1"/>
  <c r="G46" i="219"/>
  <c r="G11" i="225"/>
  <c r="L637" i="209"/>
  <c r="O26" i="219"/>
  <c r="G18" i="219"/>
  <c r="L696" i="209"/>
  <c r="G45" i="219"/>
  <c r="L165" i="209" s="1"/>
  <c r="F44" i="290"/>
  <c r="F18" i="290"/>
  <c r="F18" i="291" s="1"/>
  <c r="F46" i="290"/>
  <c r="N26" i="290"/>
  <c r="F43" i="290" s="1"/>
  <c r="F47" i="290" s="1"/>
  <c r="T53" i="294" s="1"/>
  <c r="F45" i="290"/>
  <c r="O53" i="294" s="1"/>
  <c r="O133" i="294"/>
  <c r="F11" i="291"/>
  <c r="E18" i="360"/>
  <c r="E44" i="360"/>
  <c r="S41" i="294" s="1"/>
  <c r="N141" i="294"/>
  <c r="M26" i="360"/>
  <c r="E45" i="360"/>
  <c r="N61" i="294" s="1"/>
  <c r="E46" i="360"/>
  <c r="E11" i="361"/>
  <c r="L550" i="209"/>
  <c r="P25" i="173"/>
  <c r="L25" i="175"/>
  <c r="P12" i="191"/>
  <c r="P12" i="95"/>
  <c r="M84" i="246"/>
  <c r="P12" i="279"/>
  <c r="D31" i="327"/>
  <c r="O550" i="209"/>
  <c r="C29" i="328"/>
  <c r="C29" i="330"/>
  <c r="C29" i="58"/>
  <c r="C29" i="229" s="1"/>
  <c r="D24" i="327"/>
  <c r="I384" i="209" s="1"/>
  <c r="O491" i="209"/>
  <c r="S657" i="209"/>
  <c r="E33" i="328"/>
  <c r="E33" i="58"/>
  <c r="E33" i="229" s="1"/>
  <c r="D33" i="330"/>
  <c r="D33" i="328"/>
  <c r="H33" i="44"/>
  <c r="D33" i="58"/>
  <c r="I517" i="209"/>
  <c r="D17" i="330"/>
  <c r="D17" i="328"/>
  <c r="D17" i="58"/>
  <c r="D17" i="229" s="1"/>
  <c r="M25" i="58"/>
  <c r="M25" i="229" s="1"/>
  <c r="M25" i="330"/>
  <c r="M25" i="328"/>
  <c r="G16" i="328"/>
  <c r="G16" i="58"/>
  <c r="G16" i="229" s="1"/>
  <c r="G16" i="330"/>
  <c r="H32" i="44"/>
  <c r="M635" i="209" s="1"/>
  <c r="D32" i="330"/>
  <c r="H32" i="330" s="1"/>
  <c r="D32" i="58"/>
  <c r="D32" i="328"/>
  <c r="D18" i="296"/>
  <c r="M138" i="294"/>
  <c r="D45" i="296"/>
  <c r="M58" i="294" s="1"/>
  <c r="L26" i="296"/>
  <c r="D44" i="296"/>
  <c r="R38" i="294" s="1"/>
  <c r="D46" i="296"/>
  <c r="M61" i="294"/>
  <c r="F40" i="289"/>
  <c r="J52" i="294" s="1"/>
  <c r="F42" i="289"/>
  <c r="O72" i="294" s="1"/>
  <c r="F41" i="289"/>
  <c r="J72" i="294" s="1"/>
  <c r="T132" i="294"/>
  <c r="F37" i="289"/>
  <c r="J32" i="294" s="1"/>
  <c r="F38" i="289"/>
  <c r="T12" i="294" s="1"/>
  <c r="J12" i="294"/>
  <c r="F39" i="289"/>
  <c r="O32" i="294" s="1"/>
  <c r="O12" i="294"/>
  <c r="H24" i="172"/>
  <c r="I304" i="246"/>
  <c r="D24" i="174"/>
  <c r="P18" i="101"/>
  <c r="P18" i="176"/>
  <c r="S536" i="246"/>
  <c r="P18" i="271"/>
  <c r="P18" i="99"/>
  <c r="H44" i="185"/>
  <c r="K29" i="292"/>
  <c r="F26" i="58"/>
  <c r="F13" i="292" s="1"/>
  <c r="G18" i="214"/>
  <c r="G45" i="214"/>
  <c r="L139" i="209" s="1"/>
  <c r="L670" i="209"/>
  <c r="R611" i="209"/>
  <c r="G11" i="247"/>
  <c r="G44" i="214"/>
  <c r="R80" i="209" s="1"/>
  <c r="G46" i="214"/>
  <c r="L611" i="209"/>
  <c r="O26" i="214"/>
  <c r="H46" i="231"/>
  <c r="S563" i="246" s="1"/>
  <c r="D48" i="231"/>
  <c r="I512" i="246"/>
  <c r="H31" i="231"/>
  <c r="H45" i="231" s="1"/>
  <c r="M155" i="246" s="1"/>
  <c r="D40" i="324"/>
  <c r="H48" i="294" s="1"/>
  <c r="D42" i="324"/>
  <c r="M68" i="294" s="1"/>
  <c r="M8" i="294"/>
  <c r="R128" i="294"/>
  <c r="D37" i="324"/>
  <c r="H28" i="294" s="1"/>
  <c r="H8" i="294"/>
  <c r="D38" i="324"/>
  <c r="R8" i="294" s="1"/>
  <c r="D39" i="324"/>
  <c r="M28" i="294" s="1"/>
  <c r="D41" i="324"/>
  <c r="H68" i="294" s="1"/>
  <c r="S272" i="246"/>
  <c r="H39" i="223"/>
  <c r="S17" i="246" s="1"/>
  <c r="L355" i="246"/>
  <c r="L304" i="246"/>
  <c r="I408" i="246"/>
  <c r="M408" i="246" s="1"/>
  <c r="H23" i="84"/>
  <c r="P255" i="246"/>
  <c r="O357" i="246"/>
  <c r="S357" i="246" s="1"/>
  <c r="O255" i="246"/>
  <c r="N26" i="219"/>
  <c r="F45" i="219"/>
  <c r="K165" i="209" s="1"/>
  <c r="F44" i="219"/>
  <c r="Q106" i="209" s="1"/>
  <c r="F46" i="219"/>
  <c r="Q637" i="209"/>
  <c r="F18" i="219"/>
  <c r="K696" i="209"/>
  <c r="K637" i="209"/>
  <c r="F11" i="225"/>
  <c r="E18" i="290"/>
  <c r="N133" i="294"/>
  <c r="E45" i="290"/>
  <c r="N53" i="294" s="1"/>
  <c r="M26" i="290"/>
  <c r="E43" i="290" s="1"/>
  <c r="E47" i="290" s="1"/>
  <c r="S53" i="294" s="1"/>
  <c r="E11" i="291"/>
  <c r="E44" i="290"/>
  <c r="E46" i="290"/>
  <c r="G33" i="175"/>
  <c r="E32" i="330"/>
  <c r="E32" i="58"/>
  <c r="E32" i="229" s="1"/>
  <c r="E32" i="328"/>
  <c r="D28" i="58"/>
  <c r="D28" i="330"/>
  <c r="D28" i="328"/>
  <c r="H28" i="44"/>
  <c r="H42" i="44" s="1"/>
  <c r="R517" i="209"/>
  <c r="G24" i="330"/>
  <c r="G24" i="328"/>
  <c r="L399" i="209"/>
  <c r="L340" i="209"/>
  <c r="G24" i="58"/>
  <c r="G24" i="229" s="1"/>
  <c r="E46" i="296"/>
  <c r="E45" i="296"/>
  <c r="E44" i="296"/>
  <c r="E18" i="296"/>
  <c r="M26" i="296"/>
  <c r="E43" i="296" s="1"/>
  <c r="E47" i="296" s="1"/>
  <c r="N138" i="294"/>
  <c r="J24" i="294"/>
  <c r="O24" i="294"/>
  <c r="F37" i="333"/>
  <c r="J44" i="294" s="1"/>
  <c r="F38" i="333"/>
  <c r="T24" i="294" s="1"/>
  <c r="F42" i="333"/>
  <c r="O84" i="294" s="1"/>
  <c r="F41" i="333"/>
  <c r="J84" i="294" s="1"/>
  <c r="T144" i="294"/>
  <c r="F40" i="333"/>
  <c r="J64" i="294" s="1"/>
  <c r="F39" i="333"/>
  <c r="O44" i="294" s="1"/>
  <c r="F43" i="289"/>
  <c r="F47" i="289" s="1"/>
  <c r="T52" i="294" s="1"/>
  <c r="P743" i="209"/>
  <c r="E43" i="365"/>
  <c r="E47" i="365" s="1"/>
  <c r="P153" i="209" s="1"/>
  <c r="I306" i="246"/>
  <c r="O408" i="246"/>
  <c r="I357" i="246"/>
  <c r="M357" i="246" s="1"/>
  <c r="J306" i="246"/>
  <c r="H24" i="84"/>
  <c r="O459" i="246"/>
  <c r="H23" i="171"/>
  <c r="O325" i="246"/>
  <c r="E44" i="72"/>
  <c r="P95" i="209" s="1"/>
  <c r="P626" i="209"/>
  <c r="E11" i="44"/>
  <c r="O478" i="246"/>
  <c r="S478" i="246" s="1"/>
  <c r="H30" i="171"/>
  <c r="H44" i="171" s="1"/>
  <c r="D30" i="174"/>
  <c r="I685" i="209"/>
  <c r="O626" i="209"/>
  <c r="D45" i="72"/>
  <c r="I154" i="209" s="1"/>
  <c r="D18" i="72"/>
  <c r="G48" i="84"/>
  <c r="H31" i="84"/>
  <c r="H45" i="84" s="1"/>
  <c r="M153" i="246" s="1"/>
  <c r="L510" i="246"/>
  <c r="M510" i="246" s="1"/>
  <c r="H46" i="84"/>
  <c r="S561" i="246" s="1"/>
  <c r="R510" i="246"/>
  <c r="S510" i="246" s="1"/>
  <c r="G13" i="58"/>
  <c r="G13" i="229" s="1"/>
  <c r="O253" i="246"/>
  <c r="J358" i="246"/>
  <c r="P460" i="246"/>
  <c r="J307" i="246"/>
  <c r="I704" i="209"/>
  <c r="D18" i="241"/>
  <c r="D45" i="241"/>
  <c r="I173" i="209" s="1"/>
  <c r="L26" i="241"/>
  <c r="I645" i="209"/>
  <c r="D46" i="241"/>
  <c r="O645" i="209"/>
  <c r="D44" i="241"/>
  <c r="E45" i="220"/>
  <c r="J172" i="209" s="1"/>
  <c r="E46" i="220"/>
  <c r="E44" i="220"/>
  <c r="P113" i="209" s="1"/>
  <c r="M26" i="220"/>
  <c r="E18" i="220"/>
  <c r="J644" i="209"/>
  <c r="P644" i="209"/>
  <c r="J703" i="209"/>
  <c r="P25" i="228"/>
  <c r="E46" i="353"/>
  <c r="J638" i="209"/>
  <c r="E18" i="353"/>
  <c r="P638" i="209"/>
  <c r="E45" i="353"/>
  <c r="J166" i="209" s="1"/>
  <c r="M26" i="353"/>
  <c r="J697" i="209"/>
  <c r="E11" i="225"/>
  <c r="E44" i="353"/>
  <c r="P107" i="209" s="1"/>
  <c r="P21" i="292"/>
  <c r="F12" i="330"/>
  <c r="Q694" i="209"/>
  <c r="Q458" i="209"/>
  <c r="N11" i="292"/>
  <c r="F12" i="58"/>
  <c r="F12" i="229" s="1"/>
  <c r="F12" i="328"/>
  <c r="G30" i="327"/>
  <c r="L432" i="209"/>
  <c r="AA10" i="292"/>
  <c r="R550" i="209"/>
  <c r="G25" i="330"/>
  <c r="L517" i="209"/>
  <c r="R399" i="209"/>
  <c r="G25" i="328"/>
  <c r="H25" i="328" s="1"/>
  <c r="H39" i="328" s="1"/>
  <c r="H25" i="44"/>
  <c r="G25" i="58"/>
  <c r="G25" i="229" s="1"/>
  <c r="R340" i="209"/>
  <c r="G32" i="330"/>
  <c r="G32" i="328"/>
  <c r="Q255" i="209"/>
  <c r="C10" i="292"/>
  <c r="F23" i="330"/>
  <c r="F23" i="58"/>
  <c r="F23" i="229" s="1"/>
  <c r="G29" i="328"/>
  <c r="G29" i="58"/>
  <c r="G29" i="229" s="1"/>
  <c r="G29" i="330"/>
  <c r="F28" i="328"/>
  <c r="F28" i="58"/>
  <c r="F28" i="229" s="1"/>
  <c r="F28" i="330"/>
  <c r="G27" i="327"/>
  <c r="G27" i="330"/>
  <c r="G27" i="58"/>
  <c r="G27" i="229" s="1"/>
  <c r="C25" i="328"/>
  <c r="C25" i="330"/>
  <c r="C25" i="58"/>
  <c r="C25" i="229" s="1"/>
  <c r="O340" i="209"/>
  <c r="G28" i="328"/>
  <c r="G28" i="330"/>
  <c r="G28" i="58"/>
  <c r="G28" i="229" s="1"/>
  <c r="G24" i="174"/>
  <c r="O523" i="246"/>
  <c r="I574" i="246"/>
  <c r="D18" i="165"/>
  <c r="L26" i="165"/>
  <c r="I523" i="246"/>
  <c r="D45" i="165"/>
  <c r="I115" i="246" s="1"/>
  <c r="D46" i="165"/>
  <c r="D44" i="165"/>
  <c r="O64" i="246" s="1"/>
  <c r="AA22" i="292"/>
  <c r="G18" i="72"/>
  <c r="O26" i="72"/>
  <c r="G44" i="72"/>
  <c r="R95" i="209" s="1"/>
  <c r="L685" i="209"/>
  <c r="G46" i="72"/>
  <c r="L626" i="209"/>
  <c r="R626" i="209"/>
  <c r="G45" i="72"/>
  <c r="L154" i="209" s="1"/>
  <c r="H30" i="184"/>
  <c r="O511" i="246"/>
  <c r="I409" i="246"/>
  <c r="N26" i="72"/>
  <c r="K685" i="209"/>
  <c r="Q626" i="209"/>
  <c r="F18" i="72"/>
  <c r="K626" i="209"/>
  <c r="F45" i="72"/>
  <c r="K154" i="209" s="1"/>
  <c r="F44" i="72"/>
  <c r="Q95" i="209" s="1"/>
  <c r="F46" i="72"/>
  <c r="F18" i="372"/>
  <c r="N26" i="372"/>
  <c r="K688" i="209"/>
  <c r="F44" i="372"/>
  <c r="Q98" i="209" s="1"/>
  <c r="F46" i="372"/>
  <c r="Q629" i="209"/>
  <c r="F45" i="372"/>
  <c r="K157" i="209" s="1"/>
  <c r="K629" i="209"/>
  <c r="F45" i="156"/>
  <c r="K110" i="246" s="1"/>
  <c r="K569" i="246"/>
  <c r="F44" i="156"/>
  <c r="Q59" i="246" s="1"/>
  <c r="Q518" i="246"/>
  <c r="K518" i="246"/>
  <c r="F46" i="156"/>
  <c r="N26" i="156"/>
  <c r="F11" i="185"/>
  <c r="F18" i="156"/>
  <c r="D39" i="162"/>
  <c r="O27" i="209"/>
  <c r="T15" i="34"/>
  <c r="T17" i="34" s="1"/>
  <c r="T30" i="34" s="1"/>
  <c r="O535" i="246"/>
  <c r="I586" i="246"/>
  <c r="L26" i="176"/>
  <c r="D45" i="176"/>
  <c r="I535" i="246"/>
  <c r="D44" i="176"/>
  <c r="D46" i="176"/>
  <c r="D18" i="176"/>
  <c r="R29" i="37"/>
  <c r="L586" i="246"/>
  <c r="G45" i="176"/>
  <c r="L127" i="246" s="1"/>
  <c r="G46" i="176"/>
  <c r="G44" i="176"/>
  <c r="R76" i="246" s="1"/>
  <c r="L535" i="246"/>
  <c r="O26" i="176"/>
  <c r="G11" i="104"/>
  <c r="R535" i="246"/>
  <c r="G18" i="176"/>
  <c r="S382" i="209"/>
  <c r="F44" i="176"/>
  <c r="Q76" i="246" s="1"/>
  <c r="Q535" i="246"/>
  <c r="F46" i="176"/>
  <c r="F18" i="176"/>
  <c r="F45" i="176"/>
  <c r="K127" i="246" s="1"/>
  <c r="K586" i="246"/>
  <c r="N26" i="176"/>
  <c r="K535" i="246"/>
  <c r="F11" i="104"/>
  <c r="L26" i="156"/>
  <c r="O518" i="246"/>
  <c r="D44" i="156"/>
  <c r="D46" i="156"/>
  <c r="I569" i="246"/>
  <c r="M569" i="246" s="1"/>
  <c r="D45" i="156"/>
  <c r="D18" i="156"/>
  <c r="D11" i="185"/>
  <c r="I518" i="246"/>
  <c r="D43" i="372"/>
  <c r="D47" i="372" s="1"/>
  <c r="V528" i="209"/>
  <c r="C587" i="209"/>
  <c r="D35" i="231"/>
  <c r="D35" i="372"/>
  <c r="E46" i="176"/>
  <c r="P535" i="246"/>
  <c r="J535" i="246"/>
  <c r="E18" i="176"/>
  <c r="E44" i="176"/>
  <c r="P76" i="246" s="1"/>
  <c r="E45" i="176"/>
  <c r="J127" i="246" s="1"/>
  <c r="M26" i="176"/>
  <c r="J586" i="246"/>
  <c r="E11" i="104"/>
  <c r="G14" i="171"/>
  <c r="D14" i="328"/>
  <c r="F46" i="349"/>
  <c r="F44" i="349"/>
  <c r="T36" i="294" s="1"/>
  <c r="N26" i="349"/>
  <c r="O136" i="294"/>
  <c r="F11" i="361"/>
  <c r="F18" i="349"/>
  <c r="F38" i="349" s="1"/>
  <c r="F45" i="349"/>
  <c r="O56" i="294" s="1"/>
  <c r="R13" i="155"/>
  <c r="X38" i="155" s="1"/>
  <c r="F38" i="196"/>
  <c r="K37" i="209" s="1"/>
  <c r="F40" i="196"/>
  <c r="K96" i="209" s="1"/>
  <c r="K745" i="209"/>
  <c r="F39" i="196"/>
  <c r="Q37" i="209" s="1"/>
  <c r="F42" i="196"/>
  <c r="K273" i="209" s="1"/>
  <c r="E14" i="44"/>
  <c r="F14" i="154"/>
  <c r="G44" i="349"/>
  <c r="U36" i="294" s="1"/>
  <c r="G18" i="349"/>
  <c r="G46" i="349"/>
  <c r="G45" i="349"/>
  <c r="P56" i="294" s="1"/>
  <c r="O26" i="349"/>
  <c r="G11" i="361"/>
  <c r="P136" i="294"/>
  <c r="K27" i="292"/>
  <c r="H44" i="84"/>
  <c r="S102" i="246" s="1"/>
  <c r="T18" i="100"/>
  <c r="J31" i="100" s="1"/>
  <c r="J33" i="100" s="1"/>
  <c r="R17" i="28"/>
  <c r="R34" i="28" s="1"/>
  <c r="F43" i="187"/>
  <c r="F47" i="187" s="1"/>
  <c r="Q117" i="246" s="1"/>
  <c r="F43" i="279"/>
  <c r="F47" i="279" s="1"/>
  <c r="Q130" i="246" s="1"/>
  <c r="D41" i="279"/>
  <c r="D39" i="279"/>
  <c r="I640" i="246"/>
  <c r="D37" i="279"/>
  <c r="D38" i="279"/>
  <c r="D42" i="279"/>
  <c r="D40" i="279"/>
  <c r="T31" i="37"/>
  <c r="E18" i="156"/>
  <c r="E45" i="156"/>
  <c r="J110" i="246" s="1"/>
  <c r="E46" i="156"/>
  <c r="M26" i="156"/>
  <c r="E44" i="156"/>
  <c r="P59" i="246" s="1"/>
  <c r="P518" i="246"/>
  <c r="J518" i="246"/>
  <c r="J569" i="246"/>
  <c r="E11" i="185"/>
  <c r="M382" i="209"/>
  <c r="D14" i="7"/>
  <c r="F14" i="7"/>
  <c r="R25" i="36"/>
  <c r="R30" i="36" s="1"/>
  <c r="T15" i="27"/>
  <c r="T21" i="27" s="1"/>
  <c r="T28" i="27" s="1"/>
  <c r="J46" i="27" s="1"/>
  <c r="J48" i="27" s="1"/>
  <c r="T12" i="155"/>
  <c r="T13" i="155" s="1"/>
  <c r="D28" i="175"/>
  <c r="P16" i="279"/>
  <c r="S84" i="246"/>
  <c r="P16" i="95"/>
  <c r="P16" i="191"/>
  <c r="G25" i="175"/>
  <c r="M441" i="209"/>
  <c r="F23" i="175"/>
  <c r="F31" i="175"/>
  <c r="F48" i="173"/>
  <c r="H39" i="212"/>
  <c r="S28" i="209" s="1"/>
  <c r="S323" i="209"/>
  <c r="H28" i="173"/>
  <c r="H42" i="173" s="1"/>
  <c r="G28" i="175"/>
  <c r="E48" i="173"/>
  <c r="R415" i="209"/>
  <c r="R356" i="209"/>
  <c r="L533" i="209"/>
  <c r="H25" i="228"/>
  <c r="H32" i="327"/>
  <c r="M620" i="209" s="1"/>
  <c r="S500" i="209"/>
  <c r="C22" i="292"/>
  <c r="Q297" i="209"/>
  <c r="K474" i="209"/>
  <c r="H31" i="228"/>
  <c r="H45" i="228" s="1"/>
  <c r="M179" i="209" s="1"/>
  <c r="H46" i="228"/>
  <c r="S651" i="209" s="1"/>
  <c r="R592" i="209"/>
  <c r="L592" i="209"/>
  <c r="G48" i="228"/>
  <c r="O20" i="225" s="1"/>
  <c r="J592" i="209"/>
  <c r="E48" i="228"/>
  <c r="M20" i="225" s="1"/>
  <c r="P592" i="209"/>
  <c r="I474" i="209"/>
  <c r="O415" i="209"/>
  <c r="O297" i="209"/>
  <c r="H23" i="228"/>
  <c r="O533" i="209"/>
  <c r="I415" i="209"/>
  <c r="F22" i="292"/>
  <c r="H25" i="173"/>
  <c r="H39" i="173" s="1"/>
  <c r="M559" i="209"/>
  <c r="E26" i="175"/>
  <c r="S264" i="209"/>
  <c r="H37" i="212"/>
  <c r="S205" i="209" s="1"/>
  <c r="I20" i="292"/>
  <c r="J415" i="209"/>
  <c r="P297" i="209"/>
  <c r="J474" i="209"/>
  <c r="Q592" i="209"/>
  <c r="G22" i="292"/>
  <c r="K592" i="209"/>
  <c r="F48" i="228"/>
  <c r="N20" i="225" s="1"/>
  <c r="R297" i="209"/>
  <c r="D48" i="228"/>
  <c r="L20" i="225" s="1"/>
  <c r="I592" i="209"/>
  <c r="H29" i="228"/>
  <c r="O266" i="209"/>
  <c r="P533" i="209"/>
  <c r="E23" i="175"/>
  <c r="F28" i="175"/>
  <c r="D32" i="175"/>
  <c r="H32" i="173"/>
  <c r="D29" i="175"/>
  <c r="D48" i="173"/>
  <c r="H29" i="173"/>
  <c r="H31" i="173"/>
  <c r="H45" i="173" s="1"/>
  <c r="H46" i="173"/>
  <c r="G48" i="173"/>
  <c r="H26" i="173"/>
  <c r="H40" i="173" s="1"/>
  <c r="D26" i="175"/>
  <c r="H47" i="212"/>
  <c r="S146" i="209" s="1"/>
  <c r="H43" i="212"/>
  <c r="D23" i="175"/>
  <c r="H23" i="175" s="1"/>
  <c r="H37" i="175" s="1"/>
  <c r="H23" i="173"/>
  <c r="H37" i="173" s="1"/>
  <c r="P415" i="209"/>
  <c r="S608" i="246"/>
  <c r="Q610" i="246"/>
  <c r="Q406" i="246"/>
  <c r="F12" i="174"/>
  <c r="Q614" i="246"/>
  <c r="N35" i="292"/>
  <c r="P35" i="292" s="1"/>
  <c r="Q410" i="246"/>
  <c r="G14" i="231"/>
  <c r="P614" i="246"/>
  <c r="P410" i="246"/>
  <c r="O406" i="246"/>
  <c r="O610" i="246"/>
  <c r="D12" i="174"/>
  <c r="G12" i="174"/>
  <c r="R610" i="246"/>
  <c r="R406" i="246"/>
  <c r="R614" i="246"/>
  <c r="R410" i="246"/>
  <c r="O410" i="246"/>
  <c r="O614" i="246"/>
  <c r="P11" i="137"/>
  <c r="P11" i="126"/>
  <c r="P11" i="187"/>
  <c r="P11" i="151"/>
  <c r="P11" i="160"/>
  <c r="P11" i="195"/>
  <c r="P11" i="141"/>
  <c r="P11" i="183"/>
  <c r="P11" i="353"/>
  <c r="F29" i="175"/>
  <c r="F48" i="170"/>
  <c r="P10" i="195"/>
  <c r="P10" i="137"/>
  <c r="P10" i="183"/>
  <c r="P10" i="349"/>
  <c r="F48" i="231"/>
  <c r="K512" i="246"/>
  <c r="G35" i="292"/>
  <c r="Q512" i="246"/>
  <c r="P16" i="353"/>
  <c r="P16" i="215"/>
  <c r="P16" i="160"/>
  <c r="C37" i="292"/>
  <c r="L29" i="349"/>
  <c r="L7" i="349"/>
  <c r="D21" i="333"/>
  <c r="L23" i="333" s="1"/>
  <c r="D7" i="214"/>
  <c r="L7" i="295"/>
  <c r="L29" i="295"/>
  <c r="D35" i="220"/>
  <c r="D7" i="220"/>
  <c r="D21" i="220"/>
  <c r="L23" i="220" s="1"/>
  <c r="D7" i="39"/>
  <c r="D21" i="39"/>
  <c r="L23" i="39" s="1"/>
  <c r="D7" i="369"/>
  <c r="D35" i="369"/>
  <c r="D7" i="353"/>
  <c r="D21" i="353"/>
  <c r="L23" i="353" s="1"/>
  <c r="D35" i="353"/>
  <c r="G24" i="164"/>
  <c r="D21" i="194"/>
  <c r="L23" i="194" s="1"/>
  <c r="G58" i="164"/>
  <c r="G65" i="164"/>
  <c r="D21" i="338"/>
  <c r="L23" i="338" s="1"/>
  <c r="D7" i="338"/>
  <c r="D35" i="338"/>
  <c r="D21" i="226"/>
  <c r="D35" i="226"/>
  <c r="D35" i="223"/>
  <c r="D21" i="223"/>
  <c r="D35" i="221"/>
  <c r="D7" i="221"/>
  <c r="G43" i="164"/>
  <c r="D35" i="229"/>
  <c r="D21" i="229"/>
  <c r="D21" i="184"/>
  <c r="D35" i="184"/>
  <c r="D21" i="219"/>
  <c r="L23" i="219" s="1"/>
  <c r="D35" i="219"/>
  <c r="D7" i="219"/>
  <c r="D7" i="101"/>
  <c r="D35" i="101"/>
  <c r="D21" i="174"/>
  <c r="D35" i="174"/>
  <c r="D35" i="194"/>
  <c r="D7" i="194"/>
  <c r="D7" i="139"/>
  <c r="D21" i="139"/>
  <c r="L23" i="139" s="1"/>
  <c r="D35" i="139"/>
  <c r="D35" i="270"/>
  <c r="D21" i="270"/>
  <c r="L23" i="270" s="1"/>
  <c r="D7" i="270"/>
  <c r="D35" i="44"/>
  <c r="D21" i="44"/>
  <c r="D35" i="214"/>
  <c r="D21" i="296"/>
  <c r="L23" i="296" s="1"/>
  <c r="D35" i="296"/>
  <c r="D7" i="296"/>
  <c r="D21" i="99"/>
  <c r="L23" i="99" s="1"/>
  <c r="D7" i="99"/>
  <c r="D35" i="99"/>
  <c r="D35" i="126"/>
  <c r="D7" i="126"/>
  <c r="D21" i="126"/>
  <c r="L23" i="126" s="1"/>
  <c r="D7" i="151"/>
  <c r="D21" i="151"/>
  <c r="L23" i="151" s="1"/>
  <c r="D35" i="151"/>
  <c r="D21" i="337"/>
  <c r="L23" i="337" s="1"/>
  <c r="D7" i="337"/>
  <c r="D35" i="337"/>
  <c r="D21" i="16"/>
  <c r="L23" i="16" s="1"/>
  <c r="D7" i="16"/>
  <c r="D35" i="16"/>
  <c r="D7" i="146"/>
  <c r="D35" i="146"/>
  <c r="D21" i="146"/>
  <c r="L23" i="146" s="1"/>
  <c r="D35" i="271"/>
  <c r="D21" i="271"/>
  <c r="L23" i="271" s="1"/>
  <c r="D7" i="271"/>
  <c r="D7" i="79"/>
  <c r="D35" i="79"/>
  <c r="D21" i="79"/>
  <c r="L23" i="79" s="1"/>
  <c r="D35" i="290"/>
  <c r="D7" i="290"/>
  <c r="D7" i="72"/>
  <c r="D35" i="72"/>
  <c r="D21" i="72"/>
  <c r="L23" i="72" s="1"/>
  <c r="D21" i="250"/>
  <c r="D35" i="250"/>
  <c r="D21" i="195"/>
  <c r="L23" i="195" s="1"/>
  <c r="D35" i="195"/>
  <c r="D7" i="195"/>
  <c r="D7" i="313"/>
  <c r="D21" i="313"/>
  <c r="L23" i="313" s="1"/>
  <c r="D35" i="313"/>
  <c r="D35" i="196"/>
  <c r="D21" i="196"/>
  <c r="L23" i="196" s="1"/>
  <c r="D7" i="196"/>
  <c r="L7" i="293"/>
  <c r="L29" i="293"/>
  <c r="D35" i="13"/>
  <c r="D7" i="13"/>
  <c r="D21" i="13"/>
  <c r="L23" i="13" s="1"/>
  <c r="D21" i="123"/>
  <c r="L23" i="123" s="1"/>
  <c r="D7" i="123"/>
  <c r="D35" i="123"/>
  <c r="D21" i="178"/>
  <c r="L23" i="178" s="1"/>
  <c r="D7" i="178"/>
  <c r="D35" i="178"/>
  <c r="D35" i="360"/>
  <c r="D21" i="360"/>
  <c r="L23" i="360" s="1"/>
  <c r="D7" i="360"/>
  <c r="D21" i="284"/>
  <c r="L23" i="284" s="1"/>
  <c r="D35" i="284"/>
  <c r="D7" i="284"/>
  <c r="D35" i="15"/>
  <c r="D7" i="15"/>
  <c r="D21" i="15"/>
  <c r="L23" i="15" s="1"/>
  <c r="D35" i="326"/>
  <c r="D21" i="326"/>
  <c r="D35" i="362"/>
  <c r="D21" i="362"/>
  <c r="L23" i="362" s="1"/>
  <c r="D7" i="362"/>
  <c r="L23" i="325"/>
  <c r="L35" i="325"/>
  <c r="L7" i="325"/>
  <c r="L29" i="325"/>
  <c r="D35" i="186"/>
  <c r="D21" i="186"/>
  <c r="D35" i="58"/>
  <c r="D21" i="58"/>
  <c r="D35" i="215"/>
  <c r="D7" i="215"/>
  <c r="D21" i="215"/>
  <c r="L23" i="215" s="1"/>
  <c r="D35" i="289"/>
  <c r="D21" i="289"/>
  <c r="L23" i="289" s="1"/>
  <c r="D7" i="289"/>
  <c r="D35" i="291"/>
  <c r="D21" i="291"/>
  <c r="D35" i="325"/>
  <c r="D7" i="325"/>
  <c r="D21" i="325"/>
  <c r="D35" i="172"/>
  <c r="D21" i="172"/>
  <c r="L29" i="289"/>
  <c r="L7" i="289"/>
  <c r="Q748" i="209"/>
  <c r="F43" i="368"/>
  <c r="F47" i="368" s="1"/>
  <c r="Q158" i="209" s="1"/>
  <c r="Q746" i="209"/>
  <c r="F43" i="154"/>
  <c r="F47" i="154" s="1"/>
  <c r="Q156" i="209" s="1"/>
  <c r="I37" i="209"/>
  <c r="I244" i="209"/>
  <c r="O101" i="209"/>
  <c r="D40" i="372"/>
  <c r="I747" i="209"/>
  <c r="D41" i="372"/>
  <c r="D38" i="372"/>
  <c r="D39" i="372"/>
  <c r="D42" i="372"/>
  <c r="D37" i="372"/>
  <c r="G43" i="325"/>
  <c r="G47" i="325" s="1"/>
  <c r="U49" i="294" s="1"/>
  <c r="I96" i="209"/>
  <c r="R722" i="209"/>
  <c r="G43" i="11"/>
  <c r="G47" i="11" s="1"/>
  <c r="R132" i="209" s="1"/>
  <c r="P17" i="14"/>
  <c r="P17" i="15"/>
  <c r="P17" i="6"/>
  <c r="D43" i="123"/>
  <c r="O742" i="209"/>
  <c r="S742" i="209" s="1"/>
  <c r="P26" i="123"/>
  <c r="O37" i="209"/>
  <c r="G43" i="337"/>
  <c r="G47" i="337" s="1"/>
  <c r="R160" i="209" s="1"/>
  <c r="R750" i="209"/>
  <c r="P18" i="324"/>
  <c r="P18" i="325"/>
  <c r="I152" i="209"/>
  <c r="P26" i="9"/>
  <c r="G43" i="14"/>
  <c r="G47" i="14" s="1"/>
  <c r="R128" i="209" s="1"/>
  <c r="R718" i="209"/>
  <c r="P26" i="14"/>
  <c r="F43" i="123"/>
  <c r="F47" i="123" s="1"/>
  <c r="Q152" i="209" s="1"/>
  <c r="Q742" i="209"/>
  <c r="F43" i="324"/>
  <c r="F47" i="324" s="1"/>
  <c r="T48" i="294" s="1"/>
  <c r="N26" i="326"/>
  <c r="F43" i="326" s="1"/>
  <c r="F42" i="368"/>
  <c r="K276" i="209" s="1"/>
  <c r="K748" i="209"/>
  <c r="F40" i="368"/>
  <c r="K99" i="209" s="1"/>
  <c r="F37" i="368"/>
  <c r="Q217" i="209" s="1"/>
  <c r="F41" i="368"/>
  <c r="K217" i="209" s="1"/>
  <c r="F39" i="368"/>
  <c r="Q40" i="209" s="1"/>
  <c r="F38" i="368"/>
  <c r="K40" i="209" s="1"/>
  <c r="E38" i="372"/>
  <c r="J39" i="209" s="1"/>
  <c r="E41" i="372"/>
  <c r="J216" i="209" s="1"/>
  <c r="E42" i="372"/>
  <c r="J275" i="209" s="1"/>
  <c r="E39" i="372"/>
  <c r="P39" i="209" s="1"/>
  <c r="E37" i="372"/>
  <c r="P216" i="209" s="1"/>
  <c r="E40" i="372"/>
  <c r="J98" i="209" s="1"/>
  <c r="J747" i="209"/>
  <c r="I12" i="292"/>
  <c r="H37" i="326"/>
  <c r="F39" i="338"/>
  <c r="Q32" i="209" s="1"/>
  <c r="E43" i="123"/>
  <c r="E47" i="123" s="1"/>
  <c r="P152" i="209" s="1"/>
  <c r="P742" i="209"/>
  <c r="F43" i="338"/>
  <c r="F47" i="338" s="1"/>
  <c r="Q150" i="209" s="1"/>
  <c r="D41" i="337"/>
  <c r="D37" i="337"/>
  <c r="D42" i="337"/>
  <c r="H18" i="337"/>
  <c r="D40" i="337"/>
  <c r="I750" i="209"/>
  <c r="D39" i="337"/>
  <c r="D38" i="337"/>
  <c r="I157" i="209"/>
  <c r="F43" i="6"/>
  <c r="F47" i="6" s="1"/>
  <c r="Q136" i="209" s="1"/>
  <c r="Q726" i="209"/>
  <c r="E37" i="72"/>
  <c r="P213" i="209" s="1"/>
  <c r="E40" i="72"/>
  <c r="R723" i="209"/>
  <c r="G44" i="10"/>
  <c r="R74" i="209" s="1"/>
  <c r="I155" i="209"/>
  <c r="I160" i="209"/>
  <c r="H9" i="294"/>
  <c r="R129" i="294"/>
  <c r="D42" i="325"/>
  <c r="M69" i="294" s="1"/>
  <c r="D41" i="325"/>
  <c r="H69" i="294" s="1"/>
  <c r="D40" i="325"/>
  <c r="D39" i="325"/>
  <c r="D38" i="325"/>
  <c r="M9" i="294"/>
  <c r="D18" i="326"/>
  <c r="D37" i="325"/>
  <c r="P26" i="337"/>
  <c r="D43" i="337"/>
  <c r="O750" i="209"/>
  <c r="K86" i="209" l="1"/>
  <c r="P26" i="11"/>
  <c r="F37" i="359"/>
  <c r="Q174" i="246" s="1"/>
  <c r="F42" i="359"/>
  <c r="K225" i="246" s="1"/>
  <c r="F38" i="359"/>
  <c r="K21" i="246" s="1"/>
  <c r="K633" i="246"/>
  <c r="F40" i="359"/>
  <c r="K72" i="246" s="1"/>
  <c r="H27" i="174"/>
  <c r="H41" i="174" s="1"/>
  <c r="P13" i="175" s="1"/>
  <c r="F43" i="11"/>
  <c r="F47" i="11" s="1"/>
  <c r="Q132" i="209" s="1"/>
  <c r="P11" i="189"/>
  <c r="X67" i="28"/>
  <c r="P12" i="160"/>
  <c r="P11" i="178"/>
  <c r="H43" i="250"/>
  <c r="S174" i="209"/>
  <c r="P19" i="221"/>
  <c r="P19" i="220"/>
  <c r="G39" i="293"/>
  <c r="P35" i="294" s="1"/>
  <c r="D37" i="365"/>
  <c r="O212" i="209" s="1"/>
  <c r="D41" i="365"/>
  <c r="I212" i="209" s="1"/>
  <c r="O729" i="209"/>
  <c r="D40" i="137"/>
  <c r="I92" i="246" s="1"/>
  <c r="H18" i="137"/>
  <c r="D41" i="137"/>
  <c r="I194" i="246" s="1"/>
  <c r="D39" i="137"/>
  <c r="O41" i="246" s="1"/>
  <c r="D42" i="365"/>
  <c r="I271" i="209" s="1"/>
  <c r="I653" i="246"/>
  <c r="O20" i="160"/>
  <c r="P16" i="137"/>
  <c r="F42" i="10"/>
  <c r="K251" i="209" s="1"/>
  <c r="X47" i="371"/>
  <c r="G43" i="9"/>
  <c r="G47" i="9" s="1"/>
  <c r="R134" i="209" s="1"/>
  <c r="P16" i="126"/>
  <c r="P16" i="183"/>
  <c r="P16" i="141"/>
  <c r="G40" i="10"/>
  <c r="L74" i="209" s="1"/>
  <c r="P16" i="151"/>
  <c r="P16" i="195"/>
  <c r="G38" i="10"/>
  <c r="L15" i="209" s="1"/>
  <c r="P16" i="194"/>
  <c r="F39" i="162"/>
  <c r="X53" i="371"/>
  <c r="P16" i="349"/>
  <c r="P16" i="188"/>
  <c r="F43" i="365"/>
  <c r="F47" i="365" s="1"/>
  <c r="Q153" i="209" s="1"/>
  <c r="G37" i="10"/>
  <c r="R192" i="209" s="1"/>
  <c r="P16" i="362"/>
  <c r="G41" i="10"/>
  <c r="L192" i="209" s="1"/>
  <c r="P16" i="219"/>
  <c r="X48" i="371"/>
  <c r="X52" i="371"/>
  <c r="P16" i="146"/>
  <c r="O20" i="178"/>
  <c r="P16" i="189"/>
  <c r="G39" i="10"/>
  <c r="R15" i="209" s="1"/>
  <c r="G42" i="10"/>
  <c r="L251" i="209" s="1"/>
  <c r="P16" i="178"/>
  <c r="X50" i="371"/>
  <c r="P16" i="293"/>
  <c r="Q741" i="209"/>
  <c r="M664" i="209"/>
  <c r="L618" i="209"/>
  <c r="D38" i="288"/>
  <c r="R11" i="294" s="1"/>
  <c r="D37" i="288"/>
  <c r="H31" i="294" s="1"/>
  <c r="D18" i="291"/>
  <c r="D42" i="288"/>
  <c r="M71" i="294" s="1"/>
  <c r="P11" i="279"/>
  <c r="S33" i="246"/>
  <c r="P11" i="191"/>
  <c r="N20" i="223"/>
  <c r="F39" i="10"/>
  <c r="Q15" i="209" s="1"/>
  <c r="F37" i="10"/>
  <c r="Q192" i="209" s="1"/>
  <c r="F38" i="10"/>
  <c r="K15" i="209" s="1"/>
  <c r="F41" i="10"/>
  <c r="K192" i="209" s="1"/>
  <c r="E38" i="196"/>
  <c r="J37" i="209" s="1"/>
  <c r="E42" i="196"/>
  <c r="J273" i="209" s="1"/>
  <c r="E41" i="196"/>
  <c r="J214" i="209" s="1"/>
  <c r="M653" i="246"/>
  <c r="F37" i="196"/>
  <c r="Q214" i="209" s="1"/>
  <c r="E40" i="196"/>
  <c r="J96" i="209" s="1"/>
  <c r="J745" i="209"/>
  <c r="E37" i="196"/>
  <c r="P214" i="209" s="1"/>
  <c r="M675" i="209"/>
  <c r="D42" i="137"/>
  <c r="I245" i="246" s="1"/>
  <c r="J38" i="70"/>
  <c r="V11" i="70" s="1"/>
  <c r="X66" i="28"/>
  <c r="J29" i="371"/>
  <c r="V15" i="371" s="1"/>
  <c r="H18" i="288"/>
  <c r="D39" i="288"/>
  <c r="M31" i="294" s="1"/>
  <c r="S359" i="246"/>
  <c r="M11" i="294"/>
  <c r="D41" i="288"/>
  <c r="H71" i="294" s="1"/>
  <c r="H11" i="294"/>
  <c r="D40" i="288"/>
  <c r="H51" i="294" s="1"/>
  <c r="I743" i="209"/>
  <c r="M743" i="209" s="1"/>
  <c r="D40" i="365"/>
  <c r="I94" i="209" s="1"/>
  <c r="S115" i="209"/>
  <c r="P16" i="220"/>
  <c r="D38" i="365"/>
  <c r="I35" i="209" s="1"/>
  <c r="P16" i="221"/>
  <c r="R747" i="209"/>
  <c r="S747" i="209" s="1"/>
  <c r="P26" i="372"/>
  <c r="M461" i="246"/>
  <c r="P26" i="137"/>
  <c r="O20" i="353"/>
  <c r="N20" i="10"/>
  <c r="O20" i="137"/>
  <c r="O20" i="187"/>
  <c r="D42" i="160"/>
  <c r="I240" i="246" s="1"/>
  <c r="D37" i="160"/>
  <c r="O189" i="246" s="1"/>
  <c r="H24" i="175"/>
  <c r="H38" i="175" s="1"/>
  <c r="E40" i="187"/>
  <c r="J66" i="246" s="1"/>
  <c r="F42" i="313"/>
  <c r="K236" i="246" s="1"/>
  <c r="I9" i="294"/>
  <c r="F41" i="338"/>
  <c r="K209" i="209" s="1"/>
  <c r="K740" i="209"/>
  <c r="G48" i="175"/>
  <c r="O20" i="212" s="1"/>
  <c r="F40" i="338"/>
  <c r="K91" i="209" s="1"/>
  <c r="F37" i="338"/>
  <c r="Q209" i="209" s="1"/>
  <c r="P11" i="347"/>
  <c r="S56" i="209"/>
  <c r="P11" i="220"/>
  <c r="H38" i="184"/>
  <c r="M52" i="246" s="1"/>
  <c r="F42" i="338"/>
  <c r="K268" i="209" s="1"/>
  <c r="E40" i="325"/>
  <c r="I49" i="294" s="1"/>
  <c r="E41" i="325"/>
  <c r="I69" i="294" s="1"/>
  <c r="P11" i="146"/>
  <c r="H26" i="175"/>
  <c r="H40" i="175" s="1"/>
  <c r="P13" i="353"/>
  <c r="P13" i="126"/>
  <c r="P745" i="209"/>
  <c r="R760" i="209"/>
  <c r="P11" i="188"/>
  <c r="P13" i="349"/>
  <c r="E38" i="187"/>
  <c r="J15" i="246" s="1"/>
  <c r="J514" i="246"/>
  <c r="F41" i="178"/>
  <c r="K226" i="209" s="1"/>
  <c r="P13" i="183"/>
  <c r="E37" i="187"/>
  <c r="P168" i="246" s="1"/>
  <c r="F38" i="14"/>
  <c r="K10" i="209" s="1"/>
  <c r="G40" i="162"/>
  <c r="E38" i="325"/>
  <c r="S9" i="294" s="1"/>
  <c r="P11" i="194"/>
  <c r="P11" i="362"/>
  <c r="P13" i="137"/>
  <c r="E42" i="187"/>
  <c r="J219" i="246" s="1"/>
  <c r="F39" i="178"/>
  <c r="Q49" i="209" s="1"/>
  <c r="P13" i="194"/>
  <c r="P13" i="160"/>
  <c r="E39" i="187"/>
  <c r="P15" i="246" s="1"/>
  <c r="F40" i="178"/>
  <c r="K108" i="209" s="1"/>
  <c r="K757" i="209"/>
  <c r="F37" i="178"/>
  <c r="Q226" i="209" s="1"/>
  <c r="F48" i="327"/>
  <c r="P13" i="151"/>
  <c r="P13" i="219"/>
  <c r="P13" i="195"/>
  <c r="E37" i="325"/>
  <c r="I29" i="294" s="1"/>
  <c r="P11" i="219"/>
  <c r="P11" i="215"/>
  <c r="P13" i="141"/>
  <c r="P26" i="347"/>
  <c r="P11" i="349"/>
  <c r="P13" i="362"/>
  <c r="P13" i="293"/>
  <c r="G18" i="178"/>
  <c r="G41" i="178" s="1"/>
  <c r="L226" i="209" s="1"/>
  <c r="P15" i="324"/>
  <c r="P13" i="188"/>
  <c r="P13" i="187"/>
  <c r="P13" i="178"/>
  <c r="G38" i="359"/>
  <c r="L21" i="246" s="1"/>
  <c r="N20" i="185"/>
  <c r="P26" i="288"/>
  <c r="M597" i="246"/>
  <c r="D40" i="10"/>
  <c r="I74" i="209" s="1"/>
  <c r="F43" i="178"/>
  <c r="F47" i="178" s="1"/>
  <c r="Q167" i="209" s="1"/>
  <c r="I756" i="209"/>
  <c r="M756" i="209" s="1"/>
  <c r="X65" i="28"/>
  <c r="H18" i="353"/>
  <c r="D37" i="353"/>
  <c r="O225" i="209" s="1"/>
  <c r="H31" i="330"/>
  <c r="H45" i="330" s="1"/>
  <c r="X64" i="28"/>
  <c r="D39" i="353"/>
  <c r="O48" i="209" s="1"/>
  <c r="D42" i="353"/>
  <c r="I284" i="209" s="1"/>
  <c r="D18" i="225"/>
  <c r="D37" i="225" s="1"/>
  <c r="O227" i="209" s="1"/>
  <c r="X63" i="28"/>
  <c r="Q561" i="209"/>
  <c r="D40" i="353"/>
  <c r="I107" i="209" s="1"/>
  <c r="M731" i="209"/>
  <c r="V12" i="292"/>
  <c r="L26" i="291"/>
  <c r="D43" i="291" s="1"/>
  <c r="L15" i="290" s="1"/>
  <c r="W31" i="290" s="1"/>
  <c r="E38" i="189"/>
  <c r="J43" i="246" s="1"/>
  <c r="E39" i="189"/>
  <c r="P43" i="246" s="1"/>
  <c r="D39" i="160"/>
  <c r="O36" i="246" s="1"/>
  <c r="E37" i="189"/>
  <c r="P196" i="246" s="1"/>
  <c r="T18" i="49"/>
  <c r="T19" i="49" s="1"/>
  <c r="T21" i="49" s="1"/>
  <c r="J30" i="49" s="1"/>
  <c r="J32" i="49" s="1"/>
  <c r="E41" i="189"/>
  <c r="J196" i="246" s="1"/>
  <c r="J655" i="246"/>
  <c r="E42" i="189"/>
  <c r="J247" i="246" s="1"/>
  <c r="E18" i="212"/>
  <c r="E41" i="212" s="1"/>
  <c r="J205" i="209" s="1"/>
  <c r="E41" i="99"/>
  <c r="J175" i="246" s="1"/>
  <c r="E37" i="99"/>
  <c r="P175" i="246" s="1"/>
  <c r="R745" i="209"/>
  <c r="S745" i="209" s="1"/>
  <c r="P12" i="126"/>
  <c r="D39" i="214"/>
  <c r="O21" i="209" s="1"/>
  <c r="E40" i="99"/>
  <c r="J73" i="246" s="1"/>
  <c r="P12" i="183"/>
  <c r="E38" i="99"/>
  <c r="J22" i="246" s="1"/>
  <c r="P12" i="137"/>
  <c r="P12" i="189"/>
  <c r="E39" i="99"/>
  <c r="P22" i="246" s="1"/>
  <c r="J755" i="209"/>
  <c r="S591" i="209"/>
  <c r="P12" i="215"/>
  <c r="P12" i="293"/>
  <c r="P16" i="214"/>
  <c r="D37" i="214"/>
  <c r="O198" i="209" s="1"/>
  <c r="H33" i="175"/>
  <c r="P16" i="105"/>
  <c r="P12" i="219"/>
  <c r="P12" i="195"/>
  <c r="G43" i="196"/>
  <c r="G47" i="196" s="1"/>
  <c r="R155" i="209" s="1"/>
  <c r="P16" i="213"/>
  <c r="H27" i="175"/>
  <c r="H41" i="175" s="1"/>
  <c r="P12" i="349"/>
  <c r="D38" i="214"/>
  <c r="I21" i="209" s="1"/>
  <c r="P12" i="141"/>
  <c r="G39" i="284"/>
  <c r="R10" i="246" s="1"/>
  <c r="S308" i="246"/>
  <c r="E37" i="162"/>
  <c r="P204" i="209" s="1"/>
  <c r="P12" i="362"/>
  <c r="P12" i="194"/>
  <c r="J735" i="209"/>
  <c r="P12" i="353"/>
  <c r="P12" i="187"/>
  <c r="E41" i="162"/>
  <c r="J204" i="209" s="1"/>
  <c r="I755" i="209"/>
  <c r="P12" i="151"/>
  <c r="P12" i="178"/>
  <c r="F18" i="248"/>
  <c r="J760" i="209"/>
  <c r="E18" i="248"/>
  <c r="E42" i="248" s="1"/>
  <c r="G37" i="347"/>
  <c r="R229" i="209" s="1"/>
  <c r="G18" i="248"/>
  <c r="G40" i="248" s="1"/>
  <c r="D40" i="347"/>
  <c r="I111" i="209" s="1"/>
  <c r="D18" i="248"/>
  <c r="M474" i="209"/>
  <c r="M670" i="209"/>
  <c r="E38" i="289"/>
  <c r="S12" i="294" s="1"/>
  <c r="M690" i="209"/>
  <c r="D38" i="215"/>
  <c r="I26" i="209" s="1"/>
  <c r="F38" i="178"/>
  <c r="K49" i="209" s="1"/>
  <c r="G41" i="189"/>
  <c r="L196" i="246" s="1"/>
  <c r="X64" i="36"/>
  <c r="G37" i="189"/>
  <c r="R196" i="246" s="1"/>
  <c r="M274" i="246"/>
  <c r="H18" i="189"/>
  <c r="G38" i="189"/>
  <c r="L43" i="246" s="1"/>
  <c r="L655" i="246"/>
  <c r="M655" i="246" s="1"/>
  <c r="D41" i="214"/>
  <c r="I198" i="209" s="1"/>
  <c r="D40" i="214"/>
  <c r="I80" i="209" s="1"/>
  <c r="H18" i="10"/>
  <c r="I723" i="209"/>
  <c r="M723" i="209" s="1"/>
  <c r="E42" i="365"/>
  <c r="J271" i="209" s="1"/>
  <c r="D38" i="10"/>
  <c r="I15" i="209" s="1"/>
  <c r="E38" i="365"/>
  <c r="J35" i="209" s="1"/>
  <c r="D37" i="10"/>
  <c r="O192" i="209" s="1"/>
  <c r="D41" i="10"/>
  <c r="I192" i="209" s="1"/>
  <c r="P26" i="10"/>
  <c r="H29" i="330"/>
  <c r="H47" i="330" s="1"/>
  <c r="S723" i="209"/>
  <c r="D44" i="10"/>
  <c r="O74" i="209" s="1"/>
  <c r="E37" i="365"/>
  <c r="P212" i="209" s="1"/>
  <c r="E41" i="365"/>
  <c r="J212" i="209" s="1"/>
  <c r="D42" i="10"/>
  <c r="I251" i="209" s="1"/>
  <c r="S473" i="209"/>
  <c r="D43" i="11"/>
  <c r="D47" i="11" s="1"/>
  <c r="M533" i="209"/>
  <c r="S376" i="246"/>
  <c r="Q634" i="209"/>
  <c r="F18" i="369"/>
  <c r="F42" i="369" s="1"/>
  <c r="K280" i="209" s="1"/>
  <c r="K634" i="209"/>
  <c r="F45" i="369"/>
  <c r="K162" i="209" s="1"/>
  <c r="N26" i="369"/>
  <c r="F43" i="369" s="1"/>
  <c r="F47" i="369" s="1"/>
  <c r="Q162" i="209" s="1"/>
  <c r="F46" i="369"/>
  <c r="F44" i="369"/>
  <c r="Q103" i="209" s="1"/>
  <c r="K693" i="209"/>
  <c r="E43" i="4"/>
  <c r="E47" i="4" s="1"/>
  <c r="P129" i="209" s="1"/>
  <c r="H25" i="175"/>
  <c r="H39" i="175" s="1"/>
  <c r="M356" i="209"/>
  <c r="P26" i="365"/>
  <c r="G38" i="196"/>
  <c r="L37" i="209" s="1"/>
  <c r="S743" i="209"/>
  <c r="G37" i="196"/>
  <c r="R214" i="209" s="1"/>
  <c r="P12" i="146"/>
  <c r="L27" i="209"/>
  <c r="G38" i="162"/>
  <c r="P746" i="209"/>
  <c r="P18" i="13"/>
  <c r="R514" i="246"/>
  <c r="P18" i="14"/>
  <c r="P18" i="9"/>
  <c r="P18" i="15"/>
  <c r="P26" i="293"/>
  <c r="D18" i="125"/>
  <c r="D38" i="125" s="1"/>
  <c r="J28" i="80"/>
  <c r="J30" i="80" s="1"/>
  <c r="V13" i="80" s="1"/>
  <c r="O749" i="209"/>
  <c r="P26" i="4"/>
  <c r="R719" i="209"/>
  <c r="S719" i="209" s="1"/>
  <c r="P735" i="209"/>
  <c r="S399" i="209"/>
  <c r="D43" i="365"/>
  <c r="D47" i="365" s="1"/>
  <c r="O153" i="209" s="1"/>
  <c r="S474" i="209"/>
  <c r="P17" i="11"/>
  <c r="I12" i="294"/>
  <c r="H18" i="215"/>
  <c r="D42" i="219"/>
  <c r="I283" i="209" s="1"/>
  <c r="P17" i="7"/>
  <c r="E42" i="289"/>
  <c r="N72" i="294" s="1"/>
  <c r="I734" i="209"/>
  <c r="P17" i="9"/>
  <c r="E39" i="289"/>
  <c r="N32" i="294" s="1"/>
  <c r="D40" i="215"/>
  <c r="I85" i="209" s="1"/>
  <c r="P17" i="4"/>
  <c r="E40" i="289"/>
  <c r="I52" i="294" s="1"/>
  <c r="D37" i="215"/>
  <c r="O203" i="209" s="1"/>
  <c r="X12" i="142"/>
  <c r="P17" i="16"/>
  <c r="N12" i="294"/>
  <c r="D42" i="215"/>
  <c r="I262" i="209" s="1"/>
  <c r="P17" i="13"/>
  <c r="S132" i="294"/>
  <c r="E18" i="291"/>
  <c r="E37" i="291" s="1"/>
  <c r="M9" i="288" s="1"/>
  <c r="E41" i="289"/>
  <c r="I72" i="294" s="1"/>
  <c r="O735" i="209"/>
  <c r="M137" i="209"/>
  <c r="D18" i="212"/>
  <c r="D41" i="212" s="1"/>
  <c r="I205" i="209" s="1"/>
  <c r="M325" i="246"/>
  <c r="S409" i="246"/>
  <c r="D42" i="347"/>
  <c r="I288" i="209" s="1"/>
  <c r="M591" i="209"/>
  <c r="D37" i="347"/>
  <c r="O229" i="209" s="1"/>
  <c r="D41" i="347"/>
  <c r="I229" i="209" s="1"/>
  <c r="D39" i="215"/>
  <c r="O26" i="209" s="1"/>
  <c r="P17" i="125"/>
  <c r="D37" i="219"/>
  <c r="O224" i="209" s="1"/>
  <c r="F40" i="16"/>
  <c r="K67" i="209" s="1"/>
  <c r="F38" i="16"/>
  <c r="K8" i="209" s="1"/>
  <c r="G42" i="196"/>
  <c r="L273" i="209" s="1"/>
  <c r="F39" i="16"/>
  <c r="Q8" i="209" s="1"/>
  <c r="G40" i="196"/>
  <c r="L96" i="209" s="1"/>
  <c r="P26" i="16"/>
  <c r="F42" i="16"/>
  <c r="K244" i="209" s="1"/>
  <c r="F37" i="16"/>
  <c r="Q185" i="209" s="1"/>
  <c r="G41" i="196"/>
  <c r="L214" i="209" s="1"/>
  <c r="H18" i="196"/>
  <c r="F41" i="16"/>
  <c r="K185" i="209" s="1"/>
  <c r="M681" i="209"/>
  <c r="G39" i="196"/>
  <c r="R37" i="209" s="1"/>
  <c r="M355" i="209"/>
  <c r="T17" i="29"/>
  <c r="J37" i="29" s="1"/>
  <c r="J39" i="29" s="1"/>
  <c r="J41" i="29" s="1"/>
  <c r="J44" i="29" s="1"/>
  <c r="J46" i="29" s="1"/>
  <c r="P26" i="178"/>
  <c r="P761" i="209"/>
  <c r="M414" i="209"/>
  <c r="E14" i="14"/>
  <c r="E14" i="18" s="1"/>
  <c r="E14" i="327" s="1"/>
  <c r="S532" i="209"/>
  <c r="Q590" i="209"/>
  <c r="M590" i="246"/>
  <c r="J23" i="32"/>
  <c r="J25" i="32" s="1"/>
  <c r="J27" i="32" s="1"/>
  <c r="J29" i="32" s="1"/>
  <c r="J43" i="36"/>
  <c r="X63" i="36" s="1"/>
  <c r="H47" i="172"/>
  <c r="S151" i="246" s="1"/>
  <c r="F38" i="313"/>
  <c r="K32" i="246" s="1"/>
  <c r="E46" i="186"/>
  <c r="M18" i="95" s="1"/>
  <c r="F40" i="313"/>
  <c r="K83" i="246" s="1"/>
  <c r="F37" i="313"/>
  <c r="Q185" i="246" s="1"/>
  <c r="E39" i="365"/>
  <c r="P35" i="209" s="1"/>
  <c r="J743" i="209"/>
  <c r="O20" i="189"/>
  <c r="O20" i="270"/>
  <c r="O20" i="194"/>
  <c r="O20" i="195"/>
  <c r="M26" i="212"/>
  <c r="P736" i="209" s="1"/>
  <c r="F41" i="293"/>
  <c r="J75" i="294" s="1"/>
  <c r="D42" i="221"/>
  <c r="I289" i="209" s="1"/>
  <c r="M750" i="209"/>
  <c r="O20" i="183"/>
  <c r="P18" i="7"/>
  <c r="P10" i="178"/>
  <c r="P10" i="126"/>
  <c r="O20" i="141"/>
  <c r="D18" i="369"/>
  <c r="D39" i="369" s="1"/>
  <c r="O44" i="209" s="1"/>
  <c r="O413" i="209"/>
  <c r="P13" i="166"/>
  <c r="D11" i="44"/>
  <c r="I694" i="209" s="1"/>
  <c r="M694" i="209" s="1"/>
  <c r="F40" i="14"/>
  <c r="K69" i="209" s="1"/>
  <c r="G41" i="16"/>
  <c r="L185" i="209" s="1"/>
  <c r="Q361" i="246"/>
  <c r="Q716" i="209"/>
  <c r="E39" i="72"/>
  <c r="E41" i="72"/>
  <c r="J213" i="209" s="1"/>
  <c r="P10" i="189"/>
  <c r="D38" i="162"/>
  <c r="P18" i="16"/>
  <c r="P10" i="362"/>
  <c r="D46" i="369"/>
  <c r="R361" i="246"/>
  <c r="G42" i="16"/>
  <c r="L244" i="209" s="1"/>
  <c r="I761" i="209"/>
  <c r="M761" i="209" s="1"/>
  <c r="P10" i="219"/>
  <c r="L26" i="369"/>
  <c r="P26" i="369" s="1"/>
  <c r="P13" i="139"/>
  <c r="G39" i="16"/>
  <c r="R8" i="209" s="1"/>
  <c r="N20" i="14"/>
  <c r="P18" i="11"/>
  <c r="E43" i="72"/>
  <c r="E47" i="72" s="1"/>
  <c r="P154" i="209" s="1"/>
  <c r="P10" i="215"/>
  <c r="P10" i="160"/>
  <c r="O20" i="362"/>
  <c r="O634" i="209"/>
  <c r="F39" i="14"/>
  <c r="Q10" i="209" s="1"/>
  <c r="G37" i="16"/>
  <c r="R185" i="209" s="1"/>
  <c r="M701" i="209"/>
  <c r="D39" i="221"/>
  <c r="O53" i="209" s="1"/>
  <c r="I648" i="246"/>
  <c r="M648" i="246" s="1"/>
  <c r="N20" i="196"/>
  <c r="P10" i="194"/>
  <c r="P10" i="146"/>
  <c r="L716" i="209"/>
  <c r="M716" i="209" s="1"/>
  <c r="E38" i="72"/>
  <c r="H23" i="58"/>
  <c r="I13" i="292" s="1"/>
  <c r="P18" i="4"/>
  <c r="F24" i="229"/>
  <c r="D24" i="292" s="1"/>
  <c r="P10" i="151"/>
  <c r="O20" i="219"/>
  <c r="H44" i="228"/>
  <c r="S120" i="209" s="1"/>
  <c r="D45" i="369"/>
  <c r="I162" i="209" s="1"/>
  <c r="P25" i="175"/>
  <c r="G39" i="189"/>
  <c r="R43" i="246" s="1"/>
  <c r="M358" i="246"/>
  <c r="D43" i="347"/>
  <c r="D47" i="347" s="1"/>
  <c r="O170" i="209" s="1"/>
  <c r="H18" i="16"/>
  <c r="M307" i="246"/>
  <c r="K718" i="209"/>
  <c r="D37" i="221"/>
  <c r="O230" i="209" s="1"/>
  <c r="I760" i="209"/>
  <c r="G40" i="16"/>
  <c r="L67" i="209" s="1"/>
  <c r="R757" i="209"/>
  <c r="S757" i="209" s="1"/>
  <c r="R716" i="209"/>
  <c r="S716" i="209" s="1"/>
  <c r="I693" i="209"/>
  <c r="M693" i="209" s="1"/>
  <c r="D40" i="160"/>
  <c r="I87" i="246" s="1"/>
  <c r="P10" i="293"/>
  <c r="O20" i="151"/>
  <c r="F41" i="14"/>
  <c r="K187" i="209" s="1"/>
  <c r="P18" i="6"/>
  <c r="P10" i="188"/>
  <c r="O20" i="126"/>
  <c r="S592" i="209"/>
  <c r="D44" i="369"/>
  <c r="O103" i="209" s="1"/>
  <c r="G40" i="189"/>
  <c r="L94" i="246" s="1"/>
  <c r="D38" i="160"/>
  <c r="I36" i="246" s="1"/>
  <c r="O760" i="209"/>
  <c r="G42" i="359"/>
  <c r="L225" i="246" s="1"/>
  <c r="F37" i="14"/>
  <c r="Q187" i="209" s="1"/>
  <c r="D41" i="221"/>
  <c r="I230" i="209" s="1"/>
  <c r="D39" i="347"/>
  <c r="O52" i="209" s="1"/>
  <c r="E43" i="9"/>
  <c r="E47" i="9" s="1"/>
  <c r="P134" i="209" s="1"/>
  <c r="P13" i="162"/>
  <c r="D38" i="221"/>
  <c r="I53" i="209" s="1"/>
  <c r="P10" i="141"/>
  <c r="S609" i="209"/>
  <c r="P18" i="125"/>
  <c r="P10" i="187"/>
  <c r="D38" i="347"/>
  <c r="I52" i="209" s="1"/>
  <c r="J744" i="209"/>
  <c r="O20" i="146"/>
  <c r="M415" i="209"/>
  <c r="H18" i="160"/>
  <c r="J22" i="292"/>
  <c r="G40" i="359"/>
  <c r="L72" i="246" s="1"/>
  <c r="H18" i="221"/>
  <c r="P9" i="189"/>
  <c r="P18" i="183"/>
  <c r="P26" i="95"/>
  <c r="R32" i="36"/>
  <c r="N34" i="36"/>
  <c r="N36" i="36" s="1"/>
  <c r="R21" i="49"/>
  <c r="O740" i="209"/>
  <c r="S740" i="209" s="1"/>
  <c r="D43" i="338"/>
  <c r="D47" i="338" s="1"/>
  <c r="O150" i="209" s="1"/>
  <c r="G14" i="14"/>
  <c r="G18" i="14" s="1"/>
  <c r="G37" i="14" s="1"/>
  <c r="R187" i="209" s="1"/>
  <c r="M532" i="209"/>
  <c r="P14" i="137"/>
  <c r="R310" i="246"/>
  <c r="AA37" i="292"/>
  <c r="P14" i="160"/>
  <c r="E45" i="186"/>
  <c r="M17" i="279" s="1"/>
  <c r="P514" i="246"/>
  <c r="P14" i="362"/>
  <c r="P14" i="187"/>
  <c r="P543" i="246"/>
  <c r="P14" i="215"/>
  <c r="S459" i="246"/>
  <c r="G44" i="212"/>
  <c r="R87" i="209" s="1"/>
  <c r="P9" i="146"/>
  <c r="P14" i="189"/>
  <c r="J412" i="246"/>
  <c r="E42" i="195"/>
  <c r="J246" i="246" s="1"/>
  <c r="M696" i="209"/>
  <c r="P9" i="187"/>
  <c r="E41" i="195"/>
  <c r="J195" i="246" s="1"/>
  <c r="P14" i="194"/>
  <c r="P9" i="141"/>
  <c r="E40" i="195"/>
  <c r="J93" i="246" s="1"/>
  <c r="J618" i="209"/>
  <c r="P9" i="362"/>
  <c r="P14" i="353"/>
  <c r="P708" i="209"/>
  <c r="E38" i="195"/>
  <c r="J42" i="246" s="1"/>
  <c r="E39" i="195"/>
  <c r="P42" i="246" s="1"/>
  <c r="P9" i="126"/>
  <c r="P9" i="183"/>
  <c r="N18" i="325"/>
  <c r="E37" i="195"/>
  <c r="P195" i="246" s="1"/>
  <c r="H47" i="170"/>
  <c r="P19" i="141" s="1"/>
  <c r="R609" i="209"/>
  <c r="P14" i="183"/>
  <c r="P9" i="160"/>
  <c r="P9" i="353"/>
  <c r="P14" i="188"/>
  <c r="D18" i="13"/>
  <c r="D41" i="13" s="1"/>
  <c r="I189" i="209" s="1"/>
  <c r="S186" i="246"/>
  <c r="P9" i="178"/>
  <c r="O756" i="209"/>
  <c r="S756" i="209" s="1"/>
  <c r="P14" i="219"/>
  <c r="P9" i="137"/>
  <c r="P9" i="215"/>
  <c r="J594" i="246"/>
  <c r="E18" i="13"/>
  <c r="E39" i="13" s="1"/>
  <c r="P12" i="209" s="1"/>
  <c r="P9" i="293"/>
  <c r="N17" i="325"/>
  <c r="D48" i="58"/>
  <c r="M663" i="209"/>
  <c r="E37" i="15"/>
  <c r="P186" i="209" s="1"/>
  <c r="R635" i="209"/>
  <c r="E37" i="219"/>
  <c r="P224" i="209" s="1"/>
  <c r="P20" i="333"/>
  <c r="D43" i="270"/>
  <c r="D47" i="270" s="1"/>
  <c r="O147" i="246" s="1"/>
  <c r="S129" i="294"/>
  <c r="F42" i="293"/>
  <c r="O75" i="294" s="1"/>
  <c r="E39" i="325"/>
  <c r="N29" i="294" s="1"/>
  <c r="H25" i="174"/>
  <c r="S310" i="246" s="1"/>
  <c r="F37" i="293"/>
  <c r="J35" i="294" s="1"/>
  <c r="J15" i="294"/>
  <c r="N9" i="294"/>
  <c r="E42" i="325"/>
  <c r="N69" i="294" s="1"/>
  <c r="F39" i="293"/>
  <c r="O35" i="294" s="1"/>
  <c r="O15" i="294"/>
  <c r="F40" i="293"/>
  <c r="J55" i="294" s="1"/>
  <c r="F38" i="293"/>
  <c r="T15" i="294" s="1"/>
  <c r="H38" i="250"/>
  <c r="M60" i="209" s="1"/>
  <c r="E40" i="333"/>
  <c r="I64" i="294" s="1"/>
  <c r="O20" i="226"/>
  <c r="J310" i="246"/>
  <c r="K412" i="246"/>
  <c r="L463" i="246"/>
  <c r="F46" i="186"/>
  <c r="N18" i="191" s="1"/>
  <c r="F45" i="186"/>
  <c r="N17" i="279" s="1"/>
  <c r="M30" i="292"/>
  <c r="S30" i="292" s="1"/>
  <c r="T30" i="292" s="1"/>
  <c r="H33" i="174"/>
  <c r="P9" i="191"/>
  <c r="P9" i="95"/>
  <c r="Q259" i="246"/>
  <c r="J463" i="246"/>
  <c r="S508" i="246"/>
  <c r="E48" i="174"/>
  <c r="M457" i="246"/>
  <c r="R142" i="294"/>
  <c r="D40" i="367"/>
  <c r="H62" i="294" s="1"/>
  <c r="H22" i="294"/>
  <c r="D42" i="367"/>
  <c r="M82" i="294" s="1"/>
  <c r="D39" i="367"/>
  <c r="D38" i="367"/>
  <c r="R22" i="294" s="1"/>
  <c r="D37" i="367"/>
  <c r="H42" i="294" s="1"/>
  <c r="M22" i="294"/>
  <c r="K590" i="209"/>
  <c r="F31" i="229"/>
  <c r="G24" i="292" s="1"/>
  <c r="D37" i="95"/>
  <c r="O182" i="246" s="1"/>
  <c r="D40" i="95"/>
  <c r="I80" i="246" s="1"/>
  <c r="D41" i="95"/>
  <c r="I182" i="246" s="1"/>
  <c r="P9" i="188"/>
  <c r="D42" i="95"/>
  <c r="I233" i="246" s="1"/>
  <c r="P9" i="151"/>
  <c r="H31" i="175"/>
  <c r="H45" i="175" s="1"/>
  <c r="M598" i="246"/>
  <c r="P9" i="194"/>
  <c r="P9" i="349"/>
  <c r="J717" i="209"/>
  <c r="E40" i="15"/>
  <c r="J68" i="209" s="1"/>
  <c r="E38" i="15"/>
  <c r="J9" i="209" s="1"/>
  <c r="E39" i="15"/>
  <c r="P9" i="209" s="1"/>
  <c r="E42" i="15"/>
  <c r="J245" i="209" s="1"/>
  <c r="L740" i="209"/>
  <c r="M202" i="246"/>
  <c r="I24" i="294"/>
  <c r="F40" i="151"/>
  <c r="K89" i="246" s="1"/>
  <c r="K557" i="246"/>
  <c r="F44" i="226"/>
  <c r="Q98" i="246" s="1"/>
  <c r="M703" i="209"/>
  <c r="H18" i="367"/>
  <c r="Q557" i="246"/>
  <c r="R762" i="209"/>
  <c r="G46" i="226"/>
  <c r="L412" i="246"/>
  <c r="G44" i="226"/>
  <c r="R98" i="246" s="1"/>
  <c r="K608" i="246"/>
  <c r="O26" i="248"/>
  <c r="F45" i="226"/>
  <c r="K149" i="246" s="1"/>
  <c r="H23" i="328"/>
  <c r="H37" i="328" s="1"/>
  <c r="F11" i="172"/>
  <c r="F44" i="172" s="1"/>
  <c r="F46" i="226"/>
  <c r="O755" i="209"/>
  <c r="S144" i="294"/>
  <c r="D43" i="72"/>
  <c r="D47" i="72" s="1"/>
  <c r="D43" i="219"/>
  <c r="D47" i="219" s="1"/>
  <c r="O165" i="209" s="1"/>
  <c r="E38" i="333"/>
  <c r="S24" i="294" s="1"/>
  <c r="E37" i="333"/>
  <c r="I44" i="294" s="1"/>
  <c r="E42" i="333"/>
  <c r="N84" i="294" s="1"/>
  <c r="F41" i="151"/>
  <c r="K191" i="246" s="1"/>
  <c r="P26" i="219"/>
  <c r="E41" i="333"/>
  <c r="I84" i="294" s="1"/>
  <c r="K650" i="246"/>
  <c r="M406" i="246"/>
  <c r="H29" i="174"/>
  <c r="H47" i="174" s="1"/>
  <c r="N24" i="294"/>
  <c r="F42" i="151"/>
  <c r="K242" i="246" s="1"/>
  <c r="P9" i="219"/>
  <c r="G41" i="347"/>
  <c r="L229" i="209" s="1"/>
  <c r="G38" i="338"/>
  <c r="L32" i="209" s="1"/>
  <c r="G40" i="338"/>
  <c r="L91" i="209" s="1"/>
  <c r="J52" i="28"/>
  <c r="J54" i="28" s="1"/>
  <c r="D15" i="4"/>
  <c r="E15" i="4" s="1"/>
  <c r="G37" i="293"/>
  <c r="K35" i="294" s="1"/>
  <c r="G40" i="293"/>
  <c r="K55" i="294" s="1"/>
  <c r="E38" i="347"/>
  <c r="J52" i="209" s="1"/>
  <c r="P13" i="104"/>
  <c r="E41" i="349"/>
  <c r="I76" i="294" s="1"/>
  <c r="M26" i="326"/>
  <c r="E43" i="326" s="1"/>
  <c r="M15" i="324" s="1"/>
  <c r="U135" i="294"/>
  <c r="E41" i="347"/>
  <c r="J229" i="209" s="1"/>
  <c r="P13" i="170"/>
  <c r="E38" i="349"/>
  <c r="S16" i="294" s="1"/>
  <c r="P10" i="347"/>
  <c r="P15" i="294"/>
  <c r="G38" i="220"/>
  <c r="L54" i="209" s="1"/>
  <c r="D39" i="219"/>
  <c r="O47" i="209" s="1"/>
  <c r="P10" i="221"/>
  <c r="P10" i="220"/>
  <c r="G11" i="170"/>
  <c r="G45" i="170" s="1"/>
  <c r="G41" i="293"/>
  <c r="K75" i="294" s="1"/>
  <c r="G39" i="220"/>
  <c r="R54" i="209" s="1"/>
  <c r="R557" i="246"/>
  <c r="K15" i="294"/>
  <c r="H18" i="293"/>
  <c r="G42" i="220"/>
  <c r="L290" i="209" s="1"/>
  <c r="G45" i="226"/>
  <c r="L149" i="246" s="1"/>
  <c r="G41" i="220"/>
  <c r="L231" i="209" s="1"/>
  <c r="G39" i="215"/>
  <c r="R26" i="209" s="1"/>
  <c r="G38" i="215"/>
  <c r="L26" i="209" s="1"/>
  <c r="L734" i="209"/>
  <c r="G42" i="215"/>
  <c r="L262" i="209" s="1"/>
  <c r="G41" i="215"/>
  <c r="L203" i="209" s="1"/>
  <c r="G40" i="215"/>
  <c r="L85" i="209" s="1"/>
  <c r="G37" i="220"/>
  <c r="R231" i="209" s="1"/>
  <c r="G40" i="220"/>
  <c r="L113" i="209" s="1"/>
  <c r="F48" i="58"/>
  <c r="G42" i="95"/>
  <c r="L233" i="246" s="1"/>
  <c r="L557" i="246"/>
  <c r="H32" i="174"/>
  <c r="M565" i="246" s="1"/>
  <c r="G42" i="293"/>
  <c r="P75" i="294" s="1"/>
  <c r="G42" i="338"/>
  <c r="L268" i="209" s="1"/>
  <c r="D41" i="99"/>
  <c r="I175" i="246" s="1"/>
  <c r="O20" i="7"/>
  <c r="H18" i="362"/>
  <c r="D38" i="362"/>
  <c r="R19" i="294" s="1"/>
  <c r="D42" i="362"/>
  <c r="M79" i="294" s="1"/>
  <c r="D39" i="95"/>
  <c r="O29" i="246" s="1"/>
  <c r="P16" i="186"/>
  <c r="I641" i="246"/>
  <c r="P16" i="226"/>
  <c r="E43" i="6"/>
  <c r="E47" i="6" s="1"/>
  <c r="P136" i="209" s="1"/>
  <c r="N20" i="9"/>
  <c r="N20" i="4"/>
  <c r="M20" i="151"/>
  <c r="M26" i="44"/>
  <c r="P753" i="209" s="1"/>
  <c r="L677" i="209"/>
  <c r="D39" i="99"/>
  <c r="O22" i="246" s="1"/>
  <c r="M20" i="11"/>
  <c r="N20" i="16"/>
  <c r="J10" i="292"/>
  <c r="P18" i="151"/>
  <c r="R720" i="209"/>
  <c r="T37" i="37"/>
  <c r="J56" i="37" s="1"/>
  <c r="J57" i="37" s="1"/>
  <c r="N20" i="15"/>
  <c r="M314" i="209"/>
  <c r="P18" i="146"/>
  <c r="N20" i="6"/>
  <c r="P18" i="293"/>
  <c r="P26" i="189"/>
  <c r="P26" i="162"/>
  <c r="R618" i="209"/>
  <c r="R735" i="209"/>
  <c r="P18" i="189"/>
  <c r="R37" i="37"/>
  <c r="X70" i="37" s="1"/>
  <c r="P18" i="137"/>
  <c r="D37" i="99"/>
  <c r="O175" i="246" s="1"/>
  <c r="S724" i="209"/>
  <c r="P12" i="13"/>
  <c r="M20" i="137"/>
  <c r="P10" i="165"/>
  <c r="P18" i="141"/>
  <c r="M20" i="141"/>
  <c r="P10" i="162"/>
  <c r="N20" i="11"/>
  <c r="P25" i="174"/>
  <c r="G46" i="212"/>
  <c r="P10" i="139"/>
  <c r="N20" i="125"/>
  <c r="M20" i="362"/>
  <c r="N20" i="7"/>
  <c r="M20" i="219"/>
  <c r="H47" i="171"/>
  <c r="S121" i="246" s="1"/>
  <c r="P26" i="99"/>
  <c r="D42" i="99"/>
  <c r="I226" i="246" s="1"/>
  <c r="I634" i="246"/>
  <c r="M20" i="195"/>
  <c r="M20" i="183"/>
  <c r="I618" i="209"/>
  <c r="D40" i="99"/>
  <c r="I73" i="246" s="1"/>
  <c r="P18" i="195"/>
  <c r="M20" i="146"/>
  <c r="P26" i="13"/>
  <c r="E48" i="175"/>
  <c r="M20" i="212" s="1"/>
  <c r="M20" i="178"/>
  <c r="E48" i="327"/>
  <c r="L668" i="209"/>
  <c r="L609" i="209"/>
  <c r="M20" i="270"/>
  <c r="M20" i="189"/>
  <c r="M20" i="160"/>
  <c r="S457" i="246"/>
  <c r="M20" i="126"/>
  <c r="L325" i="209"/>
  <c r="S253" i="246"/>
  <c r="L20" i="125"/>
  <c r="M20" i="349"/>
  <c r="M20" i="293"/>
  <c r="L622" i="246"/>
  <c r="M622" i="246" s="1"/>
  <c r="H47" i="327"/>
  <c r="S148" i="209" s="1"/>
  <c r="M20" i="194"/>
  <c r="G38" i="284"/>
  <c r="L10" i="246" s="1"/>
  <c r="K325" i="209"/>
  <c r="G41" i="284"/>
  <c r="L163" i="246" s="1"/>
  <c r="G44" i="18"/>
  <c r="O16" i="13" s="1"/>
  <c r="M20" i="353"/>
  <c r="G11" i="327"/>
  <c r="G45" i="327" s="1"/>
  <c r="L148" i="209" s="1"/>
  <c r="H18" i="284"/>
  <c r="Q310" i="246"/>
  <c r="G37" i="284"/>
  <c r="R163" i="246" s="1"/>
  <c r="G46" i="18"/>
  <c r="O18" i="11" s="1"/>
  <c r="M20" i="188"/>
  <c r="G40" i="284"/>
  <c r="L61" i="246" s="1"/>
  <c r="S355" i="246"/>
  <c r="Q266" i="209"/>
  <c r="D41" i="362"/>
  <c r="H79" i="294" s="1"/>
  <c r="G41" i="95"/>
  <c r="L182" i="246" s="1"/>
  <c r="L641" i="246"/>
  <c r="O531" i="209"/>
  <c r="S432" i="209"/>
  <c r="M491" i="209"/>
  <c r="D39" i="362"/>
  <c r="M39" i="294" s="1"/>
  <c r="G40" i="95"/>
  <c r="L80" i="246" s="1"/>
  <c r="G37" i="95"/>
  <c r="R182" i="246" s="1"/>
  <c r="M20" i="9"/>
  <c r="D37" i="362"/>
  <c r="H39" i="294" s="1"/>
  <c r="G41" i="359"/>
  <c r="L174" i="246" s="1"/>
  <c r="G38" i="95"/>
  <c r="L29" i="246" s="1"/>
  <c r="H18" i="95"/>
  <c r="P24" i="294"/>
  <c r="E42" i="347"/>
  <c r="J288" i="209" s="1"/>
  <c r="O472" i="209"/>
  <c r="M661" i="209"/>
  <c r="J443" i="209"/>
  <c r="G38" i="333"/>
  <c r="U24" i="294" s="1"/>
  <c r="E37" i="347"/>
  <c r="P229" i="209" s="1"/>
  <c r="H18" i="333"/>
  <c r="P15" i="213"/>
  <c r="P15" i="214"/>
  <c r="P15" i="105"/>
  <c r="U144" i="294"/>
  <c r="I561" i="209"/>
  <c r="M561" i="209" s="1"/>
  <c r="E40" i="347"/>
  <c r="J111" i="209" s="1"/>
  <c r="G14" i="184"/>
  <c r="E39" i="347"/>
  <c r="P52" i="209" s="1"/>
  <c r="D40" i="362"/>
  <c r="H59" i="294" s="1"/>
  <c r="R139" i="294"/>
  <c r="I472" i="209"/>
  <c r="P760" i="209"/>
  <c r="H19" i="294"/>
  <c r="P717" i="209"/>
  <c r="G41" i="338"/>
  <c r="L209" i="209" s="1"/>
  <c r="G37" i="338"/>
  <c r="R209" i="209" s="1"/>
  <c r="H18" i="190"/>
  <c r="G37" i="190"/>
  <c r="R162" i="246" s="1"/>
  <c r="S355" i="209"/>
  <c r="M570" i="246"/>
  <c r="K543" i="246"/>
  <c r="H44" i="231"/>
  <c r="S104" i="246" s="1"/>
  <c r="M550" i="209"/>
  <c r="F14" i="172"/>
  <c r="F14" i="174" s="1"/>
  <c r="F14" i="231"/>
  <c r="F14" i="170"/>
  <c r="F14" i="175" s="1"/>
  <c r="Q543" i="246"/>
  <c r="S408" i="246"/>
  <c r="F44" i="186"/>
  <c r="N16" i="279" s="1"/>
  <c r="P18" i="353"/>
  <c r="D46" i="212"/>
  <c r="P18" i="160"/>
  <c r="P18" i="194"/>
  <c r="J543" i="246"/>
  <c r="I677" i="209"/>
  <c r="P412" i="246"/>
  <c r="P18" i="362"/>
  <c r="P18" i="349"/>
  <c r="H29" i="328"/>
  <c r="H47" i="328" s="1"/>
  <c r="L26" i="226"/>
  <c r="D43" i="226" s="1"/>
  <c r="D47" i="226" s="1"/>
  <c r="O149" i="246" s="1"/>
  <c r="K654" i="246"/>
  <c r="S257" i="246"/>
  <c r="I590" i="209"/>
  <c r="D45" i="212"/>
  <c r="I146" i="209" s="1"/>
  <c r="P18" i="187"/>
  <c r="P18" i="219"/>
  <c r="E44" i="212"/>
  <c r="P87" i="209" s="1"/>
  <c r="D41" i="219"/>
  <c r="I224" i="209" s="1"/>
  <c r="D40" i="219"/>
  <c r="I106" i="209" s="1"/>
  <c r="M373" i="209"/>
  <c r="J677" i="209"/>
  <c r="E45" i="212"/>
  <c r="J146" i="209" s="1"/>
  <c r="P26" i="359"/>
  <c r="O618" i="209"/>
  <c r="N20" i="368"/>
  <c r="E46" i="212"/>
  <c r="C524" i="209"/>
  <c r="V465" i="209"/>
  <c r="G38" i="190"/>
  <c r="L9" i="246" s="1"/>
  <c r="X13" i="142"/>
  <c r="X11" i="142"/>
  <c r="P26" i="215"/>
  <c r="E11" i="172"/>
  <c r="E46" i="172" s="1"/>
  <c r="P16" i="104"/>
  <c r="L634" i="246"/>
  <c r="G42" i="99"/>
  <c r="L226" i="246" s="1"/>
  <c r="G40" i="99"/>
  <c r="L73" i="246" s="1"/>
  <c r="G41" i="99"/>
  <c r="L175" i="246" s="1"/>
  <c r="G38" i="99"/>
  <c r="L22" i="246" s="1"/>
  <c r="G39" i="99"/>
  <c r="R22" i="246" s="1"/>
  <c r="G37" i="99"/>
  <c r="R175" i="246" s="1"/>
  <c r="S100" i="246"/>
  <c r="Q463" i="246"/>
  <c r="M460" i="246"/>
  <c r="P16" i="225"/>
  <c r="S460" i="246"/>
  <c r="G42" i="347"/>
  <c r="L288" i="209" s="1"/>
  <c r="K361" i="246"/>
  <c r="H18" i="99"/>
  <c r="D45" i="18"/>
  <c r="L17" i="11" s="1"/>
  <c r="W33" i="11" s="1"/>
  <c r="O609" i="209"/>
  <c r="H18" i="347"/>
  <c r="K310" i="246"/>
  <c r="D46" i="18"/>
  <c r="L18" i="9" s="1"/>
  <c r="I609" i="209"/>
  <c r="D40" i="338"/>
  <c r="I91" i="209" s="1"/>
  <c r="D41" i="338"/>
  <c r="I209" i="209" s="1"/>
  <c r="H18" i="338"/>
  <c r="D39" i="338"/>
  <c r="O32" i="209" s="1"/>
  <c r="I740" i="209"/>
  <c r="D37" i="338"/>
  <c r="O209" i="209" s="1"/>
  <c r="D38" i="338"/>
  <c r="I32" i="209" s="1"/>
  <c r="D42" i="338"/>
  <c r="I268" i="209" s="1"/>
  <c r="J32" i="161"/>
  <c r="D43" i="221"/>
  <c r="D47" i="221" s="1"/>
  <c r="O171" i="209" s="1"/>
  <c r="O761" i="209"/>
  <c r="S761" i="209" s="1"/>
  <c r="F38" i="195"/>
  <c r="K42" i="246" s="1"/>
  <c r="F37" i="195"/>
  <c r="Q195" i="246" s="1"/>
  <c r="F41" i="195"/>
  <c r="K195" i="246" s="1"/>
  <c r="F39" i="195"/>
  <c r="Q42" i="246" s="1"/>
  <c r="F40" i="195"/>
  <c r="K93" i="246" s="1"/>
  <c r="K644" i="246"/>
  <c r="L633" i="246"/>
  <c r="M633" i="246" s="1"/>
  <c r="F39" i="313"/>
  <c r="Q32" i="246" s="1"/>
  <c r="P384" i="209"/>
  <c r="G37" i="359"/>
  <c r="R174" i="246" s="1"/>
  <c r="P26" i="289"/>
  <c r="D18" i="361"/>
  <c r="D37" i="361" s="1"/>
  <c r="G39" i="347"/>
  <c r="R52" i="209" s="1"/>
  <c r="O20" i="188"/>
  <c r="P14" i="141"/>
  <c r="S358" i="246"/>
  <c r="G40" i="190"/>
  <c r="L60" i="246" s="1"/>
  <c r="S427" i="246"/>
  <c r="L621" i="246"/>
  <c r="L760" i="209"/>
  <c r="H18" i="359"/>
  <c r="G40" i="347"/>
  <c r="L111" i="209" s="1"/>
  <c r="H47" i="18"/>
  <c r="P19" i="9" s="1"/>
  <c r="G41" i="190"/>
  <c r="L162" i="246" s="1"/>
  <c r="G38" i="347"/>
  <c r="L52" i="209" s="1"/>
  <c r="O20" i="349"/>
  <c r="P14" i="151"/>
  <c r="G39" i="190"/>
  <c r="R9" i="246" s="1"/>
  <c r="L26" i="44"/>
  <c r="L26" i="328" s="1"/>
  <c r="I35" i="292"/>
  <c r="D41" i="162"/>
  <c r="I204" i="209" s="1"/>
  <c r="D37" i="162"/>
  <c r="O204" i="209" s="1"/>
  <c r="D42" i="162"/>
  <c r="I263" i="209" s="1"/>
  <c r="I735" i="209"/>
  <c r="P14" i="293"/>
  <c r="O514" i="246"/>
  <c r="E39" i="219"/>
  <c r="P47" i="209" s="1"/>
  <c r="S136" i="294"/>
  <c r="S461" i="246"/>
  <c r="E41" i="219"/>
  <c r="J224" i="209" s="1"/>
  <c r="E39" i="349"/>
  <c r="N36" i="294" s="1"/>
  <c r="E42" i="219"/>
  <c r="J283" i="209" s="1"/>
  <c r="E40" i="349"/>
  <c r="I56" i="294" s="1"/>
  <c r="P26" i="160"/>
  <c r="H26" i="58"/>
  <c r="H40" i="58" s="1"/>
  <c r="M118" i="209" s="1"/>
  <c r="P361" i="246"/>
  <c r="P463" i="246"/>
  <c r="D43" i="353"/>
  <c r="D47" i="353" s="1"/>
  <c r="O166" i="209" s="1"/>
  <c r="E40" i="219"/>
  <c r="J106" i="209" s="1"/>
  <c r="D43" i="215"/>
  <c r="D47" i="215" s="1"/>
  <c r="O144" i="209" s="1"/>
  <c r="J361" i="246"/>
  <c r="L26" i="212"/>
  <c r="O736" i="209" s="1"/>
  <c r="H26" i="229"/>
  <c r="H40" i="229" s="1"/>
  <c r="P12" i="328" s="1"/>
  <c r="P12" i="7"/>
  <c r="L20" i="13"/>
  <c r="S314" i="209"/>
  <c r="O20" i="14"/>
  <c r="L20" i="10"/>
  <c r="O20" i="6"/>
  <c r="P12" i="9"/>
  <c r="O20" i="4"/>
  <c r="L20" i="4"/>
  <c r="L20" i="14"/>
  <c r="O20" i="125"/>
  <c r="P12" i="15"/>
  <c r="L20" i="6"/>
  <c r="O20" i="15"/>
  <c r="P12" i="125"/>
  <c r="L20" i="15"/>
  <c r="O20" i="13"/>
  <c r="P12" i="14"/>
  <c r="L20" i="9"/>
  <c r="O20" i="10"/>
  <c r="M78" i="209"/>
  <c r="K354" i="209"/>
  <c r="L20" i="7"/>
  <c r="I354" i="209"/>
  <c r="P12" i="11"/>
  <c r="L20" i="11"/>
  <c r="O20" i="11"/>
  <c r="P12" i="10"/>
  <c r="P12" i="4"/>
  <c r="P12" i="16"/>
  <c r="P25" i="330"/>
  <c r="O20" i="9"/>
  <c r="G11" i="328"/>
  <c r="G44" i="328" s="1"/>
  <c r="O20" i="104"/>
  <c r="E14" i="170"/>
  <c r="E14" i="175" s="1"/>
  <c r="E14" i="172"/>
  <c r="E14" i="174" s="1"/>
  <c r="E14" i="231"/>
  <c r="E42" i="349"/>
  <c r="N76" i="294" s="1"/>
  <c r="I16" i="294"/>
  <c r="E37" i="349"/>
  <c r="I36" i="294" s="1"/>
  <c r="P10" i="288"/>
  <c r="P10" i="289"/>
  <c r="P10" i="290"/>
  <c r="P10" i="284"/>
  <c r="P10" i="359"/>
  <c r="M11" i="246"/>
  <c r="P10" i="190"/>
  <c r="P10" i="156"/>
  <c r="M511" i="246"/>
  <c r="H18" i="270"/>
  <c r="D41" i="270"/>
  <c r="I198" i="246" s="1"/>
  <c r="D39" i="270"/>
  <c r="O45" i="246" s="1"/>
  <c r="D38" i="270"/>
  <c r="I45" i="246" s="1"/>
  <c r="D40" i="270"/>
  <c r="I96" i="246" s="1"/>
  <c r="D42" i="270"/>
  <c r="I249" i="246" s="1"/>
  <c r="D37" i="270"/>
  <c r="O198" i="246" s="1"/>
  <c r="I657" i="246"/>
  <c r="M657" i="246" s="1"/>
  <c r="X48" i="70"/>
  <c r="X47" i="70"/>
  <c r="X46" i="70"/>
  <c r="G39" i="13"/>
  <c r="R12" i="209" s="1"/>
  <c r="G40" i="13"/>
  <c r="L71" i="209" s="1"/>
  <c r="G41" i="13"/>
  <c r="L189" i="209" s="1"/>
  <c r="L720" i="209"/>
  <c r="G38" i="13"/>
  <c r="L12" i="209" s="1"/>
  <c r="G37" i="13"/>
  <c r="R189" i="209" s="1"/>
  <c r="G42" i="13"/>
  <c r="L248" i="209" s="1"/>
  <c r="V15" i="30"/>
  <c r="V18" i="30"/>
  <c r="J26" i="124"/>
  <c r="J28" i="124" s="1"/>
  <c r="V15" i="124" s="1"/>
  <c r="H30" i="330"/>
  <c r="H44" i="330" s="1"/>
  <c r="D18" i="186"/>
  <c r="I645" i="246" s="1"/>
  <c r="P310" i="246"/>
  <c r="M410" i="246"/>
  <c r="P472" i="209"/>
  <c r="L635" i="209"/>
  <c r="R259" i="246"/>
  <c r="S559" i="246"/>
  <c r="G18" i="185"/>
  <c r="G37" i="185" s="1"/>
  <c r="J354" i="209"/>
  <c r="P18" i="226"/>
  <c r="H23" i="174"/>
  <c r="S259" i="246" s="1"/>
  <c r="E11" i="58"/>
  <c r="J708" i="209" s="1"/>
  <c r="P18" i="225"/>
  <c r="P26" i="284"/>
  <c r="R463" i="246"/>
  <c r="O26" i="185"/>
  <c r="G43" i="185" s="1"/>
  <c r="P22" i="292"/>
  <c r="P18" i="170"/>
  <c r="P18" i="104"/>
  <c r="G43" i="215"/>
  <c r="G47" i="215" s="1"/>
  <c r="R144" i="209" s="1"/>
  <c r="R734" i="209"/>
  <c r="S734" i="209" s="1"/>
  <c r="O26" i="212"/>
  <c r="D42" i="190"/>
  <c r="I213" i="246" s="1"/>
  <c r="G45" i="44"/>
  <c r="O17" i="337" s="1"/>
  <c r="G46" i="44"/>
  <c r="O18" i="39" s="1"/>
  <c r="P734" i="209"/>
  <c r="E43" i="215"/>
  <c r="E47" i="215" s="1"/>
  <c r="P144" i="209" s="1"/>
  <c r="S325" i="246"/>
  <c r="G44" i="44"/>
  <c r="O16" i="39" s="1"/>
  <c r="G11" i="330"/>
  <c r="G44" i="330" s="1"/>
  <c r="S533" i="209"/>
  <c r="M427" i="246"/>
  <c r="N26" i="248"/>
  <c r="F43" i="221"/>
  <c r="F47" i="221" s="1"/>
  <c r="Q171" i="209" s="1"/>
  <c r="Q761" i="209"/>
  <c r="N20" i="72"/>
  <c r="F40" i="221"/>
  <c r="K112" i="209" s="1"/>
  <c r="K761" i="209"/>
  <c r="F42" i="221"/>
  <c r="K289" i="209" s="1"/>
  <c r="F41" i="221"/>
  <c r="K230" i="209" s="1"/>
  <c r="F39" i="221"/>
  <c r="Q53" i="209" s="1"/>
  <c r="F38" i="221"/>
  <c r="K53" i="209" s="1"/>
  <c r="F37" i="221"/>
  <c r="Q230" i="209" s="1"/>
  <c r="P12" i="294"/>
  <c r="N20" i="338"/>
  <c r="J668" i="209"/>
  <c r="O26" i="18"/>
  <c r="G43" i="18" s="1"/>
  <c r="G37" i="289"/>
  <c r="K32" i="294" s="1"/>
  <c r="G40" i="289"/>
  <c r="K52" i="294" s="1"/>
  <c r="N20" i="154"/>
  <c r="P609" i="209"/>
  <c r="U132" i="294"/>
  <c r="E39" i="221"/>
  <c r="P53" i="209" s="1"/>
  <c r="E38" i="221"/>
  <c r="J53" i="209" s="1"/>
  <c r="E41" i="221"/>
  <c r="J230" i="209" s="1"/>
  <c r="E40" i="221"/>
  <c r="J112" i="209" s="1"/>
  <c r="E42" i="221"/>
  <c r="J289" i="209" s="1"/>
  <c r="E37" i="221"/>
  <c r="P230" i="209" s="1"/>
  <c r="J761" i="209"/>
  <c r="N20" i="372"/>
  <c r="M20" i="15"/>
  <c r="E44" i="18"/>
  <c r="M16" i="14" s="1"/>
  <c r="H18" i="289"/>
  <c r="G18" i="291"/>
  <c r="G39" i="291" s="1"/>
  <c r="D18" i="11"/>
  <c r="D41" i="11" s="1"/>
  <c r="I191" i="209" s="1"/>
  <c r="E44" i="10"/>
  <c r="P74" i="209" s="1"/>
  <c r="P723" i="209"/>
  <c r="X42" i="124"/>
  <c r="X43" i="124"/>
  <c r="E46" i="18"/>
  <c r="M18" i="14" s="1"/>
  <c r="J609" i="209"/>
  <c r="G42" i="289"/>
  <c r="P72" i="294" s="1"/>
  <c r="E37" i="10"/>
  <c r="P192" i="209" s="1"/>
  <c r="E41" i="10"/>
  <c r="J192" i="209" s="1"/>
  <c r="E42" i="10"/>
  <c r="J251" i="209" s="1"/>
  <c r="J15" i="209"/>
  <c r="E40" i="10"/>
  <c r="J74" i="209" s="1"/>
  <c r="J723" i="209"/>
  <c r="E39" i="10"/>
  <c r="P15" i="209" s="1"/>
  <c r="M20" i="14"/>
  <c r="G38" i="289"/>
  <c r="U12" i="294" s="1"/>
  <c r="I413" i="209"/>
  <c r="N20" i="337"/>
  <c r="E11" i="330"/>
  <c r="E44" i="330" s="1"/>
  <c r="E45" i="18"/>
  <c r="M17" i="14" s="1"/>
  <c r="M20" i="10"/>
  <c r="N20" i="365"/>
  <c r="M20" i="16"/>
  <c r="S550" i="209"/>
  <c r="E11" i="327"/>
  <c r="P620" i="209" s="1"/>
  <c r="P26" i="190"/>
  <c r="N20" i="39"/>
  <c r="M20" i="13"/>
  <c r="K18" i="292"/>
  <c r="H44" i="250"/>
  <c r="S119" i="209" s="1"/>
  <c r="N20" i="123"/>
  <c r="M20" i="125"/>
  <c r="M20" i="6"/>
  <c r="N20" i="369"/>
  <c r="M20" i="7"/>
  <c r="P26" i="151"/>
  <c r="E40" i="270"/>
  <c r="J96" i="246" s="1"/>
  <c r="E42" i="270"/>
  <c r="J249" i="246" s="1"/>
  <c r="E39" i="270"/>
  <c r="P45" i="246" s="1"/>
  <c r="E41" i="270"/>
  <c r="J198" i="246" s="1"/>
  <c r="E37" i="270"/>
  <c r="P198" i="246" s="1"/>
  <c r="E38" i="270"/>
  <c r="J45" i="246" s="1"/>
  <c r="J657" i="246"/>
  <c r="N20" i="79"/>
  <c r="P259" i="246"/>
  <c r="F11" i="330"/>
  <c r="F44" i="330" s="1"/>
  <c r="Q609" i="209"/>
  <c r="K531" i="209"/>
  <c r="O295" i="209"/>
  <c r="V19" i="30"/>
  <c r="J34" i="30"/>
  <c r="J38" i="30" s="1"/>
  <c r="H18" i="372"/>
  <c r="F48" i="330"/>
  <c r="G38" i="372"/>
  <c r="L39" i="209" s="1"/>
  <c r="L747" i="209"/>
  <c r="M747" i="209" s="1"/>
  <c r="G42" i="372"/>
  <c r="L275" i="209" s="1"/>
  <c r="G41" i="372"/>
  <c r="L216" i="209" s="1"/>
  <c r="G39" i="372"/>
  <c r="R39" i="209" s="1"/>
  <c r="G40" i="372"/>
  <c r="L98" i="209" s="1"/>
  <c r="D40" i="190"/>
  <c r="I60" i="246" s="1"/>
  <c r="D41" i="190"/>
  <c r="I162" i="246" s="1"/>
  <c r="D39" i="195"/>
  <c r="O42" i="246" s="1"/>
  <c r="D38" i="195"/>
  <c r="I42" i="246" s="1"/>
  <c r="D37" i="195"/>
  <c r="O195" i="246" s="1"/>
  <c r="I654" i="246"/>
  <c r="M654" i="246" s="1"/>
  <c r="D40" i="195"/>
  <c r="I93" i="246" s="1"/>
  <c r="H18" i="195"/>
  <c r="D42" i="195"/>
  <c r="I246" i="246" s="1"/>
  <c r="D41" i="195"/>
  <c r="I195" i="246" s="1"/>
  <c r="G48" i="330"/>
  <c r="D37" i="190"/>
  <c r="O162" i="246" s="1"/>
  <c r="I621" i="246"/>
  <c r="D39" i="190"/>
  <c r="O9" i="246" s="1"/>
  <c r="E42" i="151"/>
  <c r="J242" i="246" s="1"/>
  <c r="E38" i="151"/>
  <c r="J38" i="246" s="1"/>
  <c r="E41" i="151"/>
  <c r="J191" i="246" s="1"/>
  <c r="E39" i="151"/>
  <c r="P38" i="246" s="1"/>
  <c r="E37" i="151"/>
  <c r="P191" i="246" s="1"/>
  <c r="J650" i="246"/>
  <c r="E40" i="151"/>
  <c r="J89" i="246" s="1"/>
  <c r="P14" i="178"/>
  <c r="M376" i="246"/>
  <c r="D48" i="330"/>
  <c r="G48" i="174"/>
  <c r="O20" i="184" s="1"/>
  <c r="L514" i="246"/>
  <c r="P14" i="349"/>
  <c r="G11" i="58"/>
  <c r="L649" i="209" s="1"/>
  <c r="P14" i="195"/>
  <c r="M359" i="246"/>
  <c r="D43" i="195"/>
  <c r="D47" i="195" s="1"/>
  <c r="O144" i="246" s="1"/>
  <c r="P26" i="195"/>
  <c r="P14" i="126"/>
  <c r="D38" i="190"/>
  <c r="I9" i="246" s="1"/>
  <c r="L521" i="246"/>
  <c r="K694" i="209"/>
  <c r="H46" i="58"/>
  <c r="S649" i="209" s="1"/>
  <c r="I668" i="209"/>
  <c r="M432" i="209"/>
  <c r="F15" i="11"/>
  <c r="E18" i="11"/>
  <c r="S512" i="246"/>
  <c r="E44" i="226"/>
  <c r="P98" i="246" s="1"/>
  <c r="E45" i="226"/>
  <c r="J149" i="246" s="1"/>
  <c r="V11" i="30"/>
  <c r="V12" i="30"/>
  <c r="P557" i="246"/>
  <c r="J608" i="246"/>
  <c r="F18" i="13"/>
  <c r="H33" i="328"/>
  <c r="V399" i="209"/>
  <c r="C458" i="209"/>
  <c r="K12" i="294"/>
  <c r="G41" i="289"/>
  <c r="K72" i="294" s="1"/>
  <c r="D11" i="327"/>
  <c r="I620" i="209" s="1"/>
  <c r="M478" i="246"/>
  <c r="X43" i="129"/>
  <c r="X45" i="129"/>
  <c r="X47" i="129"/>
  <c r="X50" i="129"/>
  <c r="X44" i="129"/>
  <c r="X46" i="129"/>
  <c r="X42" i="129"/>
  <c r="X49" i="129"/>
  <c r="D15" i="126"/>
  <c r="J25" i="129"/>
  <c r="J28" i="129" s="1"/>
  <c r="F41" i="162"/>
  <c r="K204" i="209" s="1"/>
  <c r="K735" i="209"/>
  <c r="F42" i="162"/>
  <c r="K263" i="209" s="1"/>
  <c r="F37" i="162"/>
  <c r="Q204" i="209" s="1"/>
  <c r="F18" i="212"/>
  <c r="X45" i="100"/>
  <c r="X48" i="100"/>
  <c r="X47" i="100"/>
  <c r="X51" i="100"/>
  <c r="X49" i="100"/>
  <c r="X50" i="100"/>
  <c r="P13" i="226"/>
  <c r="P13" i="186"/>
  <c r="G14" i="212"/>
  <c r="G18" i="162"/>
  <c r="S517" i="209"/>
  <c r="H46" i="174"/>
  <c r="P18" i="84" s="1"/>
  <c r="F11" i="58"/>
  <c r="F46" i="58" s="1"/>
  <c r="X39" i="155"/>
  <c r="G15" i="184"/>
  <c r="G15" i="171"/>
  <c r="G41" i="156"/>
  <c r="L161" i="246" s="1"/>
  <c r="G39" i="156"/>
  <c r="R8" i="246" s="1"/>
  <c r="G38" i="156"/>
  <c r="L8" i="246" s="1"/>
  <c r="G42" i="156"/>
  <c r="L212" i="246" s="1"/>
  <c r="L620" i="246"/>
  <c r="G37" i="156"/>
  <c r="R161" i="246" s="1"/>
  <c r="G40" i="156"/>
  <c r="L59" i="246" s="1"/>
  <c r="X48" i="129"/>
  <c r="F46" i="44"/>
  <c r="N18" i="365" s="1"/>
  <c r="K413" i="209"/>
  <c r="H31" i="174"/>
  <c r="H45" i="174" s="1"/>
  <c r="P17" i="231" s="1"/>
  <c r="R266" i="209"/>
  <c r="R749" i="209"/>
  <c r="G43" i="79"/>
  <c r="G47" i="79" s="1"/>
  <c r="R159" i="209" s="1"/>
  <c r="M517" i="209"/>
  <c r="G11" i="172"/>
  <c r="L610" i="246" s="1"/>
  <c r="G11" i="184"/>
  <c r="G45" i="184" s="1"/>
  <c r="L154" i="246" s="1"/>
  <c r="D37" i="293"/>
  <c r="H35" i="294" s="1"/>
  <c r="M15" i="294"/>
  <c r="H15" i="294"/>
  <c r="D41" i="293"/>
  <c r="H75" i="294" s="1"/>
  <c r="D42" i="293"/>
  <c r="M75" i="294" s="1"/>
  <c r="D38" i="293"/>
  <c r="R15" i="294" s="1"/>
  <c r="D40" i="293"/>
  <c r="H55" i="294" s="1"/>
  <c r="D39" i="293"/>
  <c r="M35" i="294" s="1"/>
  <c r="R135" i="294"/>
  <c r="P755" i="209"/>
  <c r="E43" i="219"/>
  <c r="E47" i="219" s="1"/>
  <c r="P165" i="209" s="1"/>
  <c r="E43" i="95"/>
  <c r="E47" i="95" s="1"/>
  <c r="P131" i="246" s="1"/>
  <c r="M26" i="186"/>
  <c r="E43" i="186" s="1"/>
  <c r="H46" i="327"/>
  <c r="G42" i="333"/>
  <c r="P84" i="294" s="1"/>
  <c r="G40" i="333"/>
  <c r="K64" i="294" s="1"/>
  <c r="K24" i="294"/>
  <c r="G37" i="333"/>
  <c r="K44" i="294" s="1"/>
  <c r="G39" i="333"/>
  <c r="P44" i="294" s="1"/>
  <c r="P11" i="101"/>
  <c r="P11" i="176"/>
  <c r="P11" i="99"/>
  <c r="S26" i="246"/>
  <c r="P11" i="271"/>
  <c r="O259" i="246"/>
  <c r="O310" i="246"/>
  <c r="H23" i="330"/>
  <c r="H37" i="330" s="1"/>
  <c r="E37" i="95"/>
  <c r="P182" i="246" s="1"/>
  <c r="E40" i="95"/>
  <c r="J80" i="246" s="1"/>
  <c r="E38" i="95"/>
  <c r="J29" i="246" s="1"/>
  <c r="E41" i="95"/>
  <c r="J182" i="246" s="1"/>
  <c r="J641" i="246"/>
  <c r="E39" i="95"/>
  <c r="P29" i="246" s="1"/>
  <c r="E42" i="95"/>
  <c r="J233" i="246" s="1"/>
  <c r="D43" i="126"/>
  <c r="D47" i="126" s="1"/>
  <c r="O139" i="246" s="1"/>
  <c r="P26" i="126"/>
  <c r="M26" i="225"/>
  <c r="H43" i="44"/>
  <c r="P15" i="369" s="1"/>
  <c r="H29" i="58"/>
  <c r="H43" i="58" s="1"/>
  <c r="M685" i="209"/>
  <c r="F44" i="44"/>
  <c r="N16" i="338" s="1"/>
  <c r="J557" i="246"/>
  <c r="M658" i="209"/>
  <c r="E37" i="359"/>
  <c r="P174" i="246" s="1"/>
  <c r="J633" i="246"/>
  <c r="E40" i="359"/>
  <c r="J72" i="246" s="1"/>
  <c r="E38" i="359"/>
  <c r="J21" i="246" s="1"/>
  <c r="E39" i="359"/>
  <c r="P21" i="246" s="1"/>
  <c r="E42" i="359"/>
  <c r="J225" i="246" s="1"/>
  <c r="E41" i="359"/>
  <c r="J174" i="246" s="1"/>
  <c r="F40" i="137"/>
  <c r="K92" i="246" s="1"/>
  <c r="F39" i="137"/>
  <c r="Q41" i="246" s="1"/>
  <c r="F41" i="137"/>
  <c r="K194" i="246" s="1"/>
  <c r="F37" i="137"/>
  <c r="Q194" i="246" s="1"/>
  <c r="F38" i="137"/>
  <c r="K41" i="246" s="1"/>
  <c r="K653" i="246"/>
  <c r="F42" i="137"/>
  <c r="K245" i="246" s="1"/>
  <c r="O26" i="44"/>
  <c r="N26" i="18"/>
  <c r="F43" i="18" s="1"/>
  <c r="L384" i="209"/>
  <c r="M384" i="209" s="1"/>
  <c r="E38" i="293"/>
  <c r="S15" i="294" s="1"/>
  <c r="E37" i="293"/>
  <c r="I35" i="294" s="1"/>
  <c r="E41" i="293"/>
  <c r="I75" i="294" s="1"/>
  <c r="N15" i="294"/>
  <c r="I15" i="294"/>
  <c r="S135" i="294"/>
  <c r="E42" i="293"/>
  <c r="N75" i="294" s="1"/>
  <c r="E40" i="293"/>
  <c r="I55" i="294" s="1"/>
  <c r="E39" i="293"/>
  <c r="N35" i="294" s="1"/>
  <c r="E38" i="137"/>
  <c r="J41" i="246" s="1"/>
  <c r="J653" i="246"/>
  <c r="E37" i="137"/>
  <c r="P194" i="246" s="1"/>
  <c r="E39" i="137"/>
  <c r="P41" i="246" s="1"/>
  <c r="E42" i="137"/>
  <c r="J245" i="246" s="1"/>
  <c r="E41" i="137"/>
  <c r="J194" i="246" s="1"/>
  <c r="E40" i="137"/>
  <c r="J92" i="246" s="1"/>
  <c r="P26" i="79"/>
  <c r="P9" i="271"/>
  <c r="P9" i="101"/>
  <c r="S179" i="246"/>
  <c r="P9" i="176"/>
  <c r="P9" i="99"/>
  <c r="F26" i="229"/>
  <c r="F24" i="292" s="1"/>
  <c r="F39" i="292" s="1"/>
  <c r="L572" i="246"/>
  <c r="E39" i="212"/>
  <c r="P28" i="209" s="1"/>
  <c r="J736" i="209"/>
  <c r="E37" i="212"/>
  <c r="P205" i="209" s="1"/>
  <c r="G44" i="291"/>
  <c r="G45" i="291"/>
  <c r="G46" i="291"/>
  <c r="P18" i="188"/>
  <c r="P13" i="171"/>
  <c r="O463" i="246"/>
  <c r="Q325" i="209"/>
  <c r="G44" i="185"/>
  <c r="O16" i="190" s="1"/>
  <c r="G43" i="290"/>
  <c r="G47" i="290" s="1"/>
  <c r="U53" i="294" s="1"/>
  <c r="P26" i="290"/>
  <c r="O26" i="291"/>
  <c r="M19" i="246"/>
  <c r="P10" i="173"/>
  <c r="P10" i="212"/>
  <c r="P10" i="223"/>
  <c r="P10" i="185"/>
  <c r="P10" i="228"/>
  <c r="F11" i="328"/>
  <c r="F46" i="328" s="1"/>
  <c r="S668" i="209"/>
  <c r="E45" i="44"/>
  <c r="M17" i="123" s="1"/>
  <c r="P26" i="72"/>
  <c r="E46" i="44"/>
  <c r="M18" i="79" s="1"/>
  <c r="G46" i="185"/>
  <c r="O18" i="156" s="1"/>
  <c r="M592" i="246"/>
  <c r="M671" i="209"/>
  <c r="F42" i="362"/>
  <c r="O79" i="294" s="1"/>
  <c r="F40" i="362"/>
  <c r="J59" i="294" s="1"/>
  <c r="F39" i="362"/>
  <c r="O39" i="294" s="1"/>
  <c r="F38" i="362"/>
  <c r="T19" i="294" s="1"/>
  <c r="F37" i="362"/>
  <c r="J39" i="294" s="1"/>
  <c r="T139" i="294"/>
  <c r="F41" i="362"/>
  <c r="J79" i="294" s="1"/>
  <c r="J19" i="294"/>
  <c r="O19" i="294"/>
  <c r="O26" i="186"/>
  <c r="G43" i="279"/>
  <c r="G47" i="279" s="1"/>
  <c r="R130" i="246" s="1"/>
  <c r="P26" i="279"/>
  <c r="E38" i="313"/>
  <c r="J32" i="246" s="1"/>
  <c r="E39" i="313"/>
  <c r="P32" i="246" s="1"/>
  <c r="E41" i="313"/>
  <c r="J185" i="246" s="1"/>
  <c r="E40" i="313"/>
  <c r="J83" i="246" s="1"/>
  <c r="E42" i="313"/>
  <c r="J236" i="246" s="1"/>
  <c r="E37" i="313"/>
  <c r="P185" i="246" s="1"/>
  <c r="J644" i="246"/>
  <c r="P13" i="294"/>
  <c r="G38" i="290"/>
  <c r="U13" i="294" s="1"/>
  <c r="G39" i="290"/>
  <c r="P33" i="294" s="1"/>
  <c r="G42" i="290"/>
  <c r="P73" i="294" s="1"/>
  <c r="K13" i="294"/>
  <c r="G37" i="290"/>
  <c r="K33" i="294" s="1"/>
  <c r="G40" i="290"/>
  <c r="K53" i="294" s="1"/>
  <c r="U133" i="294"/>
  <c r="H18" i="290"/>
  <c r="G41" i="290"/>
  <c r="K73" i="294" s="1"/>
  <c r="K561" i="209"/>
  <c r="E43" i="372"/>
  <c r="E47" i="372" s="1"/>
  <c r="P157" i="209" s="1"/>
  <c r="P18" i="178"/>
  <c r="M11" i="292"/>
  <c r="S11" i="292" s="1"/>
  <c r="T11" i="292" s="1"/>
  <c r="P18" i="126"/>
  <c r="H30" i="327"/>
  <c r="H44" i="327" s="1"/>
  <c r="S89" i="209" s="1"/>
  <c r="D11" i="172"/>
  <c r="I610" i="246" s="1"/>
  <c r="G45" i="185"/>
  <c r="O17" i="284" s="1"/>
  <c r="P19" i="156"/>
  <c r="P19" i="190"/>
  <c r="P19" i="359"/>
  <c r="S113" i="246"/>
  <c r="P19" i="284"/>
  <c r="G42" i="146"/>
  <c r="L248" i="246" s="1"/>
  <c r="G37" i="146"/>
  <c r="R197" i="246" s="1"/>
  <c r="G39" i="146"/>
  <c r="R44" i="246" s="1"/>
  <c r="G40" i="146"/>
  <c r="L95" i="246" s="1"/>
  <c r="G41" i="146"/>
  <c r="L197" i="246" s="1"/>
  <c r="G38" i="146"/>
  <c r="L44" i="246" s="1"/>
  <c r="L656" i="246"/>
  <c r="E41" i="146"/>
  <c r="J197" i="246" s="1"/>
  <c r="E38" i="146"/>
  <c r="J44" i="246" s="1"/>
  <c r="E42" i="146"/>
  <c r="J248" i="246" s="1"/>
  <c r="E39" i="146"/>
  <c r="P44" i="246" s="1"/>
  <c r="J656" i="246"/>
  <c r="E37" i="146"/>
  <c r="P197" i="246" s="1"/>
  <c r="E40" i="146"/>
  <c r="J95" i="246" s="1"/>
  <c r="P15" i="284"/>
  <c r="P15" i="156"/>
  <c r="P15" i="359"/>
  <c r="P15" i="190"/>
  <c r="F39" i="279"/>
  <c r="Q28" i="246" s="1"/>
  <c r="F42" i="279"/>
  <c r="K232" i="246" s="1"/>
  <c r="F38" i="279"/>
  <c r="K28" i="246" s="1"/>
  <c r="F40" i="279"/>
  <c r="K79" i="246" s="1"/>
  <c r="F41" i="279"/>
  <c r="K181" i="246" s="1"/>
  <c r="K640" i="246"/>
  <c r="F37" i="279"/>
  <c r="Q181" i="246" s="1"/>
  <c r="E48" i="330"/>
  <c r="D46" i="225"/>
  <c r="O640" i="209"/>
  <c r="I640" i="209"/>
  <c r="D45" i="225"/>
  <c r="I168" i="209" s="1"/>
  <c r="D44" i="225"/>
  <c r="O109" i="209" s="1"/>
  <c r="I699" i="209"/>
  <c r="D11" i="228"/>
  <c r="D43" i="146"/>
  <c r="D47" i="146" s="1"/>
  <c r="O146" i="246" s="1"/>
  <c r="P26" i="146"/>
  <c r="O20" i="173"/>
  <c r="O20" i="223"/>
  <c r="O20" i="185"/>
  <c r="D41" i="146"/>
  <c r="I197" i="246" s="1"/>
  <c r="D40" i="146"/>
  <c r="I95" i="246" s="1"/>
  <c r="D39" i="146"/>
  <c r="O44" i="246" s="1"/>
  <c r="D38" i="146"/>
  <c r="I44" i="246" s="1"/>
  <c r="H18" i="146"/>
  <c r="I656" i="246"/>
  <c r="D37" i="146"/>
  <c r="O197" i="246" s="1"/>
  <c r="D42" i="146"/>
  <c r="I248" i="246" s="1"/>
  <c r="E37" i="362"/>
  <c r="I39" i="294" s="1"/>
  <c r="S139" i="294"/>
  <c r="N19" i="294"/>
  <c r="E42" i="362"/>
  <c r="N79" i="294" s="1"/>
  <c r="E40" i="362"/>
  <c r="I59" i="294" s="1"/>
  <c r="E38" i="362"/>
  <c r="S19" i="294" s="1"/>
  <c r="E39" i="362"/>
  <c r="N39" i="294" s="1"/>
  <c r="E41" i="362"/>
  <c r="I79" i="294" s="1"/>
  <c r="I19" i="294"/>
  <c r="G39" i="279"/>
  <c r="R28" i="246" s="1"/>
  <c r="G40" i="279"/>
  <c r="L79" i="246" s="1"/>
  <c r="G37" i="279"/>
  <c r="R181" i="246" s="1"/>
  <c r="G38" i="279"/>
  <c r="L28" i="246" s="1"/>
  <c r="G42" i="279"/>
  <c r="L232" i="246" s="1"/>
  <c r="L640" i="246"/>
  <c r="M640" i="246" s="1"/>
  <c r="G41" i="279"/>
  <c r="L181" i="246" s="1"/>
  <c r="P16" i="162"/>
  <c r="P16" i="139"/>
  <c r="P16" i="166"/>
  <c r="P16" i="165"/>
  <c r="D43" i="362"/>
  <c r="D47" i="362" s="1"/>
  <c r="R59" i="294" s="1"/>
  <c r="P26" i="362"/>
  <c r="O717" i="209"/>
  <c r="D43" i="15"/>
  <c r="D47" i="15" s="1"/>
  <c r="O127" i="209" s="1"/>
  <c r="D40" i="105"/>
  <c r="I81" i="209" s="1"/>
  <c r="D41" i="105"/>
  <c r="I199" i="209" s="1"/>
  <c r="D39" i="105"/>
  <c r="O22" i="209" s="1"/>
  <c r="D38" i="105"/>
  <c r="I22" i="209" s="1"/>
  <c r="D42" i="105"/>
  <c r="I258" i="209" s="1"/>
  <c r="H18" i="105"/>
  <c r="I730" i="209"/>
  <c r="D37" i="105"/>
  <c r="O199" i="209" s="1"/>
  <c r="D18" i="247"/>
  <c r="M508" i="246"/>
  <c r="M24" i="294"/>
  <c r="R144" i="294"/>
  <c r="D41" i="333"/>
  <c r="H84" i="294" s="1"/>
  <c r="D40" i="333"/>
  <c r="H64" i="294" s="1"/>
  <c r="D42" i="333"/>
  <c r="M84" i="294" s="1"/>
  <c r="D38" i="333"/>
  <c r="R24" i="294" s="1"/>
  <c r="D39" i="333"/>
  <c r="M44" i="294" s="1"/>
  <c r="D37" i="333"/>
  <c r="H44" i="294" s="1"/>
  <c r="H24" i="294"/>
  <c r="P26" i="15"/>
  <c r="G43" i="15"/>
  <c r="G47" i="15" s="1"/>
  <c r="R127" i="209" s="1"/>
  <c r="R717" i="209"/>
  <c r="K643" i="246"/>
  <c r="F39" i="307"/>
  <c r="Q31" i="246" s="1"/>
  <c r="F41" i="307"/>
  <c r="K184" i="246" s="1"/>
  <c r="F37" i="307"/>
  <c r="Q184" i="246" s="1"/>
  <c r="F40" i="307"/>
  <c r="K82" i="246" s="1"/>
  <c r="F42" i="307"/>
  <c r="K235" i="246" s="1"/>
  <c r="F38" i="307"/>
  <c r="K31" i="246" s="1"/>
  <c r="F18" i="186"/>
  <c r="F37" i="15"/>
  <c r="Q186" i="209" s="1"/>
  <c r="F42" i="15"/>
  <c r="K245" i="209" s="1"/>
  <c r="F39" i="15"/>
  <c r="Q9" i="209" s="1"/>
  <c r="F38" i="15"/>
  <c r="K9" i="209" s="1"/>
  <c r="K717" i="209"/>
  <c r="F41" i="15"/>
  <c r="K186" i="209" s="1"/>
  <c r="F40" i="15"/>
  <c r="K68" i="209" s="1"/>
  <c r="P14" i="223"/>
  <c r="P14" i="173"/>
  <c r="P14" i="185"/>
  <c r="P14" i="228"/>
  <c r="M223" i="246"/>
  <c r="P14" i="212"/>
  <c r="F43" i="79"/>
  <c r="F47" i="79" s="1"/>
  <c r="Q159" i="209" s="1"/>
  <c r="Q749" i="209"/>
  <c r="L26" i="18"/>
  <c r="D43" i="18" s="1"/>
  <c r="O536" i="246"/>
  <c r="M32" i="294"/>
  <c r="P14" i="171"/>
  <c r="P14" i="175"/>
  <c r="M259" i="246"/>
  <c r="P14" i="172"/>
  <c r="P14" i="84"/>
  <c r="P14" i="229"/>
  <c r="P14" i="361"/>
  <c r="P14" i="184"/>
  <c r="P14" i="231"/>
  <c r="F38" i="284"/>
  <c r="K10" i="246" s="1"/>
  <c r="K622" i="246"/>
  <c r="F40" i="284"/>
  <c r="K61" i="246" s="1"/>
  <c r="F41" i="284"/>
  <c r="K163" i="246" s="1"/>
  <c r="F42" i="284"/>
  <c r="K214" i="246" s="1"/>
  <c r="F37" i="284"/>
  <c r="Q163" i="246" s="1"/>
  <c r="F39" i="284"/>
  <c r="Q10" i="246" s="1"/>
  <c r="G38" i="188"/>
  <c r="L39" i="246" s="1"/>
  <c r="G41" i="188"/>
  <c r="L192" i="246" s="1"/>
  <c r="G40" i="188"/>
  <c r="L90" i="246" s="1"/>
  <c r="G37" i="188"/>
  <c r="R192" i="246" s="1"/>
  <c r="G42" i="188"/>
  <c r="L243" i="246" s="1"/>
  <c r="G39" i="188"/>
  <c r="R39" i="246" s="1"/>
  <c r="L651" i="246"/>
  <c r="D46" i="104"/>
  <c r="L18" i="99" s="1"/>
  <c r="N26" i="44"/>
  <c r="R384" i="209"/>
  <c r="I536" i="246"/>
  <c r="M399" i="209"/>
  <c r="O22" i="294"/>
  <c r="T142" i="294"/>
  <c r="F40" i="367"/>
  <c r="J62" i="294" s="1"/>
  <c r="J22" i="294"/>
  <c r="F41" i="367"/>
  <c r="J82" i="294" s="1"/>
  <c r="F42" i="367"/>
  <c r="O82" i="294" s="1"/>
  <c r="F38" i="367"/>
  <c r="T22" i="294" s="1"/>
  <c r="F37" i="367"/>
  <c r="J42" i="294" s="1"/>
  <c r="F39" i="367"/>
  <c r="O42" i="294" s="1"/>
  <c r="M72" i="294"/>
  <c r="G41" i="307"/>
  <c r="L184" i="246" s="1"/>
  <c r="G42" i="307"/>
  <c r="L235" i="246" s="1"/>
  <c r="G38" i="307"/>
  <c r="L31" i="246" s="1"/>
  <c r="G40" i="307"/>
  <c r="L82" i="246" s="1"/>
  <c r="G37" i="307"/>
  <c r="R184" i="246" s="1"/>
  <c r="G39" i="307"/>
  <c r="R31" i="246" s="1"/>
  <c r="L643" i="246"/>
  <c r="D43" i="333"/>
  <c r="D47" i="333" s="1"/>
  <c r="R64" i="294" s="1"/>
  <c r="P26" i="333"/>
  <c r="D40" i="162"/>
  <c r="I86" i="209"/>
  <c r="D44" i="247"/>
  <c r="O614" i="209"/>
  <c r="I673" i="209"/>
  <c r="D45" i="247"/>
  <c r="I614" i="209"/>
  <c r="D46" i="247"/>
  <c r="G37" i="183"/>
  <c r="R199" i="246" s="1"/>
  <c r="G40" i="183"/>
  <c r="L97" i="246" s="1"/>
  <c r="G42" i="183"/>
  <c r="L250" i="246" s="1"/>
  <c r="L658" i="246"/>
  <c r="M658" i="246" s="1"/>
  <c r="G39" i="183"/>
  <c r="R46" i="246" s="1"/>
  <c r="G41" i="183"/>
  <c r="L199" i="246" s="1"/>
  <c r="H18" i="183"/>
  <c r="G38" i="183"/>
  <c r="L46" i="246" s="1"/>
  <c r="D37" i="194"/>
  <c r="O188" i="246" s="1"/>
  <c r="H18" i="194"/>
  <c r="I647" i="246"/>
  <c r="M647" i="246" s="1"/>
  <c r="D40" i="194"/>
  <c r="I86" i="246" s="1"/>
  <c r="D39" i="194"/>
  <c r="O35" i="246" s="1"/>
  <c r="D42" i="194"/>
  <c r="I239" i="246" s="1"/>
  <c r="D41" i="194"/>
  <c r="I188" i="246" s="1"/>
  <c r="D38" i="194"/>
  <c r="I35" i="246" s="1"/>
  <c r="R502" i="209"/>
  <c r="D45" i="104"/>
  <c r="L17" i="101" s="1"/>
  <c r="W33" i="101" s="1"/>
  <c r="M355" i="246"/>
  <c r="H32" i="328"/>
  <c r="H27" i="327"/>
  <c r="H41" i="327" s="1"/>
  <c r="M207" i="209" s="1"/>
  <c r="H46" i="175"/>
  <c r="H26" i="330"/>
  <c r="H40" i="330" s="1"/>
  <c r="E37" i="307"/>
  <c r="P184" i="246" s="1"/>
  <c r="E41" i="307"/>
  <c r="J184" i="246" s="1"/>
  <c r="E40" i="307"/>
  <c r="J82" i="246" s="1"/>
  <c r="J643" i="246"/>
  <c r="E38" i="307"/>
  <c r="J31" i="246" s="1"/>
  <c r="E42" i="307"/>
  <c r="J235" i="246" s="1"/>
  <c r="E39" i="307"/>
  <c r="P31" i="246" s="1"/>
  <c r="E18" i="186"/>
  <c r="P19" i="295"/>
  <c r="P19" i="296"/>
  <c r="P19" i="367"/>
  <c r="P19" i="360"/>
  <c r="J621" i="246"/>
  <c r="E40" i="190"/>
  <c r="J60" i="246" s="1"/>
  <c r="E39" i="190"/>
  <c r="P9" i="246" s="1"/>
  <c r="E37" i="190"/>
  <c r="P162" i="246" s="1"/>
  <c r="E41" i="190"/>
  <c r="J162" i="246" s="1"/>
  <c r="E38" i="190"/>
  <c r="J9" i="246" s="1"/>
  <c r="E42" i="190"/>
  <c r="J213" i="246" s="1"/>
  <c r="K658" i="246"/>
  <c r="F38" i="183"/>
  <c r="K46" i="246" s="1"/>
  <c r="F37" i="183"/>
  <c r="Q199" i="246" s="1"/>
  <c r="F39" i="183"/>
  <c r="Q46" i="246" s="1"/>
  <c r="F40" i="183"/>
  <c r="K97" i="246" s="1"/>
  <c r="F41" i="183"/>
  <c r="K199" i="246" s="1"/>
  <c r="F42" i="183"/>
  <c r="K250" i="246" s="1"/>
  <c r="M253" i="246"/>
  <c r="P14" i="170"/>
  <c r="P14" i="226"/>
  <c r="P14" i="186"/>
  <c r="P14" i="225"/>
  <c r="P14" i="104"/>
  <c r="P15" i="228"/>
  <c r="P15" i="185"/>
  <c r="P15" i="223"/>
  <c r="P15" i="212"/>
  <c r="P15" i="173"/>
  <c r="D37" i="291"/>
  <c r="D39" i="291"/>
  <c r="D42" i="291"/>
  <c r="D40" i="291"/>
  <c r="D38" i="291"/>
  <c r="D41" i="291"/>
  <c r="S718" i="209"/>
  <c r="P295" i="209"/>
  <c r="Q635" i="209"/>
  <c r="M575" i="246"/>
  <c r="D41" i="15"/>
  <c r="I186" i="209" s="1"/>
  <c r="D37" i="15"/>
  <c r="O186" i="209" s="1"/>
  <c r="D39" i="15"/>
  <c r="O9" i="209" s="1"/>
  <c r="D38" i="15"/>
  <c r="I9" i="209" s="1"/>
  <c r="H18" i="15"/>
  <c r="D42" i="15"/>
  <c r="I245" i="209" s="1"/>
  <c r="D40" i="15"/>
  <c r="I68" i="209" s="1"/>
  <c r="I717" i="209"/>
  <c r="F42" i="105"/>
  <c r="K258" i="209" s="1"/>
  <c r="K730" i="209"/>
  <c r="F18" i="247"/>
  <c r="F39" i="105"/>
  <c r="Q22" i="209" s="1"/>
  <c r="F37" i="105"/>
  <c r="Q199" i="209" s="1"/>
  <c r="F38" i="105"/>
  <c r="K22" i="209" s="1"/>
  <c r="F40" i="105"/>
  <c r="K81" i="209" s="1"/>
  <c r="F41" i="105"/>
  <c r="K199" i="209" s="1"/>
  <c r="I643" i="246"/>
  <c r="D39" i="307"/>
  <c r="D42" i="307"/>
  <c r="D40" i="307"/>
  <c r="D41" i="307"/>
  <c r="D37" i="307"/>
  <c r="D38" i="307"/>
  <c r="H18" i="307"/>
  <c r="P15" i="296"/>
  <c r="P15" i="295"/>
  <c r="P15" i="360"/>
  <c r="P15" i="367"/>
  <c r="F39" i="194"/>
  <c r="Q35" i="246" s="1"/>
  <c r="F41" i="194"/>
  <c r="K188" i="246" s="1"/>
  <c r="F38" i="194"/>
  <c r="K35" i="246" s="1"/>
  <c r="K647" i="246"/>
  <c r="F42" i="194"/>
  <c r="K239" i="246" s="1"/>
  <c r="F37" i="194"/>
  <c r="Q188" i="246" s="1"/>
  <c r="F40" i="194"/>
  <c r="K86" i="246" s="1"/>
  <c r="P26" i="307"/>
  <c r="D43" i="307"/>
  <c r="L20" i="173"/>
  <c r="L20" i="185"/>
  <c r="L20" i="223"/>
  <c r="P25" i="58"/>
  <c r="G43" i="105"/>
  <c r="G47" i="105" s="1"/>
  <c r="R140" i="209" s="1"/>
  <c r="R730" i="209"/>
  <c r="G43" i="183"/>
  <c r="G47" i="183" s="1"/>
  <c r="R148" i="246" s="1"/>
  <c r="P26" i="183"/>
  <c r="E43" i="79"/>
  <c r="E47" i="79" s="1"/>
  <c r="P159" i="209" s="1"/>
  <c r="P749" i="209"/>
  <c r="O726" i="209"/>
  <c r="S726" i="209" s="1"/>
  <c r="P26" i="6"/>
  <c r="D43" i="6"/>
  <c r="D47" i="6" s="1"/>
  <c r="O136" i="209" s="1"/>
  <c r="Q443" i="209"/>
  <c r="Q384" i="209"/>
  <c r="D44" i="104"/>
  <c r="O77" i="246" s="1"/>
  <c r="H28" i="330"/>
  <c r="H42" i="330" s="1"/>
  <c r="D583" i="209"/>
  <c r="U524" i="209"/>
  <c r="O82" i="246"/>
  <c r="W32" i="307"/>
  <c r="G40" i="105"/>
  <c r="L81" i="209" s="1"/>
  <c r="G39" i="105"/>
  <c r="R22" i="209" s="1"/>
  <c r="G41" i="105"/>
  <c r="L199" i="209" s="1"/>
  <c r="G38" i="105"/>
  <c r="L22" i="209" s="1"/>
  <c r="G37" i="105"/>
  <c r="R199" i="209" s="1"/>
  <c r="G42" i="105"/>
  <c r="L258" i="209" s="1"/>
  <c r="L730" i="209"/>
  <c r="K22" i="294"/>
  <c r="G37" i="367"/>
  <c r="K42" i="294" s="1"/>
  <c r="P22" i="294"/>
  <c r="G41" i="367"/>
  <c r="K82" i="294" s="1"/>
  <c r="G40" i="367"/>
  <c r="K62" i="294" s="1"/>
  <c r="G42" i="367"/>
  <c r="P82" i="294" s="1"/>
  <c r="U142" i="294"/>
  <c r="G38" i="367"/>
  <c r="U22" i="294" s="1"/>
  <c r="G39" i="367"/>
  <c r="P42" i="294" s="1"/>
  <c r="J561" i="209"/>
  <c r="H24" i="58"/>
  <c r="M354" i="209" s="1"/>
  <c r="L354" i="209"/>
  <c r="M586" i="246"/>
  <c r="M584" i="246"/>
  <c r="M26" i="18"/>
  <c r="P727" i="209" s="1"/>
  <c r="D43" i="367"/>
  <c r="D47" i="367" s="1"/>
  <c r="R62" i="294" s="1"/>
  <c r="P26" i="367"/>
  <c r="H72" i="294"/>
  <c r="E43" i="370"/>
  <c r="E47" i="370" s="1"/>
  <c r="P151" i="209" s="1"/>
  <c r="P741" i="209"/>
  <c r="K673" i="209"/>
  <c r="F45" i="247"/>
  <c r="Q614" i="209"/>
  <c r="F46" i="247"/>
  <c r="F44" i="247"/>
  <c r="K614" i="209"/>
  <c r="M15" i="292"/>
  <c r="D43" i="105"/>
  <c r="D47" i="105" s="1"/>
  <c r="O140" i="209" s="1"/>
  <c r="O730" i="209"/>
  <c r="L26" i="247"/>
  <c r="P26" i="105"/>
  <c r="E38" i="105"/>
  <c r="J22" i="209" s="1"/>
  <c r="E37" i="105"/>
  <c r="P199" i="209" s="1"/>
  <c r="E41" i="105"/>
  <c r="J199" i="209" s="1"/>
  <c r="E40" i="105"/>
  <c r="J81" i="209" s="1"/>
  <c r="E42" i="105"/>
  <c r="J258" i="209" s="1"/>
  <c r="E39" i="105"/>
  <c r="P22" i="209" s="1"/>
  <c r="J730" i="209"/>
  <c r="F43" i="15"/>
  <c r="F47" i="15" s="1"/>
  <c r="Q127" i="209" s="1"/>
  <c r="Q717" i="209"/>
  <c r="E39" i="183"/>
  <c r="P46" i="246" s="1"/>
  <c r="E38" i="183"/>
  <c r="J46" i="246" s="1"/>
  <c r="E37" i="183"/>
  <c r="P199" i="246" s="1"/>
  <c r="J658" i="246"/>
  <c r="E40" i="183"/>
  <c r="J97" i="246" s="1"/>
  <c r="E41" i="183"/>
  <c r="J199" i="246" s="1"/>
  <c r="E42" i="183"/>
  <c r="J250" i="246" s="1"/>
  <c r="D43" i="188"/>
  <c r="D47" i="188" s="1"/>
  <c r="O141" i="246" s="1"/>
  <c r="P26" i="188"/>
  <c r="D43" i="194"/>
  <c r="D47" i="194" s="1"/>
  <c r="O137" i="246" s="1"/>
  <c r="P26" i="194"/>
  <c r="H46" i="330"/>
  <c r="D11" i="84"/>
  <c r="I612" i="246" s="1"/>
  <c r="M576" i="209"/>
  <c r="H26" i="174"/>
  <c r="H40" i="174" s="1"/>
  <c r="P12" i="171" s="1"/>
  <c r="M704" i="209"/>
  <c r="L717" i="209"/>
  <c r="G39" i="15"/>
  <c r="R9" i="209" s="1"/>
  <c r="G42" i="15"/>
  <c r="L245" i="209" s="1"/>
  <c r="G37" i="15"/>
  <c r="R186" i="209" s="1"/>
  <c r="G41" i="15"/>
  <c r="L186" i="209" s="1"/>
  <c r="G40" i="15"/>
  <c r="L68" i="209" s="1"/>
  <c r="G38" i="15"/>
  <c r="L9" i="209" s="1"/>
  <c r="F39" i="188"/>
  <c r="Q39" i="246" s="1"/>
  <c r="F38" i="188"/>
  <c r="K39" i="246" s="1"/>
  <c r="F41" i="188"/>
  <c r="K192" i="246" s="1"/>
  <c r="K651" i="246"/>
  <c r="F42" i="188"/>
  <c r="K243" i="246" s="1"/>
  <c r="F40" i="188"/>
  <c r="K90" i="246" s="1"/>
  <c r="F37" i="188"/>
  <c r="Q192" i="246" s="1"/>
  <c r="E38" i="194"/>
  <c r="J35" i="246" s="1"/>
  <c r="E40" i="194"/>
  <c r="J86" i="246" s="1"/>
  <c r="E39" i="194"/>
  <c r="P35" i="246" s="1"/>
  <c r="E41" i="194"/>
  <c r="J188" i="246" s="1"/>
  <c r="E42" i="194"/>
  <c r="J239" i="246" s="1"/>
  <c r="J647" i="246"/>
  <c r="E37" i="194"/>
  <c r="P188" i="246" s="1"/>
  <c r="P17" i="212"/>
  <c r="P17" i="185"/>
  <c r="P17" i="228"/>
  <c r="M121" i="246"/>
  <c r="P17" i="173"/>
  <c r="P17" i="223"/>
  <c r="Q502" i="209"/>
  <c r="N26" i="247"/>
  <c r="Q730" i="209"/>
  <c r="F43" i="105"/>
  <c r="F47" i="105" s="1"/>
  <c r="Q140" i="209" s="1"/>
  <c r="H39" i="171"/>
  <c r="S274" i="246"/>
  <c r="I133" i="246"/>
  <c r="W33" i="307"/>
  <c r="E43" i="105"/>
  <c r="E47" i="105" s="1"/>
  <c r="P140" i="209" s="1"/>
  <c r="P730" i="209"/>
  <c r="D40" i="188"/>
  <c r="I90" i="246" s="1"/>
  <c r="H18" i="188"/>
  <c r="D37" i="188"/>
  <c r="O192" i="246" s="1"/>
  <c r="D39" i="188"/>
  <c r="I651" i="246"/>
  <c r="D41" i="188"/>
  <c r="I192" i="246" s="1"/>
  <c r="D42" i="188"/>
  <c r="I243" i="246" s="1"/>
  <c r="D38" i="188"/>
  <c r="I39" i="246" s="1"/>
  <c r="M600" i="246"/>
  <c r="P26" i="370"/>
  <c r="O741" i="209"/>
  <c r="S741" i="209" s="1"/>
  <c r="D43" i="370"/>
  <c r="D47" i="370" s="1"/>
  <c r="O151" i="209" s="1"/>
  <c r="N24" i="292"/>
  <c r="Q712" i="209"/>
  <c r="F38" i="291"/>
  <c r="O17" i="292"/>
  <c r="F39" i="291"/>
  <c r="F42" i="291"/>
  <c r="F41" i="291"/>
  <c r="F37" i="291"/>
  <c r="F40" i="291"/>
  <c r="S415" i="209"/>
  <c r="D41" i="241"/>
  <c r="D39" i="241"/>
  <c r="D37" i="241"/>
  <c r="H18" i="241"/>
  <c r="D38" i="241"/>
  <c r="I763" i="209"/>
  <c r="D40" i="241"/>
  <c r="D42" i="241"/>
  <c r="H37" i="171"/>
  <c r="S223" i="246"/>
  <c r="G46" i="225"/>
  <c r="G11" i="228"/>
  <c r="L699" i="209"/>
  <c r="G45" i="225"/>
  <c r="L168" i="209" s="1"/>
  <c r="G44" i="225"/>
  <c r="R109" i="209" s="1"/>
  <c r="L640" i="209"/>
  <c r="R640" i="209"/>
  <c r="F38" i="360"/>
  <c r="T21" i="294" s="1"/>
  <c r="F42" i="360"/>
  <c r="O81" i="294" s="1"/>
  <c r="T141" i="294"/>
  <c r="J21" i="294"/>
  <c r="O21" i="294"/>
  <c r="F41" i="360"/>
  <c r="J81" i="294" s="1"/>
  <c r="F40" i="360"/>
  <c r="J61" i="294" s="1"/>
  <c r="F39" i="360"/>
  <c r="O41" i="294" s="1"/>
  <c r="F37" i="360"/>
  <c r="J41" i="294" s="1"/>
  <c r="P16" i="324"/>
  <c r="P16" i="325"/>
  <c r="H61" i="294"/>
  <c r="O20" i="372"/>
  <c r="O20" i="79"/>
  <c r="O20" i="196"/>
  <c r="O20" i="368"/>
  <c r="O20" i="370"/>
  <c r="O20" i="337"/>
  <c r="O20" i="365"/>
  <c r="O20" i="39"/>
  <c r="O20" i="123"/>
  <c r="O20" i="154"/>
  <c r="O20" i="72"/>
  <c r="O20" i="338"/>
  <c r="O20" i="369"/>
  <c r="G37" i="141"/>
  <c r="R193" i="246" s="1"/>
  <c r="G42" i="141"/>
  <c r="L244" i="246" s="1"/>
  <c r="G38" i="141"/>
  <c r="L40" i="246" s="1"/>
  <c r="G39" i="141"/>
  <c r="R40" i="246" s="1"/>
  <c r="L652" i="246"/>
  <c r="G41" i="141"/>
  <c r="L193" i="246" s="1"/>
  <c r="G40" i="141"/>
  <c r="L91" i="246" s="1"/>
  <c r="P13" i="184"/>
  <c r="P13" i="229"/>
  <c r="P13" i="172"/>
  <c r="P13" i="84"/>
  <c r="P13" i="361"/>
  <c r="P13" i="231"/>
  <c r="M20" i="226"/>
  <c r="M20" i="186"/>
  <c r="M20" i="170"/>
  <c r="M20" i="104"/>
  <c r="O708" i="209"/>
  <c r="D12" i="229"/>
  <c r="O712" i="209" s="1"/>
  <c r="J635" i="246"/>
  <c r="E42" i="271"/>
  <c r="J227" i="246" s="1"/>
  <c r="E41" i="271"/>
  <c r="J176" i="246" s="1"/>
  <c r="E40" i="271"/>
  <c r="J74" i="246" s="1"/>
  <c r="E38" i="271"/>
  <c r="J23" i="246" s="1"/>
  <c r="E37" i="271"/>
  <c r="P176" i="246" s="1"/>
  <c r="E39" i="271"/>
  <c r="P23" i="246" s="1"/>
  <c r="D40" i="166"/>
  <c r="I65" i="246" s="1"/>
  <c r="D39" i="166"/>
  <c r="O14" i="246" s="1"/>
  <c r="D37" i="166"/>
  <c r="O167" i="246" s="1"/>
  <c r="H18" i="166"/>
  <c r="D38" i="166"/>
  <c r="I14" i="246" s="1"/>
  <c r="D42" i="166"/>
  <c r="I218" i="246" s="1"/>
  <c r="D41" i="166"/>
  <c r="I167" i="246" s="1"/>
  <c r="I626" i="246"/>
  <c r="R295" i="209"/>
  <c r="G23" i="229"/>
  <c r="L417" i="209" s="1"/>
  <c r="O325" i="209"/>
  <c r="I502" i="209"/>
  <c r="M502" i="209" s="1"/>
  <c r="O384" i="209"/>
  <c r="I578" i="246"/>
  <c r="D46" i="223"/>
  <c r="I527" i="246"/>
  <c r="D11" i="231"/>
  <c r="D44" i="223"/>
  <c r="O68" i="246" s="1"/>
  <c r="D11" i="173"/>
  <c r="O527" i="246"/>
  <c r="D45" i="223"/>
  <c r="I119" i="246" s="1"/>
  <c r="L578" i="246"/>
  <c r="R527" i="246"/>
  <c r="G44" i="223"/>
  <c r="R68" i="246" s="1"/>
  <c r="G11" i="173"/>
  <c r="G45" i="223"/>
  <c r="L119" i="246" s="1"/>
  <c r="L527" i="246"/>
  <c r="G46" i="223"/>
  <c r="D43" i="101"/>
  <c r="D47" i="101" s="1"/>
  <c r="O126" i="246" s="1"/>
  <c r="P26" i="101"/>
  <c r="P17" i="225"/>
  <c r="P17" i="170"/>
  <c r="P17" i="104"/>
  <c r="P17" i="186"/>
  <c r="P17" i="226"/>
  <c r="M151" i="246"/>
  <c r="L16" i="11"/>
  <c r="W32" i="11" s="1"/>
  <c r="L16" i="4"/>
  <c r="W32" i="4" s="1"/>
  <c r="L16" i="7"/>
  <c r="W32" i="7" s="1"/>
  <c r="L16" i="125"/>
  <c r="W32" i="125" s="1"/>
  <c r="L16" i="10"/>
  <c r="L16" i="6"/>
  <c r="W32" i="6" s="1"/>
  <c r="O78" i="209"/>
  <c r="L16" i="13"/>
  <c r="W32" i="13" s="1"/>
  <c r="L16" i="15"/>
  <c r="W32" i="15" s="1"/>
  <c r="L16" i="16"/>
  <c r="W32" i="16" s="1"/>
  <c r="L16" i="14"/>
  <c r="W32" i="14" s="1"/>
  <c r="L16" i="9"/>
  <c r="W32" i="9" s="1"/>
  <c r="E46" i="223"/>
  <c r="E45" i="223"/>
  <c r="J119" i="246" s="1"/>
  <c r="E44" i="223"/>
  <c r="P68" i="246" s="1"/>
  <c r="J527" i="246"/>
  <c r="P527" i="246"/>
  <c r="E11" i="231"/>
  <c r="E11" i="173"/>
  <c r="J578" i="246"/>
  <c r="H33" i="330"/>
  <c r="N20" i="226"/>
  <c r="N20" i="186"/>
  <c r="N20" i="170"/>
  <c r="N20" i="104"/>
  <c r="H39" i="44"/>
  <c r="S340" i="209"/>
  <c r="F46" i="291"/>
  <c r="M17" i="292"/>
  <c r="F44" i="291"/>
  <c r="F45" i="291"/>
  <c r="J673" i="209"/>
  <c r="P614" i="209"/>
  <c r="J614" i="209"/>
  <c r="E11" i="250"/>
  <c r="E46" i="247"/>
  <c r="E45" i="247"/>
  <c r="E44" i="247"/>
  <c r="F45" i="44"/>
  <c r="N17" i="338" s="1"/>
  <c r="R325" i="209"/>
  <c r="Q472" i="209"/>
  <c r="O20" i="170"/>
  <c r="E37" i="220"/>
  <c r="P231" i="209" s="1"/>
  <c r="E42" i="220"/>
  <c r="J290" i="209" s="1"/>
  <c r="E39" i="220"/>
  <c r="P54" i="209" s="1"/>
  <c r="E40" i="220"/>
  <c r="J113" i="209" s="1"/>
  <c r="E38" i="220"/>
  <c r="J54" i="209" s="1"/>
  <c r="J762" i="209"/>
  <c r="E41" i="220"/>
  <c r="J231" i="209" s="1"/>
  <c r="H18" i="72"/>
  <c r="D39" i="72"/>
  <c r="D38" i="72"/>
  <c r="D42" i="72"/>
  <c r="I272" i="209" s="1"/>
  <c r="D40" i="72"/>
  <c r="D37" i="72"/>
  <c r="O213" i="209" s="1"/>
  <c r="D41" i="72"/>
  <c r="I213" i="209" s="1"/>
  <c r="I744" i="209"/>
  <c r="M306" i="246"/>
  <c r="J27" i="292"/>
  <c r="H38" i="84"/>
  <c r="M51" i="246" s="1"/>
  <c r="R531" i="209"/>
  <c r="L413" i="209"/>
  <c r="E42" i="290"/>
  <c r="N73" i="294" s="1"/>
  <c r="N13" i="294"/>
  <c r="E38" i="290"/>
  <c r="S13" i="294" s="1"/>
  <c r="E37" i="290"/>
  <c r="I33" i="294" s="1"/>
  <c r="E39" i="290"/>
  <c r="N33" i="294" s="1"/>
  <c r="I13" i="294"/>
  <c r="S133" i="294"/>
  <c r="E40" i="290"/>
  <c r="I53" i="294" s="1"/>
  <c r="E41" i="290"/>
  <c r="I73" i="294" s="1"/>
  <c r="R729" i="209"/>
  <c r="S729" i="209" s="1"/>
  <c r="G43" i="214"/>
  <c r="G47" i="214" s="1"/>
  <c r="R139" i="209" s="1"/>
  <c r="O26" i="247"/>
  <c r="P26" i="214"/>
  <c r="H32" i="58"/>
  <c r="M649" i="209" s="1"/>
  <c r="D32" i="229"/>
  <c r="H32" i="229" s="1"/>
  <c r="M653" i="209" s="1"/>
  <c r="M409" i="246"/>
  <c r="S576" i="209"/>
  <c r="L20" i="170"/>
  <c r="L20" i="186"/>
  <c r="L20" i="104"/>
  <c r="L20" i="226"/>
  <c r="E48" i="58"/>
  <c r="J590" i="209"/>
  <c r="P590" i="209"/>
  <c r="D43" i="141"/>
  <c r="P26" i="141"/>
  <c r="P13" i="228"/>
  <c r="P13" i="223"/>
  <c r="P13" i="173"/>
  <c r="P13" i="185"/>
  <c r="P13" i="212"/>
  <c r="M172" i="246"/>
  <c r="K502" i="209"/>
  <c r="I594" i="246"/>
  <c r="I543" i="246"/>
  <c r="D46" i="186"/>
  <c r="D45" i="186"/>
  <c r="D44" i="186"/>
  <c r="O543" i="246"/>
  <c r="R646" i="209"/>
  <c r="G44" i="248"/>
  <c r="G45" i="248"/>
  <c r="G46" i="248"/>
  <c r="L646" i="209"/>
  <c r="L705" i="209"/>
  <c r="L17" i="289"/>
  <c r="W33" i="289" s="1"/>
  <c r="L17" i="288"/>
  <c r="W33" i="288" s="1"/>
  <c r="L17" i="290"/>
  <c r="W33" i="290" s="1"/>
  <c r="E43" i="139"/>
  <c r="E47" i="139" s="1"/>
  <c r="P118" i="246" s="1"/>
  <c r="M26" i="223"/>
  <c r="J502" i="209"/>
  <c r="P325" i="209"/>
  <c r="F44" i="248"/>
  <c r="F45" i="248"/>
  <c r="K705" i="209"/>
  <c r="Q646" i="209"/>
  <c r="F46" i="248"/>
  <c r="F11" i="250"/>
  <c r="K646" i="209"/>
  <c r="M16" i="292"/>
  <c r="F37" i="72"/>
  <c r="Q213" i="209" s="1"/>
  <c r="F41" i="72"/>
  <c r="K213" i="209" s="1"/>
  <c r="F40" i="72"/>
  <c r="F38" i="72"/>
  <c r="K744" i="209"/>
  <c r="F42" i="72"/>
  <c r="K272" i="209" s="1"/>
  <c r="F39" i="72"/>
  <c r="E43" i="220"/>
  <c r="E47" i="220" s="1"/>
  <c r="P172" i="209" s="1"/>
  <c r="P762" i="209"/>
  <c r="M26" i="248"/>
  <c r="L25" i="229"/>
  <c r="P25" i="229" s="1"/>
  <c r="K640" i="209"/>
  <c r="Q640" i="209"/>
  <c r="M21" i="292"/>
  <c r="F46" i="225"/>
  <c r="F44" i="225"/>
  <c r="Q109" i="209" s="1"/>
  <c r="F11" i="170"/>
  <c r="F45" i="225"/>
  <c r="K168" i="209" s="1"/>
  <c r="K699" i="209"/>
  <c r="H37" i="84"/>
  <c r="S204" i="246" s="1"/>
  <c r="S255" i="246"/>
  <c r="I27" i="292"/>
  <c r="H33" i="58"/>
  <c r="D33" i="229"/>
  <c r="H33" i="229" s="1"/>
  <c r="H46" i="328"/>
  <c r="G48" i="328"/>
  <c r="I514" i="246"/>
  <c r="D48" i="174"/>
  <c r="M601" i="246"/>
  <c r="E48" i="328"/>
  <c r="P413" i="209"/>
  <c r="E25" i="229"/>
  <c r="J535" i="209" s="1"/>
  <c r="J531" i="209"/>
  <c r="P354" i="209"/>
  <c r="P502" i="209"/>
  <c r="J325" i="209"/>
  <c r="L644" i="246"/>
  <c r="G41" i="313"/>
  <c r="L185" i="246" s="1"/>
  <c r="G38" i="313"/>
  <c r="L32" i="246" s="1"/>
  <c r="G40" i="313"/>
  <c r="L83" i="246" s="1"/>
  <c r="G42" i="313"/>
  <c r="L236" i="246" s="1"/>
  <c r="G39" i="313"/>
  <c r="R32" i="246" s="1"/>
  <c r="G37" i="313"/>
  <c r="R185" i="246" s="1"/>
  <c r="G18" i="186"/>
  <c r="G46" i="326"/>
  <c r="G44" i="326"/>
  <c r="G45" i="326"/>
  <c r="F39" i="141"/>
  <c r="Q40" i="246" s="1"/>
  <c r="F40" i="141"/>
  <c r="K91" i="246" s="1"/>
  <c r="K652" i="246"/>
  <c r="F42" i="141"/>
  <c r="K244" i="246" s="1"/>
  <c r="F41" i="141"/>
  <c r="K193" i="246" s="1"/>
  <c r="F38" i="141"/>
  <c r="K40" i="246" s="1"/>
  <c r="F37" i="141"/>
  <c r="Q193" i="246" s="1"/>
  <c r="P26" i="313"/>
  <c r="D43" i="313"/>
  <c r="D43" i="166"/>
  <c r="D47" i="166" s="1"/>
  <c r="O116" i="246" s="1"/>
  <c r="P26" i="166"/>
  <c r="F44" i="18"/>
  <c r="K668" i="209"/>
  <c r="F46" i="18"/>
  <c r="M10" i="292"/>
  <c r="F45" i="18"/>
  <c r="F11" i="327"/>
  <c r="S281" i="209"/>
  <c r="H37" i="44"/>
  <c r="I11" i="292"/>
  <c r="S511" i="246"/>
  <c r="L625" i="246"/>
  <c r="G38" i="165"/>
  <c r="L13" i="246" s="1"/>
  <c r="G41" i="165"/>
  <c r="L166" i="246" s="1"/>
  <c r="G40" i="165"/>
  <c r="L64" i="246" s="1"/>
  <c r="G18" i="223"/>
  <c r="G37" i="165"/>
  <c r="R166" i="246" s="1"/>
  <c r="G39" i="165"/>
  <c r="R13" i="246" s="1"/>
  <c r="G42" i="165"/>
  <c r="L217" i="246" s="1"/>
  <c r="L18" i="290"/>
  <c r="L18" i="289"/>
  <c r="L18" i="288"/>
  <c r="E46" i="326"/>
  <c r="E45" i="326"/>
  <c r="E44" i="326"/>
  <c r="K626" i="246"/>
  <c r="F39" i="166"/>
  <c r="Q14" i="246" s="1"/>
  <c r="F41" i="166"/>
  <c r="K167" i="246" s="1"/>
  <c r="F38" i="166"/>
  <c r="K14" i="246" s="1"/>
  <c r="F37" i="166"/>
  <c r="Q167" i="246" s="1"/>
  <c r="F42" i="166"/>
  <c r="K218" i="246" s="1"/>
  <c r="F40" i="166"/>
  <c r="K65" i="246" s="1"/>
  <c r="G44" i="186"/>
  <c r="R543" i="246"/>
  <c r="L543" i="246"/>
  <c r="G46" i="186"/>
  <c r="L594" i="246"/>
  <c r="G45" i="186"/>
  <c r="H37" i="18"/>
  <c r="S255" i="209"/>
  <c r="I10" i="292"/>
  <c r="D40" i="313"/>
  <c r="I644" i="246"/>
  <c r="D39" i="313"/>
  <c r="D38" i="313"/>
  <c r="D42" i="313"/>
  <c r="D37" i="313"/>
  <c r="D41" i="313"/>
  <c r="P679" i="209"/>
  <c r="P443" i="209"/>
  <c r="D46" i="361"/>
  <c r="D45" i="361"/>
  <c r="D44" i="361"/>
  <c r="G39" i="241"/>
  <c r="R55" i="209" s="1"/>
  <c r="G40" i="241"/>
  <c r="L114" i="209" s="1"/>
  <c r="G38" i="241"/>
  <c r="L55" i="209" s="1"/>
  <c r="L763" i="209"/>
  <c r="G41" i="241"/>
  <c r="L232" i="209" s="1"/>
  <c r="G37" i="241"/>
  <c r="R232" i="209" s="1"/>
  <c r="G42" i="241"/>
  <c r="L291" i="209" s="1"/>
  <c r="L16" i="290"/>
  <c r="W32" i="290" s="1"/>
  <c r="L16" i="288"/>
  <c r="W32" i="288" s="1"/>
  <c r="L16" i="289"/>
  <c r="W32" i="289" s="1"/>
  <c r="F39" i="353"/>
  <c r="Q48" i="209" s="1"/>
  <c r="F42" i="353"/>
  <c r="K284" i="209" s="1"/>
  <c r="K756" i="209"/>
  <c r="F37" i="353"/>
  <c r="Q225" i="209" s="1"/>
  <c r="F41" i="353"/>
  <c r="K225" i="209" s="1"/>
  <c r="F40" i="353"/>
  <c r="K107" i="209" s="1"/>
  <c r="F38" i="353"/>
  <c r="K48" i="209" s="1"/>
  <c r="Q514" i="246"/>
  <c r="F48" i="174"/>
  <c r="G37" i="292"/>
  <c r="K514" i="246"/>
  <c r="H30" i="174"/>
  <c r="H44" i="174" s="1"/>
  <c r="H44" i="184"/>
  <c r="S103" i="246" s="1"/>
  <c r="K31" i="292"/>
  <c r="G43" i="187"/>
  <c r="G47" i="187" s="1"/>
  <c r="R117" i="246" s="1"/>
  <c r="P26" i="187"/>
  <c r="P18" i="372"/>
  <c r="P18" i="338"/>
  <c r="P18" i="154"/>
  <c r="P18" i="72"/>
  <c r="P18" i="370"/>
  <c r="P18" i="337"/>
  <c r="P18" i="369"/>
  <c r="P18" i="196"/>
  <c r="S635" i="209"/>
  <c r="P18" i="39"/>
  <c r="P18" i="123"/>
  <c r="P18" i="365"/>
  <c r="P18" i="79"/>
  <c r="P18" i="368"/>
  <c r="G42" i="360"/>
  <c r="P81" i="294" s="1"/>
  <c r="G41" i="360"/>
  <c r="K81" i="294" s="1"/>
  <c r="G39" i="360"/>
  <c r="P41" i="294" s="1"/>
  <c r="G37" i="360"/>
  <c r="K41" i="294" s="1"/>
  <c r="G38" i="360"/>
  <c r="U21" i="294" s="1"/>
  <c r="U141" i="294"/>
  <c r="P21" i="294"/>
  <c r="G40" i="360"/>
  <c r="K61" i="294" s="1"/>
  <c r="K21" i="294"/>
  <c r="O361" i="246"/>
  <c r="N26" i="223"/>
  <c r="F43" i="223" s="1"/>
  <c r="F47" i="223" s="1"/>
  <c r="Q119" i="246" s="1"/>
  <c r="Q295" i="209"/>
  <c r="C13" i="292"/>
  <c r="H39" i="184"/>
  <c r="S52" i="246" s="1"/>
  <c r="S307" i="246"/>
  <c r="J729" i="209"/>
  <c r="E18" i="247"/>
  <c r="E40" i="214"/>
  <c r="J80" i="209" s="1"/>
  <c r="E41" i="214"/>
  <c r="J198" i="209" s="1"/>
  <c r="E37" i="214"/>
  <c r="P198" i="209" s="1"/>
  <c r="E39" i="214"/>
  <c r="P21" i="209" s="1"/>
  <c r="E42" i="214"/>
  <c r="J257" i="209" s="1"/>
  <c r="E38" i="214"/>
  <c r="J21" i="209" s="1"/>
  <c r="E42" i="369"/>
  <c r="J280" i="209" s="1"/>
  <c r="E38" i="369"/>
  <c r="J44" i="209" s="1"/>
  <c r="E40" i="369"/>
  <c r="J103" i="209" s="1"/>
  <c r="J752" i="209"/>
  <c r="E39" i="369"/>
  <c r="P44" i="209" s="1"/>
  <c r="E37" i="369"/>
  <c r="P221" i="209" s="1"/>
  <c r="E41" i="369"/>
  <c r="J221" i="209" s="1"/>
  <c r="O721" i="209"/>
  <c r="D43" i="125"/>
  <c r="D47" i="125" s="1"/>
  <c r="O131" i="209" s="1"/>
  <c r="P26" i="125"/>
  <c r="E43" i="141"/>
  <c r="E47" i="141" s="1"/>
  <c r="P142" i="246" s="1"/>
  <c r="M26" i="226"/>
  <c r="H18" i="360"/>
  <c r="G43" i="360"/>
  <c r="G47" i="360" s="1"/>
  <c r="U61" i="294" s="1"/>
  <c r="P26" i="360"/>
  <c r="I463" i="246"/>
  <c r="P17" i="137"/>
  <c r="P17" i="349"/>
  <c r="P17" i="146"/>
  <c r="P17" i="141"/>
  <c r="P17" i="160"/>
  <c r="P17" i="353"/>
  <c r="P17" i="187"/>
  <c r="P17" i="293"/>
  <c r="P17" i="178"/>
  <c r="P17" i="219"/>
  <c r="P17" i="362"/>
  <c r="P17" i="188"/>
  <c r="P17" i="189"/>
  <c r="P17" i="126"/>
  <c r="P17" i="195"/>
  <c r="P17" i="194"/>
  <c r="P17" i="183"/>
  <c r="P17" i="215"/>
  <c r="P17" i="151"/>
  <c r="M593" i="246"/>
  <c r="P15" i="137"/>
  <c r="P15" i="215"/>
  <c r="P15" i="349"/>
  <c r="P15" i="219"/>
  <c r="P15" i="151"/>
  <c r="P15" i="189"/>
  <c r="P15" i="194"/>
  <c r="P15" i="146"/>
  <c r="P15" i="141"/>
  <c r="P15" i="126"/>
  <c r="P15" i="362"/>
  <c r="P15" i="178"/>
  <c r="P15" i="183"/>
  <c r="P15" i="195"/>
  <c r="P15" i="353"/>
  <c r="P15" i="160"/>
  <c r="P15" i="187"/>
  <c r="P15" i="293"/>
  <c r="P15" i="188"/>
  <c r="P12" i="170"/>
  <c r="P12" i="104"/>
  <c r="M100" i="246"/>
  <c r="P12" i="226"/>
  <c r="P12" i="225"/>
  <c r="P12" i="186"/>
  <c r="O679" i="209"/>
  <c r="O443" i="209"/>
  <c r="P25" i="327"/>
  <c r="D37" i="295"/>
  <c r="H37" i="294" s="1"/>
  <c r="D42" i="295"/>
  <c r="M77" i="294" s="1"/>
  <c r="H17" i="294"/>
  <c r="D38" i="295"/>
  <c r="R17" i="294" s="1"/>
  <c r="M17" i="294"/>
  <c r="D39" i="295"/>
  <c r="M37" i="294" s="1"/>
  <c r="R137" i="294"/>
  <c r="D41" i="295"/>
  <c r="H77" i="294" s="1"/>
  <c r="D40" i="295"/>
  <c r="H57" i="294" s="1"/>
  <c r="H18" i="295"/>
  <c r="K472" i="209"/>
  <c r="E13" i="292"/>
  <c r="F30" i="229"/>
  <c r="E24" i="292" s="1"/>
  <c r="E39" i="292" s="1"/>
  <c r="R763" i="209"/>
  <c r="G43" i="241"/>
  <c r="G47" i="241" s="1"/>
  <c r="R173" i="209" s="1"/>
  <c r="S491" i="209"/>
  <c r="D41" i="220"/>
  <c r="I762" i="209"/>
  <c r="M762" i="209" s="1"/>
  <c r="D38" i="220"/>
  <c r="D37" i="220"/>
  <c r="O231" i="209" s="1"/>
  <c r="D42" i="220"/>
  <c r="H18" i="220"/>
  <c r="D40" i="220"/>
  <c r="I113" i="209" s="1"/>
  <c r="D39" i="220"/>
  <c r="O54" i="209" s="1"/>
  <c r="L472" i="209"/>
  <c r="AA13" i="292"/>
  <c r="G30" i="229"/>
  <c r="E46" i="225"/>
  <c r="J699" i="209"/>
  <c r="E11" i="170"/>
  <c r="J640" i="209"/>
  <c r="E44" i="225"/>
  <c r="P109" i="209" s="1"/>
  <c r="E45" i="225"/>
  <c r="J168" i="209" s="1"/>
  <c r="P640" i="209"/>
  <c r="E11" i="228"/>
  <c r="F42" i="219"/>
  <c r="K283" i="209" s="1"/>
  <c r="F39" i="219"/>
  <c r="Q47" i="209" s="1"/>
  <c r="F41" i="219"/>
  <c r="K224" i="209" s="1"/>
  <c r="F37" i="219"/>
  <c r="Q224" i="209" s="1"/>
  <c r="F40" i="219"/>
  <c r="K106" i="209" s="1"/>
  <c r="F38" i="219"/>
  <c r="K47" i="209" s="1"/>
  <c r="K755" i="209"/>
  <c r="F18" i="225"/>
  <c r="G46" i="247"/>
  <c r="G44" i="247"/>
  <c r="L673" i="209"/>
  <c r="G11" i="250"/>
  <c r="L614" i="209"/>
  <c r="G45" i="247"/>
  <c r="R614" i="209"/>
  <c r="P16" i="359"/>
  <c r="P16" i="284"/>
  <c r="P16" i="190"/>
  <c r="S62" i="246"/>
  <c r="P16" i="156"/>
  <c r="E46" i="361"/>
  <c r="E45" i="361"/>
  <c r="E44" i="361"/>
  <c r="F42" i="290"/>
  <c r="O73" i="294" s="1"/>
  <c r="F41" i="290"/>
  <c r="J73" i="294" s="1"/>
  <c r="F38" i="290"/>
  <c r="T13" i="294" s="1"/>
  <c r="F37" i="290"/>
  <c r="J33" i="294" s="1"/>
  <c r="F39" i="290"/>
  <c r="O33" i="294" s="1"/>
  <c r="J13" i="294"/>
  <c r="F40" i="290"/>
  <c r="J53" i="294" s="1"/>
  <c r="T133" i="294"/>
  <c r="O13" i="294"/>
  <c r="G37" i="296"/>
  <c r="K38" i="294" s="1"/>
  <c r="P18" i="294"/>
  <c r="K18" i="294"/>
  <c r="G41" i="296"/>
  <c r="K78" i="294" s="1"/>
  <c r="G39" i="296"/>
  <c r="P38" i="294" s="1"/>
  <c r="G38" i="296"/>
  <c r="U18" i="294" s="1"/>
  <c r="G42" i="296"/>
  <c r="P78" i="294" s="1"/>
  <c r="G40" i="296"/>
  <c r="K58" i="294" s="1"/>
  <c r="U138" i="294"/>
  <c r="E37" i="141"/>
  <c r="P193" i="246" s="1"/>
  <c r="J652" i="246"/>
  <c r="E39" i="141"/>
  <c r="P40" i="246" s="1"/>
  <c r="E38" i="141"/>
  <c r="J40" i="246" s="1"/>
  <c r="E40" i="141"/>
  <c r="J91" i="246" s="1"/>
  <c r="E42" i="141"/>
  <c r="J244" i="246" s="1"/>
  <c r="E41" i="141"/>
  <c r="J193" i="246" s="1"/>
  <c r="R679" i="209"/>
  <c r="R443" i="209"/>
  <c r="R721" i="209"/>
  <c r="G43" i="125"/>
  <c r="G47" i="125" s="1"/>
  <c r="R131" i="209" s="1"/>
  <c r="I142" i="246"/>
  <c r="D38" i="225"/>
  <c r="I50" i="209" s="1"/>
  <c r="D40" i="225"/>
  <c r="I109" i="209" s="1"/>
  <c r="D39" i="225"/>
  <c r="O50" i="209" s="1"/>
  <c r="D41" i="225"/>
  <c r="I227" i="209" s="1"/>
  <c r="D42" i="225"/>
  <c r="I286" i="209" s="1"/>
  <c r="I758" i="209"/>
  <c r="P15" i="95"/>
  <c r="P15" i="279"/>
  <c r="P15" i="191"/>
  <c r="O65" i="246"/>
  <c r="F39" i="139"/>
  <c r="Q16" i="246" s="1"/>
  <c r="F38" i="139"/>
  <c r="K16" i="246" s="1"/>
  <c r="F42" i="139"/>
  <c r="K220" i="246" s="1"/>
  <c r="K628" i="246"/>
  <c r="F41" i="139"/>
  <c r="K169" i="246" s="1"/>
  <c r="F18" i="223"/>
  <c r="F37" i="139"/>
  <c r="Q169" i="246" s="1"/>
  <c r="F40" i="139"/>
  <c r="K67" i="246" s="1"/>
  <c r="P720" i="209"/>
  <c r="E43" i="13"/>
  <c r="E47" i="13" s="1"/>
  <c r="P130" i="209" s="1"/>
  <c r="R712" i="209"/>
  <c r="R476" i="209"/>
  <c r="E39" i="165"/>
  <c r="P13" i="246" s="1"/>
  <c r="E41" i="165"/>
  <c r="J166" i="246" s="1"/>
  <c r="E40" i="165"/>
  <c r="J64" i="246" s="1"/>
  <c r="E37" i="165"/>
  <c r="P166" i="246" s="1"/>
  <c r="E42" i="165"/>
  <c r="J217" i="246" s="1"/>
  <c r="J625" i="246"/>
  <c r="E38" i="165"/>
  <c r="J13" i="246" s="1"/>
  <c r="J17" i="294"/>
  <c r="F37" i="295"/>
  <c r="J37" i="294" s="1"/>
  <c r="O17" i="294"/>
  <c r="T137" i="294"/>
  <c r="F38" i="295"/>
  <c r="T17" i="294" s="1"/>
  <c r="F39" i="295"/>
  <c r="O37" i="294" s="1"/>
  <c r="F42" i="295"/>
  <c r="F40" i="295"/>
  <c r="J57" i="294" s="1"/>
  <c r="F41" i="295"/>
  <c r="F43" i="241"/>
  <c r="F47" i="241" s="1"/>
  <c r="Q173" i="209" s="1"/>
  <c r="Q763" i="209"/>
  <c r="W32" i="241"/>
  <c r="O114" i="209"/>
  <c r="S70" i="246"/>
  <c r="P16" i="185"/>
  <c r="P16" i="173"/>
  <c r="P16" i="212"/>
  <c r="P16" i="228"/>
  <c r="P16" i="223"/>
  <c r="I310" i="246"/>
  <c r="H24" i="174"/>
  <c r="O561" i="209"/>
  <c r="S33" i="294"/>
  <c r="T33" i="294"/>
  <c r="O131" i="246"/>
  <c r="M42" i="294"/>
  <c r="M340" i="209"/>
  <c r="J11" i="292"/>
  <c r="H38" i="44"/>
  <c r="G43" i="141"/>
  <c r="G47" i="141" s="1"/>
  <c r="R142" i="246" s="1"/>
  <c r="O26" i="226"/>
  <c r="G43" i="226" s="1"/>
  <c r="G47" i="226" s="1"/>
  <c r="R149" i="246" s="1"/>
  <c r="P13" i="370"/>
  <c r="P13" i="369"/>
  <c r="P13" i="338"/>
  <c r="P13" i="196"/>
  <c r="P13" i="154"/>
  <c r="P13" i="372"/>
  <c r="M222" i="209"/>
  <c r="P13" i="39"/>
  <c r="P13" i="368"/>
  <c r="P13" i="337"/>
  <c r="P13" i="79"/>
  <c r="P13" i="123"/>
  <c r="P13" i="365"/>
  <c r="P13" i="72"/>
  <c r="P721" i="209"/>
  <c r="E43" i="125"/>
  <c r="E47" i="125" s="1"/>
  <c r="P131" i="209" s="1"/>
  <c r="P17" i="372"/>
  <c r="P17" i="337"/>
  <c r="P17" i="79"/>
  <c r="P17" i="365"/>
  <c r="P17" i="369"/>
  <c r="P17" i="39"/>
  <c r="P17" i="338"/>
  <c r="P17" i="370"/>
  <c r="P17" i="72"/>
  <c r="M163" i="209"/>
  <c r="P17" i="196"/>
  <c r="P17" i="154"/>
  <c r="P17" i="368"/>
  <c r="P17" i="123"/>
  <c r="P19" i="95"/>
  <c r="S135" i="246"/>
  <c r="P19" i="191"/>
  <c r="P19" i="279"/>
  <c r="G42" i="271"/>
  <c r="L227" i="246" s="1"/>
  <c r="G41" i="271"/>
  <c r="L176" i="246" s="1"/>
  <c r="G37" i="271"/>
  <c r="R176" i="246" s="1"/>
  <c r="G39" i="271"/>
  <c r="R23" i="246" s="1"/>
  <c r="G40" i="271"/>
  <c r="L74" i="246" s="1"/>
  <c r="G38" i="271"/>
  <c r="L23" i="246" s="1"/>
  <c r="L635" i="246"/>
  <c r="K9" i="294"/>
  <c r="G39" i="325"/>
  <c r="P29" i="294" s="1"/>
  <c r="G38" i="325"/>
  <c r="U9" i="294" s="1"/>
  <c r="G41" i="325"/>
  <c r="K69" i="294" s="1"/>
  <c r="U129" i="294"/>
  <c r="G42" i="325"/>
  <c r="P69" i="294" s="1"/>
  <c r="G18" i="326"/>
  <c r="H18" i="326" s="1"/>
  <c r="G40" i="325"/>
  <c r="K49" i="294" s="1"/>
  <c r="P9" i="294"/>
  <c r="G37" i="325"/>
  <c r="K29" i="294" s="1"/>
  <c r="Q413" i="209"/>
  <c r="Q354" i="209"/>
  <c r="F25" i="229"/>
  <c r="D39" i="271"/>
  <c r="O23" i="246" s="1"/>
  <c r="H18" i="271"/>
  <c r="D41" i="271"/>
  <c r="I176" i="246" s="1"/>
  <c r="I635" i="246"/>
  <c r="D37" i="271"/>
  <c r="O176" i="246" s="1"/>
  <c r="D40" i="271"/>
  <c r="I74" i="246" s="1"/>
  <c r="D42" i="271"/>
  <c r="I227" i="246" s="1"/>
  <c r="D38" i="271"/>
  <c r="I23" i="246" s="1"/>
  <c r="I118" i="246"/>
  <c r="F46" i="223"/>
  <c r="F45" i="223"/>
  <c r="K119" i="246" s="1"/>
  <c r="Q527" i="246"/>
  <c r="M33" i="292"/>
  <c r="F11" i="231"/>
  <c r="F44" i="223"/>
  <c r="Q68" i="246" s="1"/>
  <c r="K527" i="246"/>
  <c r="K578" i="246"/>
  <c r="E38" i="295"/>
  <c r="S17" i="294" s="1"/>
  <c r="E40" i="295"/>
  <c r="I57" i="294" s="1"/>
  <c r="E39" i="295"/>
  <c r="N37" i="294" s="1"/>
  <c r="I17" i="294"/>
  <c r="E37" i="295"/>
  <c r="I37" i="294" s="1"/>
  <c r="S137" i="294"/>
  <c r="E42" i="295"/>
  <c r="N17" i="294"/>
  <c r="E41" i="295"/>
  <c r="D40" i="101"/>
  <c r="I75" i="246" s="1"/>
  <c r="D41" i="101"/>
  <c r="I177" i="246" s="1"/>
  <c r="D37" i="101"/>
  <c r="O177" i="246" s="1"/>
  <c r="D42" i="101"/>
  <c r="I228" i="246" s="1"/>
  <c r="D38" i="101"/>
  <c r="I24" i="246" s="1"/>
  <c r="D39" i="101"/>
  <c r="O24" i="246" s="1"/>
  <c r="I636" i="246"/>
  <c r="M636" i="246" s="1"/>
  <c r="H18" i="101"/>
  <c r="E39" i="139"/>
  <c r="P16" i="246" s="1"/>
  <c r="J628" i="246"/>
  <c r="E18" i="223"/>
  <c r="E41" i="139"/>
  <c r="J169" i="246" s="1"/>
  <c r="E38" i="139"/>
  <c r="J16" i="246" s="1"/>
  <c r="E37" i="139"/>
  <c r="P169" i="246" s="1"/>
  <c r="E42" i="139"/>
  <c r="J220" i="246" s="1"/>
  <c r="E40" i="139"/>
  <c r="J67" i="246" s="1"/>
  <c r="P15" i="176"/>
  <c r="P15" i="101"/>
  <c r="P15" i="99"/>
  <c r="P15" i="271"/>
  <c r="M458" i="209"/>
  <c r="H47" i="231"/>
  <c r="S155" i="246" s="1"/>
  <c r="H43" i="231"/>
  <c r="D43" i="165"/>
  <c r="D47" i="165" s="1"/>
  <c r="O115" i="246" s="1"/>
  <c r="P26" i="165"/>
  <c r="E43" i="353"/>
  <c r="E47" i="353" s="1"/>
  <c r="P166" i="209" s="1"/>
  <c r="P756" i="209"/>
  <c r="P14" i="79"/>
  <c r="P14" i="72"/>
  <c r="P14" i="368"/>
  <c r="P14" i="154"/>
  <c r="P14" i="337"/>
  <c r="P14" i="123"/>
  <c r="P14" i="338"/>
  <c r="P14" i="39"/>
  <c r="M281" i="209"/>
  <c r="P14" i="196"/>
  <c r="P14" i="370"/>
  <c r="P14" i="369"/>
  <c r="P14" i="365"/>
  <c r="P14" i="372"/>
  <c r="P9" i="104"/>
  <c r="P9" i="226"/>
  <c r="P9" i="186"/>
  <c r="P9" i="225"/>
  <c r="S202" i="246"/>
  <c r="P9" i="170"/>
  <c r="M662" i="209"/>
  <c r="F41" i="326"/>
  <c r="O12" i="292"/>
  <c r="F39" i="326"/>
  <c r="F37" i="326"/>
  <c r="F42" i="326"/>
  <c r="F40" i="326"/>
  <c r="F38" i="326"/>
  <c r="S304" i="246"/>
  <c r="H39" i="172"/>
  <c r="D48" i="328"/>
  <c r="H31" i="328"/>
  <c r="H45" i="328" s="1"/>
  <c r="G42" i="166"/>
  <c r="L218" i="246" s="1"/>
  <c r="G40" i="166"/>
  <c r="L65" i="246" s="1"/>
  <c r="L626" i="246"/>
  <c r="G39" i="166"/>
  <c r="R14" i="246" s="1"/>
  <c r="G41" i="166"/>
  <c r="L167" i="246" s="1"/>
  <c r="G38" i="166"/>
  <c r="L14" i="246" s="1"/>
  <c r="G37" i="166"/>
  <c r="R167" i="246" s="1"/>
  <c r="Q725" i="209"/>
  <c r="F43" i="7"/>
  <c r="F47" i="7" s="1"/>
  <c r="Q135" i="209" s="1"/>
  <c r="D43" i="271"/>
  <c r="D47" i="271" s="1"/>
  <c r="O125" i="246" s="1"/>
  <c r="P26" i="271"/>
  <c r="I628" i="246"/>
  <c r="M628" i="246" s="1"/>
  <c r="D37" i="139"/>
  <c r="O169" i="246" s="1"/>
  <c r="D40" i="139"/>
  <c r="I67" i="246" s="1"/>
  <c r="D39" i="139"/>
  <c r="O16" i="246" s="1"/>
  <c r="D41" i="139"/>
  <c r="I169" i="246" s="1"/>
  <c r="D42" i="139"/>
  <c r="I220" i="246" s="1"/>
  <c r="D18" i="223"/>
  <c r="D38" i="139"/>
  <c r="I16" i="246" s="1"/>
  <c r="H18" i="139"/>
  <c r="F39" i="271"/>
  <c r="Q23" i="246" s="1"/>
  <c r="F40" i="271"/>
  <c r="K74" i="246" s="1"/>
  <c r="F37" i="271"/>
  <c r="Q176" i="246" s="1"/>
  <c r="F41" i="271"/>
  <c r="K176" i="246" s="1"/>
  <c r="F42" i="271"/>
  <c r="K227" i="246" s="1"/>
  <c r="K635" i="246"/>
  <c r="F38" i="271"/>
  <c r="K23" i="246" s="1"/>
  <c r="R708" i="209"/>
  <c r="R472" i="209"/>
  <c r="H38" i="231"/>
  <c r="M53" i="246" s="1"/>
  <c r="J35" i="292"/>
  <c r="M308" i="246"/>
  <c r="L20" i="195"/>
  <c r="L20" i="349"/>
  <c r="L20" i="362"/>
  <c r="L20" i="353"/>
  <c r="L20" i="151"/>
  <c r="L20" i="141"/>
  <c r="L20" i="189"/>
  <c r="L20" i="187"/>
  <c r="L20" i="146"/>
  <c r="L20" i="219"/>
  <c r="L20" i="194"/>
  <c r="L20" i="183"/>
  <c r="L20" i="137"/>
  <c r="L20" i="126"/>
  <c r="L20" i="160"/>
  <c r="L20" i="293"/>
  <c r="L20" i="188"/>
  <c r="L20" i="270"/>
  <c r="L20" i="178"/>
  <c r="P19" i="101"/>
  <c r="P19" i="99"/>
  <c r="S128" i="246"/>
  <c r="P19" i="271"/>
  <c r="P19" i="176"/>
  <c r="H30" i="328"/>
  <c r="H44" i="328" s="1"/>
  <c r="M512" i="246"/>
  <c r="D48" i="327"/>
  <c r="I361" i="246"/>
  <c r="M208" i="246"/>
  <c r="Q744" i="209"/>
  <c r="F43" i="72"/>
  <c r="F47" i="72" s="1"/>
  <c r="Q154" i="209" s="1"/>
  <c r="D41" i="165"/>
  <c r="I166" i="246" s="1"/>
  <c r="D38" i="165"/>
  <c r="I13" i="246" s="1"/>
  <c r="D42" i="165"/>
  <c r="I217" i="246" s="1"/>
  <c r="D39" i="165"/>
  <c r="O13" i="246" s="1"/>
  <c r="I625" i="246"/>
  <c r="D37" i="165"/>
  <c r="O166" i="246" s="1"/>
  <c r="H18" i="165"/>
  <c r="D40" i="165"/>
  <c r="I64" i="246" s="1"/>
  <c r="R561" i="209"/>
  <c r="L443" i="209"/>
  <c r="M443" i="209" s="1"/>
  <c r="J635" i="209"/>
  <c r="E11" i="328"/>
  <c r="E44" i="328" s="1"/>
  <c r="E44" i="44"/>
  <c r="J694" i="209"/>
  <c r="N26" i="291"/>
  <c r="S58" i="294"/>
  <c r="H28" i="328"/>
  <c r="H42" i="328" s="1"/>
  <c r="H38" i="172"/>
  <c r="M304" i="246"/>
  <c r="D43" i="296"/>
  <c r="D47" i="296" s="1"/>
  <c r="R58" i="294" s="1"/>
  <c r="P26" i="296"/>
  <c r="E43" i="360"/>
  <c r="E47" i="360" s="1"/>
  <c r="S61" i="294" s="1"/>
  <c r="M26" i="361"/>
  <c r="E43" i="361" s="1"/>
  <c r="G42" i="324"/>
  <c r="P68" i="294" s="1"/>
  <c r="K8" i="294"/>
  <c r="G39" i="324"/>
  <c r="P28" i="294" s="1"/>
  <c r="G40" i="324"/>
  <c r="K48" i="294" s="1"/>
  <c r="G41" i="324"/>
  <c r="K68" i="294" s="1"/>
  <c r="U128" i="294"/>
  <c r="G37" i="324"/>
  <c r="K28" i="294" s="1"/>
  <c r="G38" i="324"/>
  <c r="U8" i="294" s="1"/>
  <c r="P8" i="294"/>
  <c r="G38" i="187"/>
  <c r="L15" i="246" s="1"/>
  <c r="G41" i="187"/>
  <c r="L168" i="246" s="1"/>
  <c r="L627" i="246"/>
  <c r="M627" i="246" s="1"/>
  <c r="G42" i="187"/>
  <c r="L219" i="246" s="1"/>
  <c r="G37" i="187"/>
  <c r="R168" i="246" s="1"/>
  <c r="G40" i="187"/>
  <c r="L66" i="246" s="1"/>
  <c r="G39" i="187"/>
  <c r="R15" i="246" s="1"/>
  <c r="H18" i="187"/>
  <c r="L15" i="279"/>
  <c r="W31" i="279" s="1"/>
  <c r="D47" i="186"/>
  <c r="L15" i="191"/>
  <c r="W31" i="191" s="1"/>
  <c r="L15" i="95"/>
  <c r="W31" i="95" s="1"/>
  <c r="H27" i="58"/>
  <c r="H41" i="58" s="1"/>
  <c r="M236" i="209" s="1"/>
  <c r="D27" i="229"/>
  <c r="H27" i="229" s="1"/>
  <c r="H41" i="229" s="1"/>
  <c r="H31" i="58"/>
  <c r="H45" i="58" s="1"/>
  <c r="M177" i="209" s="1"/>
  <c r="O590" i="209"/>
  <c r="D31" i="229"/>
  <c r="H31" i="229" s="1"/>
  <c r="H45" i="229" s="1"/>
  <c r="F43" i="141"/>
  <c r="F47" i="141" s="1"/>
  <c r="Q142" i="246" s="1"/>
  <c r="N26" i="226"/>
  <c r="F43" i="226" s="1"/>
  <c r="F47" i="226" s="1"/>
  <c r="Q149" i="246" s="1"/>
  <c r="S34" i="292"/>
  <c r="T34" i="292" s="1"/>
  <c r="V34" i="292"/>
  <c r="D43" i="139"/>
  <c r="D47" i="139" s="1"/>
  <c r="O118" i="246" s="1"/>
  <c r="P26" i="139"/>
  <c r="L26" i="223"/>
  <c r="M574" i="246"/>
  <c r="I646" i="209"/>
  <c r="O646" i="209"/>
  <c r="D11" i="250"/>
  <c r="D46" i="248"/>
  <c r="D45" i="248"/>
  <c r="D44" i="248"/>
  <c r="I705" i="209"/>
  <c r="G42" i="369"/>
  <c r="L280" i="209" s="1"/>
  <c r="G38" i="369"/>
  <c r="L44" i="209" s="1"/>
  <c r="G40" i="369"/>
  <c r="L103" i="209" s="1"/>
  <c r="G37" i="369"/>
  <c r="R221" i="209" s="1"/>
  <c r="L752" i="209"/>
  <c r="G39" i="369"/>
  <c r="R44" i="209" s="1"/>
  <c r="G41" i="369"/>
  <c r="L221" i="209" s="1"/>
  <c r="P19" i="196"/>
  <c r="P19" i="79"/>
  <c r="P19" i="338"/>
  <c r="P19" i="72"/>
  <c r="P19" i="369"/>
  <c r="P19" i="123"/>
  <c r="P19" i="370"/>
  <c r="P19" i="154"/>
  <c r="P19" i="365"/>
  <c r="P19" i="337"/>
  <c r="S163" i="209"/>
  <c r="P19" i="372"/>
  <c r="P19" i="39"/>
  <c r="P19" i="368"/>
  <c r="P12" i="39"/>
  <c r="P12" i="72"/>
  <c r="P12" i="368"/>
  <c r="P12" i="372"/>
  <c r="P12" i="365"/>
  <c r="M104" i="209"/>
  <c r="P12" i="196"/>
  <c r="P12" i="154"/>
  <c r="P12" i="337"/>
  <c r="P12" i="123"/>
  <c r="P12" i="370"/>
  <c r="P12" i="79"/>
  <c r="P12" i="369"/>
  <c r="P12" i="338"/>
  <c r="I412" i="246"/>
  <c r="M412" i="246" s="1"/>
  <c r="E45" i="248"/>
  <c r="P646" i="209"/>
  <c r="J705" i="209"/>
  <c r="E46" i="248"/>
  <c r="J646" i="209"/>
  <c r="E44" i="248"/>
  <c r="E41" i="296"/>
  <c r="I78" i="294" s="1"/>
  <c r="E40" i="296"/>
  <c r="I58" i="294" s="1"/>
  <c r="E39" i="296"/>
  <c r="N38" i="294" s="1"/>
  <c r="I18" i="294"/>
  <c r="E38" i="296"/>
  <c r="S18" i="294" s="1"/>
  <c r="E42" i="296"/>
  <c r="N18" i="294"/>
  <c r="S138" i="294"/>
  <c r="E37" i="296"/>
  <c r="I38" i="294" s="1"/>
  <c r="E45" i="291"/>
  <c r="E46" i="291"/>
  <c r="E44" i="291"/>
  <c r="L729" i="209"/>
  <c r="M729" i="209" s="1"/>
  <c r="G37" i="214"/>
  <c r="R198" i="209" s="1"/>
  <c r="G42" i="214"/>
  <c r="L257" i="209" s="1"/>
  <c r="G40" i="214"/>
  <c r="L80" i="209" s="1"/>
  <c r="G41" i="214"/>
  <c r="L198" i="209" s="1"/>
  <c r="G38" i="214"/>
  <c r="L21" i="209" s="1"/>
  <c r="G39" i="214"/>
  <c r="R21" i="209" s="1"/>
  <c r="H18" i="214"/>
  <c r="G18" i="247"/>
  <c r="G40" i="219"/>
  <c r="L106" i="209" s="1"/>
  <c r="G39" i="219"/>
  <c r="R47" i="209" s="1"/>
  <c r="G41" i="219"/>
  <c r="L224" i="209" s="1"/>
  <c r="G38" i="219"/>
  <c r="L47" i="209" s="1"/>
  <c r="G37" i="219"/>
  <c r="R224" i="209" s="1"/>
  <c r="H18" i="219"/>
  <c r="L755" i="209"/>
  <c r="G42" i="219"/>
  <c r="L283" i="209" s="1"/>
  <c r="D30" i="229"/>
  <c r="H30" i="58"/>
  <c r="P31" i="292"/>
  <c r="D46" i="326"/>
  <c r="D45" i="326"/>
  <c r="D44" i="326"/>
  <c r="H27" i="330"/>
  <c r="H41" i="330" s="1"/>
  <c r="D44" i="226"/>
  <c r="O98" i="246" s="1"/>
  <c r="D46" i="226"/>
  <c r="I557" i="246"/>
  <c r="D45" i="226"/>
  <c r="I149" i="246" s="1"/>
  <c r="D11" i="170"/>
  <c r="O557" i="246"/>
  <c r="I608" i="246"/>
  <c r="M608" i="246" s="1"/>
  <c r="L20" i="372"/>
  <c r="L20" i="337"/>
  <c r="L20" i="196"/>
  <c r="L20" i="370"/>
  <c r="L20" i="338"/>
  <c r="L20" i="72"/>
  <c r="L20" i="368"/>
  <c r="L20" i="39"/>
  <c r="L20" i="154"/>
  <c r="L20" i="79"/>
  <c r="L20" i="365"/>
  <c r="L20" i="123"/>
  <c r="L20" i="369"/>
  <c r="Q720" i="209"/>
  <c r="F43" i="13"/>
  <c r="F47" i="13" s="1"/>
  <c r="Q130" i="209" s="1"/>
  <c r="H25" i="58"/>
  <c r="I531" i="209"/>
  <c r="D25" i="229"/>
  <c r="H25" i="229" s="1"/>
  <c r="O354" i="209"/>
  <c r="F11" i="228"/>
  <c r="D43" i="295"/>
  <c r="D47" i="295" s="1"/>
  <c r="R57" i="294" s="1"/>
  <c r="P26" i="295"/>
  <c r="L26" i="361"/>
  <c r="D43" i="361" s="1"/>
  <c r="S458" i="209"/>
  <c r="F38" i="101"/>
  <c r="K24" i="246" s="1"/>
  <c r="F41" i="101"/>
  <c r="K177" i="246" s="1"/>
  <c r="F39" i="101"/>
  <c r="Q24" i="246" s="1"/>
  <c r="F40" i="101"/>
  <c r="K75" i="246" s="1"/>
  <c r="F42" i="101"/>
  <c r="K228" i="246" s="1"/>
  <c r="K636" i="246"/>
  <c r="F37" i="101"/>
  <c r="Q177" i="246" s="1"/>
  <c r="F43" i="353"/>
  <c r="F47" i="353" s="1"/>
  <c r="Q166" i="209" s="1"/>
  <c r="Q756" i="209"/>
  <c r="V20" i="292"/>
  <c r="E24" i="229"/>
  <c r="P476" i="209" s="1"/>
  <c r="J413" i="209"/>
  <c r="P531" i="209"/>
  <c r="F38" i="241"/>
  <c r="K55" i="209" s="1"/>
  <c r="F42" i="241"/>
  <c r="K291" i="209" s="1"/>
  <c r="F41" i="241"/>
  <c r="K232" i="209" s="1"/>
  <c r="F39" i="241"/>
  <c r="Q55" i="209" s="1"/>
  <c r="F37" i="241"/>
  <c r="Q232" i="209" s="1"/>
  <c r="K763" i="209"/>
  <c r="F40" i="241"/>
  <c r="K114" i="209" s="1"/>
  <c r="P10" i="271"/>
  <c r="M26" i="246"/>
  <c r="P10" i="101"/>
  <c r="P10" i="176"/>
  <c r="P10" i="99"/>
  <c r="H24" i="328"/>
  <c r="H38" i="328" s="1"/>
  <c r="D43" i="325"/>
  <c r="L26" i="326"/>
  <c r="D43" i="326" s="1"/>
  <c r="P635" i="209"/>
  <c r="O725" i="209"/>
  <c r="S725" i="209" s="1"/>
  <c r="P26" i="7"/>
  <c r="D43" i="7"/>
  <c r="D47" i="7" s="1"/>
  <c r="O135" i="209" s="1"/>
  <c r="H43" i="184"/>
  <c r="H47" i="184"/>
  <c r="S154" i="246" s="1"/>
  <c r="O720" i="209"/>
  <c r="D43" i="13"/>
  <c r="D47" i="13" s="1"/>
  <c r="O130" i="209" s="1"/>
  <c r="D39" i="141"/>
  <c r="O40" i="246" s="1"/>
  <c r="D42" i="141"/>
  <c r="I244" i="246" s="1"/>
  <c r="D38" i="141"/>
  <c r="I40" i="246" s="1"/>
  <c r="D37" i="141"/>
  <c r="O193" i="246" s="1"/>
  <c r="H18" i="141"/>
  <c r="I652" i="246"/>
  <c r="D41" i="141"/>
  <c r="I193" i="246" s="1"/>
  <c r="D40" i="141"/>
  <c r="I91" i="246" s="1"/>
  <c r="K10" i="292"/>
  <c r="H44" i="18"/>
  <c r="M26" i="291"/>
  <c r="E43" i="291" s="1"/>
  <c r="I134" i="246"/>
  <c r="W34" i="313"/>
  <c r="P18" i="185"/>
  <c r="P18" i="212"/>
  <c r="P18" i="173"/>
  <c r="P18" i="223"/>
  <c r="S529" i="246"/>
  <c r="P18" i="228"/>
  <c r="H25" i="330"/>
  <c r="H39" i="330" s="1"/>
  <c r="F11" i="173"/>
  <c r="N57" i="294"/>
  <c r="G43" i="165"/>
  <c r="G47" i="165" s="1"/>
  <c r="R115" i="246" s="1"/>
  <c r="O26" i="223"/>
  <c r="S694" i="209"/>
  <c r="G43" i="72"/>
  <c r="G47" i="72" s="1"/>
  <c r="R154" i="209" s="1"/>
  <c r="R744" i="209"/>
  <c r="S744" i="209" s="1"/>
  <c r="N13" i="292"/>
  <c r="P13" i="292" s="1"/>
  <c r="Q708" i="209"/>
  <c r="E42" i="353"/>
  <c r="J284" i="209" s="1"/>
  <c r="J756" i="209"/>
  <c r="E41" i="353"/>
  <c r="J225" i="209" s="1"/>
  <c r="E40" i="353"/>
  <c r="J107" i="209" s="1"/>
  <c r="E37" i="353"/>
  <c r="P225" i="209" s="1"/>
  <c r="E38" i="353"/>
  <c r="J48" i="209" s="1"/>
  <c r="E18" i="225"/>
  <c r="E39" i="353"/>
  <c r="P48" i="209" s="1"/>
  <c r="P26" i="241"/>
  <c r="O763" i="209"/>
  <c r="D43" i="241"/>
  <c r="S38" i="294"/>
  <c r="H28" i="58"/>
  <c r="H42" i="58" s="1"/>
  <c r="M295" i="209" s="1"/>
  <c r="D28" i="229"/>
  <c r="H28" i="229" s="1"/>
  <c r="H42" i="229" s="1"/>
  <c r="Q755" i="209"/>
  <c r="F43" i="219"/>
  <c r="F47" i="219" s="1"/>
  <c r="Q165" i="209" s="1"/>
  <c r="N26" i="225"/>
  <c r="H24" i="327"/>
  <c r="O502" i="209"/>
  <c r="I325" i="209"/>
  <c r="R755" i="209"/>
  <c r="O26" i="225"/>
  <c r="P26" i="225" s="1"/>
  <c r="G43" i="219"/>
  <c r="G47" i="219" s="1"/>
  <c r="R165" i="209" s="1"/>
  <c r="K627" i="246"/>
  <c r="F37" i="187"/>
  <c r="Q168" i="246" s="1"/>
  <c r="F42" i="187"/>
  <c r="K219" i="246" s="1"/>
  <c r="F41" i="187"/>
  <c r="K168" i="246" s="1"/>
  <c r="F40" i="187"/>
  <c r="K66" i="246" s="1"/>
  <c r="F38" i="187"/>
  <c r="K15" i="246" s="1"/>
  <c r="F39" i="187"/>
  <c r="Q15" i="246" s="1"/>
  <c r="K11" i="292"/>
  <c r="H44" i="44"/>
  <c r="P14" i="125"/>
  <c r="P14" i="16"/>
  <c r="P14" i="15"/>
  <c r="P14" i="4"/>
  <c r="P14" i="13"/>
  <c r="P14" i="9"/>
  <c r="M255" i="209"/>
  <c r="P14" i="11"/>
  <c r="P14" i="6"/>
  <c r="P14" i="14"/>
  <c r="P14" i="7"/>
  <c r="P14" i="10"/>
  <c r="H18" i="325"/>
  <c r="Q531" i="209"/>
  <c r="H31" i="327"/>
  <c r="H45" i="327" s="1"/>
  <c r="M148" i="209" s="1"/>
  <c r="G37" i="72"/>
  <c r="R213" i="209" s="1"/>
  <c r="G40" i="72"/>
  <c r="L744" i="209"/>
  <c r="G38" i="72"/>
  <c r="G42" i="72"/>
  <c r="L272" i="209" s="1"/>
  <c r="G41" i="72"/>
  <c r="L213" i="209" s="1"/>
  <c r="G39" i="72"/>
  <c r="L310" i="246"/>
  <c r="L361" i="246"/>
  <c r="R413" i="209"/>
  <c r="S413" i="209" s="1"/>
  <c r="L531" i="209"/>
  <c r="R354" i="209"/>
  <c r="P11" i="292"/>
  <c r="N58" i="294"/>
  <c r="G11" i="231"/>
  <c r="R138" i="294"/>
  <c r="D39" i="296"/>
  <c r="M38" i="294" s="1"/>
  <c r="D37" i="296"/>
  <c r="H38" i="294" s="1"/>
  <c r="H18" i="294"/>
  <c r="H18" i="296"/>
  <c r="D38" i="296"/>
  <c r="R18" i="294" s="1"/>
  <c r="M18" i="294"/>
  <c r="D40" i="296"/>
  <c r="H58" i="294" s="1"/>
  <c r="D41" i="296"/>
  <c r="H78" i="294" s="1"/>
  <c r="D42" i="296"/>
  <c r="M78" i="294" s="1"/>
  <c r="S141" i="294"/>
  <c r="E37" i="360"/>
  <c r="I41" i="294" s="1"/>
  <c r="E38" i="360"/>
  <c r="S21" i="294" s="1"/>
  <c r="N21" i="294"/>
  <c r="I21" i="294"/>
  <c r="E42" i="360"/>
  <c r="N81" i="294" s="1"/>
  <c r="E40" i="360"/>
  <c r="I61" i="294" s="1"/>
  <c r="E41" i="360"/>
  <c r="I81" i="294" s="1"/>
  <c r="E39" i="360"/>
  <c r="N41" i="294" s="1"/>
  <c r="E18" i="361"/>
  <c r="E43" i="214"/>
  <c r="E47" i="214" s="1"/>
  <c r="P139" i="209" s="1"/>
  <c r="P729" i="209"/>
  <c r="M26" i="247"/>
  <c r="D43" i="225"/>
  <c r="D47" i="225" s="1"/>
  <c r="O168" i="209" s="1"/>
  <c r="O758" i="209"/>
  <c r="G43" i="324"/>
  <c r="G47" i="324" s="1"/>
  <c r="U48" i="294" s="1"/>
  <c r="P26" i="324"/>
  <c r="L590" i="209"/>
  <c r="G48" i="58"/>
  <c r="R590" i="209"/>
  <c r="J472" i="209"/>
  <c r="H24" i="330"/>
  <c r="H38" i="330" s="1"/>
  <c r="M20" i="372"/>
  <c r="M20" i="337"/>
  <c r="M20" i="368"/>
  <c r="M20" i="338"/>
  <c r="M20" i="123"/>
  <c r="M20" i="365"/>
  <c r="M20" i="154"/>
  <c r="M20" i="79"/>
  <c r="M20" i="370"/>
  <c r="M20" i="72"/>
  <c r="M20" i="39"/>
  <c r="M20" i="196"/>
  <c r="M20" i="369"/>
  <c r="E43" i="7"/>
  <c r="E47" i="7" s="1"/>
  <c r="P135" i="209" s="1"/>
  <c r="P725" i="209"/>
  <c r="O83" i="246"/>
  <c r="W33" i="313"/>
  <c r="G11" i="171"/>
  <c r="E39" i="101"/>
  <c r="P24" i="246" s="1"/>
  <c r="E41" i="101"/>
  <c r="J177" i="246" s="1"/>
  <c r="E37" i="101"/>
  <c r="P177" i="246" s="1"/>
  <c r="E38" i="101"/>
  <c r="J24" i="246" s="1"/>
  <c r="J636" i="246"/>
  <c r="E40" i="101"/>
  <c r="J75" i="246" s="1"/>
  <c r="E42" i="101"/>
  <c r="J228" i="246" s="1"/>
  <c r="H25" i="327"/>
  <c r="I31" i="292"/>
  <c r="H37" i="184"/>
  <c r="S205" i="246" s="1"/>
  <c r="S256" i="246"/>
  <c r="P13" i="7"/>
  <c r="P13" i="16"/>
  <c r="P13" i="11"/>
  <c r="P13" i="4"/>
  <c r="P13" i="9"/>
  <c r="P13" i="15"/>
  <c r="M196" i="209"/>
  <c r="P13" i="125"/>
  <c r="P13" i="14"/>
  <c r="P13" i="10"/>
  <c r="P13" i="13"/>
  <c r="P13" i="6"/>
  <c r="J384" i="209"/>
  <c r="D43" i="220"/>
  <c r="O762" i="209"/>
  <c r="P26" i="220"/>
  <c r="L26" i="248"/>
  <c r="P9" i="284"/>
  <c r="P9" i="156"/>
  <c r="P9" i="190"/>
  <c r="P9" i="359"/>
  <c r="S164" i="246"/>
  <c r="F37" i="296"/>
  <c r="J38" i="294" s="1"/>
  <c r="F39" i="296"/>
  <c r="O38" i="294" s="1"/>
  <c r="F40" i="296"/>
  <c r="J58" i="294" s="1"/>
  <c r="T138" i="294"/>
  <c r="O18" i="294"/>
  <c r="F41" i="296"/>
  <c r="J78" i="294" s="1"/>
  <c r="F42" i="296"/>
  <c r="O78" i="294" s="1"/>
  <c r="J18" i="294"/>
  <c r="F38" i="296"/>
  <c r="T18" i="294" s="1"/>
  <c r="S373" i="209"/>
  <c r="V14" i="27"/>
  <c r="V26" i="27"/>
  <c r="V13" i="27"/>
  <c r="V25" i="27"/>
  <c r="V17" i="27"/>
  <c r="V27" i="27"/>
  <c r="V23" i="27"/>
  <c r="V18" i="27"/>
  <c r="V28" i="27"/>
  <c r="V15" i="27"/>
  <c r="V11" i="27"/>
  <c r="J50" i="27"/>
  <c r="J52" i="27" s="1"/>
  <c r="V20" i="27"/>
  <c r="V19" i="27"/>
  <c r="V16" i="27"/>
  <c r="J35" i="34"/>
  <c r="J42" i="34" s="1"/>
  <c r="D15" i="9"/>
  <c r="V11" i="100"/>
  <c r="V16" i="100"/>
  <c r="V12" i="100"/>
  <c r="V14" i="100"/>
  <c r="V17" i="100"/>
  <c r="J35" i="100"/>
  <c r="J37" i="100" s="1"/>
  <c r="V18" i="100"/>
  <c r="V13" i="100"/>
  <c r="V15" i="100"/>
  <c r="K536" i="246"/>
  <c r="K587" i="246"/>
  <c r="F11" i="84"/>
  <c r="F46" i="104"/>
  <c r="Q536" i="246"/>
  <c r="F45" i="104"/>
  <c r="F44" i="104"/>
  <c r="M26" i="292"/>
  <c r="F18" i="185"/>
  <c r="F39" i="156"/>
  <c r="Q8" i="246" s="1"/>
  <c r="F40" i="156"/>
  <c r="K59" i="246" s="1"/>
  <c r="K620" i="246"/>
  <c r="F42" i="156"/>
  <c r="K212" i="246" s="1"/>
  <c r="F38" i="156"/>
  <c r="K8" i="246" s="1"/>
  <c r="F41" i="156"/>
  <c r="K161" i="246" s="1"/>
  <c r="F37" i="156"/>
  <c r="Q161" i="246" s="1"/>
  <c r="F43" i="349"/>
  <c r="F47" i="349" s="1"/>
  <c r="T56" i="294" s="1"/>
  <c r="N26" i="361"/>
  <c r="F43" i="361" s="1"/>
  <c r="F11" i="184"/>
  <c r="F11" i="171"/>
  <c r="K521" i="246"/>
  <c r="F44" i="185"/>
  <c r="Q521" i="246"/>
  <c r="F45" i="185"/>
  <c r="F46" i="185"/>
  <c r="K572" i="246"/>
  <c r="M29" i="292"/>
  <c r="E44" i="185"/>
  <c r="P521" i="246"/>
  <c r="E45" i="185"/>
  <c r="J572" i="246"/>
  <c r="E11" i="171"/>
  <c r="J521" i="246"/>
  <c r="E46" i="185"/>
  <c r="E11" i="184"/>
  <c r="E37" i="176"/>
  <c r="P178" i="246" s="1"/>
  <c r="J637" i="246"/>
  <c r="E39" i="176"/>
  <c r="P25" i="246" s="1"/>
  <c r="E42" i="176"/>
  <c r="J229" i="246" s="1"/>
  <c r="E38" i="176"/>
  <c r="J25" i="246" s="1"/>
  <c r="E40" i="176"/>
  <c r="J76" i="246" s="1"/>
  <c r="E41" i="176"/>
  <c r="J178" i="246" s="1"/>
  <c r="E18" i="104"/>
  <c r="I572" i="246"/>
  <c r="D44" i="185"/>
  <c r="D11" i="184"/>
  <c r="D11" i="171"/>
  <c r="I521" i="246"/>
  <c r="O521" i="246"/>
  <c r="D46" i="185"/>
  <c r="D45" i="185"/>
  <c r="F43" i="176"/>
  <c r="F47" i="176" s="1"/>
  <c r="Q127" i="246" s="1"/>
  <c r="N26" i="104"/>
  <c r="F43" i="156"/>
  <c r="F47" i="156" s="1"/>
  <c r="Q110" i="246" s="1"/>
  <c r="N26" i="185"/>
  <c r="D15" i="154"/>
  <c r="D15" i="44" s="1"/>
  <c r="J23" i="155"/>
  <c r="J25" i="155" s="1"/>
  <c r="I79" i="246"/>
  <c r="I620" i="246"/>
  <c r="D42" i="156"/>
  <c r="D40" i="156"/>
  <c r="D37" i="156"/>
  <c r="D38" i="156"/>
  <c r="D39" i="156"/>
  <c r="D18" i="185"/>
  <c r="D41" i="156"/>
  <c r="H18" i="156"/>
  <c r="D42" i="176"/>
  <c r="D41" i="176"/>
  <c r="D18" i="104"/>
  <c r="I637" i="246"/>
  <c r="D38" i="176"/>
  <c r="D39" i="176"/>
  <c r="H18" i="176"/>
  <c r="D37" i="176"/>
  <c r="D40" i="176"/>
  <c r="S722" i="209"/>
  <c r="I232" i="246"/>
  <c r="I110" i="246"/>
  <c r="G46" i="361"/>
  <c r="G45" i="361"/>
  <c r="G44" i="361"/>
  <c r="F37" i="176"/>
  <c r="Q178" i="246" s="1"/>
  <c r="F42" i="176"/>
  <c r="K229" i="246" s="1"/>
  <c r="F39" i="176"/>
  <c r="Q25" i="246" s="1"/>
  <c r="F38" i="176"/>
  <c r="K25" i="246" s="1"/>
  <c r="F41" i="176"/>
  <c r="K178" i="246" s="1"/>
  <c r="F40" i="176"/>
  <c r="K76" i="246" s="1"/>
  <c r="F18" i="104"/>
  <c r="K637" i="246"/>
  <c r="O76" i="246"/>
  <c r="O181" i="246"/>
  <c r="G43" i="349"/>
  <c r="G47" i="349" s="1"/>
  <c r="U56" i="294" s="1"/>
  <c r="O26" i="361"/>
  <c r="P26" i="349"/>
  <c r="D18" i="370"/>
  <c r="E15" i="370"/>
  <c r="G14" i="174"/>
  <c r="E43" i="156"/>
  <c r="E47" i="156" s="1"/>
  <c r="P110" i="246" s="1"/>
  <c r="M26" i="185"/>
  <c r="O59" i="246"/>
  <c r="P84" i="246"/>
  <c r="M16" i="279"/>
  <c r="M16" i="191"/>
  <c r="M16" i="95"/>
  <c r="I127" i="246"/>
  <c r="D18" i="123"/>
  <c r="E15" i="123"/>
  <c r="V16" i="161"/>
  <c r="V17" i="161"/>
  <c r="V12" i="161"/>
  <c r="V19" i="161"/>
  <c r="V18" i="161"/>
  <c r="V11" i="161"/>
  <c r="V15" i="161"/>
  <c r="V14" i="161"/>
  <c r="J34" i="161"/>
  <c r="J37" i="161" s="1"/>
  <c r="V13" i="161"/>
  <c r="O28" i="246"/>
  <c r="D43" i="176"/>
  <c r="P26" i="176"/>
  <c r="L26" i="104"/>
  <c r="I28" i="246"/>
  <c r="I181" i="246"/>
  <c r="G39" i="349"/>
  <c r="P36" i="294" s="1"/>
  <c r="K16" i="294"/>
  <c r="G37" i="349"/>
  <c r="K36" i="294" s="1"/>
  <c r="G40" i="349"/>
  <c r="K56" i="294" s="1"/>
  <c r="P16" i="294"/>
  <c r="G18" i="361"/>
  <c r="G41" i="349"/>
  <c r="K76" i="294" s="1"/>
  <c r="U136" i="294"/>
  <c r="G42" i="349"/>
  <c r="P76" i="294" s="1"/>
  <c r="G38" i="349"/>
  <c r="U16" i="294" s="1"/>
  <c r="H18" i="349"/>
  <c r="G14" i="154"/>
  <c r="F14" i="44"/>
  <c r="P712" i="209"/>
  <c r="D43" i="156"/>
  <c r="P26" i="156"/>
  <c r="L26" i="185"/>
  <c r="G38" i="176"/>
  <c r="L25" i="246" s="1"/>
  <c r="G40" i="176"/>
  <c r="L76" i="246" s="1"/>
  <c r="G42" i="176"/>
  <c r="L229" i="246" s="1"/>
  <c r="G41" i="176"/>
  <c r="L178" i="246" s="1"/>
  <c r="G39" i="176"/>
  <c r="R25" i="246" s="1"/>
  <c r="G37" i="176"/>
  <c r="R178" i="246" s="1"/>
  <c r="G18" i="104"/>
  <c r="L637" i="246"/>
  <c r="Q747" i="209"/>
  <c r="F43" i="372"/>
  <c r="F47" i="372" s="1"/>
  <c r="Q157" i="209" s="1"/>
  <c r="E40" i="156"/>
  <c r="J59" i="246" s="1"/>
  <c r="J620" i="246"/>
  <c r="E42" i="156"/>
  <c r="J212" i="246" s="1"/>
  <c r="E41" i="156"/>
  <c r="J161" i="246" s="1"/>
  <c r="E39" i="156"/>
  <c r="P8" i="246" s="1"/>
  <c r="E37" i="156"/>
  <c r="P161" i="246" s="1"/>
  <c r="E38" i="156"/>
  <c r="J8" i="246" s="1"/>
  <c r="E18" i="185"/>
  <c r="E14" i="328"/>
  <c r="E15" i="79"/>
  <c r="D18" i="79"/>
  <c r="K747" i="209"/>
  <c r="F40" i="372"/>
  <c r="K98" i="209" s="1"/>
  <c r="F37" i="372"/>
  <c r="Q216" i="209" s="1"/>
  <c r="F42" i="372"/>
  <c r="K275" i="209" s="1"/>
  <c r="F38" i="372"/>
  <c r="K39" i="209" s="1"/>
  <c r="F41" i="372"/>
  <c r="K216" i="209" s="1"/>
  <c r="F39" i="372"/>
  <c r="Q39" i="209" s="1"/>
  <c r="E11" i="84"/>
  <c r="E46" i="104"/>
  <c r="J587" i="246"/>
  <c r="J536" i="246"/>
  <c r="P536" i="246"/>
  <c r="E44" i="104"/>
  <c r="E45" i="104"/>
  <c r="G11" i="84"/>
  <c r="L587" i="246"/>
  <c r="M587" i="246" s="1"/>
  <c r="G45" i="104"/>
  <c r="R536" i="246"/>
  <c r="L536" i="246"/>
  <c r="G44" i="104"/>
  <c r="G46" i="104"/>
  <c r="H28" i="175"/>
  <c r="H42" i="175" s="1"/>
  <c r="F14" i="18"/>
  <c r="F14" i="327" s="1"/>
  <c r="G14" i="7"/>
  <c r="F42" i="349"/>
  <c r="O76" i="294" s="1"/>
  <c r="F41" i="349"/>
  <c r="J76" i="294" s="1"/>
  <c r="F37" i="349"/>
  <c r="J36" i="294" s="1"/>
  <c r="F39" i="349"/>
  <c r="O36" i="294" s="1"/>
  <c r="J16" i="294"/>
  <c r="O16" i="294"/>
  <c r="T16" i="294"/>
  <c r="F18" i="361"/>
  <c r="T136" i="294"/>
  <c r="F40" i="349"/>
  <c r="J56" i="294" s="1"/>
  <c r="C646" i="209"/>
  <c r="V587" i="209"/>
  <c r="G43" i="176"/>
  <c r="G47" i="176" s="1"/>
  <c r="R127" i="246" s="1"/>
  <c r="O26" i="104"/>
  <c r="E18" i="125"/>
  <c r="E40" i="125" s="1"/>
  <c r="F15" i="125"/>
  <c r="D44" i="172"/>
  <c r="F43" i="186"/>
  <c r="F46" i="361"/>
  <c r="F44" i="361"/>
  <c r="F45" i="361"/>
  <c r="E43" i="176"/>
  <c r="E47" i="176" s="1"/>
  <c r="P127" i="246" s="1"/>
  <c r="M26" i="104"/>
  <c r="N20" i="139"/>
  <c r="N20" i="165"/>
  <c r="N20" i="215"/>
  <c r="N20" i="162"/>
  <c r="N20" i="166"/>
  <c r="P14" i="165"/>
  <c r="P14" i="162"/>
  <c r="P14" i="139"/>
  <c r="P14" i="166"/>
  <c r="O20" i="162"/>
  <c r="O20" i="215"/>
  <c r="O20" i="139"/>
  <c r="O20" i="165"/>
  <c r="O20" i="166"/>
  <c r="P9" i="166"/>
  <c r="P9" i="162"/>
  <c r="P9" i="165"/>
  <c r="P9" i="139"/>
  <c r="E48" i="229"/>
  <c r="P594" i="209"/>
  <c r="J594" i="209"/>
  <c r="D48" i="175"/>
  <c r="L20" i="212" s="1"/>
  <c r="H29" i="175"/>
  <c r="S266" i="209"/>
  <c r="H37" i="327"/>
  <c r="S207" i="209" s="1"/>
  <c r="L535" i="209"/>
  <c r="M20" i="162"/>
  <c r="M20" i="166"/>
  <c r="M20" i="215"/>
  <c r="M20" i="139"/>
  <c r="M20" i="165"/>
  <c r="M592" i="209"/>
  <c r="P12" i="162"/>
  <c r="P12" i="139"/>
  <c r="P12" i="166"/>
  <c r="P12" i="165"/>
  <c r="H43" i="228"/>
  <c r="H47" i="228"/>
  <c r="S179" i="209" s="1"/>
  <c r="J476" i="209"/>
  <c r="I22" i="292"/>
  <c r="S297" i="209"/>
  <c r="H37" i="228"/>
  <c r="S238" i="209" s="1"/>
  <c r="Q299" i="209"/>
  <c r="C24" i="292"/>
  <c r="C39" i="292" s="1"/>
  <c r="H32" i="175"/>
  <c r="P18" i="162"/>
  <c r="P18" i="165"/>
  <c r="P18" i="139"/>
  <c r="P18" i="166"/>
  <c r="P17" i="162"/>
  <c r="P17" i="166"/>
  <c r="P17" i="165"/>
  <c r="P17" i="139"/>
  <c r="L20" i="165"/>
  <c r="L20" i="166"/>
  <c r="L20" i="139"/>
  <c r="L20" i="215"/>
  <c r="L20" i="162"/>
  <c r="P11" i="166"/>
  <c r="P11" i="165"/>
  <c r="P11" i="139"/>
  <c r="P11" i="162"/>
  <c r="H39" i="228"/>
  <c r="S61" i="209" s="1"/>
  <c r="S356" i="209"/>
  <c r="H47" i="173"/>
  <c r="H43" i="173"/>
  <c r="G48" i="229"/>
  <c r="Q616" i="246"/>
  <c r="Q412" i="246"/>
  <c r="N37" i="292"/>
  <c r="S410" i="246"/>
  <c r="S610" i="246"/>
  <c r="S614" i="246"/>
  <c r="O616" i="246"/>
  <c r="O412" i="246"/>
  <c r="R616" i="246"/>
  <c r="R412" i="246"/>
  <c r="S406" i="246"/>
  <c r="N20" i="146"/>
  <c r="N20" i="188"/>
  <c r="N20" i="126"/>
  <c r="N20" i="141"/>
  <c r="N20" i="189"/>
  <c r="N20" i="151"/>
  <c r="N20" i="194"/>
  <c r="N20" i="270"/>
  <c r="N20" i="160"/>
  <c r="N20" i="183"/>
  <c r="N20" i="178"/>
  <c r="N20" i="362"/>
  <c r="N20" i="293"/>
  <c r="N20" i="353"/>
  <c r="N20" i="137"/>
  <c r="N20" i="349"/>
  <c r="N20" i="219"/>
  <c r="N20" i="187"/>
  <c r="N20" i="195"/>
  <c r="P15" i="225"/>
  <c r="P15" i="104"/>
  <c r="P15" i="226"/>
  <c r="P15" i="186"/>
  <c r="P15" i="170"/>
  <c r="F48" i="175"/>
  <c r="N20" i="212" s="1"/>
  <c r="D47" i="123"/>
  <c r="G43" i="326"/>
  <c r="P11" i="6"/>
  <c r="P11" i="11"/>
  <c r="P11" i="125"/>
  <c r="P11" i="15"/>
  <c r="P11" i="4"/>
  <c r="P11" i="16"/>
  <c r="P11" i="7"/>
  <c r="P11" i="14"/>
  <c r="P11" i="10"/>
  <c r="P11" i="13"/>
  <c r="S19" i="209"/>
  <c r="P11" i="9"/>
  <c r="S750" i="209"/>
  <c r="E38" i="326"/>
  <c r="E41" i="326"/>
  <c r="E42" i="326"/>
  <c r="E39" i="326"/>
  <c r="E40" i="326"/>
  <c r="E37" i="326"/>
  <c r="I278" i="209"/>
  <c r="O299" i="209"/>
  <c r="P299" i="209"/>
  <c r="I219" i="209"/>
  <c r="O216" i="209"/>
  <c r="I101" i="209"/>
  <c r="O17" i="4"/>
  <c r="O17" i="11"/>
  <c r="O17" i="125"/>
  <c r="O17" i="10"/>
  <c r="L137" i="209"/>
  <c r="O17" i="14"/>
  <c r="O17" i="6"/>
  <c r="O17" i="7"/>
  <c r="O17" i="15"/>
  <c r="O17" i="9"/>
  <c r="O17" i="16"/>
  <c r="O17" i="13"/>
  <c r="I275" i="209"/>
  <c r="H29" i="229"/>
  <c r="O157" i="209"/>
  <c r="O39" i="209"/>
  <c r="R9" i="294"/>
  <c r="I358" i="209"/>
  <c r="I417" i="209"/>
  <c r="J39" i="292"/>
  <c r="H24" i="229"/>
  <c r="I39" i="209"/>
  <c r="P9" i="325"/>
  <c r="P9" i="324"/>
  <c r="D47" i="337"/>
  <c r="M29" i="294"/>
  <c r="I216" i="209"/>
  <c r="P15" i="7"/>
  <c r="P15" i="10"/>
  <c r="P15" i="9"/>
  <c r="P15" i="6"/>
  <c r="P15" i="11"/>
  <c r="P15" i="13"/>
  <c r="P15" i="125"/>
  <c r="P15" i="15"/>
  <c r="P15" i="14"/>
  <c r="P15" i="4"/>
  <c r="P15" i="16"/>
  <c r="N15" i="324"/>
  <c r="F47" i="326"/>
  <c r="N15" i="325"/>
  <c r="O219" i="209"/>
  <c r="D39" i="326"/>
  <c r="D41" i="326"/>
  <c r="D38" i="326"/>
  <c r="D37" i="326"/>
  <c r="D40" i="326"/>
  <c r="D42" i="326"/>
  <c r="H49" i="294"/>
  <c r="I42" i="209"/>
  <c r="P10" i="10"/>
  <c r="P10" i="125"/>
  <c r="P10" i="15"/>
  <c r="P10" i="13"/>
  <c r="P10" i="7"/>
  <c r="P10" i="9"/>
  <c r="P10" i="6"/>
  <c r="P10" i="4"/>
  <c r="M19" i="209"/>
  <c r="P10" i="11"/>
  <c r="P10" i="16"/>
  <c r="P10" i="14"/>
  <c r="H29" i="294"/>
  <c r="I98" i="209"/>
  <c r="O42" i="209"/>
  <c r="W32" i="10" l="1"/>
  <c r="M16" i="16"/>
  <c r="V11" i="371"/>
  <c r="J40" i="70"/>
  <c r="J42" i="70" s="1"/>
  <c r="X11" i="70" s="1"/>
  <c r="V18" i="70"/>
  <c r="M463" i="246"/>
  <c r="S760" i="209"/>
  <c r="P17" i="172"/>
  <c r="N17" i="95"/>
  <c r="N17" i="191"/>
  <c r="K135" i="246"/>
  <c r="H39" i="174"/>
  <c r="P78" i="209"/>
  <c r="M16" i="11"/>
  <c r="M16" i="13"/>
  <c r="N18" i="39"/>
  <c r="P19" i="189"/>
  <c r="S755" i="209"/>
  <c r="P19" i="160"/>
  <c r="S720" i="209"/>
  <c r="P19" i="212"/>
  <c r="E40" i="212"/>
  <c r="J87" i="209" s="1"/>
  <c r="E42" i="212"/>
  <c r="J264" i="209" s="1"/>
  <c r="E38" i="212"/>
  <c r="J28" i="209" s="1"/>
  <c r="V16" i="70"/>
  <c r="N16" i="196"/>
  <c r="V17" i="371"/>
  <c r="V13" i="371"/>
  <c r="H18" i="369"/>
  <c r="V14" i="371"/>
  <c r="D41" i="369"/>
  <c r="I221" i="209" s="1"/>
  <c r="V16" i="371"/>
  <c r="J31" i="371"/>
  <c r="J34" i="371" s="1"/>
  <c r="V12" i="371"/>
  <c r="V18" i="371"/>
  <c r="D15" i="6"/>
  <c r="E15" i="6" s="1"/>
  <c r="Q649" i="209"/>
  <c r="P19" i="187"/>
  <c r="P19" i="151"/>
  <c r="P19" i="183"/>
  <c r="P19" i="178"/>
  <c r="P19" i="293"/>
  <c r="P19" i="137"/>
  <c r="P19" i="353"/>
  <c r="P19" i="126"/>
  <c r="P19" i="349"/>
  <c r="D42" i="186"/>
  <c r="P19" i="219"/>
  <c r="P19" i="195"/>
  <c r="D37" i="186"/>
  <c r="L9" i="279" s="1"/>
  <c r="W25" i="279" s="1"/>
  <c r="D38" i="186"/>
  <c r="L10" i="191" s="1"/>
  <c r="W26" i="191" s="1"/>
  <c r="P19" i="146"/>
  <c r="P19" i="188"/>
  <c r="P19" i="362"/>
  <c r="P19" i="194"/>
  <c r="D41" i="186"/>
  <c r="P19" i="215"/>
  <c r="D40" i="125"/>
  <c r="I721" i="209"/>
  <c r="D41" i="125"/>
  <c r="I190" i="209" s="1"/>
  <c r="D37" i="125"/>
  <c r="D42" i="125"/>
  <c r="I249" i="209" s="1"/>
  <c r="D39" i="125"/>
  <c r="D40" i="212"/>
  <c r="I87" i="209" s="1"/>
  <c r="S735" i="209"/>
  <c r="G39" i="178"/>
  <c r="R49" i="209" s="1"/>
  <c r="I720" i="209"/>
  <c r="M720" i="209" s="1"/>
  <c r="E38" i="291"/>
  <c r="M10" i="289" s="1"/>
  <c r="I752" i="209"/>
  <c r="M752" i="209" s="1"/>
  <c r="G42" i="178"/>
  <c r="L285" i="209" s="1"/>
  <c r="H18" i="178"/>
  <c r="P19" i="125"/>
  <c r="M157" i="246"/>
  <c r="G37" i="178"/>
  <c r="R226" i="209" s="1"/>
  <c r="L757" i="209"/>
  <c r="M757" i="209" s="1"/>
  <c r="G18" i="225"/>
  <c r="E42" i="291"/>
  <c r="M14" i="289" s="1"/>
  <c r="G38" i="178"/>
  <c r="L49" i="209" s="1"/>
  <c r="G40" i="178"/>
  <c r="L108" i="209" s="1"/>
  <c r="G44" i="170"/>
  <c r="I679" i="209"/>
  <c r="E45" i="330"/>
  <c r="F44" i="328"/>
  <c r="L26" i="228"/>
  <c r="E39" i="291"/>
  <c r="M11" i="288" s="1"/>
  <c r="X68" i="28"/>
  <c r="L620" i="209"/>
  <c r="G46" i="170"/>
  <c r="O18" i="160" s="1"/>
  <c r="S653" i="209"/>
  <c r="S762" i="209"/>
  <c r="G11" i="175"/>
  <c r="G45" i="175" s="1"/>
  <c r="O17" i="212" s="1"/>
  <c r="K610" i="246"/>
  <c r="D47" i="291"/>
  <c r="K559" i="246"/>
  <c r="V30" i="292"/>
  <c r="L15" i="288"/>
  <c r="W31" i="288" s="1"/>
  <c r="F46" i="172"/>
  <c r="N18" i="170" s="1"/>
  <c r="L15" i="289"/>
  <c r="W31" i="289" s="1"/>
  <c r="M18" i="9"/>
  <c r="Q559" i="246"/>
  <c r="F45" i="172"/>
  <c r="K151" i="246" s="1"/>
  <c r="X69" i="37"/>
  <c r="X71" i="37" s="1"/>
  <c r="M755" i="209"/>
  <c r="M18" i="13"/>
  <c r="M18" i="16"/>
  <c r="M18" i="6"/>
  <c r="D37" i="369"/>
  <c r="O221" i="209" s="1"/>
  <c r="D40" i="369"/>
  <c r="I103" i="209" s="1"/>
  <c r="D42" i="369"/>
  <c r="I280" i="209" s="1"/>
  <c r="N18" i="95"/>
  <c r="N18" i="279"/>
  <c r="F40" i="369"/>
  <c r="K103" i="209" s="1"/>
  <c r="D38" i="369"/>
  <c r="I44" i="209" s="1"/>
  <c r="D43" i="44"/>
  <c r="L15" i="365" s="1"/>
  <c r="W31" i="365" s="1"/>
  <c r="O753" i="209"/>
  <c r="J610" i="246"/>
  <c r="S514" i="246"/>
  <c r="G46" i="327"/>
  <c r="H43" i="330"/>
  <c r="R620" i="209"/>
  <c r="J720" i="209"/>
  <c r="E40" i="291"/>
  <c r="M12" i="288" s="1"/>
  <c r="D11" i="330"/>
  <c r="D44" i="44"/>
  <c r="L16" i="72" s="1"/>
  <c r="W32" i="72" s="1"/>
  <c r="E14" i="330"/>
  <c r="E14" i="58"/>
  <c r="E14" i="229" s="1"/>
  <c r="D11" i="58"/>
  <c r="O649" i="209" s="1"/>
  <c r="X65" i="36"/>
  <c r="L17" i="99"/>
  <c r="W33" i="99" s="1"/>
  <c r="D46" i="44"/>
  <c r="L18" i="369" s="1"/>
  <c r="E41" i="291"/>
  <c r="M13" i="289" s="1"/>
  <c r="G44" i="327"/>
  <c r="R89" i="209" s="1"/>
  <c r="E45" i="172"/>
  <c r="M17" i="186" s="1"/>
  <c r="W32" i="186" s="1"/>
  <c r="D39" i="13"/>
  <c r="O12" i="209" s="1"/>
  <c r="D42" i="13"/>
  <c r="I248" i="209" s="1"/>
  <c r="P12" i="291"/>
  <c r="H18" i="13"/>
  <c r="D37" i="13"/>
  <c r="O189" i="209" s="1"/>
  <c r="L26" i="170"/>
  <c r="D43" i="170" s="1"/>
  <c r="P18" i="361"/>
  <c r="D18" i="4"/>
  <c r="D37" i="4" s="1"/>
  <c r="D38" i="13"/>
  <c r="I12" i="209" s="1"/>
  <c r="P18" i="229"/>
  <c r="D40" i="13"/>
  <c r="I71" i="209" s="1"/>
  <c r="K752" i="209"/>
  <c r="E41" i="248"/>
  <c r="M13" i="221" s="1"/>
  <c r="E40" i="248"/>
  <c r="J115" i="209" s="1"/>
  <c r="F39" i="369"/>
  <c r="Q44" i="209" s="1"/>
  <c r="F37" i="369"/>
  <c r="Q221" i="209" s="1"/>
  <c r="E39" i="248"/>
  <c r="M11" i="347" s="1"/>
  <c r="F41" i="369"/>
  <c r="K221" i="209" s="1"/>
  <c r="F38" i="369"/>
  <c r="K44" i="209" s="1"/>
  <c r="G46" i="328"/>
  <c r="J764" i="209"/>
  <c r="E38" i="248"/>
  <c r="M10" i="220" s="1"/>
  <c r="G45" i="328"/>
  <c r="E37" i="248"/>
  <c r="M9" i="220" s="1"/>
  <c r="S361" i="246"/>
  <c r="E18" i="14"/>
  <c r="E41" i="14" s="1"/>
  <c r="J187" i="209" s="1"/>
  <c r="D14" i="14"/>
  <c r="J32" i="80"/>
  <c r="J35" i="80" s="1"/>
  <c r="J37" i="80" s="1"/>
  <c r="V14" i="80"/>
  <c r="V12" i="80"/>
  <c r="V14" i="32"/>
  <c r="X14" i="32" s="1"/>
  <c r="S749" i="209"/>
  <c r="M26" i="328"/>
  <c r="E43" i="328" s="1"/>
  <c r="E47" i="328" s="1"/>
  <c r="H37" i="58"/>
  <c r="S236" i="209" s="1"/>
  <c r="E43" i="44"/>
  <c r="M15" i="39" s="1"/>
  <c r="S295" i="209"/>
  <c r="D11" i="328"/>
  <c r="M760" i="209"/>
  <c r="V11" i="80"/>
  <c r="M734" i="209"/>
  <c r="P19" i="225"/>
  <c r="P19" i="226"/>
  <c r="P19" i="186"/>
  <c r="P19" i="170"/>
  <c r="P19" i="104"/>
  <c r="O17" i="372"/>
  <c r="O17" i="368"/>
  <c r="E37" i="13"/>
  <c r="P189" i="209" s="1"/>
  <c r="D37" i="212"/>
  <c r="O205" i="209" s="1"/>
  <c r="F48" i="229"/>
  <c r="N20" i="58" s="1"/>
  <c r="D42" i="212"/>
  <c r="I264" i="209" s="1"/>
  <c r="L594" i="209"/>
  <c r="M17" i="15"/>
  <c r="D38" i="212"/>
  <c r="I28" i="209" s="1"/>
  <c r="M17" i="11"/>
  <c r="I736" i="209"/>
  <c r="M17" i="10"/>
  <c r="M17" i="16"/>
  <c r="M17" i="4"/>
  <c r="D18" i="228"/>
  <c r="D38" i="228" s="1"/>
  <c r="M17" i="125"/>
  <c r="E41" i="13"/>
  <c r="J189" i="209" s="1"/>
  <c r="M17" i="6"/>
  <c r="M17" i="7"/>
  <c r="E40" i="13"/>
  <c r="J71" i="209" s="1"/>
  <c r="J137" i="209"/>
  <c r="E38" i="13"/>
  <c r="J12" i="209" s="1"/>
  <c r="M17" i="13"/>
  <c r="M17" i="9"/>
  <c r="E42" i="13"/>
  <c r="J248" i="209" s="1"/>
  <c r="D39" i="212"/>
  <c r="O28" i="209" s="1"/>
  <c r="E46" i="58"/>
  <c r="P649" i="209"/>
  <c r="M18" i="279"/>
  <c r="J649" i="209"/>
  <c r="E45" i="58"/>
  <c r="J177" i="209" s="1"/>
  <c r="E44" i="58"/>
  <c r="P118" i="209" s="1"/>
  <c r="O18" i="123"/>
  <c r="O17" i="79"/>
  <c r="O18" i="337"/>
  <c r="O17" i="369"/>
  <c r="O18" i="370"/>
  <c r="O18" i="372"/>
  <c r="O17" i="39"/>
  <c r="O17" i="72"/>
  <c r="O18" i="72"/>
  <c r="O17" i="123"/>
  <c r="O17" i="154"/>
  <c r="Q476" i="209"/>
  <c r="L358" i="209"/>
  <c r="K417" i="209"/>
  <c r="O17" i="370"/>
  <c r="O18" i="79"/>
  <c r="O17" i="196"/>
  <c r="O18" i="368"/>
  <c r="O17" i="365"/>
  <c r="J135" i="246"/>
  <c r="M18" i="191"/>
  <c r="O18" i="10"/>
  <c r="O18" i="6"/>
  <c r="O18" i="14"/>
  <c r="O18" i="4"/>
  <c r="O18" i="16"/>
  <c r="O18" i="7"/>
  <c r="O18" i="9"/>
  <c r="O18" i="15"/>
  <c r="O18" i="13"/>
  <c r="O18" i="125"/>
  <c r="M17" i="191"/>
  <c r="M17" i="95"/>
  <c r="N18" i="72"/>
  <c r="P12" i="44"/>
  <c r="N18" i="368"/>
  <c r="P19" i="6"/>
  <c r="P12" i="174"/>
  <c r="N18" i="79"/>
  <c r="G42" i="14"/>
  <c r="L246" i="209" s="1"/>
  <c r="P19" i="7"/>
  <c r="P12" i="248"/>
  <c r="P19" i="4"/>
  <c r="N18" i="370"/>
  <c r="P12" i="18"/>
  <c r="O26" i="171"/>
  <c r="G43" i="171" s="1"/>
  <c r="O15" i="173" s="1"/>
  <c r="P12" i="326"/>
  <c r="H47" i="58"/>
  <c r="S177" i="209" s="1"/>
  <c r="P19" i="14"/>
  <c r="P12" i="58"/>
  <c r="G40" i="14"/>
  <c r="L69" i="209" s="1"/>
  <c r="P19" i="13"/>
  <c r="P12" i="247"/>
  <c r="N18" i="196"/>
  <c r="P12" i="330"/>
  <c r="P19" i="15"/>
  <c r="P19" i="11"/>
  <c r="N18" i="337"/>
  <c r="N18" i="154"/>
  <c r="P19" i="16"/>
  <c r="N18" i="338"/>
  <c r="N18" i="123"/>
  <c r="S137" i="209"/>
  <c r="P19" i="10"/>
  <c r="L718" i="209"/>
  <c r="P12" i="327"/>
  <c r="P12" i="250"/>
  <c r="P17" i="184"/>
  <c r="E43" i="212"/>
  <c r="E47" i="212" s="1"/>
  <c r="P146" i="209" s="1"/>
  <c r="N16" i="337"/>
  <c r="J559" i="246"/>
  <c r="P17" i="175"/>
  <c r="E44" i="172"/>
  <c r="M16" i="104" s="1"/>
  <c r="W31" i="104" s="1"/>
  <c r="D44" i="327"/>
  <c r="O89" i="209" s="1"/>
  <c r="H18" i="186"/>
  <c r="P17" i="84"/>
  <c r="M18" i="4"/>
  <c r="M18" i="15"/>
  <c r="P17" i="171"/>
  <c r="M18" i="125"/>
  <c r="K594" i="209"/>
  <c r="P17" i="361"/>
  <c r="D45" i="327"/>
  <c r="I148" i="209" s="1"/>
  <c r="M18" i="7"/>
  <c r="D43" i="369"/>
  <c r="D47" i="369" s="1"/>
  <c r="O162" i="209" s="1"/>
  <c r="M18" i="11"/>
  <c r="M122" i="209"/>
  <c r="L679" i="209"/>
  <c r="R727" i="209"/>
  <c r="O17" i="338"/>
  <c r="N18" i="372"/>
  <c r="N18" i="369"/>
  <c r="P17" i="229"/>
  <c r="D40" i="186"/>
  <c r="L12" i="191" s="1"/>
  <c r="W28" i="191" s="1"/>
  <c r="M641" i="246"/>
  <c r="P559" i="246"/>
  <c r="M472" i="209"/>
  <c r="M18" i="10"/>
  <c r="L163" i="209"/>
  <c r="D39" i="186"/>
  <c r="L11" i="95" s="1"/>
  <c r="W27" i="95" s="1"/>
  <c r="D40" i="361"/>
  <c r="L12" i="296" s="1"/>
  <c r="D45" i="44"/>
  <c r="I635" i="209"/>
  <c r="O635" i="209"/>
  <c r="R34" i="36"/>
  <c r="R36" i="36" s="1"/>
  <c r="T32" i="36"/>
  <c r="T36" i="36" s="1"/>
  <c r="V11" i="124"/>
  <c r="V18" i="124"/>
  <c r="V13" i="29"/>
  <c r="X13" i="29" s="1"/>
  <c r="O561" i="246"/>
  <c r="I561" i="246"/>
  <c r="P19" i="223"/>
  <c r="G41" i="14"/>
  <c r="L187" i="209" s="1"/>
  <c r="G38" i="14"/>
  <c r="L10" i="209" s="1"/>
  <c r="G39" i="14"/>
  <c r="R10" i="209" s="1"/>
  <c r="N17" i="370"/>
  <c r="N17" i="365"/>
  <c r="M18" i="154"/>
  <c r="D43" i="212"/>
  <c r="D47" i="212" s="1"/>
  <c r="O146" i="209" s="1"/>
  <c r="M740" i="209"/>
  <c r="J30" i="124"/>
  <c r="J32" i="124" s="1"/>
  <c r="J34" i="124" s="1"/>
  <c r="V12" i="124"/>
  <c r="G44" i="58"/>
  <c r="R118" i="209" s="1"/>
  <c r="M15" i="325"/>
  <c r="E47" i="326"/>
  <c r="M19" i="325" s="1"/>
  <c r="J44" i="70"/>
  <c r="V14" i="29"/>
  <c r="X14" i="29" s="1"/>
  <c r="G45" i="330"/>
  <c r="O16" i="72"/>
  <c r="S531" i="209"/>
  <c r="V16" i="29"/>
  <c r="X16" i="29" s="1"/>
  <c r="V17" i="29"/>
  <c r="X17" i="29" s="1"/>
  <c r="O16" i="15"/>
  <c r="M590" i="209"/>
  <c r="G46" i="330"/>
  <c r="V15" i="29"/>
  <c r="X15" i="29" s="1"/>
  <c r="M17" i="338"/>
  <c r="V11" i="29"/>
  <c r="X11" i="29" s="1"/>
  <c r="M17" i="337"/>
  <c r="O16" i="365"/>
  <c r="O16" i="154"/>
  <c r="R78" i="209"/>
  <c r="M620" i="246"/>
  <c r="O16" i="369"/>
  <c r="O16" i="4"/>
  <c r="O16" i="368"/>
  <c r="O16" i="125"/>
  <c r="O16" i="79"/>
  <c r="O16" i="337"/>
  <c r="O16" i="10"/>
  <c r="O16" i="338"/>
  <c r="O16" i="9"/>
  <c r="O16" i="16"/>
  <c r="O16" i="370"/>
  <c r="O16" i="123"/>
  <c r="R104" i="209"/>
  <c r="O16" i="372"/>
  <c r="O16" i="6"/>
  <c r="O16" i="11"/>
  <c r="O16" i="196"/>
  <c r="O16" i="14"/>
  <c r="O16" i="7"/>
  <c r="V12" i="29"/>
  <c r="X12" i="29" s="1"/>
  <c r="Q84" i="246"/>
  <c r="N16" i="95"/>
  <c r="N16" i="191"/>
  <c r="P18" i="231"/>
  <c r="S565" i="246"/>
  <c r="P18" i="171"/>
  <c r="P18" i="184"/>
  <c r="P18" i="172"/>
  <c r="P18" i="175"/>
  <c r="O17" i="156"/>
  <c r="L113" i="246"/>
  <c r="H43" i="174"/>
  <c r="P15" i="229" s="1"/>
  <c r="G39" i="185"/>
  <c r="O11" i="284" s="1"/>
  <c r="L623" i="246"/>
  <c r="G42" i="185"/>
  <c r="L215" i="246" s="1"/>
  <c r="G41" i="185"/>
  <c r="G40" i="185"/>
  <c r="O12" i="190" s="1"/>
  <c r="G18" i="184"/>
  <c r="L664" i="246" s="1"/>
  <c r="G38" i="185"/>
  <c r="O10" i="284" s="1"/>
  <c r="O20" i="361"/>
  <c r="O20" i="171"/>
  <c r="O20" i="172"/>
  <c r="O20" i="175"/>
  <c r="O20" i="84"/>
  <c r="O20" i="231"/>
  <c r="O20" i="229"/>
  <c r="G11" i="174"/>
  <c r="G44" i="174" s="1"/>
  <c r="G45" i="172"/>
  <c r="L151" i="246" s="1"/>
  <c r="G46" i="172"/>
  <c r="O18" i="170" s="1"/>
  <c r="L559" i="246"/>
  <c r="R559" i="246"/>
  <c r="G44" i="172"/>
  <c r="O16" i="186" s="1"/>
  <c r="M20" i="231"/>
  <c r="M20" i="175"/>
  <c r="M20" i="229"/>
  <c r="M20" i="361"/>
  <c r="M20" i="172"/>
  <c r="M20" i="84"/>
  <c r="M20" i="184"/>
  <c r="M20" i="171"/>
  <c r="N16" i="370"/>
  <c r="M18" i="196"/>
  <c r="L26" i="330"/>
  <c r="D43" i="330" s="1"/>
  <c r="D47" i="330" s="1"/>
  <c r="N16" i="365"/>
  <c r="S650" i="209"/>
  <c r="M18" i="338"/>
  <c r="Q104" i="209"/>
  <c r="K358" i="209"/>
  <c r="K708" i="209"/>
  <c r="N16" i="154"/>
  <c r="M16" i="125"/>
  <c r="K649" i="209"/>
  <c r="M16" i="10"/>
  <c r="F44" i="58"/>
  <c r="Q118" i="209" s="1"/>
  <c r="M16" i="4"/>
  <c r="M13" i="292"/>
  <c r="S13" i="292" s="1"/>
  <c r="T13" i="292" s="1"/>
  <c r="N16" i="372"/>
  <c r="N16" i="79"/>
  <c r="M16" i="9"/>
  <c r="N16" i="368"/>
  <c r="O26" i="58"/>
  <c r="G43" i="58" s="1"/>
  <c r="G47" i="58" s="1"/>
  <c r="R177" i="209" s="1"/>
  <c r="N16" i="72"/>
  <c r="M16" i="6"/>
  <c r="N16" i="369"/>
  <c r="M16" i="15"/>
  <c r="F45" i="58"/>
  <c r="K177" i="209" s="1"/>
  <c r="M16" i="7"/>
  <c r="N16" i="39"/>
  <c r="N16" i="123"/>
  <c r="E46" i="330"/>
  <c r="O26" i="327"/>
  <c r="R738" i="209" s="1"/>
  <c r="M668" i="209"/>
  <c r="G43" i="248"/>
  <c r="R764" i="209"/>
  <c r="L17" i="7"/>
  <c r="W33" i="7" s="1"/>
  <c r="V21" i="28"/>
  <c r="V25" i="28"/>
  <c r="V16" i="28"/>
  <c r="V13" i="28"/>
  <c r="V28" i="28"/>
  <c r="V11" i="28"/>
  <c r="V24" i="28"/>
  <c r="V15" i="28"/>
  <c r="V18" i="28"/>
  <c r="V23" i="28"/>
  <c r="V12" i="28"/>
  <c r="J56" i="28"/>
  <c r="J59" i="28" s="1"/>
  <c r="L17" i="10"/>
  <c r="W33" i="10" s="1"/>
  <c r="L17" i="14"/>
  <c r="W33" i="14" s="1"/>
  <c r="L17" i="13"/>
  <c r="W33" i="13" s="1"/>
  <c r="L17" i="16"/>
  <c r="W33" i="16" s="1"/>
  <c r="L17" i="125"/>
  <c r="W33" i="125" s="1"/>
  <c r="L17" i="6"/>
  <c r="W33" i="6" s="1"/>
  <c r="I137" i="209"/>
  <c r="L17" i="9"/>
  <c r="W33" i="9" s="1"/>
  <c r="L17" i="15"/>
  <c r="W33" i="15" s="1"/>
  <c r="L17" i="4"/>
  <c r="W33" i="4" s="1"/>
  <c r="H43" i="328"/>
  <c r="S472" i="209"/>
  <c r="D48" i="229"/>
  <c r="L20" i="328" s="1"/>
  <c r="O26" i="330"/>
  <c r="G43" i="330" s="1"/>
  <c r="G47" i="330" s="1"/>
  <c r="L18" i="7"/>
  <c r="M677" i="209"/>
  <c r="L18" i="10"/>
  <c r="M634" i="246"/>
  <c r="V19" i="34"/>
  <c r="V23" i="34"/>
  <c r="P19" i="228"/>
  <c r="V13" i="32"/>
  <c r="X13" i="32" s="1"/>
  <c r="V11" i="32"/>
  <c r="X11" i="32" s="1"/>
  <c r="P19" i="185"/>
  <c r="P19" i="173"/>
  <c r="L708" i="209"/>
  <c r="E46" i="327"/>
  <c r="G18" i="250"/>
  <c r="G37" i="250" s="1"/>
  <c r="R237" i="209" s="1"/>
  <c r="G45" i="58"/>
  <c r="L177" i="209" s="1"/>
  <c r="H18" i="248"/>
  <c r="L764" i="209"/>
  <c r="E45" i="327"/>
  <c r="J148" i="209" s="1"/>
  <c r="G38" i="248"/>
  <c r="L56" i="209" s="1"/>
  <c r="H37" i="174"/>
  <c r="P9" i="175" s="1"/>
  <c r="G42" i="248"/>
  <c r="J620" i="209"/>
  <c r="G37" i="248"/>
  <c r="O9" i="347" s="1"/>
  <c r="G41" i="248"/>
  <c r="O13" i="221" s="1"/>
  <c r="E44" i="327"/>
  <c r="P89" i="209" s="1"/>
  <c r="G39" i="248"/>
  <c r="O11" i="220" s="1"/>
  <c r="J679" i="209"/>
  <c r="O18" i="190"/>
  <c r="O18" i="284"/>
  <c r="O26" i="184"/>
  <c r="G43" i="184" s="1"/>
  <c r="G47" i="184" s="1"/>
  <c r="R154" i="246" s="1"/>
  <c r="N26" i="173"/>
  <c r="F43" i="173" s="1"/>
  <c r="P15" i="196"/>
  <c r="D45" i="172"/>
  <c r="L17" i="186" s="1"/>
  <c r="L17" i="271"/>
  <c r="W33" i="271" s="1"/>
  <c r="M18" i="365"/>
  <c r="D42" i="361"/>
  <c r="L14" i="296" s="1"/>
  <c r="L17" i="359"/>
  <c r="W33" i="359" s="1"/>
  <c r="M18" i="368"/>
  <c r="D41" i="361"/>
  <c r="L13" i="295" s="1"/>
  <c r="I128" i="246"/>
  <c r="M18" i="337"/>
  <c r="L18" i="16"/>
  <c r="J13" i="292"/>
  <c r="L18" i="125"/>
  <c r="M572" i="246"/>
  <c r="L18" i="14"/>
  <c r="R562" i="246"/>
  <c r="M18" i="370"/>
  <c r="L18" i="6"/>
  <c r="L18" i="15"/>
  <c r="M18" i="123"/>
  <c r="O620" i="209"/>
  <c r="L562" i="246"/>
  <c r="M18" i="372"/>
  <c r="G46" i="58"/>
  <c r="I559" i="246"/>
  <c r="M18" i="369"/>
  <c r="D46" i="172"/>
  <c r="L18" i="226" s="1"/>
  <c r="M18" i="72"/>
  <c r="D38" i="361"/>
  <c r="L10" i="295" s="1"/>
  <c r="O559" i="246"/>
  <c r="L17" i="176"/>
  <c r="W33" i="176" s="1"/>
  <c r="M18" i="39"/>
  <c r="D39" i="361"/>
  <c r="L11" i="360" s="1"/>
  <c r="W27" i="360" s="1"/>
  <c r="M17" i="368"/>
  <c r="M17" i="370"/>
  <c r="M514" i="246"/>
  <c r="M17" i="196"/>
  <c r="M17" i="39"/>
  <c r="G37" i="291"/>
  <c r="O9" i="289" s="1"/>
  <c r="O18" i="154"/>
  <c r="M17" i="79"/>
  <c r="M17" i="154"/>
  <c r="G40" i="291"/>
  <c r="O12" i="288" s="1"/>
  <c r="M17" i="369"/>
  <c r="M17" i="72"/>
  <c r="G41" i="291"/>
  <c r="O13" i="290" s="1"/>
  <c r="O18" i="369"/>
  <c r="O18" i="338"/>
  <c r="O18" i="365"/>
  <c r="O18" i="196"/>
  <c r="J163" i="209"/>
  <c r="M17" i="372"/>
  <c r="H18" i="291"/>
  <c r="G38" i="291"/>
  <c r="O10" i="289" s="1"/>
  <c r="M17" i="365"/>
  <c r="G42" i="291"/>
  <c r="O14" i="288" s="1"/>
  <c r="J417" i="209"/>
  <c r="K37" i="292"/>
  <c r="Q594" i="209"/>
  <c r="R594" i="209"/>
  <c r="L613" i="246"/>
  <c r="L18" i="11"/>
  <c r="G46" i="184"/>
  <c r="G44" i="184"/>
  <c r="R103" i="246" s="1"/>
  <c r="L18" i="4"/>
  <c r="O16" i="284"/>
  <c r="S384" i="209"/>
  <c r="S463" i="246"/>
  <c r="S502" i="209"/>
  <c r="R62" i="246"/>
  <c r="C583" i="209"/>
  <c r="V524" i="209"/>
  <c r="L18" i="13"/>
  <c r="N26" i="330"/>
  <c r="F43" i="330" s="1"/>
  <c r="F47" i="330" s="1"/>
  <c r="X18" i="70"/>
  <c r="I37" i="292"/>
  <c r="R417" i="209"/>
  <c r="J358" i="209"/>
  <c r="I594" i="209"/>
  <c r="M621" i="246"/>
  <c r="O16" i="156"/>
  <c r="X16" i="70"/>
  <c r="P535" i="209"/>
  <c r="P417" i="209"/>
  <c r="N17" i="39"/>
  <c r="N17" i="372"/>
  <c r="Q753" i="209"/>
  <c r="N17" i="154"/>
  <c r="Q727" i="209"/>
  <c r="N26" i="327"/>
  <c r="Q738" i="209" s="1"/>
  <c r="M413" i="209"/>
  <c r="F43" i="44"/>
  <c r="N15" i="369" s="1"/>
  <c r="N17" i="79"/>
  <c r="N26" i="58"/>
  <c r="F43" i="58" s="1"/>
  <c r="F47" i="58" s="1"/>
  <c r="Q177" i="209" s="1"/>
  <c r="N17" i="196"/>
  <c r="V16" i="49"/>
  <c r="V19" i="49"/>
  <c r="V12" i="49"/>
  <c r="V13" i="49"/>
  <c r="J34" i="49"/>
  <c r="J36" i="49" s="1"/>
  <c r="V11" i="49"/>
  <c r="V17" i="49"/>
  <c r="V18" i="49"/>
  <c r="V14" i="49"/>
  <c r="D39" i="11"/>
  <c r="O14" i="209" s="1"/>
  <c r="J40" i="30"/>
  <c r="X18" i="30"/>
  <c r="X15" i="30"/>
  <c r="D46" i="327"/>
  <c r="M10" i="288"/>
  <c r="P26" i="44"/>
  <c r="M26" i="327"/>
  <c r="P738" i="209" s="1"/>
  <c r="R753" i="209"/>
  <c r="M26" i="58"/>
  <c r="E43" i="58" s="1"/>
  <c r="E47" i="58" s="1"/>
  <c r="P177" i="209" s="1"/>
  <c r="P12" i="361"/>
  <c r="P12" i="231"/>
  <c r="P12" i="172"/>
  <c r="M26" i="330"/>
  <c r="E43" i="330" s="1"/>
  <c r="E47" i="330" s="1"/>
  <c r="E43" i="18"/>
  <c r="M15" i="4" s="1"/>
  <c r="G43" i="44"/>
  <c r="O15" i="337" s="1"/>
  <c r="O476" i="209"/>
  <c r="S476" i="209" s="1"/>
  <c r="D42" i="11"/>
  <c r="I250" i="209" s="1"/>
  <c r="R736" i="209"/>
  <c r="S736" i="209" s="1"/>
  <c r="G43" i="212"/>
  <c r="G47" i="212" s="1"/>
  <c r="R146" i="209" s="1"/>
  <c r="I722" i="209"/>
  <c r="P26" i="212"/>
  <c r="P15" i="72"/>
  <c r="M9" i="289"/>
  <c r="P15" i="370"/>
  <c r="M9" i="290"/>
  <c r="L18" i="359"/>
  <c r="P15" i="79"/>
  <c r="L18" i="176"/>
  <c r="P15" i="368"/>
  <c r="L18" i="101"/>
  <c r="P15" i="123"/>
  <c r="L18" i="271"/>
  <c r="P15" i="337"/>
  <c r="P15" i="154"/>
  <c r="P15" i="338"/>
  <c r="P15" i="372"/>
  <c r="F46" i="330"/>
  <c r="F45" i="328"/>
  <c r="F45" i="330"/>
  <c r="P15" i="365"/>
  <c r="P15" i="39"/>
  <c r="D40" i="11"/>
  <c r="I73" i="209" s="1"/>
  <c r="D37" i="11"/>
  <c r="O191" i="209" s="1"/>
  <c r="D38" i="11"/>
  <c r="I14" i="209" s="1"/>
  <c r="Q764" i="209"/>
  <c r="F43" i="248"/>
  <c r="H30" i="229"/>
  <c r="X11" i="30"/>
  <c r="X12" i="30"/>
  <c r="X19" i="30"/>
  <c r="Q358" i="209"/>
  <c r="F11" i="229"/>
  <c r="R653" i="209" s="1"/>
  <c r="M699" i="209"/>
  <c r="R649" i="209"/>
  <c r="L16" i="271"/>
  <c r="W32" i="271" s="1"/>
  <c r="L16" i="99"/>
  <c r="W32" i="99" s="1"/>
  <c r="O26" i="328"/>
  <c r="G43" i="328" s="1"/>
  <c r="G47" i="328" s="1"/>
  <c r="E40" i="11"/>
  <c r="J73" i="209" s="1"/>
  <c r="E41" i="11"/>
  <c r="J191" i="209" s="1"/>
  <c r="J722" i="209"/>
  <c r="E39" i="11"/>
  <c r="P14" i="209" s="1"/>
  <c r="E42" i="11"/>
  <c r="J250" i="209" s="1"/>
  <c r="E38" i="11"/>
  <c r="J14" i="209" s="1"/>
  <c r="E37" i="11"/>
  <c r="P191" i="209" s="1"/>
  <c r="G15" i="11"/>
  <c r="G18" i="11" s="1"/>
  <c r="F18" i="11"/>
  <c r="P26" i="326"/>
  <c r="S616" i="246"/>
  <c r="C517" i="209"/>
  <c r="C576" i="209" s="1"/>
  <c r="C635" i="209" s="1"/>
  <c r="C694" i="209" s="1"/>
  <c r="C753" i="209" s="1"/>
  <c r="V458" i="209"/>
  <c r="V517" i="209" s="1"/>
  <c r="V576" i="209" s="1"/>
  <c r="V635" i="209" s="1"/>
  <c r="V694" i="209" s="1"/>
  <c r="V753" i="209" s="1"/>
  <c r="F42" i="13"/>
  <c r="K248" i="209" s="1"/>
  <c r="F38" i="13"/>
  <c r="K12" i="209" s="1"/>
  <c r="F37" i="13"/>
  <c r="Q189" i="209" s="1"/>
  <c r="K720" i="209"/>
  <c r="F39" i="13"/>
  <c r="Q12" i="209" s="1"/>
  <c r="F40" i="13"/>
  <c r="K71" i="209" s="1"/>
  <c r="F41" i="13"/>
  <c r="K189" i="209" s="1"/>
  <c r="G18" i="212"/>
  <c r="G18" i="173" s="1"/>
  <c r="L735" i="209"/>
  <c r="M735" i="209" s="1"/>
  <c r="G37" i="162"/>
  <c r="R204" i="209" s="1"/>
  <c r="G41" i="162"/>
  <c r="L204" i="209" s="1"/>
  <c r="G42" i="162"/>
  <c r="L263" i="209" s="1"/>
  <c r="H18" i="162"/>
  <c r="G14" i="173"/>
  <c r="G14" i="175" s="1"/>
  <c r="G14" i="228"/>
  <c r="V11" i="129"/>
  <c r="J30" i="129"/>
  <c r="J33" i="129" s="1"/>
  <c r="V17" i="129"/>
  <c r="V15" i="129"/>
  <c r="V14" i="129"/>
  <c r="V13" i="129"/>
  <c r="V16" i="129"/>
  <c r="V20" i="129"/>
  <c r="V18" i="129"/>
  <c r="V12" i="129"/>
  <c r="E15" i="126"/>
  <c r="D15" i="226"/>
  <c r="D18" i="126"/>
  <c r="M730" i="209"/>
  <c r="O20" i="292"/>
  <c r="F38" i="212"/>
  <c r="K28" i="209" s="1"/>
  <c r="F40" i="212"/>
  <c r="K87" i="209" s="1"/>
  <c r="F42" i="212"/>
  <c r="K264" i="209" s="1"/>
  <c r="F41" i="212"/>
  <c r="K205" i="209" s="1"/>
  <c r="F39" i="212"/>
  <c r="Q28" i="209" s="1"/>
  <c r="K736" i="209"/>
  <c r="F37" i="212"/>
  <c r="Q205" i="209" s="1"/>
  <c r="E47" i="186"/>
  <c r="M15" i="279"/>
  <c r="M15" i="191"/>
  <c r="M15" i="95"/>
  <c r="M643" i="246"/>
  <c r="E43" i="225"/>
  <c r="E47" i="225" s="1"/>
  <c r="P168" i="209" s="1"/>
  <c r="P758" i="209"/>
  <c r="M26" i="228"/>
  <c r="G11" i="229"/>
  <c r="G45" i="229" s="1"/>
  <c r="P12" i="84"/>
  <c r="V11" i="292"/>
  <c r="S590" i="209"/>
  <c r="L26" i="58"/>
  <c r="D43" i="58" s="1"/>
  <c r="D47" i="58" s="1"/>
  <c r="O177" i="209" s="1"/>
  <c r="M656" i="246"/>
  <c r="H46" i="229"/>
  <c r="P18" i="328" s="1"/>
  <c r="H23" i="229"/>
  <c r="I24" i="292" s="1"/>
  <c r="P26" i="18"/>
  <c r="I39" i="292"/>
  <c r="P12" i="229"/>
  <c r="M673" i="209"/>
  <c r="L26" i="327"/>
  <c r="O738" i="209" s="1"/>
  <c r="M106" i="246"/>
  <c r="O17" i="190"/>
  <c r="E45" i="328"/>
  <c r="D46" i="228"/>
  <c r="L18" i="225" s="1"/>
  <c r="O651" i="209"/>
  <c r="I651" i="209"/>
  <c r="D45" i="228"/>
  <c r="D44" i="228"/>
  <c r="I710" i="209"/>
  <c r="G43" i="186"/>
  <c r="P26" i="186"/>
  <c r="O18" i="289"/>
  <c r="O18" i="288"/>
  <c r="O18" i="290"/>
  <c r="O727" i="209"/>
  <c r="R299" i="209"/>
  <c r="P12" i="175"/>
  <c r="P26" i="291"/>
  <c r="G43" i="291"/>
  <c r="O17" i="288"/>
  <c r="O17" i="290"/>
  <c r="O17" i="289"/>
  <c r="M651" i="246"/>
  <c r="O16" i="288"/>
  <c r="O16" i="289"/>
  <c r="O16" i="290"/>
  <c r="O11" i="288"/>
  <c r="O11" i="289"/>
  <c r="O11" i="290"/>
  <c r="S679" i="209"/>
  <c r="E11" i="229"/>
  <c r="E44" i="229" s="1"/>
  <c r="R535" i="209"/>
  <c r="S708" i="209"/>
  <c r="P12" i="184"/>
  <c r="M10" i="290"/>
  <c r="I476" i="209"/>
  <c r="M361" i="246"/>
  <c r="P14" i="58"/>
  <c r="P14" i="250"/>
  <c r="P14" i="247"/>
  <c r="P14" i="44"/>
  <c r="P14" i="326"/>
  <c r="P14" i="327"/>
  <c r="N18" i="105"/>
  <c r="N18" i="213"/>
  <c r="N18" i="214"/>
  <c r="W30" i="307"/>
  <c r="I235" i="246"/>
  <c r="L13" i="288"/>
  <c r="W29" i="288" s="1"/>
  <c r="L13" i="289"/>
  <c r="W29" i="289" s="1"/>
  <c r="L13" i="290"/>
  <c r="W29" i="290" s="1"/>
  <c r="L16" i="101"/>
  <c r="W32" i="101" s="1"/>
  <c r="W27" i="307"/>
  <c r="O31" i="246"/>
  <c r="L10" i="289"/>
  <c r="W26" i="289" s="1"/>
  <c r="L10" i="290"/>
  <c r="W26" i="290" s="1"/>
  <c r="L10" i="288"/>
  <c r="W26" i="288" s="1"/>
  <c r="E37" i="186"/>
  <c r="E40" i="186"/>
  <c r="J645" i="246"/>
  <c r="E42" i="186"/>
  <c r="E38" i="186"/>
  <c r="E41" i="186"/>
  <c r="E39" i="186"/>
  <c r="M417" i="209"/>
  <c r="L16" i="176"/>
  <c r="W32" i="176" s="1"/>
  <c r="S763" i="209"/>
  <c r="M635" i="246"/>
  <c r="N17" i="105"/>
  <c r="K142" i="209"/>
  <c r="N17" i="213"/>
  <c r="N17" i="214"/>
  <c r="L12" i="290"/>
  <c r="W28" i="290" s="1"/>
  <c r="L12" i="288"/>
  <c r="W28" i="288" s="1"/>
  <c r="L12" i="289"/>
  <c r="W28" i="289" s="1"/>
  <c r="L18" i="105"/>
  <c r="L18" i="214"/>
  <c r="L18" i="213"/>
  <c r="Q417" i="209"/>
  <c r="L14" i="290"/>
  <c r="W30" i="290" s="1"/>
  <c r="L14" i="289"/>
  <c r="W30" i="289" s="1"/>
  <c r="L14" i="288"/>
  <c r="W30" i="288" s="1"/>
  <c r="S412" i="246"/>
  <c r="D46" i="84"/>
  <c r="D47" i="307"/>
  <c r="W31" i="307"/>
  <c r="L17" i="213"/>
  <c r="W33" i="213" s="1"/>
  <c r="L17" i="214"/>
  <c r="W33" i="214" s="1"/>
  <c r="I142" i="209"/>
  <c r="L17" i="105"/>
  <c r="W33" i="105" s="1"/>
  <c r="R358" i="209"/>
  <c r="M637" i="246"/>
  <c r="D45" i="84"/>
  <c r="I153" i="246" s="1"/>
  <c r="L11" i="289"/>
  <c r="W27" i="289" s="1"/>
  <c r="L11" i="290"/>
  <c r="W27" i="290" s="1"/>
  <c r="L11" i="288"/>
  <c r="W27" i="288" s="1"/>
  <c r="O732" i="209"/>
  <c r="D43" i="247"/>
  <c r="L9" i="288"/>
  <c r="W25" i="288" s="1"/>
  <c r="L9" i="290"/>
  <c r="W25" i="290" s="1"/>
  <c r="L9" i="289"/>
  <c r="W25" i="289" s="1"/>
  <c r="Q535" i="209"/>
  <c r="D44" i="84"/>
  <c r="O102" i="246" s="1"/>
  <c r="P11" i="173"/>
  <c r="P11" i="185"/>
  <c r="P11" i="212"/>
  <c r="P11" i="223"/>
  <c r="S19" i="246"/>
  <c r="P11" i="228"/>
  <c r="L16" i="105"/>
  <c r="W32" i="105" s="1"/>
  <c r="L16" i="213"/>
  <c r="W32" i="213" s="1"/>
  <c r="O83" i="209"/>
  <c r="L16" i="214"/>
  <c r="W32" i="214" s="1"/>
  <c r="S717" i="209"/>
  <c r="I31" i="246"/>
  <c r="W26" i="307"/>
  <c r="F41" i="247"/>
  <c r="O15" i="292"/>
  <c r="F37" i="247"/>
  <c r="K732" i="209"/>
  <c r="F42" i="247"/>
  <c r="F38" i="247"/>
  <c r="F39" i="247"/>
  <c r="F40" i="247"/>
  <c r="D37" i="247"/>
  <c r="D40" i="247"/>
  <c r="D41" i="247"/>
  <c r="D38" i="247"/>
  <c r="D42" i="247"/>
  <c r="I732" i="209"/>
  <c r="D39" i="247"/>
  <c r="H38" i="58"/>
  <c r="M59" i="209" s="1"/>
  <c r="L16" i="359"/>
  <c r="W32" i="359" s="1"/>
  <c r="V15" i="292"/>
  <c r="S15" i="292"/>
  <c r="T15" i="292" s="1"/>
  <c r="O184" i="246"/>
  <c r="W25" i="307"/>
  <c r="M578" i="246"/>
  <c r="P39" i="246"/>
  <c r="O39" i="246"/>
  <c r="Q732" i="209"/>
  <c r="F43" i="247"/>
  <c r="D642" i="209"/>
  <c r="U583" i="209"/>
  <c r="S730" i="209"/>
  <c r="I184" i="246"/>
  <c r="W29" i="307"/>
  <c r="N16" i="213"/>
  <c r="N16" i="105"/>
  <c r="Q83" i="209"/>
  <c r="N16" i="214"/>
  <c r="I82" i="246"/>
  <c r="W28" i="307"/>
  <c r="M717" i="209"/>
  <c r="O30" i="292"/>
  <c r="F38" i="186"/>
  <c r="F39" i="186"/>
  <c r="F41" i="186"/>
  <c r="F37" i="186"/>
  <c r="K645" i="246"/>
  <c r="F40" i="186"/>
  <c r="F42" i="186"/>
  <c r="H39" i="229"/>
  <c r="P11" i="44" s="1"/>
  <c r="S358" i="209"/>
  <c r="O15" i="185"/>
  <c r="E42" i="361"/>
  <c r="E37" i="361"/>
  <c r="E41" i="361"/>
  <c r="E40" i="361"/>
  <c r="E39" i="361"/>
  <c r="E38" i="361"/>
  <c r="G46" i="171"/>
  <c r="L529" i="246"/>
  <c r="L580" i="246"/>
  <c r="G45" i="171"/>
  <c r="G44" i="171"/>
  <c r="R529" i="246"/>
  <c r="O77" i="294"/>
  <c r="N77" i="294"/>
  <c r="P77" i="294"/>
  <c r="O16" i="105"/>
  <c r="R83" i="209"/>
  <c r="O16" i="213"/>
  <c r="O16" i="214"/>
  <c r="O18" i="324"/>
  <c r="O18" i="325"/>
  <c r="O16" i="347"/>
  <c r="R115" i="209"/>
  <c r="O16" i="221"/>
  <c r="O16" i="220"/>
  <c r="M18" i="214"/>
  <c r="M18" i="105"/>
  <c r="M18" i="213"/>
  <c r="I55" i="209"/>
  <c r="W26" i="241"/>
  <c r="I185" i="246"/>
  <c r="W30" i="313"/>
  <c r="P14" i="248"/>
  <c r="F44" i="173"/>
  <c r="F11" i="175"/>
  <c r="F45" i="173"/>
  <c r="F46" i="173"/>
  <c r="G38" i="247"/>
  <c r="G39" i="247"/>
  <c r="G37" i="247"/>
  <c r="G40" i="247"/>
  <c r="G41" i="247"/>
  <c r="L732" i="209"/>
  <c r="G42" i="247"/>
  <c r="H18" i="247"/>
  <c r="S561" i="209"/>
  <c r="D37" i="223"/>
  <c r="O170" i="246" s="1"/>
  <c r="D41" i="223"/>
  <c r="I170" i="246" s="1"/>
  <c r="D38" i="223"/>
  <c r="I17" i="246" s="1"/>
  <c r="I629" i="246"/>
  <c r="D42" i="223"/>
  <c r="I221" i="246" s="1"/>
  <c r="D40" i="223"/>
  <c r="I68" i="246" s="1"/>
  <c r="D39" i="223"/>
  <c r="O17" i="246" s="1"/>
  <c r="D18" i="173"/>
  <c r="P26" i="226"/>
  <c r="M14" i="347"/>
  <c r="J292" i="209"/>
  <c r="M14" i="221"/>
  <c r="M14" i="220"/>
  <c r="M18" i="333"/>
  <c r="M18" i="360"/>
  <c r="M18" i="296"/>
  <c r="M18" i="295"/>
  <c r="M18" i="367"/>
  <c r="O18" i="214"/>
  <c r="O18" i="105"/>
  <c r="O18" i="213"/>
  <c r="W26" i="313"/>
  <c r="O185" i="246"/>
  <c r="D47" i="313"/>
  <c r="W32" i="313"/>
  <c r="G40" i="186"/>
  <c r="G37" i="186"/>
  <c r="G39" i="186"/>
  <c r="G38" i="186"/>
  <c r="G42" i="186"/>
  <c r="G41" i="186"/>
  <c r="L645" i="246"/>
  <c r="M645" i="246" s="1"/>
  <c r="P358" i="209"/>
  <c r="E44" i="250"/>
  <c r="P119" i="209" s="1"/>
  <c r="J709" i="209"/>
  <c r="P650" i="209"/>
  <c r="J650" i="209"/>
  <c r="E45" i="250"/>
  <c r="J178" i="209" s="1"/>
  <c r="E46" i="250"/>
  <c r="D45" i="173"/>
  <c r="D44" i="173"/>
  <c r="D11" i="175"/>
  <c r="D46" i="173"/>
  <c r="P16" i="338"/>
  <c r="P16" i="365"/>
  <c r="P16" i="372"/>
  <c r="P16" i="123"/>
  <c r="P16" i="368"/>
  <c r="P16" i="196"/>
  <c r="P16" i="72"/>
  <c r="P16" i="154"/>
  <c r="P16" i="79"/>
  <c r="P16" i="370"/>
  <c r="S104" i="209"/>
  <c r="P16" i="39"/>
  <c r="P16" i="369"/>
  <c r="P16" i="337"/>
  <c r="Q758" i="209"/>
  <c r="F43" i="225"/>
  <c r="F47" i="225" s="1"/>
  <c r="Q168" i="209" s="1"/>
  <c r="N26" i="170"/>
  <c r="F43" i="170" s="1"/>
  <c r="N26" i="228"/>
  <c r="P16" i="16"/>
  <c r="P16" i="6"/>
  <c r="P16" i="14"/>
  <c r="P16" i="15"/>
  <c r="P16" i="4"/>
  <c r="P16" i="10"/>
  <c r="P16" i="7"/>
  <c r="S78" i="209"/>
  <c r="P16" i="9"/>
  <c r="P16" i="125"/>
  <c r="P16" i="11"/>
  <c r="P16" i="13"/>
  <c r="L18" i="324"/>
  <c r="L18" i="325"/>
  <c r="P11" i="186"/>
  <c r="P11" i="170"/>
  <c r="P11" i="226"/>
  <c r="P11" i="225"/>
  <c r="S49" i="246"/>
  <c r="P11" i="104"/>
  <c r="O769" i="209"/>
  <c r="D43" i="228"/>
  <c r="K13" i="292"/>
  <c r="H44" i="58"/>
  <c r="S118" i="209" s="1"/>
  <c r="L19" i="95"/>
  <c r="W34" i="95" s="1"/>
  <c r="L19" i="191"/>
  <c r="W34" i="191" s="1"/>
  <c r="L19" i="279"/>
  <c r="W34" i="279" s="1"/>
  <c r="O135" i="246"/>
  <c r="N10" i="324"/>
  <c r="N10" i="325"/>
  <c r="F41" i="225"/>
  <c r="K227" i="209" s="1"/>
  <c r="F39" i="225"/>
  <c r="Q50" i="209" s="1"/>
  <c r="F40" i="225"/>
  <c r="K109" i="209" s="1"/>
  <c r="F37" i="225"/>
  <c r="Q227" i="209" s="1"/>
  <c r="F38" i="225"/>
  <c r="K50" i="209" s="1"/>
  <c r="O21" i="292"/>
  <c r="F42" i="225"/>
  <c r="K286" i="209" s="1"/>
  <c r="K758" i="209"/>
  <c r="F18" i="228"/>
  <c r="I290" i="209"/>
  <c r="I236" i="246"/>
  <c r="W31" i="313"/>
  <c r="M744" i="209"/>
  <c r="G46" i="173"/>
  <c r="G45" i="173"/>
  <c r="G44" i="173"/>
  <c r="W25" i="241"/>
  <c r="O232" i="209"/>
  <c r="M17" i="289"/>
  <c r="M17" i="288"/>
  <c r="M17" i="290"/>
  <c r="M17" i="333"/>
  <c r="W31" i="333" s="1"/>
  <c r="M17" i="360"/>
  <c r="M17" i="367"/>
  <c r="M17" i="295"/>
  <c r="W33" i="295" s="1"/>
  <c r="M17" i="296"/>
  <c r="W33" i="296" s="1"/>
  <c r="P14" i="174"/>
  <c r="N17" i="123"/>
  <c r="N17" i="368"/>
  <c r="M299" i="209"/>
  <c r="F38" i="248"/>
  <c r="K764" i="209"/>
  <c r="F41" i="248"/>
  <c r="O16" i="292"/>
  <c r="F18" i="250"/>
  <c r="F40" i="248"/>
  <c r="F39" i="248"/>
  <c r="F37" i="248"/>
  <c r="F42" i="248"/>
  <c r="D47" i="361"/>
  <c r="L15" i="360"/>
  <c r="W31" i="360" s="1"/>
  <c r="L15" i="367"/>
  <c r="W29" i="367" s="1"/>
  <c r="L15" i="296"/>
  <c r="L15" i="295"/>
  <c r="L15" i="333"/>
  <c r="J174" i="209"/>
  <c r="M17" i="221"/>
  <c r="M17" i="220"/>
  <c r="M17" i="347"/>
  <c r="L26" i="231"/>
  <c r="L26" i="173"/>
  <c r="P26" i="223"/>
  <c r="D43" i="223"/>
  <c r="D47" i="223" s="1"/>
  <c r="O119" i="246" s="1"/>
  <c r="P10" i="104"/>
  <c r="P10" i="225"/>
  <c r="P10" i="186"/>
  <c r="P10" i="226"/>
  <c r="P10" i="170"/>
  <c r="M49" i="246"/>
  <c r="N12" i="325"/>
  <c r="N12" i="324"/>
  <c r="F37" i="223"/>
  <c r="Q170" i="246" s="1"/>
  <c r="F40" i="223"/>
  <c r="K68" i="246" s="1"/>
  <c r="F41" i="223"/>
  <c r="K170" i="246" s="1"/>
  <c r="K629" i="246"/>
  <c r="F42" i="223"/>
  <c r="K221" i="246" s="1"/>
  <c r="F38" i="223"/>
  <c r="K17" i="246" s="1"/>
  <c r="O33" i="292"/>
  <c r="F39" i="223"/>
  <c r="Q17" i="246" s="1"/>
  <c r="F18" i="173"/>
  <c r="E44" i="170"/>
  <c r="E45" i="170"/>
  <c r="E46" i="170"/>
  <c r="W27" i="313"/>
  <c r="I32" i="246"/>
  <c r="P9" i="79"/>
  <c r="P9" i="369"/>
  <c r="P9" i="123"/>
  <c r="P9" i="154"/>
  <c r="P9" i="39"/>
  <c r="P9" i="365"/>
  <c r="P9" i="368"/>
  <c r="S222" i="209"/>
  <c r="P9" i="337"/>
  <c r="P9" i="196"/>
  <c r="P9" i="370"/>
  <c r="P9" i="338"/>
  <c r="P9" i="72"/>
  <c r="P9" i="372"/>
  <c r="E46" i="328"/>
  <c r="O15" i="156"/>
  <c r="O15" i="190"/>
  <c r="O15" i="284"/>
  <c r="G47" i="185"/>
  <c r="E43" i="223"/>
  <c r="E47" i="223" s="1"/>
  <c r="P119" i="246" s="1"/>
  <c r="M26" i="173"/>
  <c r="M26" i="231"/>
  <c r="E43" i="231" s="1"/>
  <c r="E47" i="231" s="1"/>
  <c r="P155" i="246" s="1"/>
  <c r="I614" i="246"/>
  <c r="I563" i="246"/>
  <c r="D44" i="231"/>
  <c r="O104" i="246" s="1"/>
  <c r="O563" i="246"/>
  <c r="D45" i="231"/>
  <c r="I155" i="246" s="1"/>
  <c r="D46" i="231"/>
  <c r="S712" i="209"/>
  <c r="O55" i="209"/>
  <c r="W27" i="241"/>
  <c r="N12" i="290"/>
  <c r="N12" i="288"/>
  <c r="N12" i="289"/>
  <c r="O417" i="209"/>
  <c r="O764" i="209"/>
  <c r="D43" i="248"/>
  <c r="P26" i="248"/>
  <c r="L26" i="250"/>
  <c r="M531" i="209"/>
  <c r="N14" i="324"/>
  <c r="N14" i="325"/>
  <c r="W29" i="241"/>
  <c r="I232" i="209"/>
  <c r="N9" i="290"/>
  <c r="N9" i="289"/>
  <c r="N9" i="288"/>
  <c r="I54" i="209"/>
  <c r="L16" i="367"/>
  <c r="W30" i="367" s="1"/>
  <c r="L16" i="295"/>
  <c r="L16" i="296"/>
  <c r="L16" i="333"/>
  <c r="L16" i="360"/>
  <c r="W32" i="360" s="1"/>
  <c r="O32" i="246"/>
  <c r="W28" i="313"/>
  <c r="H18" i="223"/>
  <c r="G40" i="223"/>
  <c r="L68" i="246" s="1"/>
  <c r="G41" i="223"/>
  <c r="L170" i="246" s="1"/>
  <c r="L629" i="246"/>
  <c r="G39" i="223"/>
  <c r="R17" i="246" s="1"/>
  <c r="G42" i="223"/>
  <c r="L221" i="246" s="1"/>
  <c r="G37" i="223"/>
  <c r="R170" i="246" s="1"/>
  <c r="G38" i="223"/>
  <c r="L17" i="246" s="1"/>
  <c r="P764" i="209"/>
  <c r="E43" i="248"/>
  <c r="V16" i="292"/>
  <c r="S16" i="292"/>
  <c r="T16" i="292" s="1"/>
  <c r="K163" i="209"/>
  <c r="P14" i="291"/>
  <c r="N26" i="231"/>
  <c r="F43" i="231" s="1"/>
  <c r="F47" i="231" s="1"/>
  <c r="Q155" i="246" s="1"/>
  <c r="P732" i="209"/>
  <c r="M26" i="250"/>
  <c r="E43" i="247"/>
  <c r="N9" i="325"/>
  <c r="N9" i="324"/>
  <c r="G18" i="171"/>
  <c r="J732" i="209"/>
  <c r="E39" i="247"/>
  <c r="E38" i="247"/>
  <c r="E41" i="247"/>
  <c r="E40" i="247"/>
  <c r="E37" i="247"/>
  <c r="E42" i="247"/>
  <c r="E18" i="250"/>
  <c r="N20" i="171"/>
  <c r="N20" i="184"/>
  <c r="N20" i="361"/>
  <c r="N20" i="172"/>
  <c r="N20" i="229"/>
  <c r="N20" i="175"/>
  <c r="N20" i="84"/>
  <c r="N20" i="231"/>
  <c r="L17" i="333"/>
  <c r="L17" i="296"/>
  <c r="L17" i="367"/>
  <c r="W31" i="367" s="1"/>
  <c r="L17" i="295"/>
  <c r="L17" i="360"/>
  <c r="W33" i="360" s="1"/>
  <c r="O17" i="95"/>
  <c r="L135" i="246"/>
  <c r="O17" i="191"/>
  <c r="O17" i="279"/>
  <c r="F45" i="327"/>
  <c r="K148" i="209" s="1"/>
  <c r="Q620" i="209"/>
  <c r="F46" i="327"/>
  <c r="K679" i="209"/>
  <c r="F44" i="327"/>
  <c r="Q89" i="209" s="1"/>
  <c r="N17" i="290"/>
  <c r="N17" i="288"/>
  <c r="N17" i="289"/>
  <c r="M652" i="246"/>
  <c r="L710" i="209"/>
  <c r="G44" i="228"/>
  <c r="L651" i="209"/>
  <c r="R651" i="209"/>
  <c r="G45" i="228"/>
  <c r="G46" i="228"/>
  <c r="O18" i="225" s="1"/>
  <c r="N13" i="288"/>
  <c r="N13" i="289"/>
  <c r="N13" i="290"/>
  <c r="M18" i="220"/>
  <c r="M18" i="221"/>
  <c r="M18" i="347"/>
  <c r="H39" i="327"/>
  <c r="S30" i="209" s="1"/>
  <c r="S325" i="209"/>
  <c r="D46" i="170"/>
  <c r="D44" i="170"/>
  <c r="D45" i="170"/>
  <c r="N17" i="72"/>
  <c r="O26" i="170"/>
  <c r="G43" i="170" s="1"/>
  <c r="G43" i="225"/>
  <c r="G47" i="225" s="1"/>
  <c r="R168" i="209" s="1"/>
  <c r="R758" i="209"/>
  <c r="S758" i="209" s="1"/>
  <c r="O26" i="228"/>
  <c r="P26" i="228" s="1"/>
  <c r="K651" i="209"/>
  <c r="K710" i="209"/>
  <c r="M22" i="292"/>
  <c r="F44" i="228"/>
  <c r="F45" i="228"/>
  <c r="F46" i="228"/>
  <c r="N18" i="225" s="1"/>
  <c r="Q651" i="209"/>
  <c r="N11" i="324"/>
  <c r="N11" i="325"/>
  <c r="O13" i="190"/>
  <c r="O13" i="284"/>
  <c r="O13" i="156"/>
  <c r="L164" i="246"/>
  <c r="AA39" i="292"/>
  <c r="L476" i="209"/>
  <c r="K39" i="292"/>
  <c r="AA24" i="292"/>
  <c r="I231" i="209"/>
  <c r="L18" i="360"/>
  <c r="L18" i="367"/>
  <c r="L18" i="333"/>
  <c r="L18" i="296"/>
  <c r="L18" i="295"/>
  <c r="I83" i="246"/>
  <c r="W29" i="313"/>
  <c r="M16" i="325"/>
  <c r="M16" i="324"/>
  <c r="N17" i="10"/>
  <c r="K137" i="209"/>
  <c r="N17" i="6"/>
  <c r="N17" i="16"/>
  <c r="N17" i="13"/>
  <c r="N17" i="4"/>
  <c r="N17" i="14"/>
  <c r="N17" i="11"/>
  <c r="N17" i="15"/>
  <c r="N17" i="9"/>
  <c r="N17" i="7"/>
  <c r="N17" i="125"/>
  <c r="F46" i="170"/>
  <c r="F44" i="170"/>
  <c r="F45" i="170"/>
  <c r="Q650" i="209"/>
  <c r="K709" i="209"/>
  <c r="F46" i="250"/>
  <c r="R650" i="209"/>
  <c r="M18" i="292"/>
  <c r="F44" i="250"/>
  <c r="Q119" i="209" s="1"/>
  <c r="K650" i="209"/>
  <c r="F45" i="250"/>
  <c r="K178" i="209" s="1"/>
  <c r="N16" i="290"/>
  <c r="N16" i="288"/>
  <c r="N16" i="289"/>
  <c r="N14" i="289"/>
  <c r="N14" i="288"/>
  <c r="N14" i="290"/>
  <c r="N78" i="294"/>
  <c r="P14" i="330"/>
  <c r="N17" i="337"/>
  <c r="N26" i="328"/>
  <c r="F43" i="328" s="1"/>
  <c r="F47" i="328" s="1"/>
  <c r="P14" i="328"/>
  <c r="D47" i="220"/>
  <c r="W31" i="241"/>
  <c r="D47" i="241"/>
  <c r="L15" i="325"/>
  <c r="W29" i="325" s="1"/>
  <c r="L15" i="324"/>
  <c r="W29" i="324" s="1"/>
  <c r="D47" i="326"/>
  <c r="G40" i="225"/>
  <c r="L109" i="209" s="1"/>
  <c r="G38" i="225"/>
  <c r="L50" i="209" s="1"/>
  <c r="G37" i="225"/>
  <c r="R227" i="209" s="1"/>
  <c r="G42" i="225"/>
  <c r="L286" i="209" s="1"/>
  <c r="G39" i="225"/>
  <c r="R50" i="209" s="1"/>
  <c r="G41" i="225"/>
  <c r="L227" i="209" s="1"/>
  <c r="L758" i="209"/>
  <c r="M758" i="209" s="1"/>
  <c r="F43" i="291"/>
  <c r="N26" i="250"/>
  <c r="M626" i="246"/>
  <c r="R12" i="292"/>
  <c r="U12" i="292"/>
  <c r="G37" i="326"/>
  <c r="G40" i="326"/>
  <c r="G38" i="326"/>
  <c r="G41" i="326"/>
  <c r="G42" i="326"/>
  <c r="G39" i="326"/>
  <c r="O12" i="156"/>
  <c r="O18" i="191"/>
  <c r="O18" i="279"/>
  <c r="O18" i="95"/>
  <c r="M17" i="325"/>
  <c r="M17" i="324"/>
  <c r="S10" i="292"/>
  <c r="T10" i="292" s="1"/>
  <c r="V10" i="292"/>
  <c r="L20" i="184"/>
  <c r="L20" i="175"/>
  <c r="L20" i="361"/>
  <c r="L20" i="84"/>
  <c r="L20" i="229"/>
  <c r="L20" i="171"/>
  <c r="L20" i="172"/>
  <c r="L20" i="231"/>
  <c r="N18" i="347"/>
  <c r="N18" i="221"/>
  <c r="N18" i="220"/>
  <c r="O84" i="246"/>
  <c r="L16" i="191"/>
  <c r="W32" i="191" s="1"/>
  <c r="L16" i="95"/>
  <c r="W32" i="95" s="1"/>
  <c r="L16" i="279"/>
  <c r="W32" i="279" s="1"/>
  <c r="V17" i="292"/>
  <c r="S17" i="292"/>
  <c r="T17" i="292" s="1"/>
  <c r="K535" i="209"/>
  <c r="N11" i="288"/>
  <c r="N11" i="290"/>
  <c r="N11" i="289"/>
  <c r="G43" i="223"/>
  <c r="G47" i="223" s="1"/>
  <c r="R119" i="246" s="1"/>
  <c r="O26" i="231"/>
  <c r="G43" i="231" s="1"/>
  <c r="G47" i="231" s="1"/>
  <c r="R155" i="246" s="1"/>
  <c r="O26" i="173"/>
  <c r="D47" i="325"/>
  <c r="R49" i="294" s="1"/>
  <c r="O358" i="209"/>
  <c r="I535" i="209"/>
  <c r="M535" i="209" s="1"/>
  <c r="L16" i="221"/>
  <c r="W32" i="221" s="1"/>
  <c r="L16" i="347"/>
  <c r="W32" i="347" s="1"/>
  <c r="O115" i="209"/>
  <c r="L16" i="220"/>
  <c r="W32" i="220" s="1"/>
  <c r="P13" i="58"/>
  <c r="P13" i="327"/>
  <c r="P13" i="248"/>
  <c r="P13" i="44"/>
  <c r="P13" i="291"/>
  <c r="P13" i="247"/>
  <c r="P13" i="18"/>
  <c r="P13" i="326"/>
  <c r="P13" i="250"/>
  <c r="M240" i="209"/>
  <c r="P13" i="328"/>
  <c r="P13" i="174"/>
  <c r="P13" i="330"/>
  <c r="N13" i="325"/>
  <c r="N13" i="324"/>
  <c r="E39" i="223"/>
  <c r="P17" i="246" s="1"/>
  <c r="E41" i="223"/>
  <c r="J170" i="246" s="1"/>
  <c r="E37" i="223"/>
  <c r="P170" i="246" s="1"/>
  <c r="E40" i="223"/>
  <c r="J68" i="246" s="1"/>
  <c r="E38" i="223"/>
  <c r="J17" i="246" s="1"/>
  <c r="E18" i="173"/>
  <c r="J629" i="246"/>
  <c r="E42" i="223"/>
  <c r="J221" i="246" s="1"/>
  <c r="O17" i="105"/>
  <c r="O17" i="214"/>
  <c r="L142" i="209"/>
  <c r="O17" i="213"/>
  <c r="S443" i="209"/>
  <c r="M18" i="325"/>
  <c r="M18" i="324"/>
  <c r="M661" i="246"/>
  <c r="M625" i="246"/>
  <c r="M631" i="246"/>
  <c r="N18" i="7"/>
  <c r="N18" i="4"/>
  <c r="N18" i="16"/>
  <c r="N18" i="10"/>
  <c r="N18" i="6"/>
  <c r="N18" i="9"/>
  <c r="N18" i="15"/>
  <c r="N18" i="125"/>
  <c r="N18" i="14"/>
  <c r="N18" i="11"/>
  <c r="N18" i="13"/>
  <c r="M644" i="246"/>
  <c r="M705" i="209"/>
  <c r="L17" i="279"/>
  <c r="W33" i="279" s="1"/>
  <c r="I135" i="246"/>
  <c r="L17" i="191"/>
  <c r="W33" i="191" s="1"/>
  <c r="L17" i="95"/>
  <c r="W33" i="95" s="1"/>
  <c r="D47" i="141"/>
  <c r="O142" i="246" s="1"/>
  <c r="N18" i="290"/>
  <c r="N18" i="289"/>
  <c r="N18" i="288"/>
  <c r="E11" i="175"/>
  <c r="E44" i="173"/>
  <c r="E45" i="173"/>
  <c r="E46" i="173"/>
  <c r="P9" i="173"/>
  <c r="P9" i="185"/>
  <c r="P9" i="223"/>
  <c r="S172" i="246"/>
  <c r="P9" i="212"/>
  <c r="P9" i="228"/>
  <c r="K620" i="209"/>
  <c r="U17" i="292"/>
  <c r="R17" i="292"/>
  <c r="N10" i="288"/>
  <c r="N10" i="290"/>
  <c r="N10" i="289"/>
  <c r="I291" i="209"/>
  <c r="W30" i="241"/>
  <c r="P14" i="18"/>
  <c r="H39" i="58"/>
  <c r="S59" i="209" s="1"/>
  <c r="S354" i="209"/>
  <c r="L16" i="325"/>
  <c r="W30" i="325" s="1"/>
  <c r="L16" i="324"/>
  <c r="W30" i="324" s="1"/>
  <c r="M16" i="290"/>
  <c r="M16" i="288"/>
  <c r="W31" i="291"/>
  <c r="M16" i="289"/>
  <c r="M16" i="220"/>
  <c r="M16" i="347"/>
  <c r="P115" i="209"/>
  <c r="M16" i="221"/>
  <c r="L18" i="221"/>
  <c r="L18" i="347"/>
  <c r="L18" i="220"/>
  <c r="O594" i="209"/>
  <c r="E47" i="361"/>
  <c r="M15" i="296"/>
  <c r="M15" i="295"/>
  <c r="M15" i="360"/>
  <c r="M15" i="367"/>
  <c r="M15" i="333"/>
  <c r="W29" i="333" s="1"/>
  <c r="I77" i="294"/>
  <c r="K77" i="294"/>
  <c r="J77" i="294"/>
  <c r="M35" i="292"/>
  <c r="K563" i="246"/>
  <c r="F44" i="231"/>
  <c r="Q104" i="246" s="1"/>
  <c r="K614" i="246"/>
  <c r="Q563" i="246"/>
  <c r="F46" i="231"/>
  <c r="F45" i="231"/>
  <c r="K155" i="246" s="1"/>
  <c r="H18" i="225"/>
  <c r="G46" i="250"/>
  <c r="G44" i="250"/>
  <c r="R119" i="209" s="1"/>
  <c r="L709" i="209"/>
  <c r="L650" i="209"/>
  <c r="G45" i="250"/>
  <c r="L178" i="209" s="1"/>
  <c r="E44" i="228"/>
  <c r="J710" i="209"/>
  <c r="J651" i="209"/>
  <c r="E46" i="228"/>
  <c r="M18" i="225" s="1"/>
  <c r="P651" i="209"/>
  <c r="E45" i="228"/>
  <c r="R84" i="246"/>
  <c r="O16" i="279"/>
  <c r="O16" i="95"/>
  <c r="O16" i="191"/>
  <c r="N16" i="14"/>
  <c r="N16" i="6"/>
  <c r="N16" i="4"/>
  <c r="N16" i="11"/>
  <c r="N16" i="16"/>
  <c r="N16" i="13"/>
  <c r="N16" i="15"/>
  <c r="N16" i="9"/>
  <c r="N16" i="10"/>
  <c r="Q78" i="209"/>
  <c r="N16" i="7"/>
  <c r="N16" i="125"/>
  <c r="O17" i="324"/>
  <c r="O17" i="325"/>
  <c r="N17" i="347"/>
  <c r="N17" i="221"/>
  <c r="K174" i="209"/>
  <c r="N17" i="220"/>
  <c r="O18" i="347"/>
  <c r="O18" i="221"/>
  <c r="O18" i="220"/>
  <c r="P83" i="209"/>
  <c r="M16" i="105"/>
  <c r="M16" i="214"/>
  <c r="M16" i="213"/>
  <c r="P11" i="372"/>
  <c r="P11" i="368"/>
  <c r="S45" i="209"/>
  <c r="P11" i="123"/>
  <c r="P11" i="369"/>
  <c r="P11" i="370"/>
  <c r="P11" i="39"/>
  <c r="P11" i="365"/>
  <c r="P11" i="337"/>
  <c r="P11" i="154"/>
  <c r="P11" i="79"/>
  <c r="P11" i="338"/>
  <c r="P11" i="72"/>
  <c r="P11" i="196"/>
  <c r="I114" i="209"/>
  <c r="W28" i="241"/>
  <c r="L17" i="220"/>
  <c r="W33" i="220" s="1"/>
  <c r="I174" i="209"/>
  <c r="L17" i="347"/>
  <c r="W33" i="347" s="1"/>
  <c r="L17" i="221"/>
  <c r="W33" i="221" s="1"/>
  <c r="M16" i="123"/>
  <c r="M16" i="369"/>
  <c r="M16" i="338"/>
  <c r="M16" i="370"/>
  <c r="M16" i="39"/>
  <c r="M16" i="365"/>
  <c r="M16" i="79"/>
  <c r="M16" i="196"/>
  <c r="M16" i="372"/>
  <c r="P104" i="209"/>
  <c r="M16" i="337"/>
  <c r="M16" i="72"/>
  <c r="M16" i="368"/>
  <c r="M16" i="154"/>
  <c r="R164" i="246"/>
  <c r="O9" i="156"/>
  <c r="O9" i="190"/>
  <c r="O9" i="284"/>
  <c r="P9" i="15"/>
  <c r="P9" i="14"/>
  <c r="P9" i="125"/>
  <c r="P9" i="4"/>
  <c r="P9" i="11"/>
  <c r="P9" i="16"/>
  <c r="P9" i="9"/>
  <c r="P9" i="7"/>
  <c r="P9" i="13"/>
  <c r="S196" i="209"/>
  <c r="P9" i="10"/>
  <c r="P9" i="6"/>
  <c r="S21" i="292"/>
  <c r="T21" i="292" s="1"/>
  <c r="V21" i="292"/>
  <c r="L18" i="279"/>
  <c r="L18" i="95"/>
  <c r="L18" i="191"/>
  <c r="R732" i="209"/>
  <c r="G43" i="247"/>
  <c r="P26" i="247"/>
  <c r="O26" i="250"/>
  <c r="E44" i="231"/>
  <c r="P104" i="246" s="1"/>
  <c r="E45" i="231"/>
  <c r="J155" i="246" s="1"/>
  <c r="J614" i="246"/>
  <c r="E46" i="231"/>
  <c r="P563" i="246"/>
  <c r="J563" i="246"/>
  <c r="N17" i="369"/>
  <c r="H38" i="327"/>
  <c r="M30" i="209" s="1"/>
  <c r="M325" i="209"/>
  <c r="O535" i="209"/>
  <c r="N26" i="172"/>
  <c r="F43" i="172" s="1"/>
  <c r="F47" i="172" s="1"/>
  <c r="G44" i="231"/>
  <c r="R104" i="246" s="1"/>
  <c r="L614" i="246"/>
  <c r="G46" i="231"/>
  <c r="R563" i="246"/>
  <c r="G45" i="231"/>
  <c r="L155" i="246" s="1"/>
  <c r="L563" i="246"/>
  <c r="E41" i="225"/>
  <c r="J227" i="209" s="1"/>
  <c r="E37" i="225"/>
  <c r="P227" i="209" s="1"/>
  <c r="E39" i="225"/>
  <c r="P50" i="209" s="1"/>
  <c r="E40" i="225"/>
  <c r="J109" i="209" s="1"/>
  <c r="J758" i="209"/>
  <c r="E18" i="228"/>
  <c r="E42" i="225"/>
  <c r="J286" i="209" s="1"/>
  <c r="E38" i="225"/>
  <c r="J50" i="209" s="1"/>
  <c r="M15" i="290"/>
  <c r="M15" i="288"/>
  <c r="E47" i="291"/>
  <c r="M15" i="289"/>
  <c r="L17" i="324"/>
  <c r="W31" i="324" s="1"/>
  <c r="L17" i="325"/>
  <c r="W31" i="325" s="1"/>
  <c r="M18" i="290"/>
  <c r="M18" i="288"/>
  <c r="M18" i="289"/>
  <c r="I650" i="209"/>
  <c r="I709" i="209"/>
  <c r="D45" i="250"/>
  <c r="I178" i="209" s="1"/>
  <c r="D44" i="250"/>
  <c r="O119" i="209" s="1"/>
  <c r="D46" i="250"/>
  <c r="O650" i="209"/>
  <c r="V33" i="292"/>
  <c r="S33" i="292"/>
  <c r="T33" i="292" s="1"/>
  <c r="P10" i="372"/>
  <c r="P10" i="123"/>
  <c r="P10" i="370"/>
  <c r="P10" i="79"/>
  <c r="P10" i="365"/>
  <c r="P10" i="369"/>
  <c r="P10" i="368"/>
  <c r="P10" i="196"/>
  <c r="P10" i="154"/>
  <c r="M45" i="209"/>
  <c r="P10" i="39"/>
  <c r="P10" i="72"/>
  <c r="P10" i="338"/>
  <c r="P10" i="337"/>
  <c r="H38" i="174"/>
  <c r="J37" i="292"/>
  <c r="M310" i="246"/>
  <c r="S721" i="209"/>
  <c r="M16" i="295"/>
  <c r="W32" i="295" s="1"/>
  <c r="M16" i="296"/>
  <c r="W32" i="296" s="1"/>
  <c r="M16" i="333"/>
  <c r="W30" i="333" s="1"/>
  <c r="M16" i="367"/>
  <c r="M16" i="360"/>
  <c r="I764" i="209"/>
  <c r="D39" i="248"/>
  <c r="D37" i="248"/>
  <c r="D42" i="248"/>
  <c r="D40" i="248"/>
  <c r="D18" i="250"/>
  <c r="D41" i="248"/>
  <c r="D38" i="248"/>
  <c r="M26" i="170"/>
  <c r="E43" i="170" s="1"/>
  <c r="E43" i="226"/>
  <c r="E47" i="226" s="1"/>
  <c r="P149" i="246" s="1"/>
  <c r="K476" i="209"/>
  <c r="O16" i="324"/>
  <c r="O16" i="325"/>
  <c r="N16" i="221"/>
  <c r="N16" i="220"/>
  <c r="N16" i="347"/>
  <c r="Q115" i="209"/>
  <c r="L174" i="209"/>
  <c r="O17" i="347"/>
  <c r="O17" i="221"/>
  <c r="O17" i="220"/>
  <c r="M594" i="246"/>
  <c r="J142" i="209"/>
  <c r="M17" i="213"/>
  <c r="M17" i="214"/>
  <c r="M17" i="105"/>
  <c r="M763" i="209"/>
  <c r="L9" i="333"/>
  <c r="L9" i="367"/>
  <c r="W25" i="367" s="1"/>
  <c r="L9" i="296"/>
  <c r="L9" i="295"/>
  <c r="L9" i="360"/>
  <c r="W25" i="360" s="1"/>
  <c r="N17" i="295"/>
  <c r="N17" i="296"/>
  <c r="N17" i="367"/>
  <c r="N17" i="360"/>
  <c r="N17" i="333"/>
  <c r="O16" i="359"/>
  <c r="O16" i="176"/>
  <c r="O16" i="101"/>
  <c r="O16" i="271"/>
  <c r="O16" i="99"/>
  <c r="R77" i="246"/>
  <c r="M18" i="99"/>
  <c r="M18" i="359"/>
  <c r="M18" i="176"/>
  <c r="M18" i="271"/>
  <c r="M18" i="101"/>
  <c r="F14" i="328"/>
  <c r="F14" i="330"/>
  <c r="F14" i="58"/>
  <c r="F14" i="229" s="1"/>
  <c r="E43" i="185"/>
  <c r="M26" i="184"/>
  <c r="E43" i="184" s="1"/>
  <c r="E47" i="184" s="1"/>
  <c r="P154" i="246" s="1"/>
  <c r="M26" i="171"/>
  <c r="I8" i="246"/>
  <c r="V12" i="155"/>
  <c r="X12" i="155" s="1"/>
  <c r="J27" i="155"/>
  <c r="J29" i="155" s="1"/>
  <c r="J31" i="155" s="1"/>
  <c r="V11" i="155"/>
  <c r="X11" i="155" s="1"/>
  <c r="V13" i="155"/>
  <c r="X13" i="155" s="1"/>
  <c r="L17" i="190"/>
  <c r="W33" i="190" s="1"/>
  <c r="L17" i="156"/>
  <c r="W33" i="156" s="1"/>
  <c r="I113" i="246"/>
  <c r="L17" i="284"/>
  <c r="W33" i="284" s="1"/>
  <c r="V29" i="292"/>
  <c r="S29" i="292"/>
  <c r="T29" i="292" s="1"/>
  <c r="N16" i="271"/>
  <c r="N16" i="101"/>
  <c r="N16" i="176"/>
  <c r="N16" i="359"/>
  <c r="N16" i="99"/>
  <c r="Q77" i="246"/>
  <c r="N16" i="295"/>
  <c r="N16" i="333"/>
  <c r="N16" i="296"/>
  <c r="N16" i="367"/>
  <c r="N16" i="360"/>
  <c r="G14" i="18"/>
  <c r="G14" i="327" s="1"/>
  <c r="E46" i="84"/>
  <c r="P561" i="246"/>
  <c r="J612" i="246"/>
  <c r="J561" i="246"/>
  <c r="E44" i="84"/>
  <c r="E45" i="84"/>
  <c r="J153" i="246" s="1"/>
  <c r="F37" i="104"/>
  <c r="F38" i="104"/>
  <c r="F39" i="104"/>
  <c r="F18" i="84"/>
  <c r="K638" i="246"/>
  <c r="F42" i="104"/>
  <c r="F40" i="104"/>
  <c r="F41" i="104"/>
  <c r="O26" i="292"/>
  <c r="O16" i="296"/>
  <c r="O16" i="333"/>
  <c r="O16" i="367"/>
  <c r="O16" i="360"/>
  <c r="O16" i="295"/>
  <c r="I76" i="246"/>
  <c r="O161" i="246"/>
  <c r="D18" i="154"/>
  <c r="D18" i="44" s="1"/>
  <c r="E15" i="154"/>
  <c r="L18" i="284"/>
  <c r="L18" i="156"/>
  <c r="L18" i="190"/>
  <c r="N15" i="360"/>
  <c r="N15" i="367"/>
  <c r="F47" i="361"/>
  <c r="N15" i="295"/>
  <c r="W31" i="295" s="1"/>
  <c r="N15" i="333"/>
  <c r="N15" i="296"/>
  <c r="W31" i="296" s="1"/>
  <c r="N17" i="99"/>
  <c r="N17" i="271"/>
  <c r="N17" i="101"/>
  <c r="N17" i="176"/>
  <c r="N17" i="359"/>
  <c r="K128" i="246"/>
  <c r="N18" i="367"/>
  <c r="N18" i="360"/>
  <c r="N18" i="296"/>
  <c r="N18" i="333"/>
  <c r="N18" i="295"/>
  <c r="C705" i="209"/>
  <c r="V646" i="209"/>
  <c r="E39" i="185"/>
  <c r="E42" i="185"/>
  <c r="E38" i="185"/>
  <c r="J623" i="246"/>
  <c r="E18" i="171"/>
  <c r="E37" i="185"/>
  <c r="E40" i="185"/>
  <c r="E41" i="185"/>
  <c r="E18" i="184"/>
  <c r="G14" i="44"/>
  <c r="O16" i="126"/>
  <c r="O16" i="146"/>
  <c r="O16" i="219"/>
  <c r="O16" i="353"/>
  <c r="O16" i="183"/>
  <c r="O16" i="189"/>
  <c r="O16" i="195"/>
  <c r="O16" i="160"/>
  <c r="O16" i="137"/>
  <c r="O16" i="187"/>
  <c r="O16" i="178"/>
  <c r="O16" i="270"/>
  <c r="O16" i="141"/>
  <c r="O16" i="349"/>
  <c r="O16" i="362"/>
  <c r="O16" i="188"/>
  <c r="O16" i="151"/>
  <c r="O16" i="293"/>
  <c r="O16" i="194"/>
  <c r="O17" i="367"/>
  <c r="O17" i="295"/>
  <c r="O17" i="360"/>
  <c r="O17" i="333"/>
  <c r="O17" i="296"/>
  <c r="O178" i="246"/>
  <c r="I59" i="246"/>
  <c r="N18" i="190"/>
  <c r="N18" i="156"/>
  <c r="N18" i="284"/>
  <c r="O17" i="176"/>
  <c r="O17" i="99"/>
  <c r="O17" i="101"/>
  <c r="O17" i="359"/>
  <c r="O17" i="271"/>
  <c r="L128" i="246"/>
  <c r="L26" i="171"/>
  <c r="L26" i="184"/>
  <c r="D43" i="185"/>
  <c r="P26" i="185"/>
  <c r="O17" i="195"/>
  <c r="O17" i="151"/>
  <c r="O17" i="160"/>
  <c r="O17" i="349"/>
  <c r="O17" i="187"/>
  <c r="O17" i="194"/>
  <c r="O17" i="178"/>
  <c r="O17" i="146"/>
  <c r="O17" i="270"/>
  <c r="O17" i="188"/>
  <c r="O17" i="362"/>
  <c r="O17" i="353"/>
  <c r="O17" i="137"/>
  <c r="O17" i="189"/>
  <c r="O17" i="126"/>
  <c r="O17" i="219"/>
  <c r="O17" i="183"/>
  <c r="O17" i="141"/>
  <c r="O17" i="293"/>
  <c r="O18" i="367"/>
  <c r="O18" i="333"/>
  <c r="O18" i="360"/>
  <c r="O18" i="296"/>
  <c r="O18" i="295"/>
  <c r="I212" i="246"/>
  <c r="K113" i="246"/>
  <c r="N17" i="190"/>
  <c r="N17" i="284"/>
  <c r="N17" i="156"/>
  <c r="N18" i="101"/>
  <c r="N18" i="176"/>
  <c r="N18" i="271"/>
  <c r="N18" i="99"/>
  <c r="N18" i="359"/>
  <c r="F47" i="186"/>
  <c r="N15" i="279"/>
  <c r="N15" i="95"/>
  <c r="N15" i="191"/>
  <c r="X15" i="161"/>
  <c r="X19" i="161"/>
  <c r="X16" i="161"/>
  <c r="X14" i="161"/>
  <c r="X11" i="161"/>
  <c r="J39" i="161"/>
  <c r="X18" i="161"/>
  <c r="X13" i="161"/>
  <c r="X12" i="161"/>
  <c r="O18" i="219"/>
  <c r="O18" i="349"/>
  <c r="O18" i="187"/>
  <c r="O25" i="246"/>
  <c r="D45" i="171"/>
  <c r="D44" i="171"/>
  <c r="D46" i="171"/>
  <c r="O529" i="246"/>
  <c r="I580" i="246"/>
  <c r="I529" i="246"/>
  <c r="D11" i="174"/>
  <c r="K561" i="246"/>
  <c r="K612" i="246"/>
  <c r="F46" i="84"/>
  <c r="M27" i="292"/>
  <c r="F45" i="84"/>
  <c r="K153" i="246" s="1"/>
  <c r="F44" i="84"/>
  <c r="Q102" i="246" s="1"/>
  <c r="Q561" i="246"/>
  <c r="I72" i="209"/>
  <c r="G46" i="84"/>
  <c r="R561" i="246"/>
  <c r="L561" i="246"/>
  <c r="G45" i="84"/>
  <c r="L153" i="246" s="1"/>
  <c r="G44" i="84"/>
  <c r="R102" i="246" s="1"/>
  <c r="L612" i="246"/>
  <c r="M612" i="246" s="1"/>
  <c r="I237" i="246"/>
  <c r="L14" i="95"/>
  <c r="W30" i="95" s="1"/>
  <c r="L14" i="279"/>
  <c r="W30" i="279" s="1"/>
  <c r="L14" i="191"/>
  <c r="W30" i="191" s="1"/>
  <c r="D40" i="79"/>
  <c r="I100" i="209" s="1"/>
  <c r="D38" i="79"/>
  <c r="I41" i="209" s="1"/>
  <c r="D41" i="79"/>
  <c r="I218" i="209" s="1"/>
  <c r="D37" i="79"/>
  <c r="O218" i="209" s="1"/>
  <c r="D42" i="79"/>
  <c r="I277" i="209" s="1"/>
  <c r="I749" i="209"/>
  <c r="D39" i="79"/>
  <c r="O41" i="209" s="1"/>
  <c r="O12" i="221"/>
  <c r="O12" i="220"/>
  <c r="L115" i="209"/>
  <c r="O12" i="347"/>
  <c r="D47" i="156"/>
  <c r="F15" i="370"/>
  <c r="E18" i="370"/>
  <c r="I25" i="246"/>
  <c r="X73" i="37"/>
  <c r="X74" i="37" s="1"/>
  <c r="V12" i="37"/>
  <c r="V34" i="37"/>
  <c r="V19" i="37"/>
  <c r="V20" i="37"/>
  <c r="V27" i="37"/>
  <c r="V35" i="37"/>
  <c r="V24" i="37"/>
  <c r="V11" i="37"/>
  <c r="V31" i="37"/>
  <c r="V28" i="37"/>
  <c r="V16" i="37"/>
  <c r="V23" i="37"/>
  <c r="J59" i="37"/>
  <c r="J61" i="37" s="1"/>
  <c r="V37" i="37"/>
  <c r="V15" i="37"/>
  <c r="V36" i="37"/>
  <c r="D45" i="184"/>
  <c r="I154" i="246" s="1"/>
  <c r="D46" i="184"/>
  <c r="O562" i="246"/>
  <c r="D44" i="184"/>
  <c r="O103" i="246" s="1"/>
  <c r="I613" i="246"/>
  <c r="I562" i="246"/>
  <c r="N16" i="284"/>
  <c r="N16" i="156"/>
  <c r="N16" i="190"/>
  <c r="Q62" i="246"/>
  <c r="J39" i="100"/>
  <c r="X12" i="100"/>
  <c r="X16" i="100"/>
  <c r="X15" i="100"/>
  <c r="X14" i="100"/>
  <c r="X11" i="100"/>
  <c r="X18" i="100"/>
  <c r="X17" i="100"/>
  <c r="X13" i="100"/>
  <c r="E15" i="9"/>
  <c r="D18" i="9"/>
  <c r="F18" i="125"/>
  <c r="G15" i="125"/>
  <c r="G18" i="125" s="1"/>
  <c r="L9" i="95"/>
  <c r="W25" i="95" s="1"/>
  <c r="L9" i="191"/>
  <c r="W25" i="191" s="1"/>
  <c r="F15" i="79"/>
  <c r="E18" i="79"/>
  <c r="G42" i="104"/>
  <c r="G40" i="104"/>
  <c r="G38" i="104"/>
  <c r="G39" i="104"/>
  <c r="G37" i="104"/>
  <c r="G18" i="84"/>
  <c r="G41" i="104"/>
  <c r="L638" i="246"/>
  <c r="L26" i="84"/>
  <c r="L26" i="172"/>
  <c r="D43" i="104"/>
  <c r="P26" i="104"/>
  <c r="D42" i="370"/>
  <c r="I269" i="209" s="1"/>
  <c r="D41" i="370"/>
  <c r="I210" i="209" s="1"/>
  <c r="D40" i="370"/>
  <c r="I92" i="209" s="1"/>
  <c r="D39" i="370"/>
  <c r="O33" i="209" s="1"/>
  <c r="D38" i="370"/>
  <c r="I33" i="209" s="1"/>
  <c r="D37" i="370"/>
  <c r="O210" i="209" s="1"/>
  <c r="I741" i="209"/>
  <c r="F43" i="185"/>
  <c r="N26" i="171"/>
  <c r="N26" i="184"/>
  <c r="F43" i="184" s="1"/>
  <c r="F47" i="184" s="1"/>
  <c r="Q154" i="246" s="1"/>
  <c r="L16" i="156"/>
  <c r="W32" i="156" s="1"/>
  <c r="O62" i="246"/>
  <c r="L16" i="284"/>
  <c r="W32" i="284" s="1"/>
  <c r="L16" i="190"/>
  <c r="W32" i="190" s="1"/>
  <c r="E45" i="184"/>
  <c r="J154" i="246" s="1"/>
  <c r="E44" i="184"/>
  <c r="P103" i="246" s="1"/>
  <c r="P562" i="246"/>
  <c r="J562" i="246"/>
  <c r="E46" i="184"/>
  <c r="J613" i="246"/>
  <c r="V26" i="34"/>
  <c r="V24" i="34"/>
  <c r="V13" i="34"/>
  <c r="V16" i="34"/>
  <c r="J44" i="34"/>
  <c r="V15" i="34"/>
  <c r="V18" i="34"/>
  <c r="V30" i="34"/>
  <c r="V22" i="34"/>
  <c r="V17" i="34"/>
  <c r="V11" i="34"/>
  <c r="V25" i="34"/>
  <c r="V12" i="34"/>
  <c r="V14" i="34"/>
  <c r="V28" i="34"/>
  <c r="V27" i="34"/>
  <c r="E42" i="125"/>
  <c r="J249" i="209" s="1"/>
  <c r="J721" i="209"/>
  <c r="E41" i="125"/>
  <c r="J190" i="209" s="1"/>
  <c r="E39" i="125"/>
  <c r="P13" i="209" s="1"/>
  <c r="J72" i="209"/>
  <c r="E38" i="125"/>
  <c r="J13" i="209" s="1"/>
  <c r="E37" i="125"/>
  <c r="P190" i="209" s="1"/>
  <c r="D15" i="328"/>
  <c r="D40" i="104"/>
  <c r="D38" i="104"/>
  <c r="D42" i="104"/>
  <c r="D37" i="104"/>
  <c r="D18" i="84"/>
  <c r="I638" i="246"/>
  <c r="D41" i="104"/>
  <c r="H18" i="104"/>
  <c r="D39" i="104"/>
  <c r="M18" i="284"/>
  <c r="M18" i="156"/>
  <c r="M18" i="190"/>
  <c r="F46" i="171"/>
  <c r="F45" i="171"/>
  <c r="K580" i="246"/>
  <c r="K529" i="246"/>
  <c r="F11" i="174"/>
  <c r="F44" i="171"/>
  <c r="Q529" i="246"/>
  <c r="O190" i="209"/>
  <c r="G42" i="361"/>
  <c r="G40" i="361"/>
  <c r="G37" i="361"/>
  <c r="G41" i="361"/>
  <c r="H18" i="361"/>
  <c r="G39" i="361"/>
  <c r="G38" i="361"/>
  <c r="D47" i="176"/>
  <c r="E18" i="123"/>
  <c r="F15" i="123"/>
  <c r="G43" i="361"/>
  <c r="P26" i="361"/>
  <c r="I178" i="246"/>
  <c r="E42" i="104"/>
  <c r="E41" i="104"/>
  <c r="J638" i="246"/>
  <c r="E18" i="84"/>
  <c r="E40" i="104"/>
  <c r="E37" i="104"/>
  <c r="E39" i="104"/>
  <c r="E38" i="104"/>
  <c r="M31" i="292"/>
  <c r="K562" i="246"/>
  <c r="F44" i="184"/>
  <c r="Q103" i="246" s="1"/>
  <c r="Q562" i="246"/>
  <c r="F45" i="184"/>
  <c r="K154" i="246" s="1"/>
  <c r="K613" i="246"/>
  <c r="F46" i="184"/>
  <c r="F41" i="361"/>
  <c r="F38" i="361"/>
  <c r="F39" i="361"/>
  <c r="F42" i="361"/>
  <c r="F40" i="361"/>
  <c r="F37" i="361"/>
  <c r="I13" i="209"/>
  <c r="M17" i="101"/>
  <c r="M17" i="271"/>
  <c r="J128" i="246"/>
  <c r="M17" i="176"/>
  <c r="M17" i="99"/>
  <c r="M17" i="359"/>
  <c r="L13" i="191"/>
  <c r="W29" i="191" s="1"/>
  <c r="L13" i="95"/>
  <c r="W29" i="95" s="1"/>
  <c r="I186" i="246"/>
  <c r="L13" i="279"/>
  <c r="W29" i="279" s="1"/>
  <c r="D41" i="123"/>
  <c r="I211" i="209" s="1"/>
  <c r="D38" i="123"/>
  <c r="I34" i="209" s="1"/>
  <c r="D39" i="123"/>
  <c r="O34" i="209" s="1"/>
  <c r="D42" i="123"/>
  <c r="I270" i="209" s="1"/>
  <c r="D40" i="123"/>
  <c r="I93" i="209" s="1"/>
  <c r="D37" i="123"/>
  <c r="O211" i="209" s="1"/>
  <c r="I742" i="209"/>
  <c r="F15" i="4"/>
  <c r="E18" i="4"/>
  <c r="I229" i="246"/>
  <c r="J580" i="246"/>
  <c r="E45" i="171"/>
  <c r="P529" i="246"/>
  <c r="E44" i="171"/>
  <c r="J529" i="246"/>
  <c r="E11" i="174"/>
  <c r="E46" i="171"/>
  <c r="M18" i="170"/>
  <c r="M18" i="104"/>
  <c r="M18" i="186"/>
  <c r="M18" i="226"/>
  <c r="L16" i="186"/>
  <c r="O100" i="246"/>
  <c r="L16" i="104"/>
  <c r="L16" i="170"/>
  <c r="L16" i="226"/>
  <c r="O26" i="84"/>
  <c r="G43" i="84" s="1"/>
  <c r="G47" i="84" s="1"/>
  <c r="R153" i="246" s="1"/>
  <c r="G43" i="104"/>
  <c r="O26" i="172"/>
  <c r="M16" i="101"/>
  <c r="M16" i="99"/>
  <c r="M16" i="271"/>
  <c r="P77" i="246"/>
  <c r="M16" i="176"/>
  <c r="M16" i="359"/>
  <c r="F40" i="185"/>
  <c r="F18" i="171"/>
  <c r="F18" i="184"/>
  <c r="F41" i="185"/>
  <c r="F42" i="185"/>
  <c r="F39" i="185"/>
  <c r="F37" i="185"/>
  <c r="K623" i="246"/>
  <c r="O29" i="292"/>
  <c r="F38" i="185"/>
  <c r="X18" i="27"/>
  <c r="J54" i="27"/>
  <c r="X19" i="27"/>
  <c r="X15" i="27"/>
  <c r="X23" i="27"/>
  <c r="X17" i="27"/>
  <c r="X25" i="27"/>
  <c r="X13" i="27"/>
  <c r="X14" i="27"/>
  <c r="X27" i="27"/>
  <c r="X16" i="27"/>
  <c r="X20" i="27"/>
  <c r="X28" i="27"/>
  <c r="X26" i="27"/>
  <c r="X11" i="27"/>
  <c r="M26" i="84"/>
  <c r="E43" i="84" s="1"/>
  <c r="E47" i="84" s="1"/>
  <c r="P153" i="246" s="1"/>
  <c r="E43" i="104"/>
  <c r="M26" i="172"/>
  <c r="E43" i="172" s="1"/>
  <c r="O13" i="209"/>
  <c r="M610" i="246"/>
  <c r="I161" i="246"/>
  <c r="M17" i="284"/>
  <c r="M17" i="156"/>
  <c r="M17" i="190"/>
  <c r="J113" i="246"/>
  <c r="N16" i="226"/>
  <c r="N16" i="170"/>
  <c r="Q100" i="246"/>
  <c r="N16" i="186"/>
  <c r="N16" i="104"/>
  <c r="D18" i="184"/>
  <c r="D42" i="185"/>
  <c r="D38" i="185"/>
  <c r="D40" i="185"/>
  <c r="D18" i="171"/>
  <c r="D41" i="185"/>
  <c r="D37" i="185"/>
  <c r="D39" i="185"/>
  <c r="I623" i="246"/>
  <c r="H18" i="185"/>
  <c r="F43" i="104"/>
  <c r="N26" i="84"/>
  <c r="F43" i="84" s="1"/>
  <c r="F47" i="84" s="1"/>
  <c r="Q153" i="246" s="1"/>
  <c r="O18" i="176"/>
  <c r="O18" i="271"/>
  <c r="O18" i="99"/>
  <c r="O18" i="101"/>
  <c r="O18" i="359"/>
  <c r="O8" i="246"/>
  <c r="M16" i="190"/>
  <c r="M16" i="284"/>
  <c r="M16" i="156"/>
  <c r="P62" i="246"/>
  <c r="S26" i="292"/>
  <c r="T26" i="292" s="1"/>
  <c r="V26" i="292"/>
  <c r="O20" i="326"/>
  <c r="O20" i="44"/>
  <c r="O20" i="247"/>
  <c r="O20" i="291"/>
  <c r="O20" i="228"/>
  <c r="O20" i="330"/>
  <c r="O20" i="174"/>
  <c r="O20" i="250"/>
  <c r="O20" i="327"/>
  <c r="O20" i="58"/>
  <c r="O20" i="248"/>
  <c r="O20" i="328"/>
  <c r="O20" i="18"/>
  <c r="M20" i="18"/>
  <c r="M20" i="248"/>
  <c r="M20" i="250"/>
  <c r="M20" i="247"/>
  <c r="M20" i="291"/>
  <c r="M20" i="327"/>
  <c r="M20" i="228"/>
  <c r="M20" i="326"/>
  <c r="M20" i="174"/>
  <c r="M20" i="330"/>
  <c r="M20" i="58"/>
  <c r="M20" i="44"/>
  <c r="M20" i="328"/>
  <c r="P19" i="139"/>
  <c r="P19" i="162"/>
  <c r="P19" i="166"/>
  <c r="P19" i="165"/>
  <c r="H43" i="175"/>
  <c r="H47" i="175"/>
  <c r="P17" i="247"/>
  <c r="P17" i="44"/>
  <c r="P17" i="326"/>
  <c r="P17" i="250"/>
  <c r="P17" i="248"/>
  <c r="P17" i="328"/>
  <c r="P17" i="330"/>
  <c r="P17" i="174"/>
  <c r="P17" i="327"/>
  <c r="P17" i="18"/>
  <c r="P17" i="291"/>
  <c r="M181" i="209"/>
  <c r="P17" i="58"/>
  <c r="P15" i="166"/>
  <c r="P15" i="165"/>
  <c r="P15" i="162"/>
  <c r="P15" i="139"/>
  <c r="N39" i="292"/>
  <c r="P37" i="292"/>
  <c r="P16" i="229"/>
  <c r="P16" i="84"/>
  <c r="P16" i="171"/>
  <c r="P16" i="184"/>
  <c r="P16" i="361"/>
  <c r="P16" i="231"/>
  <c r="S106" i="246"/>
  <c r="P16" i="172"/>
  <c r="P16" i="175"/>
  <c r="P11" i="184"/>
  <c r="S55" i="246"/>
  <c r="P11" i="231"/>
  <c r="P11" i="229"/>
  <c r="P11" i="361"/>
  <c r="P11" i="84"/>
  <c r="P11" i="171"/>
  <c r="P11" i="175"/>
  <c r="P11" i="172"/>
  <c r="P19" i="184"/>
  <c r="P19" i="84"/>
  <c r="P19" i="361"/>
  <c r="S157" i="246"/>
  <c r="P19" i="172"/>
  <c r="P19" i="175"/>
  <c r="P19" i="231"/>
  <c r="P19" i="171"/>
  <c r="P19" i="229"/>
  <c r="D43" i="328"/>
  <c r="D47" i="328" s="1"/>
  <c r="L10" i="324"/>
  <c r="W26" i="324" s="1"/>
  <c r="L10" i="325"/>
  <c r="W26" i="325" s="1"/>
  <c r="L15" i="11"/>
  <c r="W31" i="11" s="1"/>
  <c r="L15" i="10"/>
  <c r="W31" i="10" s="1"/>
  <c r="L15" i="4"/>
  <c r="W31" i="4" s="1"/>
  <c r="D47" i="18"/>
  <c r="L15" i="9"/>
  <c r="W31" i="9" s="1"/>
  <c r="L15" i="7"/>
  <c r="W31" i="7" s="1"/>
  <c r="L15" i="16"/>
  <c r="W31" i="16" s="1"/>
  <c r="L15" i="125"/>
  <c r="W31" i="125" s="1"/>
  <c r="L15" i="15"/>
  <c r="W31" i="15" s="1"/>
  <c r="L15" i="14"/>
  <c r="W31" i="14" s="1"/>
  <c r="L15" i="6"/>
  <c r="W31" i="6" s="1"/>
  <c r="L15" i="13"/>
  <c r="W31" i="13" s="1"/>
  <c r="L13" i="324"/>
  <c r="L13" i="325"/>
  <c r="L11" i="325"/>
  <c r="W27" i="325" s="1"/>
  <c r="L11" i="324"/>
  <c r="W27" i="324" s="1"/>
  <c r="D39" i="292"/>
  <c r="P24" i="292"/>
  <c r="H43" i="229"/>
  <c r="H47" i="229"/>
  <c r="O132" i="209"/>
  <c r="M15" i="123"/>
  <c r="M15" i="372"/>
  <c r="M15" i="196"/>
  <c r="M9" i="325"/>
  <c r="M9" i="324"/>
  <c r="L9" i="324"/>
  <c r="W25" i="324" s="1"/>
  <c r="L9" i="325"/>
  <c r="W25" i="325" s="1"/>
  <c r="M12" i="324"/>
  <c r="M12" i="325"/>
  <c r="M11" i="325"/>
  <c r="M11" i="324"/>
  <c r="L12" i="324"/>
  <c r="W28" i="324" s="1"/>
  <c r="L12" i="325"/>
  <c r="W28" i="325" s="1"/>
  <c r="O160" i="209"/>
  <c r="O15" i="16"/>
  <c r="O15" i="125"/>
  <c r="O15" i="6"/>
  <c r="O15" i="10"/>
  <c r="O15" i="7"/>
  <c r="O15" i="9"/>
  <c r="O15" i="4"/>
  <c r="O15" i="13"/>
  <c r="G47" i="18"/>
  <c r="O15" i="11"/>
  <c r="O15" i="15"/>
  <c r="O15" i="14"/>
  <c r="G39" i="292"/>
  <c r="M14" i="324"/>
  <c r="M14" i="325"/>
  <c r="N15" i="15"/>
  <c r="N15" i="14"/>
  <c r="N15" i="4"/>
  <c r="F47" i="18"/>
  <c r="N15" i="125"/>
  <c r="N15" i="13"/>
  <c r="N15" i="10"/>
  <c r="N15" i="6"/>
  <c r="N15" i="9"/>
  <c r="N15" i="16"/>
  <c r="N15" i="11"/>
  <c r="N15" i="7"/>
  <c r="J24" i="292"/>
  <c r="M358" i="209"/>
  <c r="H38" i="229"/>
  <c r="M13" i="324"/>
  <c r="M13" i="325"/>
  <c r="O154" i="209"/>
  <c r="L14" i="325"/>
  <c r="L14" i="324"/>
  <c r="M10" i="324"/>
  <c r="M10" i="325"/>
  <c r="O15" i="324"/>
  <c r="G47" i="326"/>
  <c r="O15" i="325"/>
  <c r="N19" i="325"/>
  <c r="N19" i="324"/>
  <c r="O152" i="209"/>
  <c r="X18" i="371" l="1"/>
  <c r="X17" i="371"/>
  <c r="X13" i="371"/>
  <c r="X11" i="371"/>
  <c r="X12" i="371"/>
  <c r="X16" i="371"/>
  <c r="X15" i="371"/>
  <c r="J36" i="371"/>
  <c r="J38" i="371" s="1"/>
  <c r="M15" i="15"/>
  <c r="N17" i="226"/>
  <c r="N17" i="104"/>
  <c r="N17" i="186"/>
  <c r="N17" i="170"/>
  <c r="M10" i="347"/>
  <c r="M10" i="221"/>
  <c r="J56" i="209"/>
  <c r="G46" i="175"/>
  <c r="O18" i="212" s="1"/>
  <c r="D18" i="6"/>
  <c r="G44" i="175"/>
  <c r="O16" i="212" s="1"/>
  <c r="X14" i="371"/>
  <c r="D41" i="4"/>
  <c r="I188" i="209" s="1"/>
  <c r="D40" i="4"/>
  <c r="I70" i="209" s="1"/>
  <c r="D42" i="4"/>
  <c r="I247" i="209" s="1"/>
  <c r="D39" i="4"/>
  <c r="O11" i="209" s="1"/>
  <c r="D38" i="4"/>
  <c r="I11" i="209" s="1"/>
  <c r="I719" i="209"/>
  <c r="N20" i="247"/>
  <c r="N20" i="326"/>
  <c r="N20" i="291"/>
  <c r="N20" i="44"/>
  <c r="N20" i="250"/>
  <c r="N20" i="228"/>
  <c r="N20" i="327"/>
  <c r="N20" i="248"/>
  <c r="N20" i="328"/>
  <c r="L10" i="95"/>
  <c r="W26" i="95" s="1"/>
  <c r="L10" i="279"/>
  <c r="W26" i="279" s="1"/>
  <c r="I33" i="246"/>
  <c r="O186" i="246"/>
  <c r="N18" i="104"/>
  <c r="X12" i="80"/>
  <c r="N18" i="226"/>
  <c r="N18" i="186"/>
  <c r="L15" i="79"/>
  <c r="W31" i="79" s="1"/>
  <c r="M679" i="209"/>
  <c r="R233" i="209"/>
  <c r="O9" i="220"/>
  <c r="O9" i="221"/>
  <c r="O18" i="126"/>
  <c r="O18" i="362"/>
  <c r="O18" i="189"/>
  <c r="O18" i="141"/>
  <c r="O18" i="195"/>
  <c r="O18" i="194"/>
  <c r="M15" i="337"/>
  <c r="O18" i="151"/>
  <c r="O18" i="178"/>
  <c r="O18" i="188"/>
  <c r="O18" i="270"/>
  <c r="O18" i="183"/>
  <c r="O18" i="137"/>
  <c r="O18" i="146"/>
  <c r="O18" i="353"/>
  <c r="O18" i="293"/>
  <c r="M14" i="290"/>
  <c r="M14" i="288"/>
  <c r="N20" i="330"/>
  <c r="O12" i="284"/>
  <c r="N20" i="174"/>
  <c r="N20" i="18"/>
  <c r="L16" i="372"/>
  <c r="W32" i="372" s="1"/>
  <c r="M15" i="154"/>
  <c r="L62" i="246"/>
  <c r="M15" i="368"/>
  <c r="M15" i="72"/>
  <c r="M15" i="338"/>
  <c r="M15" i="365"/>
  <c r="O33" i="246"/>
  <c r="L11" i="191"/>
  <c r="W27" i="191" s="1"/>
  <c r="E47" i="44"/>
  <c r="M19" i="123" s="1"/>
  <c r="M15" i="370"/>
  <c r="M11" i="289"/>
  <c r="M15" i="369"/>
  <c r="M15" i="79"/>
  <c r="M11" i="290"/>
  <c r="L15" i="154"/>
  <c r="W31" i="154" s="1"/>
  <c r="L15" i="337"/>
  <c r="W31" i="337" s="1"/>
  <c r="L15" i="196"/>
  <c r="W31" i="196" s="1"/>
  <c r="L15" i="123"/>
  <c r="W31" i="123" s="1"/>
  <c r="L15" i="39"/>
  <c r="W31" i="39" s="1"/>
  <c r="L15" i="72"/>
  <c r="W31" i="72" s="1"/>
  <c r="L15" i="372"/>
  <c r="W31" i="372" s="1"/>
  <c r="L15" i="338"/>
  <c r="W31" i="338" s="1"/>
  <c r="L15" i="368"/>
  <c r="W31" i="368" s="1"/>
  <c r="D47" i="44"/>
  <c r="L19" i="365" s="1"/>
  <c r="W34" i="365" s="1"/>
  <c r="L15" i="369"/>
  <c r="W31" i="369" s="1"/>
  <c r="O10" i="190"/>
  <c r="E42" i="14"/>
  <c r="J246" i="209" s="1"/>
  <c r="I649" i="209"/>
  <c r="X14" i="80"/>
  <c r="D45" i="58"/>
  <c r="I177" i="209" s="1"/>
  <c r="D46" i="58"/>
  <c r="I708" i="209"/>
  <c r="M708" i="209" s="1"/>
  <c r="D11" i="229"/>
  <c r="D44" i="229" s="1"/>
  <c r="L16" i="18" s="1"/>
  <c r="L15" i="370"/>
  <c r="W31" i="370" s="1"/>
  <c r="X13" i="80"/>
  <c r="S753" i="209"/>
  <c r="D44" i="58"/>
  <c r="O118" i="209" s="1"/>
  <c r="M11" i="221"/>
  <c r="P56" i="209"/>
  <c r="M11" i="220"/>
  <c r="L19" i="289"/>
  <c r="W34" i="289" s="1"/>
  <c r="L19" i="290"/>
  <c r="W34" i="290" s="1"/>
  <c r="L19" i="288"/>
  <c r="W34" i="288" s="1"/>
  <c r="L18" i="39"/>
  <c r="L18" i="154"/>
  <c r="L18" i="338"/>
  <c r="L18" i="79"/>
  <c r="L18" i="365"/>
  <c r="L18" i="196"/>
  <c r="L18" i="370"/>
  <c r="L18" i="337"/>
  <c r="L18" i="372"/>
  <c r="P18" i="247"/>
  <c r="L18" i="368"/>
  <c r="L18" i="123"/>
  <c r="L18" i="72"/>
  <c r="M13" i="290"/>
  <c r="J151" i="246"/>
  <c r="M17" i="104"/>
  <c r="W32" i="104" s="1"/>
  <c r="M17" i="170"/>
  <c r="W32" i="170" s="1"/>
  <c r="M17" i="226"/>
  <c r="W32" i="226" s="1"/>
  <c r="X11" i="80"/>
  <c r="M13" i="288"/>
  <c r="P19" i="174"/>
  <c r="L16" i="365"/>
  <c r="W32" i="365" s="1"/>
  <c r="O104" i="209"/>
  <c r="L16" i="123"/>
  <c r="W32" i="123" s="1"/>
  <c r="L16" i="337"/>
  <c r="W32" i="337" s="1"/>
  <c r="L16" i="369"/>
  <c r="W32" i="369" s="1"/>
  <c r="M594" i="209"/>
  <c r="L16" i="370"/>
  <c r="W32" i="370" s="1"/>
  <c r="L16" i="368"/>
  <c r="W32" i="368" s="1"/>
  <c r="L16" i="196"/>
  <c r="W32" i="196" s="1"/>
  <c r="L16" i="39"/>
  <c r="W32" i="39" s="1"/>
  <c r="L16" i="338"/>
  <c r="W32" i="338" s="1"/>
  <c r="D44" i="330"/>
  <c r="D45" i="330"/>
  <c r="D46" i="330"/>
  <c r="M12" i="289"/>
  <c r="M12" i="290"/>
  <c r="L16" i="154"/>
  <c r="W32" i="154" s="1"/>
  <c r="L16" i="79"/>
  <c r="W32" i="79" s="1"/>
  <c r="J233" i="209"/>
  <c r="M13" i="220"/>
  <c r="M13" i="347"/>
  <c r="M12" i="221"/>
  <c r="M12" i="347"/>
  <c r="J712" i="209"/>
  <c r="M12" i="220"/>
  <c r="D37" i="228"/>
  <c r="L9" i="225" s="1"/>
  <c r="I769" i="209"/>
  <c r="E46" i="229"/>
  <c r="M18" i="330" s="1"/>
  <c r="D39" i="228"/>
  <c r="L11" i="225" s="1"/>
  <c r="D41" i="228"/>
  <c r="I238" i="209" s="1"/>
  <c r="L10" i="367"/>
  <c r="W26" i="367" s="1"/>
  <c r="D40" i="228"/>
  <c r="L12" i="225" s="1"/>
  <c r="L10" i="360"/>
  <c r="W26" i="360" s="1"/>
  <c r="D42" i="228"/>
  <c r="I297" i="209" s="1"/>
  <c r="L14" i="295"/>
  <c r="L12" i="295"/>
  <c r="L12" i="367"/>
  <c r="W28" i="367" s="1"/>
  <c r="J653" i="209"/>
  <c r="E45" i="229"/>
  <c r="M17" i="174" s="1"/>
  <c r="P653" i="209"/>
  <c r="M9" i="221"/>
  <c r="P233" i="209"/>
  <c r="M9" i="347"/>
  <c r="E37" i="14"/>
  <c r="P187" i="209" s="1"/>
  <c r="J718" i="209"/>
  <c r="G39" i="250"/>
  <c r="R60" i="209" s="1"/>
  <c r="E40" i="14"/>
  <c r="J69" i="209" s="1"/>
  <c r="E39" i="14"/>
  <c r="P10" i="209" s="1"/>
  <c r="E38" i="14"/>
  <c r="J10" i="209" s="1"/>
  <c r="D18" i="14"/>
  <c r="D14" i="18"/>
  <c r="P18" i="44"/>
  <c r="G18" i="228"/>
  <c r="G38" i="228" s="1"/>
  <c r="O15" i="39"/>
  <c r="D46" i="328"/>
  <c r="D45" i="328"/>
  <c r="D44" i="328"/>
  <c r="R767" i="209"/>
  <c r="G47" i="171"/>
  <c r="R121" i="246" s="1"/>
  <c r="O15" i="223"/>
  <c r="L20" i="291"/>
  <c r="O15" i="72"/>
  <c r="O15" i="196"/>
  <c r="O15" i="123"/>
  <c r="G47" i="44"/>
  <c r="O19" i="370" s="1"/>
  <c r="O15" i="365"/>
  <c r="O15" i="372"/>
  <c r="O10" i="221"/>
  <c r="O10" i="347"/>
  <c r="O10" i="220"/>
  <c r="O11" i="190"/>
  <c r="S727" i="209"/>
  <c r="M16" i="186"/>
  <c r="W31" i="186" s="1"/>
  <c r="M16" i="226"/>
  <c r="W31" i="226" s="1"/>
  <c r="M16" i="170"/>
  <c r="P100" i="246"/>
  <c r="X11" i="124"/>
  <c r="X18" i="124"/>
  <c r="X15" i="124"/>
  <c r="P11" i="291"/>
  <c r="M15" i="10"/>
  <c r="M15" i="6"/>
  <c r="V13" i="292"/>
  <c r="X12" i="28"/>
  <c r="M15" i="7"/>
  <c r="M15" i="14"/>
  <c r="M15" i="13"/>
  <c r="M15" i="11"/>
  <c r="X12" i="124"/>
  <c r="M15" i="9"/>
  <c r="M15" i="125"/>
  <c r="P11" i="330"/>
  <c r="M764" i="209"/>
  <c r="E47" i="18"/>
  <c r="M19" i="7" s="1"/>
  <c r="M15" i="16"/>
  <c r="L12" i="333"/>
  <c r="L12" i="360"/>
  <c r="W28" i="360" s="1"/>
  <c r="O11" i="221"/>
  <c r="O11" i="347"/>
  <c r="L12" i="279"/>
  <c r="W28" i="279" s="1"/>
  <c r="I84" i="246"/>
  <c r="M19" i="324"/>
  <c r="G42" i="250"/>
  <c r="L296" i="209" s="1"/>
  <c r="L12" i="95"/>
  <c r="W28" i="95" s="1"/>
  <c r="S417" i="209"/>
  <c r="L17" i="368"/>
  <c r="W33" i="368" s="1"/>
  <c r="L17" i="39"/>
  <c r="W33" i="39" s="1"/>
  <c r="L17" i="370"/>
  <c r="W33" i="370" s="1"/>
  <c r="L17" i="72"/>
  <c r="W33" i="72" s="1"/>
  <c r="L17" i="196"/>
  <c r="W33" i="196" s="1"/>
  <c r="L17" i="79"/>
  <c r="W33" i="79" s="1"/>
  <c r="L17" i="369"/>
  <c r="W33" i="369" s="1"/>
  <c r="L17" i="338"/>
  <c r="W33" i="338" s="1"/>
  <c r="L17" i="365"/>
  <c r="W33" i="365" s="1"/>
  <c r="L17" i="154"/>
  <c r="W33" i="154" s="1"/>
  <c r="I163" i="209"/>
  <c r="L17" i="372"/>
  <c r="W33" i="372" s="1"/>
  <c r="L17" i="337"/>
  <c r="W33" i="337" s="1"/>
  <c r="L17" i="123"/>
  <c r="W33" i="123" s="1"/>
  <c r="R56" i="209"/>
  <c r="G41" i="250"/>
  <c r="L237" i="209" s="1"/>
  <c r="R565" i="246"/>
  <c r="G38" i="250"/>
  <c r="L60" i="209" s="1"/>
  <c r="L565" i="246"/>
  <c r="L11" i="279"/>
  <c r="W27" i="279" s="1"/>
  <c r="L13" i="296"/>
  <c r="J46" i="36"/>
  <c r="J54" i="36" s="1"/>
  <c r="E15" i="7"/>
  <c r="E15" i="18" s="1"/>
  <c r="E15" i="327" s="1"/>
  <c r="S764" i="209"/>
  <c r="O10" i="288"/>
  <c r="L20" i="174"/>
  <c r="L20" i="58"/>
  <c r="L20" i="247"/>
  <c r="L20" i="250"/>
  <c r="L20" i="228"/>
  <c r="L11" i="246"/>
  <c r="O10" i="156"/>
  <c r="P26" i="58"/>
  <c r="G40" i="250"/>
  <c r="L119" i="209" s="1"/>
  <c r="L768" i="209"/>
  <c r="H18" i="250"/>
  <c r="O9" i="290"/>
  <c r="O9" i="288"/>
  <c r="O10" i="290"/>
  <c r="G46" i="174"/>
  <c r="O18" i="231" s="1"/>
  <c r="L10" i="333"/>
  <c r="L10" i="296"/>
  <c r="P15" i="231"/>
  <c r="P15" i="361"/>
  <c r="P15" i="171"/>
  <c r="P15" i="172"/>
  <c r="L292" i="209"/>
  <c r="O17" i="104"/>
  <c r="G45" i="174"/>
  <c r="O17" i="361" s="1"/>
  <c r="N15" i="370"/>
  <c r="O14" i="221"/>
  <c r="P15" i="184"/>
  <c r="P15" i="175"/>
  <c r="N15" i="72"/>
  <c r="P15" i="84"/>
  <c r="O14" i="347"/>
  <c r="O14" i="220"/>
  <c r="M613" i="246"/>
  <c r="L616" i="246"/>
  <c r="N15" i="368"/>
  <c r="N15" i="365"/>
  <c r="N15" i="123"/>
  <c r="F47" i="44"/>
  <c r="N19" i="196" s="1"/>
  <c r="N15" i="338"/>
  <c r="N15" i="372"/>
  <c r="N15" i="39"/>
  <c r="N15" i="337"/>
  <c r="N15" i="154"/>
  <c r="N15" i="79"/>
  <c r="N15" i="196"/>
  <c r="O15" i="370"/>
  <c r="O15" i="338"/>
  <c r="O15" i="368"/>
  <c r="O15" i="154"/>
  <c r="O15" i="79"/>
  <c r="F43" i="327"/>
  <c r="F47" i="327" s="1"/>
  <c r="Q148" i="209" s="1"/>
  <c r="O15" i="369"/>
  <c r="V17" i="28"/>
  <c r="X17" i="28" s="1"/>
  <c r="P16" i="333"/>
  <c r="S594" i="209"/>
  <c r="L14" i="360"/>
  <c r="W30" i="360" s="1"/>
  <c r="P9" i="171"/>
  <c r="O13" i="289"/>
  <c r="O13" i="288"/>
  <c r="O13" i="220"/>
  <c r="O13" i="347"/>
  <c r="L233" i="209"/>
  <c r="O11" i="156"/>
  <c r="O14" i="156"/>
  <c r="R11" i="246"/>
  <c r="O14" i="284"/>
  <c r="O14" i="190"/>
  <c r="X16" i="28"/>
  <c r="L14" i="333"/>
  <c r="L13" i="360"/>
  <c r="W29" i="360" s="1"/>
  <c r="L13" i="333"/>
  <c r="L13" i="367"/>
  <c r="L11" i="296"/>
  <c r="L11" i="333"/>
  <c r="L11" i="295"/>
  <c r="L11" i="367"/>
  <c r="W27" i="367" s="1"/>
  <c r="L14" i="367"/>
  <c r="O18" i="186"/>
  <c r="O18" i="104"/>
  <c r="O17" i="170"/>
  <c r="O17" i="186"/>
  <c r="O17" i="226"/>
  <c r="O18" i="226"/>
  <c r="O16" i="104"/>
  <c r="O16" i="170"/>
  <c r="R100" i="246"/>
  <c r="O16" i="226"/>
  <c r="G41" i="184"/>
  <c r="L205" i="246" s="1"/>
  <c r="G40" i="184"/>
  <c r="L103" i="246" s="1"/>
  <c r="G42" i="184"/>
  <c r="L256" i="246" s="1"/>
  <c r="G39" i="184"/>
  <c r="R52" i="246" s="1"/>
  <c r="G38" i="184"/>
  <c r="L52" i="246" s="1"/>
  <c r="G37" i="184"/>
  <c r="R205" i="246" s="1"/>
  <c r="I151" i="246"/>
  <c r="L17" i="104"/>
  <c r="L17" i="226"/>
  <c r="P9" i="84"/>
  <c r="S208" i="246"/>
  <c r="P9" i="231"/>
  <c r="P9" i="172"/>
  <c r="P9" i="184"/>
  <c r="P9" i="361"/>
  <c r="P9" i="229"/>
  <c r="L20" i="330"/>
  <c r="P26" i="330"/>
  <c r="X15" i="28"/>
  <c r="L20" i="248"/>
  <c r="P26" i="328"/>
  <c r="L20" i="18"/>
  <c r="P767" i="209"/>
  <c r="L20" i="327"/>
  <c r="X13" i="28"/>
  <c r="L20" i="326"/>
  <c r="X23" i="28"/>
  <c r="L20" i="44"/>
  <c r="X28" i="28"/>
  <c r="X24" i="28"/>
  <c r="J61" i="28"/>
  <c r="X11" i="28"/>
  <c r="X21" i="28"/>
  <c r="O767" i="209"/>
  <c r="G43" i="327"/>
  <c r="G47" i="327" s="1"/>
  <c r="R148" i="209" s="1"/>
  <c r="X25" i="28"/>
  <c r="M26" i="229"/>
  <c r="P771" i="209" s="1"/>
  <c r="O15" i="220"/>
  <c r="O15" i="347"/>
  <c r="G47" i="248"/>
  <c r="O15" i="221"/>
  <c r="P11" i="248"/>
  <c r="P11" i="247"/>
  <c r="P11" i="327"/>
  <c r="S63" i="209"/>
  <c r="P11" i="326"/>
  <c r="L17" i="170"/>
  <c r="P11" i="174"/>
  <c r="P11" i="18"/>
  <c r="P11" i="58"/>
  <c r="P11" i="328"/>
  <c r="P11" i="250"/>
  <c r="L18" i="170"/>
  <c r="L18" i="186"/>
  <c r="L18" i="104"/>
  <c r="O12" i="289"/>
  <c r="O12" i="290"/>
  <c r="X23" i="34"/>
  <c r="Q767" i="209"/>
  <c r="O14" i="290"/>
  <c r="O14" i="289"/>
  <c r="C642" i="209"/>
  <c r="V583" i="209"/>
  <c r="S732" i="209"/>
  <c r="M476" i="209"/>
  <c r="L26" i="229"/>
  <c r="O771" i="209" s="1"/>
  <c r="P18" i="18"/>
  <c r="F44" i="229"/>
  <c r="Q122" i="209" s="1"/>
  <c r="F46" i="229"/>
  <c r="N18" i="328" s="1"/>
  <c r="K653" i="209"/>
  <c r="P18" i="174"/>
  <c r="S535" i="209"/>
  <c r="P18" i="248"/>
  <c r="E43" i="327"/>
  <c r="E47" i="327" s="1"/>
  <c r="P148" i="209" s="1"/>
  <c r="P18" i="330"/>
  <c r="P18" i="327"/>
  <c r="K712" i="209"/>
  <c r="P18" i="326"/>
  <c r="P18" i="58"/>
  <c r="P18" i="250"/>
  <c r="P18" i="291"/>
  <c r="M24" i="292"/>
  <c r="V24" i="292" s="1"/>
  <c r="X14" i="49"/>
  <c r="X11" i="49"/>
  <c r="X16" i="49"/>
  <c r="J38" i="49"/>
  <c r="J41" i="49" s="1"/>
  <c r="X17" i="49"/>
  <c r="X18" i="49"/>
  <c r="X13" i="49"/>
  <c r="X12" i="49"/>
  <c r="X19" i="49"/>
  <c r="M614" i="246"/>
  <c r="F45" i="229"/>
  <c r="N17" i="327" s="1"/>
  <c r="N15" i="347"/>
  <c r="N15" i="220"/>
  <c r="N15" i="221"/>
  <c r="F47" i="248"/>
  <c r="D43" i="327"/>
  <c r="D47" i="327" s="1"/>
  <c r="O148" i="209" s="1"/>
  <c r="P26" i="327"/>
  <c r="L653" i="209"/>
  <c r="Q653" i="209"/>
  <c r="K24" i="292"/>
  <c r="H44" i="229"/>
  <c r="N15" i="226"/>
  <c r="G42" i="11"/>
  <c r="L250" i="209" s="1"/>
  <c r="L722" i="209"/>
  <c r="M722" i="209" s="1"/>
  <c r="G38" i="11"/>
  <c r="L14" i="209" s="1"/>
  <c r="G41" i="11"/>
  <c r="L191" i="209" s="1"/>
  <c r="G37" i="11"/>
  <c r="R191" i="209" s="1"/>
  <c r="H18" i="11"/>
  <c r="G39" i="11"/>
  <c r="R14" i="209" s="1"/>
  <c r="G40" i="11"/>
  <c r="L73" i="209" s="1"/>
  <c r="M710" i="209"/>
  <c r="F42" i="11"/>
  <c r="K250" i="209" s="1"/>
  <c r="F37" i="11"/>
  <c r="Q191" i="209" s="1"/>
  <c r="F38" i="11"/>
  <c r="K14" i="209" s="1"/>
  <c r="F40" i="11"/>
  <c r="K73" i="209" s="1"/>
  <c r="K722" i="209"/>
  <c r="F39" i="11"/>
  <c r="Q14" i="209" s="1"/>
  <c r="F41" i="11"/>
  <c r="K191" i="209" s="1"/>
  <c r="M732" i="209"/>
  <c r="R20" i="292"/>
  <c r="U20" i="292"/>
  <c r="J35" i="129"/>
  <c r="X18" i="129"/>
  <c r="X14" i="129"/>
  <c r="X11" i="129"/>
  <c r="X17" i="129"/>
  <c r="X13" i="129"/>
  <c r="X20" i="129"/>
  <c r="X12" i="129"/>
  <c r="X15" i="129"/>
  <c r="X16" i="129"/>
  <c r="D40" i="126"/>
  <c r="I88" i="246" s="1"/>
  <c r="D38" i="126"/>
  <c r="I37" i="246" s="1"/>
  <c r="D41" i="126"/>
  <c r="I190" i="246" s="1"/>
  <c r="D42" i="126"/>
  <c r="I241" i="246" s="1"/>
  <c r="D39" i="126"/>
  <c r="O37" i="246" s="1"/>
  <c r="D37" i="126"/>
  <c r="O190" i="246" s="1"/>
  <c r="I649" i="246"/>
  <c r="D18" i="226"/>
  <c r="D15" i="170"/>
  <c r="D15" i="175" s="1"/>
  <c r="D15" i="231"/>
  <c r="D15" i="172"/>
  <c r="D15" i="174" s="1"/>
  <c r="F15" i="126"/>
  <c r="E15" i="226"/>
  <c r="E18" i="126"/>
  <c r="L736" i="209"/>
  <c r="M736" i="209" s="1"/>
  <c r="G37" i="212"/>
  <c r="R205" i="209" s="1"/>
  <c r="G38" i="212"/>
  <c r="L28" i="209" s="1"/>
  <c r="G40" i="212"/>
  <c r="L87" i="209" s="1"/>
  <c r="G42" i="212"/>
  <c r="L264" i="209" s="1"/>
  <c r="G41" i="212"/>
  <c r="L205" i="209" s="1"/>
  <c r="G39" i="212"/>
  <c r="R28" i="209" s="1"/>
  <c r="H18" i="212"/>
  <c r="P769" i="209"/>
  <c r="E43" i="228"/>
  <c r="G46" i="229"/>
  <c r="O18" i="58" s="1"/>
  <c r="L712" i="209"/>
  <c r="G44" i="229"/>
  <c r="O16" i="174" s="1"/>
  <c r="P135" i="246"/>
  <c r="M19" i="95"/>
  <c r="M19" i="279"/>
  <c r="M19" i="191"/>
  <c r="O15" i="191"/>
  <c r="G47" i="186"/>
  <c r="O15" i="95"/>
  <c r="O15" i="279"/>
  <c r="N15" i="170"/>
  <c r="M580" i="246"/>
  <c r="O120" i="209"/>
  <c r="L16" i="225"/>
  <c r="O15" i="289"/>
  <c r="O15" i="288"/>
  <c r="O15" i="290"/>
  <c r="G47" i="291"/>
  <c r="L17" i="225"/>
  <c r="I179" i="209"/>
  <c r="S299" i="209"/>
  <c r="H37" i="229"/>
  <c r="P9" i="328" s="1"/>
  <c r="N12" i="95"/>
  <c r="K84" i="246"/>
  <c r="N12" i="279"/>
  <c r="N12" i="191"/>
  <c r="I260" i="209"/>
  <c r="L14" i="213"/>
  <c r="W30" i="213" s="1"/>
  <c r="L14" i="105"/>
  <c r="W30" i="105" s="1"/>
  <c r="L14" i="214"/>
  <c r="W30" i="214" s="1"/>
  <c r="N13" i="214"/>
  <c r="N13" i="213"/>
  <c r="K201" i="209"/>
  <c r="N13" i="105"/>
  <c r="I24" i="209"/>
  <c r="L10" i="213"/>
  <c r="W26" i="213" s="1"/>
  <c r="L10" i="214"/>
  <c r="W26" i="214" s="1"/>
  <c r="L10" i="105"/>
  <c r="W26" i="105" s="1"/>
  <c r="M12" i="95"/>
  <c r="M12" i="279"/>
  <c r="J84" i="246"/>
  <c r="M12" i="191"/>
  <c r="N9" i="95"/>
  <c r="N9" i="279"/>
  <c r="N9" i="191"/>
  <c r="Q186" i="246"/>
  <c r="I201" i="209"/>
  <c r="L13" i="105"/>
  <c r="W29" i="105" s="1"/>
  <c r="L13" i="214"/>
  <c r="W29" i="214" s="1"/>
  <c r="L13" i="213"/>
  <c r="W29" i="213" s="1"/>
  <c r="M9" i="279"/>
  <c r="M9" i="95"/>
  <c r="M9" i="191"/>
  <c r="P186" i="246"/>
  <c r="N13" i="95"/>
  <c r="N13" i="279"/>
  <c r="K186" i="246"/>
  <c r="N13" i="191"/>
  <c r="L12" i="214"/>
  <c r="W28" i="214" s="1"/>
  <c r="L12" i="213"/>
  <c r="W28" i="213" s="1"/>
  <c r="L12" i="105"/>
  <c r="W28" i="105" s="1"/>
  <c r="I83" i="209"/>
  <c r="N15" i="104"/>
  <c r="W30" i="104" s="1"/>
  <c r="N11" i="279"/>
  <c r="N11" i="191"/>
  <c r="Q33" i="246"/>
  <c r="N11" i="95"/>
  <c r="L9" i="213"/>
  <c r="W25" i="213" s="1"/>
  <c r="L9" i="105"/>
  <c r="W25" i="105" s="1"/>
  <c r="L9" i="214"/>
  <c r="W25" i="214" s="1"/>
  <c r="O201" i="209"/>
  <c r="U642" i="209"/>
  <c r="D701" i="209"/>
  <c r="K24" i="209"/>
  <c r="N10" i="213"/>
  <c r="N10" i="214"/>
  <c r="N10" i="105"/>
  <c r="R30" i="292"/>
  <c r="U30" i="292"/>
  <c r="N11" i="105"/>
  <c r="N11" i="213"/>
  <c r="Q24" i="209"/>
  <c r="N11" i="214"/>
  <c r="N15" i="105"/>
  <c r="F47" i="247"/>
  <c r="N15" i="214"/>
  <c r="N15" i="213"/>
  <c r="N14" i="213"/>
  <c r="N14" i="214"/>
  <c r="K260" i="209"/>
  <c r="N14" i="105"/>
  <c r="L15" i="105"/>
  <c r="W31" i="105" s="1"/>
  <c r="D47" i="247"/>
  <c r="L15" i="213"/>
  <c r="W31" i="213" s="1"/>
  <c r="L15" i="214"/>
  <c r="W31" i="214" s="1"/>
  <c r="M11" i="279"/>
  <c r="P33" i="246"/>
  <c r="M11" i="95"/>
  <c r="M11" i="191"/>
  <c r="K33" i="246"/>
  <c r="N10" i="95"/>
  <c r="N10" i="279"/>
  <c r="N10" i="191"/>
  <c r="O133" i="246"/>
  <c r="W34" i="307"/>
  <c r="J186" i="246"/>
  <c r="M13" i="95"/>
  <c r="M13" i="279"/>
  <c r="M13" i="191"/>
  <c r="N12" i="214"/>
  <c r="K83" i="209"/>
  <c r="N12" i="105"/>
  <c r="N12" i="213"/>
  <c r="O26" i="229"/>
  <c r="R771" i="209" s="1"/>
  <c r="L11" i="214"/>
  <c r="W27" i="214" s="1"/>
  <c r="O24" i="209"/>
  <c r="L11" i="105"/>
  <c r="W27" i="105" s="1"/>
  <c r="L11" i="213"/>
  <c r="W27" i="213" s="1"/>
  <c r="N9" i="105"/>
  <c r="N9" i="214"/>
  <c r="Q201" i="209"/>
  <c r="N9" i="213"/>
  <c r="J33" i="246"/>
  <c r="M10" i="191"/>
  <c r="M10" i="279"/>
  <c r="M10" i="95"/>
  <c r="N14" i="191"/>
  <c r="N14" i="279"/>
  <c r="N14" i="95"/>
  <c r="K237" i="246"/>
  <c r="U15" i="292"/>
  <c r="R15" i="292"/>
  <c r="M14" i="279"/>
  <c r="M14" i="191"/>
  <c r="M14" i="95"/>
  <c r="J237" i="246"/>
  <c r="M12" i="214"/>
  <c r="M12" i="105"/>
  <c r="M12" i="213"/>
  <c r="J83" i="209"/>
  <c r="M16" i="137"/>
  <c r="M16" i="187"/>
  <c r="M16" i="349"/>
  <c r="M16" i="353"/>
  <c r="M16" i="146"/>
  <c r="M16" i="126"/>
  <c r="M16" i="188"/>
  <c r="M16" i="151"/>
  <c r="M16" i="178"/>
  <c r="M16" i="362"/>
  <c r="M16" i="189"/>
  <c r="M16" i="195"/>
  <c r="M16" i="183"/>
  <c r="M16" i="219"/>
  <c r="M16" i="141"/>
  <c r="M16" i="194"/>
  <c r="M16" i="293"/>
  <c r="M16" i="160"/>
  <c r="M16" i="270"/>
  <c r="F43" i="228"/>
  <c r="Q769" i="209"/>
  <c r="L18" i="215"/>
  <c r="L18" i="162"/>
  <c r="L18" i="166"/>
  <c r="L18" i="165"/>
  <c r="L18" i="139"/>
  <c r="O13" i="279"/>
  <c r="L186" i="246"/>
  <c r="O13" i="191"/>
  <c r="O13" i="95"/>
  <c r="F44" i="175"/>
  <c r="N16" i="212" s="1"/>
  <c r="F46" i="175"/>
  <c r="N18" i="212" s="1"/>
  <c r="F45" i="175"/>
  <c r="N17" i="212" s="1"/>
  <c r="M10" i="333"/>
  <c r="W26" i="333" s="1"/>
  <c r="M10" i="296"/>
  <c r="W26" i="296" s="1"/>
  <c r="M10" i="295"/>
  <c r="W26" i="295" s="1"/>
  <c r="M10" i="360"/>
  <c r="M10" i="367"/>
  <c r="M13" i="213"/>
  <c r="M13" i="214"/>
  <c r="M13" i="105"/>
  <c r="J201" i="209"/>
  <c r="O19" i="190"/>
  <c r="R113" i="246"/>
  <c r="O19" i="156"/>
  <c r="O19" i="284"/>
  <c r="L26" i="175"/>
  <c r="P26" i="173"/>
  <c r="D43" i="173"/>
  <c r="L19" i="360"/>
  <c r="W34" i="360" s="1"/>
  <c r="L19" i="296"/>
  <c r="L19" i="295"/>
  <c r="L19" i="333"/>
  <c r="L19" i="367"/>
  <c r="W32" i="367" s="1"/>
  <c r="I61" i="209"/>
  <c r="L10" i="225"/>
  <c r="N15" i="219"/>
  <c r="N15" i="194"/>
  <c r="N15" i="270"/>
  <c r="N15" i="137"/>
  <c r="N15" i="160"/>
  <c r="N15" i="151"/>
  <c r="N15" i="195"/>
  <c r="N15" i="178"/>
  <c r="N15" i="353"/>
  <c r="F47" i="170"/>
  <c r="N15" i="183"/>
  <c r="N15" i="146"/>
  <c r="N15" i="349"/>
  <c r="N15" i="187"/>
  <c r="N15" i="126"/>
  <c r="N15" i="362"/>
  <c r="N15" i="189"/>
  <c r="N15" i="188"/>
  <c r="N15" i="141"/>
  <c r="N15" i="293"/>
  <c r="D44" i="175"/>
  <c r="L16" i="212" s="1"/>
  <c r="D45" i="175"/>
  <c r="L17" i="212" s="1"/>
  <c r="D46" i="175"/>
  <c r="L18" i="212" s="1"/>
  <c r="O14" i="191"/>
  <c r="O14" i="95"/>
  <c r="L237" i="246"/>
  <c r="O14" i="279"/>
  <c r="N16" i="215"/>
  <c r="N16" i="165"/>
  <c r="N16" i="162"/>
  <c r="N16" i="166"/>
  <c r="N16" i="139"/>
  <c r="M11" i="295"/>
  <c r="W27" i="295" s="1"/>
  <c r="M11" i="296"/>
  <c r="W27" i="296" s="1"/>
  <c r="M11" i="367"/>
  <c r="M11" i="360"/>
  <c r="M11" i="333"/>
  <c r="W27" i="333" s="1"/>
  <c r="D43" i="231"/>
  <c r="D47" i="231" s="1"/>
  <c r="O155" i="246" s="1"/>
  <c r="P26" i="231"/>
  <c r="L16" i="165"/>
  <c r="W32" i="165" s="1"/>
  <c r="L16" i="162"/>
  <c r="W32" i="162" s="1"/>
  <c r="L16" i="139"/>
  <c r="W32" i="139" s="1"/>
  <c r="L16" i="215"/>
  <c r="W32" i="215" s="1"/>
  <c r="L16" i="166"/>
  <c r="W32" i="166" s="1"/>
  <c r="O10" i="279"/>
  <c r="O10" i="191"/>
  <c r="O10" i="95"/>
  <c r="L33" i="246"/>
  <c r="O173" i="209"/>
  <c r="W34" i="241"/>
  <c r="L260" i="209"/>
  <c r="O14" i="213"/>
  <c r="O14" i="214"/>
  <c r="O14" i="105"/>
  <c r="P18" i="333"/>
  <c r="N17" i="141"/>
  <c r="N17" i="293"/>
  <c r="N17" i="188"/>
  <c r="N17" i="151"/>
  <c r="N17" i="160"/>
  <c r="N17" i="189"/>
  <c r="N17" i="178"/>
  <c r="N17" i="195"/>
  <c r="N17" i="183"/>
  <c r="N17" i="146"/>
  <c r="N17" i="349"/>
  <c r="N17" i="126"/>
  <c r="N17" i="270"/>
  <c r="N17" i="194"/>
  <c r="N17" i="187"/>
  <c r="N17" i="137"/>
  <c r="N17" i="219"/>
  <c r="N17" i="353"/>
  <c r="N17" i="362"/>
  <c r="M15" i="347"/>
  <c r="M15" i="221"/>
  <c r="M15" i="220"/>
  <c r="E47" i="248"/>
  <c r="Q56" i="209"/>
  <c r="N11" i="221"/>
  <c r="N11" i="220"/>
  <c r="N11" i="347"/>
  <c r="L15" i="151"/>
  <c r="W31" i="151" s="1"/>
  <c r="L15" i="353"/>
  <c r="W31" i="353" s="1"/>
  <c r="L15" i="293"/>
  <c r="W31" i="293" s="1"/>
  <c r="L15" i="194"/>
  <c r="W31" i="194" s="1"/>
  <c r="L15" i="349"/>
  <c r="W31" i="349" s="1"/>
  <c r="L15" i="160"/>
  <c r="W31" i="160" s="1"/>
  <c r="D47" i="170"/>
  <c r="L15" i="195"/>
  <c r="W31" i="195" s="1"/>
  <c r="L15" i="141"/>
  <c r="W31" i="141" s="1"/>
  <c r="L15" i="137"/>
  <c r="W31" i="137" s="1"/>
  <c r="L15" i="189"/>
  <c r="W31" i="189" s="1"/>
  <c r="L15" i="126"/>
  <c r="W31" i="126" s="1"/>
  <c r="L15" i="270"/>
  <c r="W31" i="270" s="1"/>
  <c r="L15" i="362"/>
  <c r="W31" i="362" s="1"/>
  <c r="L15" i="178"/>
  <c r="W31" i="178" s="1"/>
  <c r="L15" i="188"/>
  <c r="W31" i="188" s="1"/>
  <c r="L15" i="146"/>
  <c r="W31" i="146" s="1"/>
  <c r="L15" i="219"/>
  <c r="W31" i="219" s="1"/>
  <c r="L15" i="187"/>
  <c r="W31" i="187" s="1"/>
  <c r="L15" i="183"/>
  <c r="W31" i="183" s="1"/>
  <c r="O9" i="191"/>
  <c r="O9" i="279"/>
  <c r="R186" i="246"/>
  <c r="O9" i="95"/>
  <c r="M9" i="367"/>
  <c r="M9" i="360"/>
  <c r="M9" i="295"/>
  <c r="W25" i="295" s="1"/>
  <c r="M9" i="333"/>
  <c r="W25" i="333" s="1"/>
  <c r="M9" i="296"/>
  <c r="W25" i="296" s="1"/>
  <c r="M15" i="146"/>
  <c r="M15" i="178"/>
  <c r="M15" i="188"/>
  <c r="M15" i="189"/>
  <c r="M15" i="137"/>
  <c r="M15" i="270"/>
  <c r="M15" i="353"/>
  <c r="M15" i="126"/>
  <c r="M15" i="183"/>
  <c r="M15" i="141"/>
  <c r="M15" i="219"/>
  <c r="M15" i="349"/>
  <c r="M15" i="160"/>
  <c r="M15" i="187"/>
  <c r="M15" i="293"/>
  <c r="M15" i="194"/>
  <c r="M15" i="195"/>
  <c r="M15" i="151"/>
  <c r="M15" i="362"/>
  <c r="E47" i="170"/>
  <c r="L19" i="325"/>
  <c r="W32" i="325" s="1"/>
  <c r="L19" i="324"/>
  <c r="W32" i="324" s="1"/>
  <c r="O11" i="191"/>
  <c r="O11" i="95"/>
  <c r="R33" i="246"/>
  <c r="O11" i="279"/>
  <c r="M13" i="333"/>
  <c r="M13" i="367"/>
  <c r="M13" i="360"/>
  <c r="M13" i="295"/>
  <c r="W29" i="295" s="1"/>
  <c r="M13" i="296"/>
  <c r="W29" i="296" s="1"/>
  <c r="M18" i="139"/>
  <c r="M18" i="166"/>
  <c r="M18" i="215"/>
  <c r="M18" i="162"/>
  <c r="M18" i="165"/>
  <c r="L14" i="220"/>
  <c r="W30" i="220" s="1"/>
  <c r="L14" i="347"/>
  <c r="W30" i="347" s="1"/>
  <c r="L14" i="221"/>
  <c r="W30" i="221" s="1"/>
  <c r="I292" i="209"/>
  <c r="O15" i="214"/>
  <c r="O15" i="105"/>
  <c r="O15" i="213"/>
  <c r="G47" i="247"/>
  <c r="M17" i="139"/>
  <c r="M17" i="215"/>
  <c r="M17" i="162"/>
  <c r="M17" i="166"/>
  <c r="M17" i="165"/>
  <c r="G43" i="173"/>
  <c r="O26" i="175"/>
  <c r="G43" i="175" s="1"/>
  <c r="O11" i="325"/>
  <c r="O11" i="324"/>
  <c r="H18" i="228"/>
  <c r="G42" i="228"/>
  <c r="G37" i="228"/>
  <c r="G39" i="228"/>
  <c r="G41" i="228"/>
  <c r="N16" i="195"/>
  <c r="N16" i="187"/>
  <c r="N16" i="151"/>
  <c r="N16" i="141"/>
  <c r="N16" i="178"/>
  <c r="N16" i="160"/>
  <c r="N16" i="353"/>
  <c r="N16" i="293"/>
  <c r="N16" i="146"/>
  <c r="N16" i="349"/>
  <c r="N16" i="194"/>
  <c r="N16" i="183"/>
  <c r="N16" i="126"/>
  <c r="N16" i="188"/>
  <c r="N16" i="137"/>
  <c r="N16" i="362"/>
  <c r="N16" i="219"/>
  <c r="N16" i="189"/>
  <c r="N16" i="270"/>
  <c r="L16" i="362"/>
  <c r="W32" i="362" s="1"/>
  <c r="L16" i="194"/>
  <c r="W32" i="194" s="1"/>
  <c r="L16" i="126"/>
  <c r="W32" i="126" s="1"/>
  <c r="L16" i="183"/>
  <c r="W32" i="183" s="1"/>
  <c r="L16" i="137"/>
  <c r="W32" i="137" s="1"/>
  <c r="L16" i="189"/>
  <c r="W32" i="189" s="1"/>
  <c r="L16" i="188"/>
  <c r="W32" i="188" s="1"/>
  <c r="L16" i="219"/>
  <c r="W32" i="219" s="1"/>
  <c r="L16" i="141"/>
  <c r="W32" i="141" s="1"/>
  <c r="L16" i="349"/>
  <c r="W32" i="349" s="1"/>
  <c r="L16" i="270"/>
  <c r="W32" i="270" s="1"/>
  <c r="L16" i="146"/>
  <c r="W32" i="146" s="1"/>
  <c r="L16" i="151"/>
  <c r="W32" i="151" s="1"/>
  <c r="L16" i="187"/>
  <c r="W32" i="187" s="1"/>
  <c r="L16" i="160"/>
  <c r="W32" i="160" s="1"/>
  <c r="L16" i="353"/>
  <c r="W32" i="353" s="1"/>
  <c r="L16" i="293"/>
  <c r="W32" i="293" s="1"/>
  <c r="L16" i="178"/>
  <c r="W32" i="178" s="1"/>
  <c r="L16" i="195"/>
  <c r="W32" i="195" s="1"/>
  <c r="O17" i="225"/>
  <c r="L179" i="209"/>
  <c r="L631" i="246"/>
  <c r="G37" i="171"/>
  <c r="G40" i="171"/>
  <c r="G39" i="171"/>
  <c r="G42" i="171"/>
  <c r="G41" i="171"/>
  <c r="G38" i="171"/>
  <c r="O768" i="209"/>
  <c r="D43" i="250"/>
  <c r="D47" i="250" s="1"/>
  <c r="O178" i="209" s="1"/>
  <c r="P26" i="250"/>
  <c r="N12" i="221"/>
  <c r="K115" i="209"/>
  <c r="N12" i="347"/>
  <c r="N12" i="220"/>
  <c r="P26" i="170"/>
  <c r="O12" i="191"/>
  <c r="O12" i="95"/>
  <c r="O12" i="279"/>
  <c r="L84" i="246"/>
  <c r="D39" i="173"/>
  <c r="D37" i="173"/>
  <c r="D38" i="173"/>
  <c r="D41" i="173"/>
  <c r="D42" i="173"/>
  <c r="D40" i="173"/>
  <c r="H18" i="173"/>
  <c r="O13" i="105"/>
  <c r="O13" i="213"/>
  <c r="O13" i="214"/>
  <c r="L201" i="209"/>
  <c r="M14" i="296"/>
  <c r="W30" i="296" s="1"/>
  <c r="M14" i="295"/>
  <c r="W30" i="295" s="1"/>
  <c r="M14" i="360"/>
  <c r="M14" i="333"/>
  <c r="M14" i="367"/>
  <c r="I56" i="209"/>
  <c r="L10" i="220"/>
  <c r="W26" i="220" s="1"/>
  <c r="L10" i="347"/>
  <c r="W26" i="347" s="1"/>
  <c r="L10" i="221"/>
  <c r="W26" i="221" s="1"/>
  <c r="L13" i="221"/>
  <c r="W29" i="221" s="1"/>
  <c r="L13" i="220"/>
  <c r="W29" i="220" s="1"/>
  <c r="I233" i="209"/>
  <c r="L13" i="347"/>
  <c r="W29" i="347" s="1"/>
  <c r="M12" i="296"/>
  <c r="W28" i="296" s="1"/>
  <c r="M12" i="360"/>
  <c r="M12" i="367"/>
  <c r="M12" i="295"/>
  <c r="W28" i="295" s="1"/>
  <c r="M12" i="333"/>
  <c r="W28" i="333" s="1"/>
  <c r="N15" i="288"/>
  <c r="F47" i="291"/>
  <c r="N15" i="290"/>
  <c r="N15" i="289"/>
  <c r="M11" i="105"/>
  <c r="M11" i="214"/>
  <c r="P24" i="209"/>
  <c r="M11" i="213"/>
  <c r="N9" i="220"/>
  <c r="N9" i="221"/>
  <c r="Q233" i="209"/>
  <c r="N9" i="347"/>
  <c r="F39" i="228"/>
  <c r="F38" i="228"/>
  <c r="O22" i="292"/>
  <c r="K769" i="209"/>
  <c r="F41" i="228"/>
  <c r="F42" i="228"/>
  <c r="F37" i="228"/>
  <c r="F40" i="228"/>
  <c r="L17" i="139"/>
  <c r="W33" i="139" s="1"/>
  <c r="L17" i="215"/>
  <c r="W33" i="215" s="1"/>
  <c r="L17" i="165"/>
  <c r="W33" i="165" s="1"/>
  <c r="L17" i="166"/>
  <c r="W33" i="166" s="1"/>
  <c r="L17" i="162"/>
  <c r="W33" i="162" s="1"/>
  <c r="N26" i="175"/>
  <c r="F43" i="175" s="1"/>
  <c r="L12" i="347"/>
  <c r="W28" i="347" s="1"/>
  <c r="L12" i="220"/>
  <c r="W28" i="220" s="1"/>
  <c r="I115" i="209"/>
  <c r="L12" i="221"/>
  <c r="W28" i="221" s="1"/>
  <c r="L17" i="195"/>
  <c r="W33" i="195" s="1"/>
  <c r="L17" i="183"/>
  <c r="W33" i="183" s="1"/>
  <c r="L17" i="126"/>
  <c r="W33" i="126" s="1"/>
  <c r="L17" i="187"/>
  <c r="W33" i="187" s="1"/>
  <c r="L17" i="362"/>
  <c r="W33" i="362" s="1"/>
  <c r="L17" i="194"/>
  <c r="W33" i="194" s="1"/>
  <c r="L17" i="137"/>
  <c r="W33" i="137" s="1"/>
  <c r="L17" i="188"/>
  <c r="W33" i="188" s="1"/>
  <c r="L17" i="141"/>
  <c r="W33" i="141" s="1"/>
  <c r="L17" i="293"/>
  <c r="W33" i="293" s="1"/>
  <c r="L17" i="353"/>
  <c r="W33" i="353" s="1"/>
  <c r="L17" i="146"/>
  <c r="W33" i="146" s="1"/>
  <c r="L17" i="219"/>
  <c r="W33" i="219" s="1"/>
  <c r="L17" i="151"/>
  <c r="W33" i="151" s="1"/>
  <c r="L17" i="349"/>
  <c r="W33" i="349" s="1"/>
  <c r="L17" i="160"/>
  <c r="W33" i="160" s="1"/>
  <c r="L17" i="270"/>
  <c r="W33" i="270" s="1"/>
  <c r="L17" i="178"/>
  <c r="W33" i="178" s="1"/>
  <c r="L17" i="189"/>
  <c r="W33" i="189" s="1"/>
  <c r="L9" i="220"/>
  <c r="W25" i="220" s="1"/>
  <c r="O233" i="209"/>
  <c r="L9" i="347"/>
  <c r="W25" i="347" s="1"/>
  <c r="L9" i="221"/>
  <c r="W25" i="221" s="1"/>
  <c r="M19" i="295"/>
  <c r="W34" i="295" s="1"/>
  <c r="M19" i="333"/>
  <c r="W32" i="333" s="1"/>
  <c r="M19" i="367"/>
  <c r="M19" i="296"/>
  <c r="W34" i="296" s="1"/>
  <c r="M19" i="360"/>
  <c r="M16" i="139"/>
  <c r="M16" i="165"/>
  <c r="M16" i="166"/>
  <c r="M16" i="215"/>
  <c r="M16" i="162"/>
  <c r="O14" i="324"/>
  <c r="O14" i="325"/>
  <c r="O172" i="209"/>
  <c r="N18" i="151"/>
  <c r="N18" i="187"/>
  <c r="N18" i="270"/>
  <c r="N18" i="137"/>
  <c r="N18" i="353"/>
  <c r="N18" i="126"/>
  <c r="N18" i="219"/>
  <c r="N18" i="189"/>
  <c r="N18" i="194"/>
  <c r="N18" i="188"/>
  <c r="N18" i="178"/>
  <c r="N18" i="293"/>
  <c r="N18" i="141"/>
  <c r="N18" i="183"/>
  <c r="N18" i="160"/>
  <c r="N18" i="146"/>
  <c r="N18" i="349"/>
  <c r="N18" i="362"/>
  <c r="N18" i="195"/>
  <c r="K179" i="209"/>
  <c r="N17" i="225"/>
  <c r="L18" i="187"/>
  <c r="L18" i="146"/>
  <c r="L18" i="270"/>
  <c r="L18" i="353"/>
  <c r="L18" i="188"/>
  <c r="L18" i="189"/>
  <c r="L18" i="137"/>
  <c r="L18" i="293"/>
  <c r="L18" i="160"/>
  <c r="L18" i="141"/>
  <c r="L18" i="183"/>
  <c r="L18" i="194"/>
  <c r="L18" i="349"/>
  <c r="L18" i="362"/>
  <c r="L18" i="178"/>
  <c r="L18" i="219"/>
  <c r="L18" i="126"/>
  <c r="L18" i="151"/>
  <c r="L18" i="195"/>
  <c r="G41" i="173"/>
  <c r="G37" i="173"/>
  <c r="G40" i="173"/>
  <c r="G38" i="173"/>
  <c r="G39" i="173"/>
  <c r="G42" i="173"/>
  <c r="F40" i="173"/>
  <c r="F37" i="173"/>
  <c r="F39" i="173"/>
  <c r="F38" i="173"/>
  <c r="F41" i="173"/>
  <c r="F42" i="173"/>
  <c r="K768" i="209"/>
  <c r="F39" i="250"/>
  <c r="Q60" i="209" s="1"/>
  <c r="O18" i="292"/>
  <c r="F38" i="250"/>
  <c r="K60" i="209" s="1"/>
  <c r="F42" i="250"/>
  <c r="K296" i="209" s="1"/>
  <c r="F37" i="250"/>
  <c r="Q237" i="209" s="1"/>
  <c r="F41" i="250"/>
  <c r="K237" i="209" s="1"/>
  <c r="F40" i="250"/>
  <c r="K119" i="209" s="1"/>
  <c r="R21" i="292"/>
  <c r="U21" i="292"/>
  <c r="L83" i="209"/>
  <c r="O12" i="105"/>
  <c r="O12" i="213"/>
  <c r="O12" i="214"/>
  <c r="M10" i="213"/>
  <c r="J24" i="209"/>
  <c r="M10" i="214"/>
  <c r="M10" i="105"/>
  <c r="N14" i="220"/>
  <c r="N14" i="347"/>
  <c r="K292" i="209"/>
  <c r="N14" i="221"/>
  <c r="D37" i="250"/>
  <c r="O237" i="209" s="1"/>
  <c r="I768" i="209"/>
  <c r="D38" i="250"/>
  <c r="I60" i="209" s="1"/>
  <c r="D42" i="250"/>
  <c r="I296" i="209" s="1"/>
  <c r="D41" i="250"/>
  <c r="I237" i="209" s="1"/>
  <c r="D39" i="250"/>
  <c r="O60" i="209" s="1"/>
  <c r="D40" i="250"/>
  <c r="I119" i="209" s="1"/>
  <c r="J179" i="209"/>
  <c r="M17" i="225"/>
  <c r="W32" i="225" s="1"/>
  <c r="N26" i="229"/>
  <c r="F43" i="229" s="1"/>
  <c r="L11" i="221"/>
  <c r="W27" i="221" s="1"/>
  <c r="L11" i="347"/>
  <c r="W27" i="347" s="1"/>
  <c r="L11" i="220"/>
  <c r="W27" i="220" s="1"/>
  <c r="O56" i="209"/>
  <c r="E45" i="175"/>
  <c r="M17" i="212" s="1"/>
  <c r="W32" i="212" s="1"/>
  <c r="E44" i="175"/>
  <c r="M16" i="212" s="1"/>
  <c r="W31" i="212" s="1"/>
  <c r="E46" i="175"/>
  <c r="M18" i="212" s="1"/>
  <c r="O13" i="325"/>
  <c r="O13" i="324"/>
  <c r="N16" i="225"/>
  <c r="Q120" i="209"/>
  <c r="L15" i="221"/>
  <c r="W31" i="221" s="1"/>
  <c r="L15" i="347"/>
  <c r="W31" i="347" s="1"/>
  <c r="L15" i="220"/>
  <c r="W31" i="220" s="1"/>
  <c r="D47" i="248"/>
  <c r="U16" i="292"/>
  <c r="R16" i="292"/>
  <c r="O16" i="215"/>
  <c r="O16" i="139"/>
  <c r="O16" i="162"/>
  <c r="O16" i="165"/>
  <c r="O16" i="166"/>
  <c r="W35" i="313"/>
  <c r="O134" i="246"/>
  <c r="R201" i="209"/>
  <c r="O9" i="105"/>
  <c r="O9" i="214"/>
  <c r="O9" i="213"/>
  <c r="O16" i="185"/>
  <c r="O16" i="173"/>
  <c r="O16" i="223"/>
  <c r="R70" i="246"/>
  <c r="O19" i="223"/>
  <c r="O19" i="185"/>
  <c r="O15" i="194"/>
  <c r="O15" i="141"/>
  <c r="O15" i="151"/>
  <c r="O15" i="160"/>
  <c r="O15" i="353"/>
  <c r="O15" i="293"/>
  <c r="O15" i="270"/>
  <c r="O15" i="188"/>
  <c r="O15" i="178"/>
  <c r="O15" i="349"/>
  <c r="O15" i="219"/>
  <c r="O15" i="195"/>
  <c r="O15" i="126"/>
  <c r="G47" i="170"/>
  <c r="O15" i="137"/>
  <c r="O15" i="362"/>
  <c r="O15" i="189"/>
  <c r="O15" i="187"/>
  <c r="O15" i="183"/>
  <c r="O15" i="146"/>
  <c r="M19" i="290"/>
  <c r="M19" i="288"/>
  <c r="M19" i="289"/>
  <c r="G43" i="250"/>
  <c r="G47" i="250" s="1"/>
  <c r="R178" i="209" s="1"/>
  <c r="R768" i="209"/>
  <c r="P120" i="209"/>
  <c r="M16" i="225"/>
  <c r="W31" i="225" s="1"/>
  <c r="O10" i="325"/>
  <c r="O10" i="324"/>
  <c r="S22" i="292"/>
  <c r="T22" i="292" s="1"/>
  <c r="V22" i="292"/>
  <c r="O16" i="225"/>
  <c r="R120" i="209"/>
  <c r="M15" i="105"/>
  <c r="M15" i="213"/>
  <c r="M15" i="214"/>
  <c r="E47" i="247"/>
  <c r="R33" i="292"/>
  <c r="U33" i="292"/>
  <c r="K233" i="209"/>
  <c r="N13" i="221"/>
  <c r="N13" i="347"/>
  <c r="N13" i="220"/>
  <c r="O17" i="165"/>
  <c r="O17" i="162"/>
  <c r="O17" i="139"/>
  <c r="O17" i="166"/>
  <c r="O17" i="215"/>
  <c r="D47" i="228"/>
  <c r="L15" i="225"/>
  <c r="O11" i="105"/>
  <c r="R24" i="209"/>
  <c r="O11" i="214"/>
  <c r="O11" i="213"/>
  <c r="O17" i="223"/>
  <c r="L121" i="246"/>
  <c r="O17" i="185"/>
  <c r="O17" i="173"/>
  <c r="N15" i="186"/>
  <c r="W30" i="186" s="1"/>
  <c r="P17" i="333"/>
  <c r="E42" i="228"/>
  <c r="E38" i="228"/>
  <c r="E40" i="228"/>
  <c r="E41" i="228"/>
  <c r="E39" i="228"/>
  <c r="J769" i="209"/>
  <c r="E37" i="228"/>
  <c r="S35" i="292"/>
  <c r="T35" i="292" s="1"/>
  <c r="V35" i="292"/>
  <c r="O12" i="325"/>
  <c r="O12" i="324"/>
  <c r="E40" i="250"/>
  <c r="J119" i="209" s="1"/>
  <c r="E38" i="250"/>
  <c r="J60" i="209" s="1"/>
  <c r="E41" i="250"/>
  <c r="J237" i="209" s="1"/>
  <c r="E42" i="250"/>
  <c r="J296" i="209" s="1"/>
  <c r="E39" i="250"/>
  <c r="P60" i="209" s="1"/>
  <c r="J768" i="209"/>
  <c r="E37" i="250"/>
  <c r="P237" i="209" s="1"/>
  <c r="P768" i="209"/>
  <c r="E43" i="250"/>
  <c r="E47" i="250" s="1"/>
  <c r="P178" i="209" s="1"/>
  <c r="O18" i="139"/>
  <c r="O18" i="215"/>
  <c r="O18" i="165"/>
  <c r="O18" i="162"/>
  <c r="O18" i="166"/>
  <c r="O10" i="213"/>
  <c r="O10" i="105"/>
  <c r="O10" i="214"/>
  <c r="L24" i="209"/>
  <c r="Q768" i="209"/>
  <c r="F43" i="250"/>
  <c r="F47" i="250" s="1"/>
  <c r="Q178" i="209" s="1"/>
  <c r="W31" i="170"/>
  <c r="P10" i="84"/>
  <c r="P10" i="172"/>
  <c r="P10" i="171"/>
  <c r="P10" i="175"/>
  <c r="P10" i="231"/>
  <c r="M55" i="246"/>
  <c r="P10" i="184"/>
  <c r="P10" i="229"/>
  <c r="P10" i="361"/>
  <c r="O9" i="324"/>
  <c r="O9" i="325"/>
  <c r="M14" i="105"/>
  <c r="J260" i="209"/>
  <c r="M14" i="214"/>
  <c r="M14" i="213"/>
  <c r="M18" i="189"/>
  <c r="M18" i="219"/>
  <c r="M18" i="183"/>
  <c r="M18" i="293"/>
  <c r="M18" i="195"/>
  <c r="M18" i="194"/>
  <c r="M18" i="353"/>
  <c r="M18" i="349"/>
  <c r="M18" i="178"/>
  <c r="M18" i="137"/>
  <c r="M18" i="126"/>
  <c r="M18" i="187"/>
  <c r="M18" i="188"/>
  <c r="M18" i="270"/>
  <c r="M18" i="362"/>
  <c r="M18" i="141"/>
  <c r="M18" i="151"/>
  <c r="M18" i="146"/>
  <c r="M18" i="160"/>
  <c r="N10" i="347"/>
  <c r="K56" i="209"/>
  <c r="N10" i="221"/>
  <c r="N10" i="220"/>
  <c r="N18" i="165"/>
  <c r="N18" i="166"/>
  <c r="N18" i="139"/>
  <c r="N18" i="215"/>
  <c r="N18" i="162"/>
  <c r="M709" i="209"/>
  <c r="E41" i="173"/>
  <c r="E39" i="173"/>
  <c r="E42" i="173"/>
  <c r="E38" i="173"/>
  <c r="E37" i="173"/>
  <c r="E40" i="173"/>
  <c r="V18" i="292"/>
  <c r="S18" i="292"/>
  <c r="T18" i="292" s="1"/>
  <c r="R769" i="209"/>
  <c r="S769" i="209" s="1"/>
  <c r="G43" i="228"/>
  <c r="M9" i="214"/>
  <c r="M9" i="105"/>
  <c r="P201" i="209"/>
  <c r="M9" i="213"/>
  <c r="E43" i="173"/>
  <c r="M26" i="175"/>
  <c r="E43" i="175" s="1"/>
  <c r="M17" i="146"/>
  <c r="M17" i="194"/>
  <c r="M17" i="183"/>
  <c r="M17" i="353"/>
  <c r="M17" i="160"/>
  <c r="M17" i="137"/>
  <c r="M17" i="141"/>
  <c r="M17" i="349"/>
  <c r="M17" i="293"/>
  <c r="M17" i="178"/>
  <c r="M17" i="188"/>
  <c r="M17" i="189"/>
  <c r="M17" i="362"/>
  <c r="M17" i="187"/>
  <c r="M17" i="270"/>
  <c r="M17" i="151"/>
  <c r="M17" i="126"/>
  <c r="M17" i="195"/>
  <c r="M17" i="219"/>
  <c r="N17" i="139"/>
  <c r="N17" i="215"/>
  <c r="N17" i="165"/>
  <c r="N17" i="162"/>
  <c r="N17" i="166"/>
  <c r="O18" i="223"/>
  <c r="O18" i="185"/>
  <c r="O18" i="173"/>
  <c r="V705" i="209"/>
  <c r="C764" i="209"/>
  <c r="V764" i="209" s="1"/>
  <c r="D41" i="184"/>
  <c r="I205" i="246" s="1"/>
  <c r="D38" i="184"/>
  <c r="I52" i="246" s="1"/>
  <c r="D42" i="184"/>
  <c r="I256" i="246" s="1"/>
  <c r="D40" i="184"/>
  <c r="I103" i="246" s="1"/>
  <c r="D39" i="184"/>
  <c r="O52" i="246" s="1"/>
  <c r="I664" i="246"/>
  <c r="M664" i="246" s="1"/>
  <c r="H18" i="184"/>
  <c r="D37" i="184"/>
  <c r="O205" i="246" s="1"/>
  <c r="O26" i="174"/>
  <c r="G43" i="174" s="1"/>
  <c r="G43" i="172"/>
  <c r="L12" i="271"/>
  <c r="W28" i="271" s="1"/>
  <c r="L12" i="176"/>
  <c r="W28" i="176" s="1"/>
  <c r="L12" i="359"/>
  <c r="W28" i="359" s="1"/>
  <c r="I77" i="246"/>
  <c r="L12" i="99"/>
  <c r="W28" i="99" s="1"/>
  <c r="L12" i="101"/>
  <c r="W28" i="101" s="1"/>
  <c r="N26" i="174"/>
  <c r="F43" i="174" s="1"/>
  <c r="F43" i="171"/>
  <c r="N11" i="190"/>
  <c r="N11" i="156"/>
  <c r="Q11" i="246"/>
  <c r="N11" i="284"/>
  <c r="G47" i="104"/>
  <c r="O15" i="101"/>
  <c r="O15" i="359"/>
  <c r="O15" i="176"/>
  <c r="O15" i="271"/>
  <c r="O15" i="99"/>
  <c r="F18" i="4"/>
  <c r="G15" i="4"/>
  <c r="M11" i="176"/>
  <c r="M11" i="99"/>
  <c r="M11" i="271"/>
  <c r="M11" i="101"/>
  <c r="M11" i="359"/>
  <c r="P26" i="246"/>
  <c r="O16" i="84"/>
  <c r="O16" i="184"/>
  <c r="R106" i="246"/>
  <c r="O16" i="229"/>
  <c r="O16" i="231"/>
  <c r="O16" i="171"/>
  <c r="O16" i="175"/>
  <c r="O16" i="172"/>
  <c r="O16" i="361"/>
  <c r="O14" i="333"/>
  <c r="O14" i="296"/>
  <c r="O14" i="360"/>
  <c r="O14" i="295"/>
  <c r="O14" i="367"/>
  <c r="N18" i="223"/>
  <c r="N18" i="185"/>
  <c r="N18" i="173"/>
  <c r="F47" i="185"/>
  <c r="N15" i="190"/>
  <c r="N15" i="156"/>
  <c r="N15" i="284"/>
  <c r="O12" i="359"/>
  <c r="O12" i="99"/>
  <c r="L77" i="246"/>
  <c r="O12" i="101"/>
  <c r="O12" i="271"/>
  <c r="O12" i="176"/>
  <c r="D42" i="9"/>
  <c r="D41" i="9"/>
  <c r="D40" i="9"/>
  <c r="I75" i="209" s="1"/>
  <c r="I724" i="209"/>
  <c r="D37" i="9"/>
  <c r="D38" i="9"/>
  <c r="D39" i="9"/>
  <c r="O16" i="209" s="1"/>
  <c r="P11" i="246"/>
  <c r="M11" i="284"/>
  <c r="M11" i="156"/>
  <c r="M11" i="190"/>
  <c r="D40" i="154"/>
  <c r="I97" i="209" s="1"/>
  <c r="D42" i="154"/>
  <c r="I274" i="209" s="1"/>
  <c r="D39" i="154"/>
  <c r="O38" i="209" s="1"/>
  <c r="D37" i="154"/>
  <c r="O215" i="209" s="1"/>
  <c r="D41" i="154"/>
  <c r="I215" i="209" s="1"/>
  <c r="D38" i="154"/>
  <c r="I38" i="209" s="1"/>
  <c r="I746" i="209"/>
  <c r="E41" i="184"/>
  <c r="J205" i="246" s="1"/>
  <c r="E37" i="184"/>
  <c r="P205" i="246" s="1"/>
  <c r="E39" i="184"/>
  <c r="P52" i="246" s="1"/>
  <c r="E40" i="184"/>
  <c r="J103" i="246" s="1"/>
  <c r="J664" i="246"/>
  <c r="E38" i="184"/>
  <c r="J52" i="246" s="1"/>
  <c r="E42" i="184"/>
  <c r="J256" i="246" s="1"/>
  <c r="O15" i="295"/>
  <c r="O15" i="296"/>
  <c r="G47" i="361"/>
  <c r="O15" i="333"/>
  <c r="P15" i="333" s="1"/>
  <c r="O15" i="367"/>
  <c r="O15" i="360"/>
  <c r="E44" i="174"/>
  <c r="J616" i="246"/>
  <c r="J565" i="246"/>
  <c r="P565" i="246"/>
  <c r="E45" i="174"/>
  <c r="E46" i="174"/>
  <c r="O12" i="296"/>
  <c r="O12" i="360"/>
  <c r="O12" i="333"/>
  <c r="O12" i="367"/>
  <c r="O12" i="295"/>
  <c r="O10" i="176"/>
  <c r="O10" i="99"/>
  <c r="L26" i="246"/>
  <c r="O10" i="271"/>
  <c r="O10" i="101"/>
  <c r="O10" i="359"/>
  <c r="J215" i="246"/>
  <c r="M14" i="190"/>
  <c r="M14" i="156"/>
  <c r="M14" i="284"/>
  <c r="F15" i="154"/>
  <c r="F15" i="44" s="1"/>
  <c r="E18" i="154"/>
  <c r="E18" i="44" s="1"/>
  <c r="N15" i="176"/>
  <c r="N15" i="271"/>
  <c r="N15" i="101"/>
  <c r="N15" i="359"/>
  <c r="F47" i="104"/>
  <c r="N15" i="99"/>
  <c r="N15" i="166"/>
  <c r="N15" i="215"/>
  <c r="N15" i="165"/>
  <c r="F47" i="173"/>
  <c r="N15" i="139"/>
  <c r="N15" i="162"/>
  <c r="K215" i="246"/>
  <c r="N14" i="156"/>
  <c r="N14" i="284"/>
  <c r="N14" i="190"/>
  <c r="M16" i="173"/>
  <c r="W31" i="173" s="1"/>
  <c r="P70" i="246"/>
  <c r="M16" i="223"/>
  <c r="W31" i="223" s="1"/>
  <c r="M16" i="185"/>
  <c r="W31" i="185" s="1"/>
  <c r="D39" i="44"/>
  <c r="I753" i="209"/>
  <c r="D38" i="44"/>
  <c r="D40" i="44"/>
  <c r="D41" i="44"/>
  <c r="D37" i="44"/>
  <c r="D42" i="44"/>
  <c r="D18" i="328"/>
  <c r="P179" i="246"/>
  <c r="M9" i="359"/>
  <c r="M9" i="176"/>
  <c r="M9" i="101"/>
  <c r="M9" i="99"/>
  <c r="M9" i="271"/>
  <c r="O14" i="271"/>
  <c r="L230" i="246"/>
  <c r="O14" i="176"/>
  <c r="O14" i="101"/>
  <c r="O14" i="99"/>
  <c r="O14" i="359"/>
  <c r="F15" i="9"/>
  <c r="E18" i="9"/>
  <c r="F38" i="84"/>
  <c r="K51" i="246" s="1"/>
  <c r="F40" i="84"/>
  <c r="K102" i="246" s="1"/>
  <c r="O27" i="292"/>
  <c r="F39" i="84"/>
  <c r="Q51" i="246" s="1"/>
  <c r="F41" i="84"/>
  <c r="K204" i="246" s="1"/>
  <c r="F42" i="84"/>
  <c r="K255" i="246" s="1"/>
  <c r="F37" i="84"/>
  <c r="Q204" i="246" s="1"/>
  <c r="K663" i="246"/>
  <c r="L13" i="176"/>
  <c r="W29" i="176" s="1"/>
  <c r="L13" i="271"/>
  <c r="W29" i="271" s="1"/>
  <c r="L13" i="359"/>
  <c r="W29" i="359" s="1"/>
  <c r="L13" i="99"/>
  <c r="W29" i="99" s="1"/>
  <c r="L13" i="101"/>
  <c r="W29" i="101" s="1"/>
  <c r="I179" i="246"/>
  <c r="K164" i="246"/>
  <c r="N13" i="156"/>
  <c r="N13" i="284"/>
  <c r="N13" i="190"/>
  <c r="M12" i="99"/>
  <c r="M12" i="101"/>
  <c r="J77" i="246"/>
  <c r="M12" i="359"/>
  <c r="M12" i="176"/>
  <c r="M12" i="271"/>
  <c r="E40" i="79"/>
  <c r="J100" i="209" s="1"/>
  <c r="E41" i="79"/>
  <c r="J218" i="209" s="1"/>
  <c r="E38" i="79"/>
  <c r="J41" i="209" s="1"/>
  <c r="E37" i="79"/>
  <c r="P218" i="209" s="1"/>
  <c r="E42" i="79"/>
  <c r="J277" i="209" s="1"/>
  <c r="J749" i="209"/>
  <c r="E39" i="79"/>
  <c r="P41" i="209" s="1"/>
  <c r="G14" i="328"/>
  <c r="G14" i="330"/>
  <c r="G14" i="58"/>
  <c r="G14" i="229" s="1"/>
  <c r="N11" i="359"/>
  <c r="N11" i="271"/>
  <c r="N11" i="99"/>
  <c r="Q26" i="246"/>
  <c r="N11" i="101"/>
  <c r="N11" i="176"/>
  <c r="E47" i="104"/>
  <c r="M15" i="101"/>
  <c r="M15" i="99"/>
  <c r="M15" i="176"/>
  <c r="M15" i="359"/>
  <c r="M15" i="271"/>
  <c r="D43" i="172"/>
  <c r="P26" i="172"/>
  <c r="M15" i="190"/>
  <c r="M15" i="284"/>
  <c r="M15" i="156"/>
  <c r="E47" i="185"/>
  <c r="P39" i="292"/>
  <c r="F38" i="184"/>
  <c r="K52" i="246" s="1"/>
  <c r="F39" i="184"/>
  <c r="Q52" i="246" s="1"/>
  <c r="K664" i="246"/>
  <c r="F40" i="184"/>
  <c r="K103" i="246" s="1"/>
  <c r="F41" i="184"/>
  <c r="K205" i="246" s="1"/>
  <c r="F37" i="184"/>
  <c r="Q205" i="246" s="1"/>
  <c r="O31" i="292"/>
  <c r="F42" i="184"/>
  <c r="K256" i="246" s="1"/>
  <c r="J121" i="246"/>
  <c r="M17" i="173"/>
  <c r="W32" i="173" s="1"/>
  <c r="M17" i="185"/>
  <c r="W32" i="185" s="1"/>
  <c r="M17" i="223"/>
  <c r="W32" i="223" s="1"/>
  <c r="E40" i="84"/>
  <c r="J102" i="246" s="1"/>
  <c r="E41" i="84"/>
  <c r="J204" i="246" s="1"/>
  <c r="E42" i="84"/>
  <c r="J255" i="246" s="1"/>
  <c r="E38" i="84"/>
  <c r="J51" i="246" s="1"/>
  <c r="E39" i="84"/>
  <c r="P51" i="246" s="1"/>
  <c r="E37" i="84"/>
  <c r="P204" i="246" s="1"/>
  <c r="J663" i="246"/>
  <c r="E15" i="44"/>
  <c r="G15" i="79"/>
  <c r="G18" i="79" s="1"/>
  <c r="H18" i="79" s="1"/>
  <c r="F18" i="79"/>
  <c r="I616" i="246"/>
  <c r="M616" i="246" s="1"/>
  <c r="D45" i="174"/>
  <c r="D44" i="174"/>
  <c r="D46" i="174"/>
  <c r="I565" i="246"/>
  <c r="O565" i="246"/>
  <c r="N19" i="191"/>
  <c r="N19" i="279"/>
  <c r="Q135" i="246"/>
  <c r="N19" i="95"/>
  <c r="K26" i="246"/>
  <c r="N10" i="176"/>
  <c r="N10" i="271"/>
  <c r="N10" i="359"/>
  <c r="N10" i="101"/>
  <c r="N10" i="99"/>
  <c r="J230" i="246"/>
  <c r="M14" i="99"/>
  <c r="M14" i="176"/>
  <c r="M14" i="359"/>
  <c r="M14" i="271"/>
  <c r="M14" i="101"/>
  <c r="F42" i="171"/>
  <c r="F38" i="171"/>
  <c r="K631" i="246"/>
  <c r="F37" i="171"/>
  <c r="F39" i="171"/>
  <c r="F41" i="171"/>
  <c r="F40" i="171"/>
  <c r="G15" i="123"/>
  <c r="F18" i="123"/>
  <c r="N9" i="176"/>
  <c r="N9" i="359"/>
  <c r="Q179" i="246"/>
  <c r="N9" i="99"/>
  <c r="N9" i="271"/>
  <c r="N9" i="101"/>
  <c r="E43" i="171"/>
  <c r="M26" i="174"/>
  <c r="E43" i="174" s="1"/>
  <c r="O127" i="246"/>
  <c r="M629" i="246"/>
  <c r="M623" i="246"/>
  <c r="M659" i="246"/>
  <c r="M15" i="104"/>
  <c r="M15" i="226"/>
  <c r="W30" i="226" s="1"/>
  <c r="M15" i="170"/>
  <c r="W30" i="170" s="1"/>
  <c r="E47" i="172"/>
  <c r="M15" i="186"/>
  <c r="N12" i="284"/>
  <c r="K62" i="246"/>
  <c r="N12" i="156"/>
  <c r="N12" i="190"/>
  <c r="M13" i="176"/>
  <c r="M13" i="359"/>
  <c r="M13" i="271"/>
  <c r="M13" i="99"/>
  <c r="M13" i="101"/>
  <c r="J179" i="246"/>
  <c r="J742" i="209"/>
  <c r="E42" i="123"/>
  <c r="J270" i="209" s="1"/>
  <c r="E41" i="123"/>
  <c r="J211" i="209" s="1"/>
  <c r="E39" i="123"/>
  <c r="P34" i="209" s="1"/>
  <c r="E40" i="123"/>
  <c r="J93" i="209" s="1"/>
  <c r="E37" i="123"/>
  <c r="P211" i="209" s="1"/>
  <c r="E38" i="123"/>
  <c r="J34" i="209" s="1"/>
  <c r="L11" i="176"/>
  <c r="W27" i="176" s="1"/>
  <c r="L11" i="359"/>
  <c r="W27" i="359" s="1"/>
  <c r="L11" i="99"/>
  <c r="W27" i="99" s="1"/>
  <c r="O26" i="246"/>
  <c r="L11" i="101"/>
  <c r="W27" i="101" s="1"/>
  <c r="L11" i="271"/>
  <c r="W27" i="271" s="1"/>
  <c r="L15" i="271"/>
  <c r="W31" i="271" s="1"/>
  <c r="D47" i="104"/>
  <c r="L15" i="101"/>
  <c r="W31" i="101" s="1"/>
  <c r="L15" i="99"/>
  <c r="W31" i="99" s="1"/>
  <c r="L15" i="359"/>
  <c r="W31" i="359" s="1"/>
  <c r="L15" i="176"/>
  <c r="W31" i="176" s="1"/>
  <c r="L15" i="156"/>
  <c r="W31" i="156" s="1"/>
  <c r="D47" i="185"/>
  <c r="L15" i="190"/>
  <c r="W31" i="190" s="1"/>
  <c r="L15" i="284"/>
  <c r="W31" i="284" s="1"/>
  <c r="N19" i="170"/>
  <c r="Q151" i="246"/>
  <c r="N19" i="226"/>
  <c r="W33" i="226" s="1"/>
  <c r="N19" i="104"/>
  <c r="N19" i="186"/>
  <c r="W33" i="186" s="1"/>
  <c r="D43" i="84"/>
  <c r="D47" i="84" s="1"/>
  <c r="O153" i="246" s="1"/>
  <c r="P26" i="84"/>
  <c r="L18" i="185"/>
  <c r="L18" i="173"/>
  <c r="L18" i="223"/>
  <c r="D43" i="171"/>
  <c r="P26" i="171"/>
  <c r="L26" i="174"/>
  <c r="M13" i="284"/>
  <c r="M13" i="156"/>
  <c r="M13" i="190"/>
  <c r="J164" i="246"/>
  <c r="N19" i="367"/>
  <c r="N19" i="333"/>
  <c r="N19" i="295"/>
  <c r="N19" i="296"/>
  <c r="N19" i="360"/>
  <c r="N9" i="367"/>
  <c r="N9" i="295"/>
  <c r="N9" i="296"/>
  <c r="N9" i="360"/>
  <c r="N9" i="333"/>
  <c r="O10" i="367"/>
  <c r="O10" i="295"/>
  <c r="O10" i="360"/>
  <c r="O10" i="333"/>
  <c r="O10" i="296"/>
  <c r="M638" i="246"/>
  <c r="G40" i="125"/>
  <c r="L72" i="209" s="1"/>
  <c r="G38" i="125"/>
  <c r="L13" i="209" s="1"/>
  <c r="G41" i="125"/>
  <c r="L190" i="209" s="1"/>
  <c r="L721" i="209"/>
  <c r="M721" i="209" s="1"/>
  <c r="G37" i="125"/>
  <c r="R190" i="209" s="1"/>
  <c r="G42" i="125"/>
  <c r="L249" i="209" s="1"/>
  <c r="G39" i="125"/>
  <c r="R13" i="209" s="1"/>
  <c r="H18" i="125"/>
  <c r="O70" i="246"/>
  <c r="L16" i="173"/>
  <c r="L16" i="223"/>
  <c r="L16" i="185"/>
  <c r="M12" i="190"/>
  <c r="M12" i="156"/>
  <c r="M12" i="284"/>
  <c r="J62" i="246"/>
  <c r="L13" i="284"/>
  <c r="W29" i="284" s="1"/>
  <c r="L13" i="156"/>
  <c r="W29" i="156" s="1"/>
  <c r="L13" i="190"/>
  <c r="W29" i="190" s="1"/>
  <c r="I164" i="246"/>
  <c r="S738" i="209"/>
  <c r="D40" i="171"/>
  <c r="I631" i="246"/>
  <c r="D39" i="171"/>
  <c r="D42" i="171"/>
  <c r="D38" i="171"/>
  <c r="D37" i="171"/>
  <c r="H18" i="171"/>
  <c r="D41" i="171"/>
  <c r="N12" i="296"/>
  <c r="N12" i="295"/>
  <c r="N12" i="367"/>
  <c r="N12" i="360"/>
  <c r="N12" i="333"/>
  <c r="O11" i="333"/>
  <c r="O11" i="360"/>
  <c r="O11" i="295"/>
  <c r="O11" i="296"/>
  <c r="O11" i="367"/>
  <c r="N16" i="173"/>
  <c r="N16" i="223"/>
  <c r="N16" i="185"/>
  <c r="Q70" i="246"/>
  <c r="D37" i="84"/>
  <c r="O204" i="246" s="1"/>
  <c r="D40" i="84"/>
  <c r="I102" i="246" s="1"/>
  <c r="D38" i="84"/>
  <c r="I51" i="246" s="1"/>
  <c r="I663" i="246"/>
  <c r="D39" i="84"/>
  <c r="O51" i="246" s="1"/>
  <c r="D41" i="84"/>
  <c r="I204" i="246" s="1"/>
  <c r="D42" i="84"/>
  <c r="I255" i="246" s="1"/>
  <c r="H18" i="84"/>
  <c r="O13" i="101"/>
  <c r="O13" i="271"/>
  <c r="O13" i="99"/>
  <c r="L179" i="246"/>
  <c r="O13" i="176"/>
  <c r="O13" i="359"/>
  <c r="F38" i="125"/>
  <c r="K13" i="209" s="1"/>
  <c r="F39" i="125"/>
  <c r="Q13" i="209" s="1"/>
  <c r="F40" i="125"/>
  <c r="K72" i="209" s="1"/>
  <c r="F41" i="125"/>
  <c r="K190" i="209" s="1"/>
  <c r="K721" i="209"/>
  <c r="F42" i="125"/>
  <c r="K249" i="209" s="1"/>
  <c r="F37" i="125"/>
  <c r="Q190" i="209" s="1"/>
  <c r="E41" i="370"/>
  <c r="J210" i="209" s="1"/>
  <c r="E37" i="370"/>
  <c r="P210" i="209" s="1"/>
  <c r="J741" i="209"/>
  <c r="E38" i="370"/>
  <c r="J33" i="209" s="1"/>
  <c r="E42" i="370"/>
  <c r="J269" i="209" s="1"/>
  <c r="E40" i="370"/>
  <c r="J92" i="209" s="1"/>
  <c r="E39" i="370"/>
  <c r="P33" i="209" s="1"/>
  <c r="L17" i="185"/>
  <c r="L17" i="173"/>
  <c r="I121" i="246"/>
  <c r="L17" i="223"/>
  <c r="M9" i="284"/>
  <c r="P164" i="246"/>
  <c r="M9" i="190"/>
  <c r="M9" i="156"/>
  <c r="L12" i="190"/>
  <c r="W28" i="190" s="1"/>
  <c r="L12" i="156"/>
  <c r="W28" i="156" s="1"/>
  <c r="I62" i="246"/>
  <c r="L12" i="284"/>
  <c r="W28" i="284" s="1"/>
  <c r="N10" i="284"/>
  <c r="N10" i="156"/>
  <c r="K11" i="246"/>
  <c r="N10" i="190"/>
  <c r="N14" i="367"/>
  <c r="N14" i="295"/>
  <c r="N14" i="333"/>
  <c r="N14" i="360"/>
  <c r="N14" i="296"/>
  <c r="M37" i="292"/>
  <c r="K616" i="246"/>
  <c r="F44" i="174"/>
  <c r="F45" i="174"/>
  <c r="K565" i="246"/>
  <c r="Q565" i="246"/>
  <c r="F46" i="174"/>
  <c r="L9" i="271"/>
  <c r="W25" i="271" s="1"/>
  <c r="L9" i="101"/>
  <c r="W25" i="101" s="1"/>
  <c r="L9" i="176"/>
  <c r="W25" i="176" s="1"/>
  <c r="O179" i="246"/>
  <c r="L9" i="359"/>
  <c r="W25" i="359" s="1"/>
  <c r="L9" i="99"/>
  <c r="W25" i="99" s="1"/>
  <c r="L663" i="246"/>
  <c r="G42" i="84"/>
  <c r="L255" i="246" s="1"/>
  <c r="G39" i="84"/>
  <c r="R51" i="246" s="1"/>
  <c r="G40" i="84"/>
  <c r="L102" i="246" s="1"/>
  <c r="G38" i="84"/>
  <c r="L51" i="246" s="1"/>
  <c r="G37" i="84"/>
  <c r="R204" i="246" s="1"/>
  <c r="G41" i="84"/>
  <c r="L204" i="246" s="1"/>
  <c r="X35" i="37"/>
  <c r="X31" i="37"/>
  <c r="X28" i="37"/>
  <c r="X37" i="37"/>
  <c r="X12" i="37"/>
  <c r="X23" i="37"/>
  <c r="X36" i="37"/>
  <c r="X20" i="37"/>
  <c r="J63" i="37"/>
  <c r="X19" i="37"/>
  <c r="X16" i="37"/>
  <c r="X24" i="37"/>
  <c r="X27" i="37"/>
  <c r="X15" i="37"/>
  <c r="X34" i="37"/>
  <c r="X11" i="37"/>
  <c r="G15" i="370"/>
  <c r="G18" i="370" s="1"/>
  <c r="F18" i="370"/>
  <c r="F15" i="6"/>
  <c r="E18" i="6"/>
  <c r="E37" i="171"/>
  <c r="J631" i="246"/>
  <c r="E42" i="171"/>
  <c r="E40" i="171"/>
  <c r="E38" i="171"/>
  <c r="E39" i="171"/>
  <c r="E41" i="171"/>
  <c r="U26" i="292"/>
  <c r="R26" i="292"/>
  <c r="P102" i="246"/>
  <c r="I11" i="246"/>
  <c r="L10" i="190"/>
  <c r="W26" i="190" s="1"/>
  <c r="L10" i="284"/>
  <c r="W26" i="284" s="1"/>
  <c r="L10" i="156"/>
  <c r="W26" i="156" s="1"/>
  <c r="U29" i="292"/>
  <c r="R29" i="292"/>
  <c r="N11" i="296"/>
  <c r="N11" i="295"/>
  <c r="N11" i="360"/>
  <c r="N11" i="333"/>
  <c r="N11" i="367"/>
  <c r="V31" i="292"/>
  <c r="S31" i="292"/>
  <c r="T31" i="292" s="1"/>
  <c r="O13" i="367"/>
  <c r="O13" i="295"/>
  <c r="O13" i="333"/>
  <c r="O13" i="296"/>
  <c r="O13" i="360"/>
  <c r="I230" i="246"/>
  <c r="L14" i="99"/>
  <c r="W30" i="99" s="1"/>
  <c r="L14" i="101"/>
  <c r="W30" i="101" s="1"/>
  <c r="L14" i="176"/>
  <c r="W30" i="176" s="1"/>
  <c r="L14" i="359"/>
  <c r="W30" i="359" s="1"/>
  <c r="L14" i="271"/>
  <c r="W30" i="271" s="1"/>
  <c r="X25" i="34"/>
  <c r="X13" i="34"/>
  <c r="X22" i="34"/>
  <c r="X26" i="34"/>
  <c r="X30" i="34"/>
  <c r="X12" i="34"/>
  <c r="X27" i="34"/>
  <c r="X16" i="34"/>
  <c r="J46" i="34"/>
  <c r="X19" i="34" s="1"/>
  <c r="X24" i="34"/>
  <c r="X15" i="34"/>
  <c r="X14" i="34"/>
  <c r="R179" i="246"/>
  <c r="O9" i="359"/>
  <c r="O9" i="99"/>
  <c r="O9" i="271"/>
  <c r="O9" i="176"/>
  <c r="O9" i="101"/>
  <c r="D42" i="6"/>
  <c r="I254" i="209" s="1"/>
  <c r="D40" i="6"/>
  <c r="I77" i="209" s="1"/>
  <c r="D39" i="6"/>
  <c r="D37" i="6"/>
  <c r="O195" i="209" s="1"/>
  <c r="I726" i="209"/>
  <c r="D38" i="6"/>
  <c r="I18" i="209" s="1"/>
  <c r="D41" i="6"/>
  <c r="I195" i="209" s="1"/>
  <c r="N13" i="99"/>
  <c r="N13" i="101"/>
  <c r="N13" i="359"/>
  <c r="N13" i="176"/>
  <c r="K179" i="246"/>
  <c r="N13" i="271"/>
  <c r="P26" i="184"/>
  <c r="D43" i="184"/>
  <c r="D47" i="184" s="1"/>
  <c r="O154" i="246" s="1"/>
  <c r="L9" i="284"/>
  <c r="W25" i="284" s="1"/>
  <c r="O164" i="246"/>
  <c r="L9" i="190"/>
  <c r="W25" i="190" s="1"/>
  <c r="L9" i="156"/>
  <c r="W25" i="156" s="1"/>
  <c r="L14" i="284"/>
  <c r="W30" i="284" s="1"/>
  <c r="L14" i="190"/>
  <c r="W30" i="190" s="1"/>
  <c r="L14" i="156"/>
  <c r="W30" i="156" s="1"/>
  <c r="I215" i="246"/>
  <c r="M18" i="173"/>
  <c r="M18" i="223"/>
  <c r="M18" i="185"/>
  <c r="E40" i="4"/>
  <c r="J70" i="209" s="1"/>
  <c r="E39" i="4"/>
  <c r="P11" i="209" s="1"/>
  <c r="J719" i="209"/>
  <c r="E38" i="4"/>
  <c r="J11" i="209" s="1"/>
  <c r="E41" i="4"/>
  <c r="J188" i="209" s="1"/>
  <c r="E42" i="4"/>
  <c r="J247" i="209" s="1"/>
  <c r="E37" i="4"/>
  <c r="P188" i="209" s="1"/>
  <c r="N10" i="367"/>
  <c r="N10" i="295"/>
  <c r="N10" i="296"/>
  <c r="N10" i="333"/>
  <c r="N10" i="360"/>
  <c r="O9" i="367"/>
  <c r="O9" i="295"/>
  <c r="O9" i="296"/>
  <c r="O9" i="360"/>
  <c r="O9" i="333"/>
  <c r="P9" i="333" s="1"/>
  <c r="L10" i="101"/>
  <c r="W26" i="101" s="1"/>
  <c r="L10" i="176"/>
  <c r="W26" i="176" s="1"/>
  <c r="L10" i="359"/>
  <c r="W26" i="359" s="1"/>
  <c r="I26" i="246"/>
  <c r="L10" i="271"/>
  <c r="W26" i="271" s="1"/>
  <c r="L10" i="99"/>
  <c r="W26" i="99" s="1"/>
  <c r="O11" i="99"/>
  <c r="R26" i="246"/>
  <c r="O11" i="359"/>
  <c r="O11" i="271"/>
  <c r="O11" i="176"/>
  <c r="O11" i="101"/>
  <c r="O110" i="246"/>
  <c r="J11" i="246"/>
  <c r="M10" i="156"/>
  <c r="M10" i="284"/>
  <c r="M10" i="190"/>
  <c r="N12" i="101"/>
  <c r="N12" i="99"/>
  <c r="K77" i="246"/>
  <c r="N12" i="271"/>
  <c r="N12" i="359"/>
  <c r="N12" i="176"/>
  <c r="L11" i="284"/>
  <c r="W27" i="284" s="1"/>
  <c r="L11" i="190"/>
  <c r="W27" i="190" s="1"/>
  <c r="L11" i="156"/>
  <c r="W27" i="156" s="1"/>
  <c r="O11" i="246"/>
  <c r="Q164" i="246"/>
  <c r="N9" i="284"/>
  <c r="N9" i="156"/>
  <c r="N9" i="190"/>
  <c r="N13" i="296"/>
  <c r="N13" i="360"/>
  <c r="N13" i="333"/>
  <c r="N13" i="295"/>
  <c r="N13" i="367"/>
  <c r="M10" i="176"/>
  <c r="J26" i="246"/>
  <c r="M10" i="271"/>
  <c r="M10" i="359"/>
  <c r="M10" i="99"/>
  <c r="M10" i="101"/>
  <c r="O188" i="209"/>
  <c r="N17" i="185"/>
  <c r="N17" i="223"/>
  <c r="K121" i="246"/>
  <c r="N17" i="173"/>
  <c r="V27" i="292"/>
  <c r="S27" i="292"/>
  <c r="T27" i="292" s="1"/>
  <c r="N14" i="99"/>
  <c r="N14" i="271"/>
  <c r="N14" i="101"/>
  <c r="N14" i="359"/>
  <c r="K230" i="246"/>
  <c r="N14" i="176"/>
  <c r="N19" i="125"/>
  <c r="N19" i="11"/>
  <c r="N19" i="10"/>
  <c r="N19" i="4"/>
  <c r="N19" i="9"/>
  <c r="N19" i="16"/>
  <c r="N19" i="14"/>
  <c r="N19" i="7"/>
  <c r="Q137" i="209"/>
  <c r="N19" i="13"/>
  <c r="N19" i="15"/>
  <c r="N19" i="6"/>
  <c r="P10" i="44"/>
  <c r="P10" i="247"/>
  <c r="P10" i="18"/>
  <c r="P10" i="58"/>
  <c r="P10" i="330"/>
  <c r="P10" i="291"/>
  <c r="P10" i="174"/>
  <c r="P10" i="250"/>
  <c r="M63" i="209"/>
  <c r="P10" i="327"/>
  <c r="P10" i="248"/>
  <c r="P10" i="328"/>
  <c r="P10" i="326"/>
  <c r="O17" i="247"/>
  <c r="O17" i="328"/>
  <c r="O17" i="330"/>
  <c r="L181" i="209"/>
  <c r="O17" i="228"/>
  <c r="O17" i="174"/>
  <c r="O17" i="327"/>
  <c r="O17" i="291"/>
  <c r="O17" i="44"/>
  <c r="O17" i="248"/>
  <c r="O17" i="326"/>
  <c r="O17" i="250"/>
  <c r="O17" i="18"/>
  <c r="O17" i="58"/>
  <c r="S181" i="209"/>
  <c r="P19" i="327"/>
  <c r="P19" i="58"/>
  <c r="P19" i="44"/>
  <c r="P19" i="250"/>
  <c r="P19" i="328"/>
  <c r="P19" i="291"/>
  <c r="P19" i="326"/>
  <c r="P19" i="247"/>
  <c r="P19" i="248"/>
  <c r="P19" i="18"/>
  <c r="P19" i="330"/>
  <c r="P15" i="247"/>
  <c r="P15" i="330"/>
  <c r="P15" i="328"/>
  <c r="P15" i="44"/>
  <c r="P15" i="58"/>
  <c r="P15" i="248"/>
  <c r="P15" i="326"/>
  <c r="P15" i="291"/>
  <c r="P15" i="327"/>
  <c r="P15" i="18"/>
  <c r="P15" i="250"/>
  <c r="P15" i="174"/>
  <c r="L19" i="10"/>
  <c r="W34" i="10" s="1"/>
  <c r="O137" i="209"/>
  <c r="L19" i="6"/>
  <c r="W34" i="6" s="1"/>
  <c r="L19" i="13"/>
  <c r="L19" i="11"/>
  <c r="W34" i="11" s="1"/>
  <c r="L19" i="9"/>
  <c r="W34" i="9" s="1"/>
  <c r="L19" i="16"/>
  <c r="W34" i="16" s="1"/>
  <c r="L19" i="15"/>
  <c r="W34" i="15" s="1"/>
  <c r="L19" i="14"/>
  <c r="W34" i="14" s="1"/>
  <c r="L19" i="7"/>
  <c r="W34" i="7" s="1"/>
  <c r="L19" i="4"/>
  <c r="W34" i="4" s="1"/>
  <c r="L19" i="125"/>
  <c r="W34" i="125" s="1"/>
  <c r="O19" i="325"/>
  <c r="O19" i="324"/>
  <c r="O19" i="10"/>
  <c r="O19" i="125"/>
  <c r="O19" i="9"/>
  <c r="O19" i="6"/>
  <c r="O19" i="16"/>
  <c r="O19" i="13"/>
  <c r="O19" i="11"/>
  <c r="O19" i="4"/>
  <c r="O19" i="15"/>
  <c r="R137" i="209"/>
  <c r="O19" i="7"/>
  <c r="O19" i="14"/>
  <c r="M16" i="228"/>
  <c r="W31" i="228" s="1"/>
  <c r="M16" i="174"/>
  <c r="M16" i="327"/>
  <c r="W31" i="327" s="1"/>
  <c r="P122" i="209"/>
  <c r="M16" i="250"/>
  <c r="W31" i="250" s="1"/>
  <c r="M16" i="328"/>
  <c r="W31" i="328" s="1"/>
  <c r="M16" i="247"/>
  <c r="W31" i="247" s="1"/>
  <c r="M16" i="18"/>
  <c r="W31" i="18" s="1"/>
  <c r="M16" i="326"/>
  <c r="W31" i="326" s="1"/>
  <c r="M16" i="58"/>
  <c r="M16" i="248"/>
  <c r="W31" i="248" s="1"/>
  <c r="M16" i="44"/>
  <c r="W31" i="44" s="1"/>
  <c r="M16" i="330"/>
  <c r="N19" i="338" l="1"/>
  <c r="M19" i="337"/>
  <c r="M19" i="196"/>
  <c r="M19" i="365"/>
  <c r="P163" i="209"/>
  <c r="M19" i="39"/>
  <c r="M19" i="72"/>
  <c r="M19" i="372"/>
  <c r="M19" i="338"/>
  <c r="M19" i="154"/>
  <c r="M19" i="368"/>
  <c r="L769" i="209"/>
  <c r="M769" i="209" s="1"/>
  <c r="I712" i="209"/>
  <c r="M712" i="209" s="1"/>
  <c r="L16" i="228"/>
  <c r="R163" i="209"/>
  <c r="L16" i="330"/>
  <c r="I120" i="209"/>
  <c r="O19" i="173"/>
  <c r="G40" i="228"/>
  <c r="L16" i="248"/>
  <c r="L16" i="250"/>
  <c r="O19" i="369"/>
  <c r="L16" i="327"/>
  <c r="O19" i="365"/>
  <c r="O19" i="338"/>
  <c r="O19" i="337"/>
  <c r="O122" i="209"/>
  <c r="O19" i="123"/>
  <c r="L16" i="58"/>
  <c r="O19" i="368"/>
  <c r="L16" i="44"/>
  <c r="L16" i="174"/>
  <c r="O19" i="196"/>
  <c r="O19" i="39"/>
  <c r="L16" i="326"/>
  <c r="O19" i="72"/>
  <c r="I653" i="209"/>
  <c r="L16" i="328"/>
  <c r="D45" i="229"/>
  <c r="L17" i="174" s="1"/>
  <c r="O19" i="372"/>
  <c r="L16" i="247"/>
  <c r="O19" i="154"/>
  <c r="O653" i="209"/>
  <c r="O19" i="79"/>
  <c r="M18" i="248"/>
  <c r="M18" i="58"/>
  <c r="M18" i="174"/>
  <c r="M18" i="18"/>
  <c r="M18" i="228"/>
  <c r="M18" i="327"/>
  <c r="M18" i="250"/>
  <c r="M18" i="326"/>
  <c r="M18" i="44"/>
  <c r="L19" i="338"/>
  <c r="W34" i="338" s="1"/>
  <c r="L19" i="369"/>
  <c r="W34" i="369" s="1"/>
  <c r="L19" i="154"/>
  <c r="W34" i="154" s="1"/>
  <c r="L19" i="337"/>
  <c r="W34" i="337" s="1"/>
  <c r="L19" i="370"/>
  <c r="W34" i="370" s="1"/>
  <c r="O163" i="209"/>
  <c r="L19" i="123"/>
  <c r="W34" i="123" s="1"/>
  <c r="L19" i="39"/>
  <c r="W34" i="39" s="1"/>
  <c r="L19" i="368"/>
  <c r="W34" i="368" s="1"/>
  <c r="L19" i="79"/>
  <c r="W34" i="79" s="1"/>
  <c r="L19" i="196"/>
  <c r="W34" i="196" s="1"/>
  <c r="L19" i="372"/>
  <c r="W34" i="372" s="1"/>
  <c r="D46" i="229"/>
  <c r="L18" i="247" s="1"/>
  <c r="L19" i="72"/>
  <c r="W34" i="72" s="1"/>
  <c r="M19" i="369"/>
  <c r="M19" i="79"/>
  <c r="M19" i="370"/>
  <c r="O238" i="209"/>
  <c r="L13" i="225"/>
  <c r="E43" i="229"/>
  <c r="M15" i="58" s="1"/>
  <c r="M18" i="328"/>
  <c r="M18" i="247"/>
  <c r="O61" i="209"/>
  <c r="O17" i="171"/>
  <c r="O17" i="175"/>
  <c r="M18" i="291"/>
  <c r="S767" i="209"/>
  <c r="L14" i="225"/>
  <c r="M17" i="44"/>
  <c r="W32" i="44" s="1"/>
  <c r="M17" i="58"/>
  <c r="M17" i="328"/>
  <c r="W32" i="328" s="1"/>
  <c r="M17" i="327"/>
  <c r="W32" i="327" s="1"/>
  <c r="M17" i="228"/>
  <c r="W32" i="228" s="1"/>
  <c r="M17" i="330"/>
  <c r="M17" i="248"/>
  <c r="W32" i="248" s="1"/>
  <c r="M17" i="291"/>
  <c r="W32" i="291" s="1"/>
  <c r="M17" i="326"/>
  <c r="W32" i="326" s="1"/>
  <c r="J181" i="209"/>
  <c r="M17" i="18"/>
  <c r="W32" i="18" s="1"/>
  <c r="M17" i="250"/>
  <c r="W32" i="250" s="1"/>
  <c r="M17" i="247"/>
  <c r="W32" i="247" s="1"/>
  <c r="P10" i="333"/>
  <c r="D14" i="330"/>
  <c r="D14" i="327"/>
  <c r="D14" i="58"/>
  <c r="D14" i="229" s="1"/>
  <c r="D42" i="14"/>
  <c r="I246" i="209" s="1"/>
  <c r="D38" i="14"/>
  <c r="I10" i="209" s="1"/>
  <c r="D41" i="14"/>
  <c r="I187" i="209" s="1"/>
  <c r="H18" i="14"/>
  <c r="D37" i="14"/>
  <c r="O187" i="209" s="1"/>
  <c r="D40" i="14"/>
  <c r="I69" i="209" s="1"/>
  <c r="I718" i="209"/>
  <c r="M718" i="209" s="1"/>
  <c r="D39" i="14"/>
  <c r="O10" i="209" s="1"/>
  <c r="M19" i="14"/>
  <c r="O18" i="229"/>
  <c r="O18" i="172"/>
  <c r="O18" i="184"/>
  <c r="O18" i="171"/>
  <c r="O18" i="84"/>
  <c r="D43" i="229"/>
  <c r="L15" i="228" s="1"/>
  <c r="O18" i="175"/>
  <c r="O18" i="361"/>
  <c r="P12" i="333"/>
  <c r="N19" i="39"/>
  <c r="N19" i="123"/>
  <c r="N19" i="337"/>
  <c r="N19" i="79"/>
  <c r="N19" i="368"/>
  <c r="N19" i="370"/>
  <c r="N19" i="154"/>
  <c r="N19" i="369"/>
  <c r="N19" i="365"/>
  <c r="N19" i="372"/>
  <c r="Q163" i="209"/>
  <c r="N19" i="72"/>
  <c r="P137" i="209"/>
  <c r="M19" i="11"/>
  <c r="M19" i="125"/>
  <c r="M19" i="13"/>
  <c r="M19" i="10"/>
  <c r="M19" i="9"/>
  <c r="M19" i="15"/>
  <c r="M19" i="16"/>
  <c r="M19" i="4"/>
  <c r="M19" i="6"/>
  <c r="M768" i="209"/>
  <c r="P11" i="333"/>
  <c r="O17" i="172"/>
  <c r="O17" i="229"/>
  <c r="O17" i="231"/>
  <c r="P9" i="250"/>
  <c r="L157" i="246"/>
  <c r="P14" i="333"/>
  <c r="O17" i="84"/>
  <c r="O17" i="184"/>
  <c r="S240" i="209"/>
  <c r="P9" i="174"/>
  <c r="P13" i="333"/>
  <c r="O18" i="326"/>
  <c r="D15" i="7"/>
  <c r="F15" i="7"/>
  <c r="F15" i="18" s="1"/>
  <c r="E18" i="7"/>
  <c r="V36" i="36"/>
  <c r="V23" i="36"/>
  <c r="V33" i="36"/>
  <c r="V32" i="36"/>
  <c r="V16" i="36"/>
  <c r="V29" i="36"/>
  <c r="V22" i="36"/>
  <c r="V17" i="36"/>
  <c r="V10" i="36"/>
  <c r="V28" i="36"/>
  <c r="V11" i="36"/>
  <c r="J56" i="36"/>
  <c r="J58" i="36" s="1"/>
  <c r="V27" i="36"/>
  <c r="M39" i="292"/>
  <c r="S39" i="292" s="1"/>
  <c r="T39" i="292" s="1"/>
  <c r="O16" i="250"/>
  <c r="N16" i="44"/>
  <c r="N16" i="326"/>
  <c r="N16" i="330"/>
  <c r="W31" i="174"/>
  <c r="P26" i="229"/>
  <c r="O16" i="44"/>
  <c r="P9" i="247"/>
  <c r="G43" i="229"/>
  <c r="O15" i="247" s="1"/>
  <c r="N16" i="58"/>
  <c r="P9" i="327"/>
  <c r="P9" i="18"/>
  <c r="N16" i="327"/>
  <c r="P9" i="326"/>
  <c r="N16" i="328"/>
  <c r="N16" i="247"/>
  <c r="P9" i="330"/>
  <c r="N16" i="18"/>
  <c r="N16" i="174"/>
  <c r="P9" i="58"/>
  <c r="N16" i="248"/>
  <c r="P9" i="248"/>
  <c r="N16" i="250"/>
  <c r="P9" i="44"/>
  <c r="N16" i="228"/>
  <c r="P9" i="291"/>
  <c r="O19" i="220"/>
  <c r="O19" i="221"/>
  <c r="R174" i="209"/>
  <c r="O19" i="347"/>
  <c r="N18" i="247"/>
  <c r="R122" i="209"/>
  <c r="N18" i="44"/>
  <c r="N18" i="228"/>
  <c r="N18" i="174"/>
  <c r="N18" i="58"/>
  <c r="N18" i="18"/>
  <c r="N18" i="291"/>
  <c r="O16" i="58"/>
  <c r="N18" i="248"/>
  <c r="N18" i="326"/>
  <c r="O16" i="247"/>
  <c r="O16" i="228"/>
  <c r="O16" i="326"/>
  <c r="O16" i="18"/>
  <c r="O16" i="328"/>
  <c r="O16" i="330"/>
  <c r="O16" i="248"/>
  <c r="N18" i="250"/>
  <c r="N18" i="330"/>
  <c r="O16" i="327"/>
  <c r="C701" i="209"/>
  <c r="V642" i="209"/>
  <c r="N18" i="327"/>
  <c r="O18" i="327"/>
  <c r="S24" i="292"/>
  <c r="T24" i="292" s="1"/>
  <c r="O18" i="228"/>
  <c r="N17" i="330"/>
  <c r="N17" i="18"/>
  <c r="O18" i="18"/>
  <c r="N17" i="44"/>
  <c r="O18" i="44"/>
  <c r="O18" i="250"/>
  <c r="O18" i="174"/>
  <c r="O18" i="330"/>
  <c r="N17" i="291"/>
  <c r="O18" i="247"/>
  <c r="O18" i="291"/>
  <c r="N17" i="174"/>
  <c r="O18" i="328"/>
  <c r="O18" i="248"/>
  <c r="N17" i="248"/>
  <c r="N19" i="347"/>
  <c r="Q174" i="209"/>
  <c r="N19" i="220"/>
  <c r="N19" i="221"/>
  <c r="N17" i="247"/>
  <c r="N17" i="58"/>
  <c r="N17" i="326"/>
  <c r="K181" i="209"/>
  <c r="N17" i="328"/>
  <c r="N17" i="250"/>
  <c r="N17" i="228"/>
  <c r="P16" i="248"/>
  <c r="P16" i="174"/>
  <c r="P16" i="58"/>
  <c r="P16" i="326"/>
  <c r="P16" i="18"/>
  <c r="P16" i="247"/>
  <c r="P16" i="330"/>
  <c r="P16" i="291"/>
  <c r="S122" i="209"/>
  <c r="P16" i="44"/>
  <c r="P16" i="327"/>
  <c r="P16" i="250"/>
  <c r="P16" i="328"/>
  <c r="E37" i="126"/>
  <c r="P190" i="246" s="1"/>
  <c r="E18" i="226"/>
  <c r="J649" i="246"/>
  <c r="E39" i="126"/>
  <c r="P37" i="246" s="1"/>
  <c r="E38" i="126"/>
  <c r="J37" i="246" s="1"/>
  <c r="E40" i="126"/>
  <c r="J88" i="246" s="1"/>
  <c r="E42" i="126"/>
  <c r="J241" i="246" s="1"/>
  <c r="E41" i="126"/>
  <c r="J190" i="246" s="1"/>
  <c r="E15" i="172"/>
  <c r="E15" i="174" s="1"/>
  <c r="E15" i="231"/>
  <c r="E15" i="170"/>
  <c r="E15" i="175" s="1"/>
  <c r="G15" i="126"/>
  <c r="F15" i="226"/>
  <c r="F18" i="126"/>
  <c r="D38" i="226"/>
  <c r="I47" i="246" s="1"/>
  <c r="D40" i="226"/>
  <c r="I98" i="246" s="1"/>
  <c r="D42" i="226"/>
  <c r="I251" i="246" s="1"/>
  <c r="D39" i="226"/>
  <c r="O47" i="246" s="1"/>
  <c r="D37" i="226"/>
  <c r="O200" i="246" s="1"/>
  <c r="D18" i="231"/>
  <c r="D41" i="226"/>
  <c r="I200" i="246" s="1"/>
  <c r="D18" i="170"/>
  <c r="I659" i="246"/>
  <c r="D18" i="172"/>
  <c r="M15" i="225"/>
  <c r="W30" i="225" s="1"/>
  <c r="E47" i="228"/>
  <c r="O19" i="289"/>
  <c r="O19" i="288"/>
  <c r="O19" i="290"/>
  <c r="O19" i="191"/>
  <c r="O19" i="95"/>
  <c r="R135" i="246"/>
  <c r="O19" i="279"/>
  <c r="Q771" i="209"/>
  <c r="L19" i="213"/>
  <c r="W34" i="213" s="1"/>
  <c r="L19" i="214"/>
  <c r="W34" i="214" s="1"/>
  <c r="L19" i="105"/>
  <c r="W34" i="105" s="1"/>
  <c r="O142" i="209"/>
  <c r="Q142" i="209"/>
  <c r="N19" i="214"/>
  <c r="N19" i="105"/>
  <c r="N19" i="213"/>
  <c r="U701" i="209"/>
  <c r="D760" i="209"/>
  <c r="U760" i="209" s="1"/>
  <c r="J238" i="209"/>
  <c r="M13" i="225"/>
  <c r="W28" i="225" s="1"/>
  <c r="W33" i="104"/>
  <c r="M14" i="162"/>
  <c r="M14" i="139"/>
  <c r="M14" i="165"/>
  <c r="M14" i="215"/>
  <c r="M14" i="166"/>
  <c r="O9" i="165"/>
  <c r="O9" i="215"/>
  <c r="O9" i="166"/>
  <c r="O9" i="139"/>
  <c r="O9" i="162"/>
  <c r="N13" i="225"/>
  <c r="K238" i="209"/>
  <c r="L14" i="165"/>
  <c r="W30" i="165" s="1"/>
  <c r="L14" i="166"/>
  <c r="W30" i="166" s="1"/>
  <c r="L14" i="215"/>
  <c r="W30" i="215" s="1"/>
  <c r="L14" i="162"/>
  <c r="W30" i="162" s="1"/>
  <c r="L14" i="139"/>
  <c r="W30" i="139" s="1"/>
  <c r="M11" i="166"/>
  <c r="M11" i="165"/>
  <c r="M11" i="215"/>
  <c r="M11" i="162"/>
  <c r="M11" i="139"/>
  <c r="L19" i="225"/>
  <c r="O179" i="209"/>
  <c r="N14" i="215"/>
  <c r="N14" i="139"/>
  <c r="N14" i="162"/>
  <c r="N14" i="166"/>
  <c r="N14" i="165"/>
  <c r="O13" i="215"/>
  <c r="O13" i="165"/>
  <c r="O13" i="139"/>
  <c r="O13" i="162"/>
  <c r="O13" i="166"/>
  <c r="F47" i="175"/>
  <c r="N19" i="212" s="1"/>
  <c r="N15" i="212"/>
  <c r="L13" i="166"/>
  <c r="W29" i="166" s="1"/>
  <c r="L13" i="215"/>
  <c r="W29" i="215" s="1"/>
  <c r="L13" i="165"/>
  <c r="W29" i="165" s="1"/>
  <c r="L13" i="162"/>
  <c r="W29" i="162" s="1"/>
  <c r="L13" i="139"/>
  <c r="W29" i="139" s="1"/>
  <c r="M13" i="162"/>
  <c r="M13" i="166"/>
  <c r="M13" i="139"/>
  <c r="M13" i="165"/>
  <c r="M13" i="215"/>
  <c r="M9" i="225"/>
  <c r="W24" i="225" s="1"/>
  <c r="P238" i="209"/>
  <c r="M19" i="213"/>
  <c r="P142" i="209"/>
  <c r="M19" i="214"/>
  <c r="M19" i="105"/>
  <c r="N13" i="139"/>
  <c r="N13" i="166"/>
  <c r="N13" i="165"/>
  <c r="N13" i="215"/>
  <c r="N13" i="162"/>
  <c r="R22" i="292"/>
  <c r="U22" i="292"/>
  <c r="L10" i="139"/>
  <c r="W26" i="139" s="1"/>
  <c r="L10" i="162"/>
  <c r="W26" i="162" s="1"/>
  <c r="L10" i="166"/>
  <c r="W26" i="166" s="1"/>
  <c r="L10" i="215"/>
  <c r="W26" i="215" s="1"/>
  <c r="L10" i="165"/>
  <c r="W26" i="165" s="1"/>
  <c r="W33" i="170"/>
  <c r="N10" i="215"/>
  <c r="N10" i="139"/>
  <c r="N10" i="162"/>
  <c r="N10" i="166"/>
  <c r="N10" i="165"/>
  <c r="K61" i="209"/>
  <c r="N10" i="225"/>
  <c r="L9" i="166"/>
  <c r="W25" i="166" s="1"/>
  <c r="L9" i="139"/>
  <c r="W25" i="139" s="1"/>
  <c r="L9" i="215"/>
  <c r="W25" i="215" s="1"/>
  <c r="L9" i="165"/>
  <c r="W25" i="165" s="1"/>
  <c r="L9" i="162"/>
  <c r="W25" i="162" s="1"/>
  <c r="G47" i="175"/>
  <c r="O19" i="212" s="1"/>
  <c r="O15" i="212"/>
  <c r="N9" i="139"/>
  <c r="N9" i="165"/>
  <c r="N9" i="166"/>
  <c r="N9" i="162"/>
  <c r="N9" i="215"/>
  <c r="O15" i="225"/>
  <c r="G47" i="228"/>
  <c r="M11" i="225"/>
  <c r="W26" i="225" s="1"/>
  <c r="P61" i="209"/>
  <c r="N11" i="166"/>
  <c r="N11" i="162"/>
  <c r="N11" i="165"/>
  <c r="N11" i="215"/>
  <c r="N11" i="139"/>
  <c r="N11" i="225"/>
  <c r="Q61" i="209"/>
  <c r="N19" i="290"/>
  <c r="N19" i="288"/>
  <c r="N19" i="289"/>
  <c r="L11" i="165"/>
  <c r="W27" i="165" s="1"/>
  <c r="L11" i="166"/>
  <c r="W27" i="166" s="1"/>
  <c r="L11" i="139"/>
  <c r="W27" i="139" s="1"/>
  <c r="L11" i="162"/>
  <c r="W27" i="162" s="1"/>
  <c r="L11" i="215"/>
  <c r="W27" i="215" s="1"/>
  <c r="G47" i="173"/>
  <c r="O15" i="215"/>
  <c r="O15" i="139"/>
  <c r="O15" i="166"/>
  <c r="O15" i="165"/>
  <c r="O15" i="162"/>
  <c r="L238" i="209"/>
  <c r="O13" i="225"/>
  <c r="L15" i="165"/>
  <c r="W31" i="165" s="1"/>
  <c r="L15" i="215"/>
  <c r="W31" i="215" s="1"/>
  <c r="L15" i="162"/>
  <c r="W31" i="162" s="1"/>
  <c r="L15" i="166"/>
  <c r="W31" i="166" s="1"/>
  <c r="D47" i="173"/>
  <c r="L15" i="139"/>
  <c r="W31" i="139" s="1"/>
  <c r="M12" i="225"/>
  <c r="W27" i="225" s="1"/>
  <c r="J120" i="209"/>
  <c r="N12" i="162"/>
  <c r="N12" i="215"/>
  <c r="N12" i="165"/>
  <c r="N12" i="166"/>
  <c r="N12" i="139"/>
  <c r="O10" i="173"/>
  <c r="O10" i="223"/>
  <c r="L19" i="246"/>
  <c r="O10" i="185"/>
  <c r="O11" i="225"/>
  <c r="R61" i="209"/>
  <c r="N19" i="353"/>
  <c r="N19" i="160"/>
  <c r="N19" i="137"/>
  <c r="N19" i="349"/>
  <c r="N19" i="195"/>
  <c r="N19" i="293"/>
  <c r="N19" i="187"/>
  <c r="N19" i="146"/>
  <c r="N19" i="178"/>
  <c r="N19" i="362"/>
  <c r="N19" i="151"/>
  <c r="N19" i="188"/>
  <c r="N19" i="183"/>
  <c r="N19" i="219"/>
  <c r="N19" i="189"/>
  <c r="N19" i="141"/>
  <c r="N19" i="194"/>
  <c r="N19" i="126"/>
  <c r="N19" i="270"/>
  <c r="J61" i="209"/>
  <c r="M10" i="225"/>
  <c r="W25" i="225" s="1"/>
  <c r="S768" i="209"/>
  <c r="O19" i="219"/>
  <c r="O19" i="151"/>
  <c r="O19" i="293"/>
  <c r="O19" i="194"/>
  <c r="O19" i="362"/>
  <c r="O19" i="349"/>
  <c r="O19" i="189"/>
  <c r="O19" i="126"/>
  <c r="O19" i="188"/>
  <c r="O19" i="146"/>
  <c r="O19" i="141"/>
  <c r="O19" i="187"/>
  <c r="O19" i="137"/>
  <c r="O19" i="353"/>
  <c r="O19" i="178"/>
  <c r="O19" i="270"/>
  <c r="O19" i="183"/>
  <c r="O19" i="195"/>
  <c r="O19" i="160"/>
  <c r="L172" i="246"/>
  <c r="O13" i="223"/>
  <c r="O13" i="185"/>
  <c r="O13" i="173"/>
  <c r="P26" i="175"/>
  <c r="D43" i="175"/>
  <c r="J297" i="209"/>
  <c r="M14" i="225"/>
  <c r="W29" i="225" s="1"/>
  <c r="L19" i="221"/>
  <c r="W34" i="221" s="1"/>
  <c r="O174" i="209"/>
  <c r="L19" i="220"/>
  <c r="W34" i="220" s="1"/>
  <c r="L19" i="347"/>
  <c r="W34" i="347" s="1"/>
  <c r="O14" i="166"/>
  <c r="O14" i="215"/>
  <c r="O14" i="139"/>
  <c r="O14" i="162"/>
  <c r="O14" i="165"/>
  <c r="L223" i="246"/>
  <c r="O14" i="223"/>
  <c r="O14" i="185"/>
  <c r="O14" i="173"/>
  <c r="R238" i="209"/>
  <c r="O9" i="225"/>
  <c r="M19" i="137"/>
  <c r="M19" i="188"/>
  <c r="M19" i="183"/>
  <c r="M19" i="362"/>
  <c r="M19" i="160"/>
  <c r="M19" i="189"/>
  <c r="M19" i="219"/>
  <c r="M19" i="151"/>
  <c r="M19" i="141"/>
  <c r="M19" i="195"/>
  <c r="M19" i="349"/>
  <c r="M19" i="126"/>
  <c r="M19" i="293"/>
  <c r="M19" i="353"/>
  <c r="M19" i="146"/>
  <c r="M19" i="270"/>
  <c r="M19" i="187"/>
  <c r="M19" i="194"/>
  <c r="M19" i="178"/>
  <c r="M12" i="166"/>
  <c r="M12" i="162"/>
  <c r="M12" i="215"/>
  <c r="M12" i="165"/>
  <c r="M12" i="139"/>
  <c r="O11" i="165"/>
  <c r="O11" i="162"/>
  <c r="O11" i="215"/>
  <c r="O11" i="166"/>
  <c r="O11" i="139"/>
  <c r="N12" i="225"/>
  <c r="K120" i="209"/>
  <c r="O11" i="173"/>
  <c r="O11" i="185"/>
  <c r="R19" i="246"/>
  <c r="O11" i="223"/>
  <c r="O14" i="225"/>
  <c r="L297" i="209"/>
  <c r="L19" i="219"/>
  <c r="W34" i="219" s="1"/>
  <c r="L19" i="349"/>
  <c r="W34" i="349" s="1"/>
  <c r="L19" i="189"/>
  <c r="W34" i="189" s="1"/>
  <c r="L19" i="183"/>
  <c r="W34" i="183" s="1"/>
  <c r="L19" i="160"/>
  <c r="W34" i="160" s="1"/>
  <c r="L19" i="151"/>
  <c r="W34" i="151" s="1"/>
  <c r="L19" i="293"/>
  <c r="W34" i="293" s="1"/>
  <c r="L19" i="362"/>
  <c r="W34" i="362" s="1"/>
  <c r="L19" i="137"/>
  <c r="W34" i="137" s="1"/>
  <c r="L19" i="353"/>
  <c r="W34" i="353" s="1"/>
  <c r="L19" i="141"/>
  <c r="W34" i="141" s="1"/>
  <c r="L19" i="187"/>
  <c r="W34" i="187" s="1"/>
  <c r="L19" i="126"/>
  <c r="W34" i="126" s="1"/>
  <c r="L19" i="194"/>
  <c r="W34" i="194" s="1"/>
  <c r="L19" i="146"/>
  <c r="W34" i="146" s="1"/>
  <c r="L19" i="188"/>
  <c r="W34" i="188" s="1"/>
  <c r="L19" i="270"/>
  <c r="W34" i="270" s="1"/>
  <c r="L19" i="195"/>
  <c r="W34" i="195" s="1"/>
  <c r="L19" i="178"/>
  <c r="W34" i="178" s="1"/>
  <c r="M15" i="212"/>
  <c r="W30" i="212" s="1"/>
  <c r="E47" i="175"/>
  <c r="M19" i="212" s="1"/>
  <c r="W33" i="212" s="1"/>
  <c r="M9" i="166"/>
  <c r="M9" i="162"/>
  <c r="M9" i="139"/>
  <c r="M9" i="215"/>
  <c r="M9" i="165"/>
  <c r="R18" i="292"/>
  <c r="U18" i="292"/>
  <c r="O10" i="165"/>
  <c r="O10" i="166"/>
  <c r="O10" i="215"/>
  <c r="O10" i="162"/>
  <c r="O10" i="139"/>
  <c r="N9" i="225"/>
  <c r="Q238" i="209"/>
  <c r="O12" i="185"/>
  <c r="L70" i="246"/>
  <c r="O12" i="223"/>
  <c r="O12" i="173"/>
  <c r="O10" i="225"/>
  <c r="L61" i="209"/>
  <c r="O19" i="105"/>
  <c r="O19" i="214"/>
  <c r="O19" i="213"/>
  <c r="R142" i="209"/>
  <c r="M19" i="221"/>
  <c r="M19" i="347"/>
  <c r="M19" i="220"/>
  <c r="P174" i="209"/>
  <c r="F47" i="228"/>
  <c r="N15" i="225"/>
  <c r="M15" i="166"/>
  <c r="M15" i="165"/>
  <c r="E47" i="173"/>
  <c r="M15" i="139"/>
  <c r="M15" i="215"/>
  <c r="M15" i="162"/>
  <c r="M10" i="166"/>
  <c r="M10" i="139"/>
  <c r="M10" i="165"/>
  <c r="M10" i="215"/>
  <c r="M10" i="162"/>
  <c r="O12" i="139"/>
  <c r="O12" i="162"/>
  <c r="O12" i="166"/>
  <c r="O12" i="215"/>
  <c r="O12" i="165"/>
  <c r="N14" i="225"/>
  <c r="K297" i="209"/>
  <c r="L12" i="165"/>
  <c r="W28" i="165" s="1"/>
  <c r="L12" i="215"/>
  <c r="W28" i="215" s="1"/>
  <c r="L12" i="162"/>
  <c r="W28" i="162" s="1"/>
  <c r="L12" i="166"/>
  <c r="W28" i="166" s="1"/>
  <c r="L12" i="139"/>
  <c r="W28" i="139" s="1"/>
  <c r="O9" i="173"/>
  <c r="O9" i="185"/>
  <c r="O9" i="223"/>
  <c r="R172" i="246"/>
  <c r="L120" i="209"/>
  <c r="O12" i="225"/>
  <c r="J172" i="246"/>
  <c r="M13" i="185"/>
  <c r="W28" i="185" s="1"/>
  <c r="M13" i="223"/>
  <c r="W28" i="223" s="1"/>
  <c r="M13" i="173"/>
  <c r="W28" i="173" s="1"/>
  <c r="N14" i="173"/>
  <c r="N14" i="185"/>
  <c r="N14" i="223"/>
  <c r="K223" i="246"/>
  <c r="K749" i="209"/>
  <c r="F40" i="79"/>
  <c r="K100" i="209" s="1"/>
  <c r="F42" i="79"/>
  <c r="K277" i="209" s="1"/>
  <c r="F41" i="79"/>
  <c r="K218" i="209" s="1"/>
  <c r="F39" i="79"/>
  <c r="Q41" i="209" s="1"/>
  <c r="F38" i="79"/>
  <c r="K41" i="209" s="1"/>
  <c r="F37" i="79"/>
  <c r="Q218" i="209" s="1"/>
  <c r="L11" i="154"/>
  <c r="W27" i="154" s="1"/>
  <c r="L11" i="369"/>
  <c r="W27" i="369" s="1"/>
  <c r="L11" i="39"/>
  <c r="W27" i="39" s="1"/>
  <c r="L11" i="79"/>
  <c r="W27" i="79" s="1"/>
  <c r="L11" i="72"/>
  <c r="W27" i="72" s="1"/>
  <c r="L11" i="337"/>
  <c r="W27" i="337" s="1"/>
  <c r="L11" i="123"/>
  <c r="W27" i="123" s="1"/>
  <c r="L11" i="370"/>
  <c r="W27" i="370" s="1"/>
  <c r="L11" i="338"/>
  <c r="W27" i="338" s="1"/>
  <c r="O45" i="209"/>
  <c r="L11" i="365"/>
  <c r="W27" i="365" s="1"/>
  <c r="L11" i="196"/>
  <c r="W27" i="196" s="1"/>
  <c r="L11" i="372"/>
  <c r="W27" i="372" s="1"/>
  <c r="L11" i="368"/>
  <c r="W27" i="368" s="1"/>
  <c r="M18" i="184"/>
  <c r="M18" i="84"/>
  <c r="M18" i="361"/>
  <c r="M18" i="231"/>
  <c r="M18" i="171"/>
  <c r="M18" i="175"/>
  <c r="M18" i="229"/>
  <c r="M18" i="172"/>
  <c r="I252" i="209"/>
  <c r="R128" i="246"/>
  <c r="O19" i="176"/>
  <c r="O19" i="99"/>
  <c r="O19" i="271"/>
  <c r="O19" i="101"/>
  <c r="O19" i="359"/>
  <c r="E15" i="328"/>
  <c r="E15" i="330"/>
  <c r="E15" i="58"/>
  <c r="E15" i="229" s="1"/>
  <c r="D37" i="328"/>
  <c r="D42" i="328"/>
  <c r="D38" i="328"/>
  <c r="D39" i="328"/>
  <c r="D40" i="328"/>
  <c r="D41" i="328"/>
  <c r="E38" i="44"/>
  <c r="E39" i="44"/>
  <c r="E41" i="44"/>
  <c r="J753" i="209"/>
  <c r="E37" i="44"/>
  <c r="E18" i="328"/>
  <c r="E40" i="44"/>
  <c r="E42" i="44"/>
  <c r="M14" i="223"/>
  <c r="W29" i="223" s="1"/>
  <c r="M14" i="185"/>
  <c r="W29" i="185" s="1"/>
  <c r="M14" i="173"/>
  <c r="W29" i="173" s="1"/>
  <c r="J223" i="246"/>
  <c r="S37" i="292"/>
  <c r="T37" i="292" s="1"/>
  <c r="V37" i="292"/>
  <c r="L9" i="185"/>
  <c r="O172" i="246"/>
  <c r="L9" i="173"/>
  <c r="L9" i="223"/>
  <c r="P26" i="174"/>
  <c r="D43" i="174"/>
  <c r="L14" i="372"/>
  <c r="W30" i="372" s="1"/>
  <c r="L14" i="370"/>
  <c r="W30" i="370" s="1"/>
  <c r="L14" i="123"/>
  <c r="W30" i="123" s="1"/>
  <c r="L14" i="337"/>
  <c r="W30" i="337" s="1"/>
  <c r="L14" i="79"/>
  <c r="W30" i="79" s="1"/>
  <c r="L14" i="72"/>
  <c r="W30" i="72" s="1"/>
  <c r="L14" i="369"/>
  <c r="W30" i="369" s="1"/>
  <c r="L14" i="365"/>
  <c r="W30" i="365" s="1"/>
  <c r="L14" i="368"/>
  <c r="W30" i="368" s="1"/>
  <c r="L14" i="196"/>
  <c r="W30" i="196" s="1"/>
  <c r="L14" i="338"/>
  <c r="W30" i="338" s="1"/>
  <c r="L14" i="154"/>
  <c r="W30" i="154" s="1"/>
  <c r="L14" i="39"/>
  <c r="W30" i="39" s="1"/>
  <c r="I281" i="209"/>
  <c r="M16" i="231"/>
  <c r="W31" i="231" s="1"/>
  <c r="M16" i="184"/>
  <c r="W31" i="184" s="1"/>
  <c r="M16" i="171"/>
  <c r="W31" i="171" s="1"/>
  <c r="M16" i="175"/>
  <c r="W31" i="175" s="1"/>
  <c r="M16" i="229"/>
  <c r="W31" i="229" s="1"/>
  <c r="M16" i="84"/>
  <c r="W31" i="84" s="1"/>
  <c r="P106" i="246"/>
  <c r="M16" i="361"/>
  <c r="W31" i="361" s="1"/>
  <c r="M16" i="172"/>
  <c r="W31" i="172" s="1"/>
  <c r="N16" i="171"/>
  <c r="N16" i="361"/>
  <c r="N16" i="184"/>
  <c r="N16" i="231"/>
  <c r="N16" i="84"/>
  <c r="N16" i="175"/>
  <c r="Q106" i="246"/>
  <c r="N16" i="172"/>
  <c r="N16" i="229"/>
  <c r="M9" i="223"/>
  <c r="W24" i="223" s="1"/>
  <c r="P172" i="246"/>
  <c r="M9" i="185"/>
  <c r="W24" i="185" s="1"/>
  <c r="M9" i="173"/>
  <c r="W24" i="173" s="1"/>
  <c r="M663" i="246"/>
  <c r="I19" i="246"/>
  <c r="L10" i="185"/>
  <c r="L10" i="223"/>
  <c r="L10" i="173"/>
  <c r="L9" i="39"/>
  <c r="W25" i="39" s="1"/>
  <c r="L9" i="337"/>
  <c r="W25" i="337" s="1"/>
  <c r="O222" i="209"/>
  <c r="L9" i="368"/>
  <c r="W25" i="368" s="1"/>
  <c r="L9" i="338"/>
  <c r="W25" i="338" s="1"/>
  <c r="L9" i="154"/>
  <c r="W25" i="154" s="1"/>
  <c r="L9" i="369"/>
  <c r="W25" i="369" s="1"/>
  <c r="L9" i="365"/>
  <c r="W25" i="365" s="1"/>
  <c r="L9" i="72"/>
  <c r="W25" i="72" s="1"/>
  <c r="L9" i="372"/>
  <c r="W25" i="372" s="1"/>
  <c r="L9" i="196"/>
  <c r="W25" i="196" s="1"/>
  <c r="L9" i="123"/>
  <c r="W25" i="123" s="1"/>
  <c r="L9" i="370"/>
  <c r="W25" i="370" s="1"/>
  <c r="L9" i="79"/>
  <c r="W25" i="79" s="1"/>
  <c r="L749" i="209"/>
  <c r="M749" i="209" s="1"/>
  <c r="G40" i="79"/>
  <c r="L100" i="209" s="1"/>
  <c r="G39" i="79"/>
  <c r="R41" i="209" s="1"/>
  <c r="G41" i="79"/>
  <c r="L218" i="209" s="1"/>
  <c r="G42" i="79"/>
  <c r="L277" i="209" s="1"/>
  <c r="G37" i="79"/>
  <c r="R218" i="209" s="1"/>
  <c r="G38" i="79"/>
  <c r="L41" i="209" s="1"/>
  <c r="L14" i="185"/>
  <c r="L14" i="223"/>
  <c r="I223" i="246"/>
  <c r="L14" i="173"/>
  <c r="L15" i="223"/>
  <c r="L15" i="173"/>
  <c r="L15" i="185"/>
  <c r="D47" i="171"/>
  <c r="M15" i="361"/>
  <c r="W30" i="361" s="1"/>
  <c r="E47" i="174"/>
  <c r="M15" i="175"/>
  <c r="W30" i="175" s="1"/>
  <c r="M15" i="231"/>
  <c r="W30" i="231" s="1"/>
  <c r="M15" i="172"/>
  <c r="M15" i="84"/>
  <c r="W30" i="84" s="1"/>
  <c r="M15" i="171"/>
  <c r="W30" i="171" s="1"/>
  <c r="M15" i="184"/>
  <c r="W30" i="184" s="1"/>
  <c r="M15" i="229"/>
  <c r="R27" i="292"/>
  <c r="U27" i="292"/>
  <c r="L13" i="368"/>
  <c r="W29" i="368" s="1"/>
  <c r="L13" i="338"/>
  <c r="W29" i="338" s="1"/>
  <c r="L13" i="154"/>
  <c r="W29" i="154" s="1"/>
  <c r="L13" i="196"/>
  <c r="W29" i="196" s="1"/>
  <c r="L13" i="39"/>
  <c r="W29" i="39" s="1"/>
  <c r="L13" i="370"/>
  <c r="W29" i="370" s="1"/>
  <c r="L13" i="337"/>
  <c r="W29" i="337" s="1"/>
  <c r="L13" i="72"/>
  <c r="W29" i="72" s="1"/>
  <c r="L13" i="123"/>
  <c r="W29" i="123" s="1"/>
  <c r="L13" i="365"/>
  <c r="W29" i="365" s="1"/>
  <c r="L13" i="369"/>
  <c r="W29" i="369" s="1"/>
  <c r="L13" i="79"/>
  <c r="W29" i="79" s="1"/>
  <c r="I222" i="209"/>
  <c r="L13" i="372"/>
  <c r="W29" i="372" s="1"/>
  <c r="G18" i="4"/>
  <c r="X18" i="34"/>
  <c r="J48" i="34"/>
  <c r="X11" i="34"/>
  <c r="X17" i="34"/>
  <c r="X28" i="34"/>
  <c r="O15" i="104"/>
  <c r="O15" i="170"/>
  <c r="O15" i="186"/>
  <c r="G47" i="172"/>
  <c r="O15" i="226"/>
  <c r="E41" i="6"/>
  <c r="J195" i="209" s="1"/>
  <c r="E38" i="6"/>
  <c r="J18" i="209" s="1"/>
  <c r="J726" i="209"/>
  <c r="E39" i="6"/>
  <c r="P18" i="209" s="1"/>
  <c r="E40" i="6"/>
  <c r="J77" i="209" s="1"/>
  <c r="E37" i="6"/>
  <c r="P195" i="209" s="1"/>
  <c r="E42" i="6"/>
  <c r="J254" i="209" s="1"/>
  <c r="L11" i="173"/>
  <c r="O19" i="246"/>
  <c r="L11" i="223"/>
  <c r="L11" i="185"/>
  <c r="L19" i="271"/>
  <c r="W34" i="271" s="1"/>
  <c r="L19" i="99"/>
  <c r="W34" i="99" s="1"/>
  <c r="L19" i="176"/>
  <c r="W34" i="176" s="1"/>
  <c r="L19" i="101"/>
  <c r="W34" i="101" s="1"/>
  <c r="O128" i="246"/>
  <c r="L19" i="359"/>
  <c r="W34" i="359" s="1"/>
  <c r="P151" i="246"/>
  <c r="M19" i="170"/>
  <c r="M19" i="104"/>
  <c r="M19" i="226"/>
  <c r="M19" i="186"/>
  <c r="M15" i="185"/>
  <c r="W30" i="185" s="1"/>
  <c r="M15" i="173"/>
  <c r="W30" i="173" s="1"/>
  <c r="M15" i="223"/>
  <c r="W30" i="223" s="1"/>
  <c r="E47" i="171"/>
  <c r="N12" i="185"/>
  <c r="N12" i="173"/>
  <c r="N12" i="223"/>
  <c r="K70" i="246"/>
  <c r="L12" i="79"/>
  <c r="W28" i="79" s="1"/>
  <c r="L12" i="123"/>
  <c r="W28" i="123" s="1"/>
  <c r="I104" i="209"/>
  <c r="L12" i="370"/>
  <c r="W28" i="370" s="1"/>
  <c r="L12" i="338"/>
  <c r="W28" i="338" s="1"/>
  <c r="L12" i="154"/>
  <c r="W28" i="154" s="1"/>
  <c r="L12" i="72"/>
  <c r="W28" i="72" s="1"/>
  <c r="L12" i="196"/>
  <c r="W28" i="196" s="1"/>
  <c r="L12" i="369"/>
  <c r="W28" i="369" s="1"/>
  <c r="L12" i="365"/>
  <c r="W28" i="365" s="1"/>
  <c r="L12" i="368"/>
  <c r="W28" i="368" s="1"/>
  <c r="L12" i="337"/>
  <c r="W28" i="337" s="1"/>
  <c r="L12" i="39"/>
  <c r="W28" i="39" s="1"/>
  <c r="L12" i="372"/>
  <c r="W28" i="372" s="1"/>
  <c r="I16" i="209"/>
  <c r="F40" i="4"/>
  <c r="K70" i="209" s="1"/>
  <c r="F37" i="4"/>
  <c r="Q188" i="209" s="1"/>
  <c r="K719" i="209"/>
  <c r="F38" i="4"/>
  <c r="K11" i="209" s="1"/>
  <c r="F39" i="4"/>
  <c r="Q11" i="209" s="1"/>
  <c r="F41" i="4"/>
  <c r="K188" i="209" s="1"/>
  <c r="F42" i="4"/>
  <c r="K247" i="209" s="1"/>
  <c r="N15" i="173"/>
  <c r="F47" i="171"/>
  <c r="N15" i="223"/>
  <c r="N15" i="185"/>
  <c r="R31" i="292"/>
  <c r="U31" i="292"/>
  <c r="W32" i="174"/>
  <c r="G15" i="6"/>
  <c r="G18" i="6" s="1"/>
  <c r="F18" i="6"/>
  <c r="O113" i="246"/>
  <c r="L19" i="284"/>
  <c r="W34" i="284" s="1"/>
  <c r="L19" i="156"/>
  <c r="W34" i="156" s="1"/>
  <c r="L19" i="190"/>
  <c r="W34" i="190" s="1"/>
  <c r="N13" i="223"/>
  <c r="N13" i="173"/>
  <c r="K172" i="246"/>
  <c r="N13" i="185"/>
  <c r="M19" i="176"/>
  <c r="M19" i="359"/>
  <c r="M19" i="271"/>
  <c r="M19" i="99"/>
  <c r="M19" i="101"/>
  <c r="P128" i="246"/>
  <c r="L10" i="79"/>
  <c r="W26" i="79" s="1"/>
  <c r="I45" i="209"/>
  <c r="L10" i="196"/>
  <c r="W26" i="196" s="1"/>
  <c r="L10" i="337"/>
  <c r="W26" i="337" s="1"/>
  <c r="L10" i="123"/>
  <c r="W26" i="123" s="1"/>
  <c r="L10" i="72"/>
  <c r="W26" i="72" s="1"/>
  <c r="L10" i="372"/>
  <c r="W26" i="372" s="1"/>
  <c r="L10" i="154"/>
  <c r="W26" i="154" s="1"/>
  <c r="L10" i="370"/>
  <c r="W26" i="370" s="1"/>
  <c r="L10" i="39"/>
  <c r="W26" i="39" s="1"/>
  <c r="L10" i="368"/>
  <c r="W26" i="368" s="1"/>
  <c r="L10" i="365"/>
  <c r="W26" i="365" s="1"/>
  <c r="L10" i="369"/>
  <c r="W26" i="369" s="1"/>
  <c r="L10" i="338"/>
  <c r="W26" i="338" s="1"/>
  <c r="O19" i="360"/>
  <c r="O19" i="333"/>
  <c r="P19" i="333" s="1"/>
  <c r="O19" i="296"/>
  <c r="O19" i="367"/>
  <c r="O19" i="295"/>
  <c r="N15" i="172"/>
  <c r="W30" i="172" s="1"/>
  <c r="N15" i="184"/>
  <c r="N15" i="229"/>
  <c r="N15" i="231"/>
  <c r="F47" i="174"/>
  <c r="N15" i="175"/>
  <c r="N15" i="361"/>
  <c r="N15" i="84"/>
  <c r="N15" i="171"/>
  <c r="M11" i="185"/>
  <c r="W26" i="185" s="1"/>
  <c r="M11" i="173"/>
  <c r="W26" i="173" s="1"/>
  <c r="M11" i="223"/>
  <c r="W26" i="223" s="1"/>
  <c r="P19" i="246"/>
  <c r="N19" i="99"/>
  <c r="N19" i="359"/>
  <c r="N19" i="176"/>
  <c r="N19" i="101"/>
  <c r="Q128" i="246"/>
  <c r="N19" i="271"/>
  <c r="G47" i="174"/>
  <c r="O15" i="229"/>
  <c r="O15" i="184"/>
  <c r="O15" i="84"/>
  <c r="O15" i="172"/>
  <c r="O15" i="231"/>
  <c r="O15" i="175"/>
  <c r="O15" i="171"/>
  <c r="O15" i="361"/>
  <c r="F41" i="370"/>
  <c r="K210" i="209" s="1"/>
  <c r="F39" i="370"/>
  <c r="Q33" i="209" s="1"/>
  <c r="F37" i="370"/>
  <c r="Q210" i="209" s="1"/>
  <c r="F42" i="370"/>
  <c r="K269" i="209" s="1"/>
  <c r="F38" i="370"/>
  <c r="K33" i="209" s="1"/>
  <c r="F40" i="370"/>
  <c r="K92" i="209" s="1"/>
  <c r="K741" i="209"/>
  <c r="I70" i="246"/>
  <c r="L12" i="223"/>
  <c r="L12" i="185"/>
  <c r="L12" i="173"/>
  <c r="F15" i="328"/>
  <c r="N11" i="223"/>
  <c r="N11" i="185"/>
  <c r="N11" i="173"/>
  <c r="Q19" i="246"/>
  <c r="L18" i="231"/>
  <c r="L18" i="171"/>
  <c r="L18" i="84"/>
  <c r="L18" i="184"/>
  <c r="L18" i="172"/>
  <c r="L18" i="175"/>
  <c r="L18" i="361"/>
  <c r="L18" i="229"/>
  <c r="E42" i="9"/>
  <c r="J252" i="209" s="1"/>
  <c r="E41" i="9"/>
  <c r="J193" i="209" s="1"/>
  <c r="E40" i="9"/>
  <c r="J75" i="209" s="1"/>
  <c r="E37" i="9"/>
  <c r="P193" i="209" s="1"/>
  <c r="E38" i="9"/>
  <c r="J16" i="209" s="1"/>
  <c r="J724" i="209"/>
  <c r="E39" i="9"/>
  <c r="P16" i="209" s="1"/>
  <c r="E40" i="154"/>
  <c r="J97" i="209" s="1"/>
  <c r="E37" i="154"/>
  <c r="P215" i="209" s="1"/>
  <c r="E42" i="154"/>
  <c r="J274" i="209" s="1"/>
  <c r="E41" i="154"/>
  <c r="J215" i="209" s="1"/>
  <c r="E39" i="154"/>
  <c r="P38" i="209" s="1"/>
  <c r="J746" i="209"/>
  <c r="E38" i="154"/>
  <c r="J38" i="209" s="1"/>
  <c r="O193" i="209"/>
  <c r="Q113" i="246"/>
  <c r="N19" i="156"/>
  <c r="N19" i="190"/>
  <c r="N19" i="284"/>
  <c r="M17" i="171"/>
  <c r="W32" i="171" s="1"/>
  <c r="J157" i="246"/>
  <c r="M17" i="231"/>
  <c r="W32" i="231" s="1"/>
  <c r="M17" i="172"/>
  <c r="W32" i="172" s="1"/>
  <c r="M17" i="361"/>
  <c r="W32" i="361" s="1"/>
  <c r="M17" i="229"/>
  <c r="W32" i="229" s="1"/>
  <c r="M17" i="84"/>
  <c r="W32" i="84" s="1"/>
  <c r="M17" i="184"/>
  <c r="W32" i="184" s="1"/>
  <c r="M17" i="175"/>
  <c r="W32" i="175" s="1"/>
  <c r="M12" i="223"/>
  <c r="W27" i="223" s="1"/>
  <c r="J70" i="246"/>
  <c r="M12" i="173"/>
  <c r="W27" i="173" s="1"/>
  <c r="M12" i="185"/>
  <c r="W27" i="185" s="1"/>
  <c r="L13" i="185"/>
  <c r="I172" i="246"/>
  <c r="L13" i="173"/>
  <c r="L13" i="223"/>
  <c r="G42" i="370"/>
  <c r="L269" i="209" s="1"/>
  <c r="G38" i="370"/>
  <c r="L33" i="209" s="1"/>
  <c r="L741" i="209"/>
  <c r="M741" i="209" s="1"/>
  <c r="G41" i="370"/>
  <c r="L210" i="209" s="1"/>
  <c r="G39" i="370"/>
  <c r="R33" i="209" s="1"/>
  <c r="G37" i="370"/>
  <c r="R210" i="209" s="1"/>
  <c r="G40" i="370"/>
  <c r="L92" i="209" s="1"/>
  <c r="H18" i="370"/>
  <c r="F42" i="123"/>
  <c r="K270" i="209" s="1"/>
  <c r="F37" i="123"/>
  <c r="Q211" i="209" s="1"/>
  <c r="K742" i="209"/>
  <c r="F40" i="123"/>
  <c r="K93" i="209" s="1"/>
  <c r="F39" i="123"/>
  <c r="Q34" i="209" s="1"/>
  <c r="F41" i="123"/>
  <c r="K211" i="209" s="1"/>
  <c r="F38" i="123"/>
  <c r="K34" i="209" s="1"/>
  <c r="Q172" i="246"/>
  <c r="N9" i="173"/>
  <c r="N9" i="223"/>
  <c r="N9" i="185"/>
  <c r="L16" i="231"/>
  <c r="O106" i="246"/>
  <c r="L16" i="229"/>
  <c r="L16" i="184"/>
  <c r="L16" i="172"/>
  <c r="L16" i="361"/>
  <c r="L16" i="84"/>
  <c r="L16" i="175"/>
  <c r="L16" i="171"/>
  <c r="M19" i="284"/>
  <c r="P113" i="246"/>
  <c r="M19" i="156"/>
  <c r="M19" i="190"/>
  <c r="F18" i="9"/>
  <c r="G15" i="9"/>
  <c r="G18" i="9" s="1"/>
  <c r="G15" i="154"/>
  <c r="G18" i="154" s="1"/>
  <c r="F18" i="154"/>
  <c r="M10" i="223"/>
  <c r="W25" i="223" s="1"/>
  <c r="M10" i="173"/>
  <c r="W25" i="173" s="1"/>
  <c r="J19" i="246"/>
  <c r="M10" i="185"/>
  <c r="W25" i="185" s="1"/>
  <c r="L15" i="226"/>
  <c r="L15" i="104"/>
  <c r="L15" i="186"/>
  <c r="D47" i="172"/>
  <c r="L15" i="170"/>
  <c r="G18" i="123"/>
  <c r="L17" i="231"/>
  <c r="L17" i="229"/>
  <c r="L17" i="175"/>
  <c r="L17" i="361"/>
  <c r="L17" i="172"/>
  <c r="L17" i="184"/>
  <c r="I157" i="246"/>
  <c r="L17" i="84"/>
  <c r="L17" i="171"/>
  <c r="N19" i="162"/>
  <c r="N19" i="215"/>
  <c r="N19" i="165"/>
  <c r="N19" i="166"/>
  <c r="N19" i="139"/>
  <c r="O18" i="209"/>
  <c r="N17" i="84"/>
  <c r="N17" i="172"/>
  <c r="N17" i="231"/>
  <c r="N17" i="171"/>
  <c r="N17" i="361"/>
  <c r="K157" i="246"/>
  <c r="N17" i="175"/>
  <c r="N17" i="229"/>
  <c r="N17" i="184"/>
  <c r="N18" i="84"/>
  <c r="N18" i="229"/>
  <c r="N18" i="171"/>
  <c r="N18" i="231"/>
  <c r="N18" i="361"/>
  <c r="N18" i="184"/>
  <c r="N18" i="175"/>
  <c r="N18" i="172"/>
  <c r="N10" i="223"/>
  <c r="N10" i="185"/>
  <c r="N10" i="173"/>
  <c r="K19" i="246"/>
  <c r="I193" i="209"/>
  <c r="X31" i="330"/>
  <c r="Y31" i="330"/>
  <c r="S771" i="209"/>
  <c r="X31" i="58"/>
  <c r="Y31" i="58"/>
  <c r="N15" i="250"/>
  <c r="N15" i="174"/>
  <c r="N15" i="328"/>
  <c r="N15" i="18"/>
  <c r="N15" i="58"/>
  <c r="N15" i="248"/>
  <c r="N15" i="44"/>
  <c r="N15" i="247"/>
  <c r="N15" i="326"/>
  <c r="N15" i="228"/>
  <c r="F47" i="229"/>
  <c r="N15" i="327"/>
  <c r="N15" i="291"/>
  <c r="N15" i="330"/>
  <c r="M15" i="174" l="1"/>
  <c r="W30" i="174" s="1"/>
  <c r="M15" i="228"/>
  <c r="W30" i="228" s="1"/>
  <c r="M15" i="18"/>
  <c r="W30" i="18" s="1"/>
  <c r="M15" i="291"/>
  <c r="W30" i="291" s="1"/>
  <c r="M15" i="326"/>
  <c r="W30" i="326" s="1"/>
  <c r="M15" i="248"/>
  <c r="W30" i="248" s="1"/>
  <c r="E47" i="229"/>
  <c r="M15" i="330"/>
  <c r="W30" i="229"/>
  <c r="M15" i="328"/>
  <c r="W30" i="328" s="1"/>
  <c r="M15" i="247"/>
  <c r="W30" i="247" s="1"/>
  <c r="M15" i="250"/>
  <c r="W30" i="250" s="1"/>
  <c r="M15" i="327"/>
  <c r="W30" i="327" s="1"/>
  <c r="M15" i="44"/>
  <c r="W30" i="44" s="1"/>
  <c r="L17" i="291"/>
  <c r="L17" i="330"/>
  <c r="L17" i="228"/>
  <c r="I181" i="209"/>
  <c r="L17" i="18"/>
  <c r="L17" i="248"/>
  <c r="L17" i="58"/>
  <c r="L17" i="327"/>
  <c r="L17" i="326"/>
  <c r="L17" i="250"/>
  <c r="L17" i="247"/>
  <c r="L17" i="328"/>
  <c r="L17" i="44"/>
  <c r="V39" i="292"/>
  <c r="L15" i="328"/>
  <c r="L15" i="58"/>
  <c r="L18" i="291"/>
  <c r="L18" i="174"/>
  <c r="L18" i="327"/>
  <c r="L18" i="328"/>
  <c r="L18" i="58"/>
  <c r="L18" i="330"/>
  <c r="L18" i="228"/>
  <c r="L18" i="326"/>
  <c r="L18" i="18"/>
  <c r="L18" i="44"/>
  <c r="L18" i="250"/>
  <c r="L18" i="248"/>
  <c r="L15" i="248"/>
  <c r="L15" i="291"/>
  <c r="L15" i="44"/>
  <c r="D47" i="229"/>
  <c r="L19" i="18" s="1"/>
  <c r="L15" i="174"/>
  <c r="L15" i="327"/>
  <c r="L15" i="247"/>
  <c r="L15" i="330"/>
  <c r="L15" i="326"/>
  <c r="L15" i="18"/>
  <c r="L15" i="250"/>
  <c r="O15" i="174"/>
  <c r="O15" i="58"/>
  <c r="O15" i="328"/>
  <c r="O15" i="291"/>
  <c r="F15" i="327"/>
  <c r="F15" i="58"/>
  <c r="F15" i="229" s="1"/>
  <c r="X10" i="36"/>
  <c r="X17" i="36"/>
  <c r="X22" i="36"/>
  <c r="X16" i="36"/>
  <c r="X32" i="36"/>
  <c r="X33" i="36"/>
  <c r="X23" i="36"/>
  <c r="X36" i="36"/>
  <c r="X28" i="36"/>
  <c r="J60" i="36"/>
  <c r="X27" i="36"/>
  <c r="X29" i="36"/>
  <c r="E42" i="7"/>
  <c r="J253" i="209" s="1"/>
  <c r="E40" i="7"/>
  <c r="J76" i="209" s="1"/>
  <c r="J725" i="209"/>
  <c r="E41" i="7"/>
  <c r="J194" i="209" s="1"/>
  <c r="E38" i="7"/>
  <c r="J17" i="209" s="1"/>
  <c r="E39" i="7"/>
  <c r="P17" i="209" s="1"/>
  <c r="E37" i="7"/>
  <c r="P194" i="209" s="1"/>
  <c r="X11" i="36"/>
  <c r="F18" i="7"/>
  <c r="G15" i="7"/>
  <c r="G18" i="7" s="1"/>
  <c r="G18" i="18" s="1"/>
  <c r="E18" i="18"/>
  <c r="E37" i="18" s="1"/>
  <c r="M9" i="11" s="1"/>
  <c r="D18" i="7"/>
  <c r="D15" i="18"/>
  <c r="O15" i="228"/>
  <c r="O15" i="250"/>
  <c r="O15" i="18"/>
  <c r="O15" i="326"/>
  <c r="O15" i="330"/>
  <c r="O15" i="248"/>
  <c r="O15" i="327"/>
  <c r="G47" i="229"/>
  <c r="O19" i="327" s="1"/>
  <c r="O15" i="44"/>
  <c r="C760" i="209"/>
  <c r="V760" i="209" s="1"/>
  <c r="V701" i="209"/>
  <c r="Y32" i="330"/>
  <c r="X32" i="330"/>
  <c r="Y32" i="58"/>
  <c r="X32" i="58"/>
  <c r="F15" i="330"/>
  <c r="F40" i="126"/>
  <c r="K88" i="246" s="1"/>
  <c r="F39" i="126"/>
  <c r="Q37" i="246" s="1"/>
  <c r="F41" i="126"/>
  <c r="K190" i="246" s="1"/>
  <c r="F42" i="126"/>
  <c r="K241" i="246" s="1"/>
  <c r="F37" i="126"/>
  <c r="Q190" i="246" s="1"/>
  <c r="K649" i="246"/>
  <c r="F38" i="126"/>
  <c r="K37" i="246" s="1"/>
  <c r="F18" i="226"/>
  <c r="F15" i="170"/>
  <c r="F15" i="175" s="1"/>
  <c r="F15" i="172"/>
  <c r="F15" i="174" s="1"/>
  <c r="F15" i="231"/>
  <c r="G15" i="226"/>
  <c r="G18" i="126"/>
  <c r="D18" i="174"/>
  <c r="D42" i="172"/>
  <c r="D41" i="172"/>
  <c r="D40" i="172"/>
  <c r="I661" i="246"/>
  <c r="D39" i="172"/>
  <c r="D37" i="172"/>
  <c r="D38" i="172"/>
  <c r="D38" i="170"/>
  <c r="D18" i="175"/>
  <c r="D40" i="170"/>
  <c r="D41" i="170"/>
  <c r="D39" i="170"/>
  <c r="D37" i="170"/>
  <c r="D42" i="170"/>
  <c r="D42" i="231"/>
  <c r="I257" i="246" s="1"/>
  <c r="D38" i="231"/>
  <c r="I53" i="246" s="1"/>
  <c r="I665" i="246"/>
  <c r="D40" i="231"/>
  <c r="I104" i="246" s="1"/>
  <c r="D41" i="231"/>
  <c r="I206" i="246" s="1"/>
  <c r="D39" i="231"/>
  <c r="O53" i="246" s="1"/>
  <c r="D37" i="231"/>
  <c r="O206" i="246" s="1"/>
  <c r="E39" i="226"/>
  <c r="P47" i="246" s="1"/>
  <c r="E38" i="226"/>
  <c r="J47" i="246" s="1"/>
  <c r="E42" i="226"/>
  <c r="J251" i="246" s="1"/>
  <c r="E40" i="226"/>
  <c r="J98" i="246" s="1"/>
  <c r="E18" i="231"/>
  <c r="E41" i="226"/>
  <c r="J200" i="246" s="1"/>
  <c r="J659" i="246"/>
  <c r="E18" i="170"/>
  <c r="E18" i="172"/>
  <c r="E37" i="226"/>
  <c r="P200" i="246" s="1"/>
  <c r="P179" i="209"/>
  <c r="M19" i="225"/>
  <c r="L19" i="165"/>
  <c r="W34" i="165" s="1"/>
  <c r="L19" i="139"/>
  <c r="W34" i="139" s="1"/>
  <c r="L19" i="166"/>
  <c r="W34" i="166" s="1"/>
  <c r="L19" i="215"/>
  <c r="W34" i="215" s="1"/>
  <c r="L19" i="162"/>
  <c r="W34" i="162" s="1"/>
  <c r="O19" i="225"/>
  <c r="R179" i="209"/>
  <c r="M19" i="139"/>
  <c r="M19" i="162"/>
  <c r="M19" i="166"/>
  <c r="M19" i="165"/>
  <c r="M19" i="215"/>
  <c r="O19" i="166"/>
  <c r="O19" i="139"/>
  <c r="O19" i="215"/>
  <c r="O19" i="162"/>
  <c r="O19" i="165"/>
  <c r="L15" i="212"/>
  <c r="D47" i="175"/>
  <c r="L19" i="212" s="1"/>
  <c r="Q179" i="209"/>
  <c r="N19" i="225"/>
  <c r="W33" i="225" s="1"/>
  <c r="M12" i="368"/>
  <c r="M12" i="72"/>
  <c r="M12" i="338"/>
  <c r="J104" i="209"/>
  <c r="M12" i="372"/>
  <c r="M12" i="369"/>
  <c r="M12" i="79"/>
  <c r="M12" i="123"/>
  <c r="M12" i="196"/>
  <c r="M12" i="370"/>
  <c r="M12" i="337"/>
  <c r="M12" i="365"/>
  <c r="M12" i="154"/>
  <c r="M12" i="39"/>
  <c r="N19" i="223"/>
  <c r="N19" i="173"/>
  <c r="Q121" i="246"/>
  <c r="N19" i="185"/>
  <c r="G38" i="154"/>
  <c r="L38" i="209" s="1"/>
  <c r="L746" i="209"/>
  <c r="M746" i="209" s="1"/>
  <c r="G39" i="154"/>
  <c r="R38" i="209" s="1"/>
  <c r="G37" i="154"/>
  <c r="R215" i="209" s="1"/>
  <c r="G42" i="154"/>
  <c r="L274" i="209" s="1"/>
  <c r="G41" i="154"/>
  <c r="L215" i="209" s="1"/>
  <c r="G40" i="154"/>
  <c r="L97" i="209" s="1"/>
  <c r="H18" i="154"/>
  <c r="G37" i="9"/>
  <c r="R193" i="209" s="1"/>
  <c r="G40" i="9"/>
  <c r="L75" i="209" s="1"/>
  <c r="G38" i="9"/>
  <c r="L16" i="209" s="1"/>
  <c r="L724" i="209"/>
  <c r="M724" i="209" s="1"/>
  <c r="G42" i="9"/>
  <c r="L252" i="209" s="1"/>
  <c r="G41" i="9"/>
  <c r="L193" i="209" s="1"/>
  <c r="G39" i="9"/>
  <c r="R16" i="209" s="1"/>
  <c r="H18" i="9"/>
  <c r="M9" i="154"/>
  <c r="M9" i="123"/>
  <c r="M9" i="338"/>
  <c r="M9" i="365"/>
  <c r="M9" i="372"/>
  <c r="M9" i="370"/>
  <c r="M9" i="196"/>
  <c r="P222" i="209"/>
  <c r="M9" i="368"/>
  <c r="M9" i="72"/>
  <c r="M9" i="337"/>
  <c r="M9" i="369"/>
  <c r="M9" i="39"/>
  <c r="M9" i="79"/>
  <c r="F39" i="9"/>
  <c r="Q16" i="209" s="1"/>
  <c r="F40" i="9"/>
  <c r="K75" i="209" s="1"/>
  <c r="K724" i="209"/>
  <c r="F42" i="9"/>
  <c r="K252" i="209" s="1"/>
  <c r="F38" i="9"/>
  <c r="K16" i="209" s="1"/>
  <c r="F37" i="9"/>
  <c r="Q193" i="209" s="1"/>
  <c r="F41" i="9"/>
  <c r="K193" i="209" s="1"/>
  <c r="M13" i="39"/>
  <c r="M13" i="338"/>
  <c r="M13" i="370"/>
  <c r="M13" i="79"/>
  <c r="M13" i="365"/>
  <c r="M13" i="368"/>
  <c r="M13" i="372"/>
  <c r="M13" i="123"/>
  <c r="M13" i="154"/>
  <c r="M13" i="369"/>
  <c r="M13" i="72"/>
  <c r="J222" i="209"/>
  <c r="M13" i="337"/>
  <c r="M13" i="196"/>
  <c r="K746" i="209"/>
  <c r="F39" i="154"/>
  <c r="Q38" i="209" s="1"/>
  <c r="F40" i="154"/>
  <c r="K97" i="209" s="1"/>
  <c r="F42" i="154"/>
  <c r="K274" i="209" s="1"/>
  <c r="F41" i="154"/>
  <c r="K215" i="209" s="1"/>
  <c r="F38" i="154"/>
  <c r="K38" i="209" s="1"/>
  <c r="F37" i="154"/>
  <c r="Q215" i="209" s="1"/>
  <c r="E41" i="328"/>
  <c r="E38" i="328"/>
  <c r="E37" i="328"/>
  <c r="E42" i="328"/>
  <c r="E39" i="328"/>
  <c r="E40" i="328"/>
  <c r="L19" i="104"/>
  <c r="L19" i="226"/>
  <c r="L19" i="170"/>
  <c r="O151" i="246"/>
  <c r="L19" i="186"/>
  <c r="M11" i="368"/>
  <c r="M11" i="370"/>
  <c r="M11" i="372"/>
  <c r="M11" i="154"/>
  <c r="M11" i="337"/>
  <c r="M11" i="72"/>
  <c r="M11" i="123"/>
  <c r="M11" i="79"/>
  <c r="M11" i="196"/>
  <c r="M11" i="39"/>
  <c r="M11" i="365"/>
  <c r="P45" i="209"/>
  <c r="M11" i="338"/>
  <c r="M11" i="369"/>
  <c r="F39" i="6"/>
  <c r="Q18" i="209" s="1"/>
  <c r="K726" i="209"/>
  <c r="F37" i="6"/>
  <c r="Q195" i="209" s="1"/>
  <c r="F41" i="6"/>
  <c r="K195" i="209" s="1"/>
  <c r="F38" i="6"/>
  <c r="K18" i="209" s="1"/>
  <c r="F42" i="6"/>
  <c r="K254" i="209" s="1"/>
  <c r="F40" i="6"/>
  <c r="K77" i="209" s="1"/>
  <c r="M19" i="223"/>
  <c r="W33" i="223" s="1"/>
  <c r="M19" i="185"/>
  <c r="W33" i="185" s="1"/>
  <c r="M19" i="173"/>
  <c r="W33" i="173" s="1"/>
  <c r="P121" i="246"/>
  <c r="M19" i="184"/>
  <c r="W33" i="184" s="1"/>
  <c r="M19" i="229"/>
  <c r="W33" i="229" s="1"/>
  <c r="M19" i="171"/>
  <c r="W33" i="171" s="1"/>
  <c r="M19" i="172"/>
  <c r="M19" i="175"/>
  <c r="W33" i="175" s="1"/>
  <c r="M19" i="361"/>
  <c r="W33" i="361" s="1"/>
  <c r="M19" i="84"/>
  <c r="W33" i="84" s="1"/>
  <c r="M19" i="231"/>
  <c r="W33" i="231" s="1"/>
  <c r="P157" i="246"/>
  <c r="J45" i="209"/>
  <c r="M10" i="337"/>
  <c r="M10" i="196"/>
  <c r="M10" i="72"/>
  <c r="M10" i="154"/>
  <c r="M10" i="79"/>
  <c r="M10" i="370"/>
  <c r="M10" i="372"/>
  <c r="M10" i="368"/>
  <c r="M10" i="39"/>
  <c r="M10" i="123"/>
  <c r="M10" i="338"/>
  <c r="M10" i="365"/>
  <c r="M10" i="369"/>
  <c r="F18" i="44"/>
  <c r="L726" i="209"/>
  <c r="M726" i="209" s="1"/>
  <c r="G40" i="6"/>
  <c r="L77" i="209" s="1"/>
  <c r="G39" i="6"/>
  <c r="R18" i="209" s="1"/>
  <c r="G38" i="6"/>
  <c r="L18" i="209" s="1"/>
  <c r="G41" i="6"/>
  <c r="L195" i="209" s="1"/>
  <c r="G42" i="6"/>
  <c r="L254" i="209" s="1"/>
  <c r="G37" i="6"/>
  <c r="R195" i="209" s="1"/>
  <c r="H18" i="6"/>
  <c r="L19" i="223"/>
  <c r="L19" i="173"/>
  <c r="O121" i="246"/>
  <c r="L19" i="185"/>
  <c r="O19" i="172"/>
  <c r="O19" i="361"/>
  <c r="R157" i="246"/>
  <c r="O19" i="184"/>
  <c r="O19" i="231"/>
  <c r="O19" i="171"/>
  <c r="O19" i="84"/>
  <c r="O19" i="229"/>
  <c r="O19" i="175"/>
  <c r="O19" i="104"/>
  <c r="O19" i="170"/>
  <c r="O19" i="186"/>
  <c r="O19" i="226"/>
  <c r="R151" i="246"/>
  <c r="G39" i="123"/>
  <c r="R34" i="209" s="1"/>
  <c r="G41" i="123"/>
  <c r="L211" i="209" s="1"/>
  <c r="G40" i="123"/>
  <c r="L93" i="209" s="1"/>
  <c r="G38" i="123"/>
  <c r="L34" i="209" s="1"/>
  <c r="G42" i="123"/>
  <c r="L270" i="209" s="1"/>
  <c r="G37" i="123"/>
  <c r="R211" i="209" s="1"/>
  <c r="L742" i="209"/>
  <c r="M742" i="209" s="1"/>
  <c r="G18" i="44"/>
  <c r="H18" i="123"/>
  <c r="N19" i="172"/>
  <c r="W33" i="172" s="1"/>
  <c r="N19" i="361"/>
  <c r="N19" i="229"/>
  <c r="N19" i="175"/>
  <c r="N19" i="231"/>
  <c r="N19" i="171"/>
  <c r="N19" i="84"/>
  <c r="Q157" i="246"/>
  <c r="N19" i="184"/>
  <c r="G40" i="4"/>
  <c r="L70" i="209" s="1"/>
  <c r="G41" i="4"/>
  <c r="L188" i="209" s="1"/>
  <c r="L719" i="209"/>
  <c r="M719" i="209" s="1"/>
  <c r="G42" i="4"/>
  <c r="L247" i="209" s="1"/>
  <c r="G38" i="4"/>
  <c r="L11" i="209" s="1"/>
  <c r="G37" i="4"/>
  <c r="R188" i="209" s="1"/>
  <c r="G39" i="4"/>
  <c r="R11" i="209" s="1"/>
  <c r="H18" i="4"/>
  <c r="G15" i="44"/>
  <c r="L15" i="229"/>
  <c r="L15" i="84"/>
  <c r="L15" i="175"/>
  <c r="L15" i="231"/>
  <c r="L15" i="172"/>
  <c r="L15" i="184"/>
  <c r="L15" i="361"/>
  <c r="L15" i="171"/>
  <c r="D47" i="174"/>
  <c r="M14" i="39"/>
  <c r="M14" i="154"/>
  <c r="M14" i="370"/>
  <c r="J281" i="209"/>
  <c r="M14" i="123"/>
  <c r="M14" i="79"/>
  <c r="M14" i="369"/>
  <c r="M14" i="72"/>
  <c r="M14" i="372"/>
  <c r="M14" i="338"/>
  <c r="M14" i="196"/>
  <c r="M14" i="365"/>
  <c r="M14" i="337"/>
  <c r="M14" i="368"/>
  <c r="N19" i="228"/>
  <c r="N19" i="18"/>
  <c r="N19" i="247"/>
  <c r="W33" i="247" s="1"/>
  <c r="N19" i="58"/>
  <c r="N19" i="44"/>
  <c r="N19" i="326"/>
  <c r="N19" i="327"/>
  <c r="N19" i="328"/>
  <c r="N19" i="291"/>
  <c r="W33" i="291" s="1"/>
  <c r="Q181" i="209"/>
  <c r="N19" i="174"/>
  <c r="N19" i="330"/>
  <c r="N19" i="250"/>
  <c r="W33" i="250" s="1"/>
  <c r="N19" i="248"/>
  <c r="W33" i="248" s="1"/>
  <c r="Y30" i="58"/>
  <c r="X30" i="58"/>
  <c r="M19" i="247"/>
  <c r="M19" i="327"/>
  <c r="W33" i="327" s="1"/>
  <c r="M19" i="291"/>
  <c r="M19" i="58"/>
  <c r="M19" i="228"/>
  <c r="W33" i="228" s="1"/>
  <c r="M19" i="328"/>
  <c r="W33" i="328" s="1"/>
  <c r="M19" i="174"/>
  <c r="W33" i="174" s="1"/>
  <c r="M19" i="44"/>
  <c r="W33" i="44" s="1"/>
  <c r="M19" i="330"/>
  <c r="M19" i="248"/>
  <c r="M19" i="326"/>
  <c r="W33" i="326" s="1"/>
  <c r="M19" i="250"/>
  <c r="P181" i="209"/>
  <c r="M19" i="18"/>
  <c r="W33" i="18" s="1"/>
  <c r="Y30" i="330"/>
  <c r="X30" i="330"/>
  <c r="L19" i="174" l="1"/>
  <c r="L19" i="247"/>
  <c r="L19" i="326"/>
  <c r="L19" i="330"/>
  <c r="L19" i="328"/>
  <c r="L19" i="327"/>
  <c r="L19" i="250"/>
  <c r="L19" i="228"/>
  <c r="L19" i="291"/>
  <c r="O181" i="209"/>
  <c r="L19" i="44"/>
  <c r="L19" i="248"/>
  <c r="L19" i="58"/>
  <c r="G15" i="18"/>
  <c r="G15" i="327" s="1"/>
  <c r="R181" i="209"/>
  <c r="O19" i="174"/>
  <c r="O19" i="228"/>
  <c r="O19" i="44"/>
  <c r="O19" i="328"/>
  <c r="O19" i="326"/>
  <c r="M9" i="10"/>
  <c r="M9" i="14"/>
  <c r="M9" i="15"/>
  <c r="E39" i="18"/>
  <c r="P19" i="209" s="1"/>
  <c r="M9" i="13"/>
  <c r="M9" i="16"/>
  <c r="M9" i="9"/>
  <c r="E38" i="18"/>
  <c r="M10" i="10" s="1"/>
  <c r="O19" i="248"/>
  <c r="O19" i="58"/>
  <c r="O19" i="291"/>
  <c r="O19" i="330"/>
  <c r="O19" i="250"/>
  <c r="M9" i="125"/>
  <c r="P196" i="209"/>
  <c r="M9" i="7"/>
  <c r="M9" i="4"/>
  <c r="O19" i="18"/>
  <c r="M9" i="6"/>
  <c r="E18" i="58"/>
  <c r="E18" i="229" s="1"/>
  <c r="E40" i="229" s="1"/>
  <c r="O19" i="247"/>
  <c r="E18" i="327"/>
  <c r="E39" i="327" s="1"/>
  <c r="P30" i="209" s="1"/>
  <c r="D15" i="58"/>
  <c r="D15" i="229" s="1"/>
  <c r="D15" i="327"/>
  <c r="D15" i="330"/>
  <c r="D42" i="7"/>
  <c r="I253" i="209" s="1"/>
  <c r="D37" i="7"/>
  <c r="O194" i="209" s="1"/>
  <c r="D41" i="7"/>
  <c r="I194" i="209" s="1"/>
  <c r="D40" i="7"/>
  <c r="I76" i="209" s="1"/>
  <c r="D38" i="7"/>
  <c r="I17" i="209" s="1"/>
  <c r="D39" i="7"/>
  <c r="O17" i="209" s="1"/>
  <c r="D18" i="18"/>
  <c r="H18" i="7"/>
  <c r="I725" i="209"/>
  <c r="G37" i="7"/>
  <c r="R194" i="209" s="1"/>
  <c r="G42" i="7"/>
  <c r="L253" i="209" s="1"/>
  <c r="G39" i="7"/>
  <c r="R17" i="209" s="1"/>
  <c r="G38" i="7"/>
  <c r="L17" i="209" s="1"/>
  <c r="G40" i="7"/>
  <c r="L76" i="209" s="1"/>
  <c r="L725" i="209"/>
  <c r="G41" i="7"/>
  <c r="L194" i="209" s="1"/>
  <c r="F38" i="7"/>
  <c r="K17" i="209" s="1"/>
  <c r="F41" i="7"/>
  <c r="K194" i="209" s="1"/>
  <c r="F39" i="7"/>
  <c r="Q17" i="209" s="1"/>
  <c r="F42" i="7"/>
  <c r="K253" i="209" s="1"/>
  <c r="F40" i="7"/>
  <c r="K76" i="209" s="1"/>
  <c r="F37" i="7"/>
  <c r="Q194" i="209" s="1"/>
  <c r="K725" i="209"/>
  <c r="E42" i="18"/>
  <c r="M14" i="9" s="1"/>
  <c r="E18" i="330"/>
  <c r="E41" i="330" s="1"/>
  <c r="J727" i="209"/>
  <c r="E41" i="18"/>
  <c r="M13" i="14" s="1"/>
  <c r="F18" i="18"/>
  <c r="F37" i="18" s="1"/>
  <c r="N9" i="14" s="1"/>
  <c r="E40" i="18"/>
  <c r="M12" i="16" s="1"/>
  <c r="L13" i="170"/>
  <c r="L13" i="104"/>
  <c r="I202" i="246"/>
  <c r="L13" i="186"/>
  <c r="L13" i="226"/>
  <c r="E38" i="172"/>
  <c r="E42" i="172"/>
  <c r="E40" i="172"/>
  <c r="E41" i="172"/>
  <c r="J661" i="246"/>
  <c r="E37" i="172"/>
  <c r="E18" i="174"/>
  <c r="E39" i="172"/>
  <c r="L14" i="104"/>
  <c r="L14" i="186"/>
  <c r="L14" i="170"/>
  <c r="L14" i="226"/>
  <c r="I253" i="246"/>
  <c r="E18" i="175"/>
  <c r="E40" i="170"/>
  <c r="E37" i="170"/>
  <c r="E42" i="170"/>
  <c r="E41" i="170"/>
  <c r="E38" i="170"/>
  <c r="E39" i="170"/>
  <c r="L14" i="137"/>
  <c r="W30" i="137" s="1"/>
  <c r="L14" i="219"/>
  <c r="W30" i="219" s="1"/>
  <c r="L14" i="178"/>
  <c r="W30" i="178" s="1"/>
  <c r="L14" i="353"/>
  <c r="W30" i="353" s="1"/>
  <c r="L14" i="126"/>
  <c r="W30" i="126" s="1"/>
  <c r="L14" i="362"/>
  <c r="W30" i="362" s="1"/>
  <c r="L14" i="160"/>
  <c r="W30" i="160" s="1"/>
  <c r="L14" i="151"/>
  <c r="W30" i="151" s="1"/>
  <c r="L14" i="187"/>
  <c r="W30" i="187" s="1"/>
  <c r="L14" i="146"/>
  <c r="W30" i="146" s="1"/>
  <c r="L14" i="188"/>
  <c r="W30" i="188" s="1"/>
  <c r="L14" i="189"/>
  <c r="W30" i="189" s="1"/>
  <c r="L14" i="270"/>
  <c r="W30" i="270" s="1"/>
  <c r="L14" i="195"/>
  <c r="W30" i="195" s="1"/>
  <c r="L14" i="349"/>
  <c r="W30" i="349" s="1"/>
  <c r="L14" i="293"/>
  <c r="W30" i="293" s="1"/>
  <c r="L14" i="183"/>
  <c r="W30" i="183" s="1"/>
  <c r="L14" i="194"/>
  <c r="W30" i="194" s="1"/>
  <c r="L14" i="141"/>
  <c r="W30" i="141" s="1"/>
  <c r="D41" i="174"/>
  <c r="D39" i="174"/>
  <c r="D42" i="174"/>
  <c r="D38" i="174"/>
  <c r="D37" i="174"/>
  <c r="D40" i="174"/>
  <c r="I667" i="246"/>
  <c r="G41" i="126"/>
  <c r="L190" i="246" s="1"/>
  <c r="G18" i="226"/>
  <c r="G40" i="126"/>
  <c r="L88" i="246" s="1"/>
  <c r="G37" i="126"/>
  <c r="R190" i="246" s="1"/>
  <c r="G42" i="126"/>
  <c r="L241" i="246" s="1"/>
  <c r="G39" i="126"/>
  <c r="R37" i="246" s="1"/>
  <c r="G38" i="126"/>
  <c r="L37" i="246" s="1"/>
  <c r="L649" i="246"/>
  <c r="M649" i="246" s="1"/>
  <c r="H18" i="126"/>
  <c r="L9" i="189"/>
  <c r="W25" i="189" s="1"/>
  <c r="L9" i="160"/>
  <c r="W25" i="160" s="1"/>
  <c r="L9" i="183"/>
  <c r="W25" i="183" s="1"/>
  <c r="L9" i="293"/>
  <c r="W25" i="293" s="1"/>
  <c r="L9" i="349"/>
  <c r="W25" i="349" s="1"/>
  <c r="L9" i="362"/>
  <c r="W25" i="362" s="1"/>
  <c r="L9" i="353"/>
  <c r="W25" i="353" s="1"/>
  <c r="L9" i="195"/>
  <c r="W25" i="195" s="1"/>
  <c r="L9" i="137"/>
  <c r="W25" i="137" s="1"/>
  <c r="L9" i="187"/>
  <c r="W25" i="187" s="1"/>
  <c r="L9" i="270"/>
  <c r="W25" i="270" s="1"/>
  <c r="L9" i="146"/>
  <c r="W25" i="146" s="1"/>
  <c r="L9" i="188"/>
  <c r="W25" i="188" s="1"/>
  <c r="L9" i="219"/>
  <c r="W25" i="219" s="1"/>
  <c r="L9" i="141"/>
  <c r="W25" i="141" s="1"/>
  <c r="L9" i="126"/>
  <c r="W25" i="126" s="1"/>
  <c r="L9" i="151"/>
  <c r="W25" i="151" s="1"/>
  <c r="L9" i="194"/>
  <c r="W25" i="194" s="1"/>
  <c r="L9" i="178"/>
  <c r="W25" i="178" s="1"/>
  <c r="G15" i="231"/>
  <c r="G15" i="170"/>
  <c r="G15" i="175" s="1"/>
  <c r="G15" i="172"/>
  <c r="G15" i="174" s="1"/>
  <c r="E38" i="231"/>
  <c r="J53" i="246" s="1"/>
  <c r="J665" i="246"/>
  <c r="E37" i="231"/>
  <c r="P206" i="246" s="1"/>
  <c r="E39" i="231"/>
  <c r="P53" i="246" s="1"/>
  <c r="E41" i="231"/>
  <c r="J206" i="246" s="1"/>
  <c r="E42" i="231"/>
  <c r="J257" i="246" s="1"/>
  <c r="E40" i="231"/>
  <c r="J104" i="246" s="1"/>
  <c r="L11" i="270"/>
  <c r="W27" i="270" s="1"/>
  <c r="L11" i="151"/>
  <c r="W27" i="151" s="1"/>
  <c r="L11" i="362"/>
  <c r="W27" i="362" s="1"/>
  <c r="L11" i="160"/>
  <c r="W27" i="160" s="1"/>
  <c r="L11" i="178"/>
  <c r="W27" i="178" s="1"/>
  <c r="L11" i="219"/>
  <c r="W27" i="219" s="1"/>
  <c r="L11" i="353"/>
  <c r="W27" i="353" s="1"/>
  <c r="L11" i="195"/>
  <c r="W27" i="195" s="1"/>
  <c r="L11" i="194"/>
  <c r="W27" i="194" s="1"/>
  <c r="L11" i="187"/>
  <c r="W27" i="187" s="1"/>
  <c r="L11" i="183"/>
  <c r="W27" i="183" s="1"/>
  <c r="L11" i="349"/>
  <c r="W27" i="349" s="1"/>
  <c r="L11" i="141"/>
  <c r="W27" i="141" s="1"/>
  <c r="L11" i="188"/>
  <c r="W27" i="188" s="1"/>
  <c r="L11" i="189"/>
  <c r="W27" i="189" s="1"/>
  <c r="L11" i="146"/>
  <c r="W27" i="146" s="1"/>
  <c r="L11" i="137"/>
  <c r="W27" i="137" s="1"/>
  <c r="L11" i="293"/>
  <c r="W27" i="293" s="1"/>
  <c r="L11" i="126"/>
  <c r="W27" i="126" s="1"/>
  <c r="L13" i="160"/>
  <c r="W29" i="160" s="1"/>
  <c r="L13" i="189"/>
  <c r="W29" i="189" s="1"/>
  <c r="L13" i="141"/>
  <c r="W29" i="141" s="1"/>
  <c r="L13" i="362"/>
  <c r="W29" i="362" s="1"/>
  <c r="L13" i="126"/>
  <c r="W29" i="126" s="1"/>
  <c r="L13" i="187"/>
  <c r="W29" i="187" s="1"/>
  <c r="L13" i="353"/>
  <c r="W29" i="353" s="1"/>
  <c r="L13" i="195"/>
  <c r="W29" i="195" s="1"/>
  <c r="L13" i="146"/>
  <c r="W29" i="146" s="1"/>
  <c r="L13" i="270"/>
  <c r="W29" i="270" s="1"/>
  <c r="L13" i="219"/>
  <c r="W29" i="219" s="1"/>
  <c r="L13" i="183"/>
  <c r="W29" i="183" s="1"/>
  <c r="L13" i="178"/>
  <c r="W29" i="178" s="1"/>
  <c r="L13" i="349"/>
  <c r="W29" i="349" s="1"/>
  <c r="L13" i="188"/>
  <c r="W29" i="188" s="1"/>
  <c r="L13" i="293"/>
  <c r="W29" i="293" s="1"/>
  <c r="L13" i="137"/>
  <c r="W29" i="137" s="1"/>
  <c r="L13" i="194"/>
  <c r="W29" i="194" s="1"/>
  <c r="L13" i="151"/>
  <c r="W29" i="151" s="1"/>
  <c r="L12" i="194"/>
  <c r="W28" i="194" s="1"/>
  <c r="L12" i="151"/>
  <c r="W28" i="151" s="1"/>
  <c r="L12" i="137"/>
  <c r="W28" i="137" s="1"/>
  <c r="L12" i="183"/>
  <c r="W28" i="183" s="1"/>
  <c r="L12" i="187"/>
  <c r="W28" i="187" s="1"/>
  <c r="L12" i="188"/>
  <c r="W28" i="188" s="1"/>
  <c r="L12" i="189"/>
  <c r="W28" i="189" s="1"/>
  <c r="L12" i="293"/>
  <c r="W28" i="293" s="1"/>
  <c r="L12" i="195"/>
  <c r="W28" i="195" s="1"/>
  <c r="L12" i="141"/>
  <c r="W28" i="141" s="1"/>
  <c r="L12" i="178"/>
  <c r="W28" i="178" s="1"/>
  <c r="L12" i="219"/>
  <c r="W28" i="219" s="1"/>
  <c r="L12" i="270"/>
  <c r="W28" i="270" s="1"/>
  <c r="L12" i="349"/>
  <c r="W28" i="349" s="1"/>
  <c r="L12" i="146"/>
  <c r="W28" i="146" s="1"/>
  <c r="L12" i="160"/>
  <c r="W28" i="160" s="1"/>
  <c r="L12" i="362"/>
  <c r="W28" i="362" s="1"/>
  <c r="L12" i="126"/>
  <c r="W28" i="126" s="1"/>
  <c r="L12" i="353"/>
  <c r="W28" i="353" s="1"/>
  <c r="D42" i="175"/>
  <c r="L14" i="212" s="1"/>
  <c r="D40" i="175"/>
  <c r="L12" i="212" s="1"/>
  <c r="D39" i="175"/>
  <c r="L11" i="212" s="1"/>
  <c r="D38" i="175"/>
  <c r="L10" i="212" s="1"/>
  <c r="D37" i="175"/>
  <c r="L9" i="212" s="1"/>
  <c r="D41" i="175"/>
  <c r="L13" i="212" s="1"/>
  <c r="O34" i="292"/>
  <c r="F41" i="226"/>
  <c r="K200" i="246" s="1"/>
  <c r="F38" i="226"/>
  <c r="K47" i="246" s="1"/>
  <c r="K659" i="246"/>
  <c r="F39" i="226"/>
  <c r="Q47" i="246" s="1"/>
  <c r="F42" i="226"/>
  <c r="K251" i="246" s="1"/>
  <c r="F18" i="172"/>
  <c r="F37" i="226"/>
  <c r="Q200" i="246" s="1"/>
  <c r="F40" i="226"/>
  <c r="K98" i="246" s="1"/>
  <c r="F18" i="231"/>
  <c r="F18" i="170"/>
  <c r="L10" i="219"/>
  <c r="W26" i="219" s="1"/>
  <c r="L10" i="137"/>
  <c r="W26" i="137" s="1"/>
  <c r="L10" i="188"/>
  <c r="W26" i="188" s="1"/>
  <c r="L10" i="160"/>
  <c r="W26" i="160" s="1"/>
  <c r="L10" i="353"/>
  <c r="W26" i="353" s="1"/>
  <c r="L10" i="178"/>
  <c r="W26" i="178" s="1"/>
  <c r="L10" i="362"/>
  <c r="W26" i="362" s="1"/>
  <c r="L10" i="151"/>
  <c r="W26" i="151" s="1"/>
  <c r="L10" i="126"/>
  <c r="W26" i="126" s="1"/>
  <c r="L10" i="270"/>
  <c r="W26" i="270" s="1"/>
  <c r="L10" i="293"/>
  <c r="W26" i="293" s="1"/>
  <c r="L10" i="194"/>
  <c r="W26" i="194" s="1"/>
  <c r="L10" i="141"/>
  <c r="W26" i="141" s="1"/>
  <c r="L10" i="349"/>
  <c r="W26" i="349" s="1"/>
  <c r="L10" i="189"/>
  <c r="W26" i="189" s="1"/>
  <c r="L10" i="183"/>
  <c r="W26" i="183" s="1"/>
  <c r="L10" i="195"/>
  <c r="W26" i="195" s="1"/>
  <c r="L10" i="187"/>
  <c r="W26" i="187" s="1"/>
  <c r="L10" i="146"/>
  <c r="W26" i="146" s="1"/>
  <c r="L10" i="104"/>
  <c r="L10" i="170"/>
  <c r="L10" i="226"/>
  <c r="I49" i="246"/>
  <c r="L10" i="186"/>
  <c r="O202" i="246"/>
  <c r="L9" i="226"/>
  <c r="L9" i="186"/>
  <c r="L9" i="104"/>
  <c r="L9" i="170"/>
  <c r="L11" i="170"/>
  <c r="O49" i="246"/>
  <c r="L11" i="186"/>
  <c r="L11" i="226"/>
  <c r="L11" i="104"/>
  <c r="L12" i="186"/>
  <c r="L12" i="170"/>
  <c r="L12" i="226"/>
  <c r="I100" i="246"/>
  <c r="L12" i="104"/>
  <c r="L19" i="184"/>
  <c r="O157" i="246"/>
  <c r="L19" i="231"/>
  <c r="L19" i="229"/>
  <c r="L19" i="84"/>
  <c r="L19" i="175"/>
  <c r="L19" i="361"/>
  <c r="L19" i="172"/>
  <c r="L19" i="171"/>
  <c r="G18" i="327"/>
  <c r="G41" i="18"/>
  <c r="G37" i="18"/>
  <c r="G39" i="18"/>
  <c r="L727" i="209"/>
  <c r="G40" i="18"/>
  <c r="G42" i="18"/>
  <c r="G38" i="18"/>
  <c r="G18" i="328"/>
  <c r="G39" i="44"/>
  <c r="G38" i="44"/>
  <c r="G41" i="44"/>
  <c r="L753" i="209"/>
  <c r="M753" i="209" s="1"/>
  <c r="G37" i="44"/>
  <c r="G40" i="44"/>
  <c r="G42" i="44"/>
  <c r="G18" i="330"/>
  <c r="G18" i="58"/>
  <c r="H18" i="44"/>
  <c r="K753" i="209"/>
  <c r="F42" i="44"/>
  <c r="F18" i="328"/>
  <c r="F40" i="44"/>
  <c r="F38" i="44"/>
  <c r="F41" i="44"/>
  <c r="F37" i="44"/>
  <c r="O11" i="292"/>
  <c r="F39" i="44"/>
  <c r="G15" i="328"/>
  <c r="Y33" i="330"/>
  <c r="X33" i="330"/>
  <c r="Y33" i="58"/>
  <c r="X33" i="58"/>
  <c r="G15" i="330" l="1"/>
  <c r="G15" i="58"/>
  <c r="G15" i="229" s="1"/>
  <c r="M11" i="4"/>
  <c r="M11" i="15"/>
  <c r="M11" i="11"/>
  <c r="M11" i="13"/>
  <c r="Q196" i="209"/>
  <c r="N9" i="10"/>
  <c r="N9" i="9"/>
  <c r="N9" i="7"/>
  <c r="N9" i="13"/>
  <c r="N9" i="6"/>
  <c r="N9" i="16"/>
  <c r="F18" i="58"/>
  <c r="F42" i="58" s="1"/>
  <c r="K295" i="209" s="1"/>
  <c r="M10" i="15"/>
  <c r="N9" i="15"/>
  <c r="M10" i="4"/>
  <c r="N9" i="4"/>
  <c r="F38" i="18"/>
  <c r="N10" i="9" s="1"/>
  <c r="N9" i="11"/>
  <c r="F18" i="330"/>
  <c r="F39" i="330" s="1"/>
  <c r="O10" i="292"/>
  <c r="R10" i="292" s="1"/>
  <c r="E42" i="327"/>
  <c r="J266" i="209" s="1"/>
  <c r="N9" i="125"/>
  <c r="F39" i="18"/>
  <c r="N11" i="6" s="1"/>
  <c r="M11" i="125"/>
  <c r="M10" i="125"/>
  <c r="M11" i="9"/>
  <c r="E37" i="229"/>
  <c r="M9" i="327" s="1"/>
  <c r="E41" i="229"/>
  <c r="M13" i="58" s="1"/>
  <c r="J771" i="209"/>
  <c r="E42" i="229"/>
  <c r="M14" i="330" s="1"/>
  <c r="E38" i="229"/>
  <c r="M10" i="44" s="1"/>
  <c r="W25" i="44" s="1"/>
  <c r="E39" i="229"/>
  <c r="M11" i="247" s="1"/>
  <c r="W26" i="247" s="1"/>
  <c r="E40" i="58"/>
  <c r="J118" i="209" s="1"/>
  <c r="E42" i="58"/>
  <c r="J295" i="209" s="1"/>
  <c r="F42" i="18"/>
  <c r="N14" i="10" s="1"/>
  <c r="F41" i="18"/>
  <c r="N13" i="7" s="1"/>
  <c r="F18" i="327"/>
  <c r="F42" i="327" s="1"/>
  <c r="K266" i="209" s="1"/>
  <c r="J767" i="209"/>
  <c r="E41" i="58"/>
  <c r="J236" i="209" s="1"/>
  <c r="E39" i="58"/>
  <c r="P59" i="209" s="1"/>
  <c r="E38" i="58"/>
  <c r="J59" i="209" s="1"/>
  <c r="E37" i="58"/>
  <c r="P236" i="209" s="1"/>
  <c r="M11" i="14"/>
  <c r="E37" i="327"/>
  <c r="P207" i="209" s="1"/>
  <c r="M11" i="10"/>
  <c r="M11" i="16"/>
  <c r="M11" i="6"/>
  <c r="M11" i="7"/>
  <c r="M10" i="9"/>
  <c r="M12" i="125"/>
  <c r="M10" i="6"/>
  <c r="J19" i="209"/>
  <c r="M10" i="7"/>
  <c r="M10" i="11"/>
  <c r="M10" i="13"/>
  <c r="K727" i="209"/>
  <c r="M10" i="14"/>
  <c r="M10" i="16"/>
  <c r="M725" i="209"/>
  <c r="E42" i="330"/>
  <c r="E40" i="327"/>
  <c r="J89" i="209" s="1"/>
  <c r="M12" i="14"/>
  <c r="M12" i="7"/>
  <c r="M12" i="4"/>
  <c r="M12" i="10"/>
  <c r="M12" i="15"/>
  <c r="E41" i="327"/>
  <c r="J207" i="209" s="1"/>
  <c r="M12" i="9"/>
  <c r="M12" i="11"/>
  <c r="E38" i="327"/>
  <c r="J30" i="209" s="1"/>
  <c r="J738" i="209"/>
  <c r="M14" i="13"/>
  <c r="M14" i="7"/>
  <c r="E37" i="330"/>
  <c r="E38" i="330"/>
  <c r="M14" i="4"/>
  <c r="M14" i="14"/>
  <c r="E39" i="330"/>
  <c r="M14" i="125"/>
  <c r="J255" i="209"/>
  <c r="E40" i="330"/>
  <c r="M13" i="125"/>
  <c r="M14" i="10"/>
  <c r="M13" i="7"/>
  <c r="M14" i="6"/>
  <c r="M14" i="15"/>
  <c r="M13" i="11"/>
  <c r="M14" i="16"/>
  <c r="M14" i="11"/>
  <c r="M13" i="16"/>
  <c r="J78" i="209"/>
  <c r="M12" i="6"/>
  <c r="D39" i="18"/>
  <c r="D40" i="18"/>
  <c r="D37" i="18"/>
  <c r="I727" i="209"/>
  <c r="M727" i="209" s="1"/>
  <c r="D41" i="18"/>
  <c r="D38" i="18"/>
  <c r="D18" i="327"/>
  <c r="D18" i="330"/>
  <c r="H18" i="330" s="1"/>
  <c r="D18" i="58"/>
  <c r="D42" i="18"/>
  <c r="M13" i="13"/>
  <c r="M13" i="6"/>
  <c r="J196" i="209"/>
  <c r="M13" i="9"/>
  <c r="M13" i="10"/>
  <c r="F40" i="18"/>
  <c r="K78" i="209" s="1"/>
  <c r="M13" i="15"/>
  <c r="M12" i="13"/>
  <c r="M13" i="4"/>
  <c r="H18" i="18"/>
  <c r="L10" i="175"/>
  <c r="L10" i="184"/>
  <c r="L10" i="231"/>
  <c r="L10" i="84"/>
  <c r="I55" i="246"/>
  <c r="L10" i="361"/>
  <c r="L10" i="172"/>
  <c r="L10" i="171"/>
  <c r="L10" i="229"/>
  <c r="L14" i="175"/>
  <c r="L14" i="231"/>
  <c r="L14" i="171"/>
  <c r="I259" i="246"/>
  <c r="L14" i="184"/>
  <c r="L14" i="172"/>
  <c r="L14" i="361"/>
  <c r="L14" i="229"/>
  <c r="L14" i="84"/>
  <c r="L11" i="172"/>
  <c r="L11" i="229"/>
  <c r="L11" i="175"/>
  <c r="L11" i="184"/>
  <c r="O55" i="246"/>
  <c r="L11" i="84"/>
  <c r="L11" i="231"/>
  <c r="L11" i="171"/>
  <c r="L11" i="361"/>
  <c r="L13" i="231"/>
  <c r="L13" i="175"/>
  <c r="I208" i="246"/>
  <c r="L13" i="172"/>
  <c r="L13" i="184"/>
  <c r="L13" i="171"/>
  <c r="L13" i="84"/>
  <c r="L13" i="229"/>
  <c r="L13" i="361"/>
  <c r="M11" i="170"/>
  <c r="W26" i="170" s="1"/>
  <c r="M11" i="104"/>
  <c r="W26" i="104" s="1"/>
  <c r="M11" i="186"/>
  <c r="W26" i="186" s="1"/>
  <c r="M11" i="226"/>
  <c r="W26" i="226" s="1"/>
  <c r="P49" i="246"/>
  <c r="E39" i="174"/>
  <c r="E38" i="174"/>
  <c r="E40" i="174"/>
  <c r="E42" i="174"/>
  <c r="E41" i="174"/>
  <c r="J667" i="246"/>
  <c r="E37" i="174"/>
  <c r="R34" i="292"/>
  <c r="U34" i="292"/>
  <c r="M9" i="170"/>
  <c r="W24" i="170" s="1"/>
  <c r="P202" i="246"/>
  <c r="M9" i="226"/>
  <c r="W24" i="226" s="1"/>
  <c r="M9" i="104"/>
  <c r="W24" i="104" s="1"/>
  <c r="M9" i="186"/>
  <c r="W24" i="186" s="1"/>
  <c r="M11" i="353"/>
  <c r="M11" i="270"/>
  <c r="M11" i="194"/>
  <c r="M11" i="160"/>
  <c r="M11" i="178"/>
  <c r="M11" i="183"/>
  <c r="M11" i="137"/>
  <c r="M11" i="293"/>
  <c r="M11" i="362"/>
  <c r="M11" i="219"/>
  <c r="M11" i="151"/>
  <c r="M11" i="141"/>
  <c r="M11" i="349"/>
  <c r="M11" i="146"/>
  <c r="M11" i="189"/>
  <c r="M11" i="195"/>
  <c r="M11" i="187"/>
  <c r="M11" i="126"/>
  <c r="M11" i="188"/>
  <c r="M13" i="226"/>
  <c r="W28" i="226" s="1"/>
  <c r="J202" i="246"/>
  <c r="M13" i="104"/>
  <c r="W28" i="104" s="1"/>
  <c r="M13" i="186"/>
  <c r="W28" i="186" s="1"/>
  <c r="M13" i="170"/>
  <c r="W28" i="170" s="1"/>
  <c r="M10" i="188"/>
  <c r="M10" i="189"/>
  <c r="M10" i="194"/>
  <c r="M10" i="137"/>
  <c r="M10" i="178"/>
  <c r="M10" i="353"/>
  <c r="M10" i="126"/>
  <c r="M10" i="219"/>
  <c r="M10" i="141"/>
  <c r="M10" i="270"/>
  <c r="M10" i="151"/>
  <c r="M10" i="183"/>
  <c r="M10" i="187"/>
  <c r="M10" i="362"/>
  <c r="M10" i="160"/>
  <c r="M10" i="293"/>
  <c r="M10" i="146"/>
  <c r="M10" i="195"/>
  <c r="M10" i="349"/>
  <c r="M12" i="226"/>
  <c r="W27" i="226" s="1"/>
  <c r="J100" i="246"/>
  <c r="M12" i="186"/>
  <c r="W27" i="186" s="1"/>
  <c r="M12" i="170"/>
  <c r="W27" i="170" s="1"/>
  <c r="M12" i="104"/>
  <c r="W27" i="104" s="1"/>
  <c r="M13" i="160"/>
  <c r="M13" i="187"/>
  <c r="M13" i="362"/>
  <c r="M13" i="183"/>
  <c r="M13" i="178"/>
  <c r="M13" i="195"/>
  <c r="M13" i="353"/>
  <c r="M13" i="141"/>
  <c r="M13" i="151"/>
  <c r="M13" i="293"/>
  <c r="M13" i="219"/>
  <c r="M13" i="189"/>
  <c r="M13" i="194"/>
  <c r="M13" i="146"/>
  <c r="M13" i="188"/>
  <c r="M13" i="270"/>
  <c r="M13" i="349"/>
  <c r="M13" i="126"/>
  <c r="M13" i="137"/>
  <c r="J253" i="246"/>
  <c r="M14" i="186"/>
  <c r="W29" i="186" s="1"/>
  <c r="M14" i="226"/>
  <c r="W29" i="226" s="1"/>
  <c r="M14" i="104"/>
  <c r="W29" i="104" s="1"/>
  <c r="M14" i="170"/>
  <c r="W29" i="170" s="1"/>
  <c r="G42" i="226"/>
  <c r="L251" i="246" s="1"/>
  <c r="G38" i="226"/>
  <c r="L47" i="246" s="1"/>
  <c r="L659" i="246"/>
  <c r="G37" i="226"/>
  <c r="R200" i="246" s="1"/>
  <c r="G39" i="226"/>
  <c r="R47" i="246" s="1"/>
  <c r="G40" i="226"/>
  <c r="L98" i="246" s="1"/>
  <c r="G18" i="170"/>
  <c r="G18" i="172"/>
  <c r="G18" i="231"/>
  <c r="G41" i="226"/>
  <c r="L200" i="246" s="1"/>
  <c r="H18" i="226"/>
  <c r="M14" i="188"/>
  <c r="M14" i="141"/>
  <c r="M14" i="137"/>
  <c r="M14" i="349"/>
  <c r="M14" i="183"/>
  <c r="M14" i="270"/>
  <c r="M14" i="160"/>
  <c r="M14" i="189"/>
  <c r="M14" i="293"/>
  <c r="M14" i="178"/>
  <c r="M14" i="187"/>
  <c r="M14" i="146"/>
  <c r="M14" i="151"/>
  <c r="M14" i="126"/>
  <c r="M14" i="353"/>
  <c r="M14" i="194"/>
  <c r="M14" i="362"/>
  <c r="M14" i="195"/>
  <c r="M14" i="219"/>
  <c r="J49" i="246"/>
  <c r="M10" i="170"/>
  <c r="W25" i="170" s="1"/>
  <c r="M10" i="186"/>
  <c r="W25" i="186" s="1"/>
  <c r="M10" i="226"/>
  <c r="W25" i="226" s="1"/>
  <c r="M10" i="104"/>
  <c r="W25" i="104" s="1"/>
  <c r="F38" i="170"/>
  <c r="F39" i="170"/>
  <c r="F40" i="170"/>
  <c r="F42" i="170"/>
  <c r="F41" i="170"/>
  <c r="F37" i="170"/>
  <c r="F18" i="175"/>
  <c r="M9" i="178"/>
  <c r="M9" i="353"/>
  <c r="M9" i="126"/>
  <c r="M9" i="141"/>
  <c r="M9" i="219"/>
  <c r="M9" i="293"/>
  <c r="M9" i="195"/>
  <c r="M9" i="146"/>
  <c r="M9" i="137"/>
  <c r="M9" i="187"/>
  <c r="M9" i="362"/>
  <c r="M9" i="349"/>
  <c r="M9" i="151"/>
  <c r="M9" i="194"/>
  <c r="M9" i="188"/>
  <c r="M9" i="183"/>
  <c r="M9" i="160"/>
  <c r="M9" i="270"/>
  <c r="M9" i="189"/>
  <c r="F40" i="231"/>
  <c r="K104" i="246" s="1"/>
  <c r="K665" i="246"/>
  <c r="F38" i="231"/>
  <c r="K53" i="246" s="1"/>
  <c r="F41" i="231"/>
  <c r="K206" i="246" s="1"/>
  <c r="F39" i="231"/>
  <c r="Q53" i="246" s="1"/>
  <c r="F42" i="231"/>
  <c r="K257" i="246" s="1"/>
  <c r="O35" i="292"/>
  <c r="F37" i="231"/>
  <c r="Q206" i="246" s="1"/>
  <c r="M12" i="187"/>
  <c r="M12" i="293"/>
  <c r="M12" i="141"/>
  <c r="M12" i="195"/>
  <c r="M12" i="188"/>
  <c r="M12" i="137"/>
  <c r="M12" i="349"/>
  <c r="M12" i="183"/>
  <c r="M12" i="194"/>
  <c r="M12" i="146"/>
  <c r="M12" i="219"/>
  <c r="M12" i="353"/>
  <c r="M12" i="270"/>
  <c r="M12" i="189"/>
  <c r="M12" i="362"/>
  <c r="M12" i="151"/>
  <c r="M12" i="160"/>
  <c r="M12" i="126"/>
  <c r="M12" i="178"/>
  <c r="E37" i="175"/>
  <c r="M9" i="212" s="1"/>
  <c r="W24" i="212" s="1"/>
  <c r="E41" i="175"/>
  <c r="M13" i="212" s="1"/>
  <c r="W28" i="212" s="1"/>
  <c r="E38" i="175"/>
  <c r="M10" i="212" s="1"/>
  <c r="W25" i="212" s="1"/>
  <c r="E39" i="175"/>
  <c r="M11" i="212" s="1"/>
  <c r="W26" i="212" s="1"/>
  <c r="E42" i="175"/>
  <c r="M14" i="212" s="1"/>
  <c r="W29" i="212" s="1"/>
  <c r="E40" i="175"/>
  <c r="M12" i="212" s="1"/>
  <c r="W27" i="212" s="1"/>
  <c r="L12" i="229"/>
  <c r="L12" i="84"/>
  <c r="L12" i="231"/>
  <c r="L12" i="171"/>
  <c r="L12" i="172"/>
  <c r="L12" i="184"/>
  <c r="I106" i="246"/>
  <c r="L12" i="361"/>
  <c r="L12" i="175"/>
  <c r="F42" i="172"/>
  <c r="F40" i="172"/>
  <c r="K661" i="246"/>
  <c r="F37" i="172"/>
  <c r="F41" i="172"/>
  <c r="F39" i="172"/>
  <c r="F38" i="172"/>
  <c r="F18" i="174"/>
  <c r="O208" i="246"/>
  <c r="L9" i="229"/>
  <c r="L9" i="84"/>
  <c r="L9" i="184"/>
  <c r="L9" i="361"/>
  <c r="L9" i="171"/>
  <c r="L9" i="172"/>
  <c r="L9" i="231"/>
  <c r="L9" i="175"/>
  <c r="O14" i="368"/>
  <c r="O14" i="365"/>
  <c r="O14" i="72"/>
  <c r="O14" i="370"/>
  <c r="O14" i="372"/>
  <c r="O14" i="196"/>
  <c r="O14" i="79"/>
  <c r="O14" i="338"/>
  <c r="O14" i="369"/>
  <c r="O14" i="337"/>
  <c r="O14" i="39"/>
  <c r="O14" i="154"/>
  <c r="O14" i="123"/>
  <c r="L281" i="209"/>
  <c r="N10" i="368"/>
  <c r="N10" i="154"/>
  <c r="K45" i="209"/>
  <c r="N10" i="337"/>
  <c r="N10" i="196"/>
  <c r="N10" i="369"/>
  <c r="N10" i="338"/>
  <c r="N10" i="365"/>
  <c r="N10" i="372"/>
  <c r="N10" i="79"/>
  <c r="N10" i="123"/>
  <c r="N10" i="370"/>
  <c r="N10" i="39"/>
  <c r="N10" i="72"/>
  <c r="O10" i="72"/>
  <c r="O10" i="368"/>
  <c r="O10" i="365"/>
  <c r="O10" i="123"/>
  <c r="O10" i="79"/>
  <c r="O10" i="338"/>
  <c r="O10" i="370"/>
  <c r="O10" i="369"/>
  <c r="O10" i="154"/>
  <c r="O10" i="372"/>
  <c r="O10" i="39"/>
  <c r="O10" i="337"/>
  <c r="L45" i="209"/>
  <c r="O10" i="196"/>
  <c r="O10" i="125"/>
  <c r="O10" i="6"/>
  <c r="O10" i="10"/>
  <c r="O10" i="15"/>
  <c r="O10" i="14"/>
  <c r="O10" i="7"/>
  <c r="O10" i="11"/>
  <c r="L19" i="209"/>
  <c r="O10" i="9"/>
  <c r="O10" i="4"/>
  <c r="O10" i="13"/>
  <c r="O10" i="16"/>
  <c r="M13" i="248"/>
  <c r="W28" i="248" s="1"/>
  <c r="O14" i="15"/>
  <c r="O14" i="11"/>
  <c r="O14" i="10"/>
  <c r="O14" i="125"/>
  <c r="O14" i="7"/>
  <c r="O14" i="6"/>
  <c r="O14" i="13"/>
  <c r="L255" i="209"/>
  <c r="O14" i="4"/>
  <c r="O14" i="9"/>
  <c r="O14" i="14"/>
  <c r="O14" i="16"/>
  <c r="R45" i="209"/>
  <c r="O11" i="370"/>
  <c r="O11" i="72"/>
  <c r="O11" i="196"/>
  <c r="O11" i="337"/>
  <c r="O11" i="368"/>
  <c r="O11" i="154"/>
  <c r="O11" i="369"/>
  <c r="O11" i="39"/>
  <c r="O11" i="338"/>
  <c r="O11" i="365"/>
  <c r="O11" i="79"/>
  <c r="O11" i="372"/>
  <c r="O11" i="123"/>
  <c r="N12" i="337"/>
  <c r="N12" i="39"/>
  <c r="N12" i="372"/>
  <c r="N12" i="370"/>
  <c r="N12" i="338"/>
  <c r="N12" i="79"/>
  <c r="N12" i="154"/>
  <c r="N12" i="123"/>
  <c r="N12" i="196"/>
  <c r="N12" i="72"/>
  <c r="N12" i="369"/>
  <c r="N12" i="368"/>
  <c r="K104" i="209"/>
  <c r="N12" i="365"/>
  <c r="F38" i="328"/>
  <c r="F37" i="328"/>
  <c r="F39" i="328"/>
  <c r="F42" i="328"/>
  <c r="F41" i="328"/>
  <c r="F40" i="328"/>
  <c r="N14" i="369"/>
  <c r="N14" i="123"/>
  <c r="N14" i="72"/>
  <c r="N14" i="196"/>
  <c r="N14" i="154"/>
  <c r="K281" i="209"/>
  <c r="N14" i="365"/>
  <c r="N14" i="337"/>
  <c r="N14" i="39"/>
  <c r="N14" i="368"/>
  <c r="N14" i="370"/>
  <c r="N14" i="338"/>
  <c r="N14" i="79"/>
  <c r="N14" i="372"/>
  <c r="P240" i="209"/>
  <c r="O11" i="13"/>
  <c r="O11" i="10"/>
  <c r="O11" i="15"/>
  <c r="O11" i="14"/>
  <c r="O11" i="11"/>
  <c r="O11" i="6"/>
  <c r="O11" i="125"/>
  <c r="O11" i="4"/>
  <c r="R19" i="209"/>
  <c r="O11" i="9"/>
  <c r="O11" i="16"/>
  <c r="O11" i="7"/>
  <c r="U11" i="292"/>
  <c r="R11" i="292"/>
  <c r="O12" i="15"/>
  <c r="O12" i="16"/>
  <c r="O12" i="7"/>
  <c r="O12" i="14"/>
  <c r="O12" i="13"/>
  <c r="O12" i="10"/>
  <c r="O12" i="11"/>
  <c r="L78" i="209"/>
  <c r="O12" i="6"/>
  <c r="O12" i="9"/>
  <c r="O12" i="4"/>
  <c r="O12" i="125"/>
  <c r="M12" i="174"/>
  <c r="M12" i="291"/>
  <c r="W27" i="291" s="1"/>
  <c r="M12" i="248"/>
  <c r="W27" i="248" s="1"/>
  <c r="M12" i="247"/>
  <c r="W27" i="247" s="1"/>
  <c r="M12" i="44"/>
  <c r="W27" i="44" s="1"/>
  <c r="M12" i="58"/>
  <c r="M12" i="228"/>
  <c r="W27" i="228" s="1"/>
  <c r="M12" i="18"/>
  <c r="W27" i="18" s="1"/>
  <c r="M12" i="328"/>
  <c r="W27" i="328" s="1"/>
  <c r="M12" i="330"/>
  <c r="M12" i="327"/>
  <c r="M12" i="326"/>
  <c r="W27" i="326" s="1"/>
  <c r="J122" i="209"/>
  <c r="M12" i="250"/>
  <c r="W27" i="250" s="1"/>
  <c r="G42" i="330"/>
  <c r="G37" i="330"/>
  <c r="G38" i="330"/>
  <c r="G41" i="330"/>
  <c r="G40" i="330"/>
  <c r="G39" i="330"/>
  <c r="N11" i="368"/>
  <c r="N11" i="370"/>
  <c r="Q45" i="209"/>
  <c r="N11" i="372"/>
  <c r="N11" i="196"/>
  <c r="N11" i="72"/>
  <c r="N11" i="154"/>
  <c r="N11" i="337"/>
  <c r="N11" i="369"/>
  <c r="N11" i="79"/>
  <c r="N11" i="123"/>
  <c r="N11" i="365"/>
  <c r="N11" i="39"/>
  <c r="N11" i="338"/>
  <c r="O12" i="372"/>
  <c r="L104" i="209"/>
  <c r="O12" i="154"/>
  <c r="O12" i="338"/>
  <c r="O12" i="369"/>
  <c r="O12" i="337"/>
  <c r="O12" i="79"/>
  <c r="O12" i="39"/>
  <c r="O12" i="368"/>
  <c r="O12" i="123"/>
  <c r="O12" i="365"/>
  <c r="O12" i="72"/>
  <c r="O12" i="196"/>
  <c r="O12" i="370"/>
  <c r="N9" i="337"/>
  <c r="N9" i="338"/>
  <c r="Q222" i="209"/>
  <c r="N9" i="365"/>
  <c r="N9" i="368"/>
  <c r="N9" i="154"/>
  <c r="N9" i="370"/>
  <c r="N9" i="72"/>
  <c r="N9" i="123"/>
  <c r="N9" i="372"/>
  <c r="N9" i="79"/>
  <c r="N9" i="196"/>
  <c r="N9" i="39"/>
  <c r="N9" i="369"/>
  <c r="O13" i="11"/>
  <c r="O13" i="4"/>
  <c r="O13" i="10"/>
  <c r="O13" i="6"/>
  <c r="O13" i="9"/>
  <c r="O13" i="14"/>
  <c r="O13" i="16"/>
  <c r="O13" i="125"/>
  <c r="L196" i="209"/>
  <c r="O13" i="15"/>
  <c r="O13" i="7"/>
  <c r="O13" i="13"/>
  <c r="N13" i="72"/>
  <c r="N13" i="372"/>
  <c r="K222" i="209"/>
  <c r="N13" i="369"/>
  <c r="N13" i="196"/>
  <c r="N13" i="370"/>
  <c r="N13" i="154"/>
  <c r="N13" i="337"/>
  <c r="N13" i="338"/>
  <c r="N13" i="39"/>
  <c r="N13" i="123"/>
  <c r="N13" i="368"/>
  <c r="N13" i="365"/>
  <c r="N13" i="79"/>
  <c r="G39" i="327"/>
  <c r="R30" i="209" s="1"/>
  <c r="G37" i="327"/>
  <c r="R207" i="209" s="1"/>
  <c r="L738" i="209"/>
  <c r="G42" i="327"/>
  <c r="L266" i="209" s="1"/>
  <c r="G41" i="327"/>
  <c r="L207" i="209" s="1"/>
  <c r="G40" i="327"/>
  <c r="L89" i="209" s="1"/>
  <c r="G38" i="327"/>
  <c r="L30" i="209" s="1"/>
  <c r="G39" i="328"/>
  <c r="G40" i="328"/>
  <c r="G42" i="328"/>
  <c r="G38" i="328"/>
  <c r="G37" i="328"/>
  <c r="G41" i="328"/>
  <c r="H18" i="328"/>
  <c r="G41" i="58"/>
  <c r="L236" i="209" s="1"/>
  <c r="G39" i="58"/>
  <c r="R59" i="209" s="1"/>
  <c r="G37" i="58"/>
  <c r="R236" i="209" s="1"/>
  <c r="G38" i="58"/>
  <c r="L59" i="209" s="1"/>
  <c r="G42" i="58"/>
  <c r="L295" i="209" s="1"/>
  <c r="G18" i="229"/>
  <c r="G40" i="58"/>
  <c r="L118" i="209" s="1"/>
  <c r="L767" i="209"/>
  <c r="O9" i="16"/>
  <c r="O9" i="4"/>
  <c r="O9" i="6"/>
  <c r="O9" i="10"/>
  <c r="O9" i="13"/>
  <c r="O9" i="11"/>
  <c r="O9" i="7"/>
  <c r="R196" i="209"/>
  <c r="O9" i="9"/>
  <c r="O9" i="125"/>
  <c r="O9" i="14"/>
  <c r="O9" i="15"/>
  <c r="O9" i="39"/>
  <c r="O9" i="370"/>
  <c r="O9" i="369"/>
  <c r="O9" i="368"/>
  <c r="O9" i="72"/>
  <c r="O9" i="365"/>
  <c r="O9" i="196"/>
  <c r="O9" i="154"/>
  <c r="O9" i="123"/>
  <c r="O9" i="338"/>
  <c r="O9" i="337"/>
  <c r="O9" i="79"/>
  <c r="O9" i="372"/>
  <c r="R222" i="209"/>
  <c r="O13" i="154"/>
  <c r="O13" i="365"/>
  <c r="L222" i="209"/>
  <c r="O13" i="123"/>
  <c r="O13" i="39"/>
  <c r="O13" i="337"/>
  <c r="O13" i="196"/>
  <c r="O13" i="368"/>
  <c r="O13" i="372"/>
  <c r="O13" i="370"/>
  <c r="O13" i="79"/>
  <c r="O13" i="72"/>
  <c r="O13" i="369"/>
  <c r="O13" i="338"/>
  <c r="W27" i="327" l="1"/>
  <c r="F40" i="58"/>
  <c r="K118" i="209" s="1"/>
  <c r="K767" i="209"/>
  <c r="F38" i="58"/>
  <c r="K59" i="209" s="1"/>
  <c r="F18" i="229"/>
  <c r="O24" i="292" s="1"/>
  <c r="F39" i="58"/>
  <c r="Q59" i="209" s="1"/>
  <c r="N10" i="13"/>
  <c r="N10" i="7"/>
  <c r="N10" i="16"/>
  <c r="N10" i="10"/>
  <c r="N10" i="6"/>
  <c r="N10" i="4"/>
  <c r="F41" i="58"/>
  <c r="K236" i="209" s="1"/>
  <c r="M10" i="326"/>
  <c r="W25" i="326" s="1"/>
  <c r="M10" i="247"/>
  <c r="W25" i="247" s="1"/>
  <c r="J63" i="209"/>
  <c r="F37" i="330"/>
  <c r="F40" i="330"/>
  <c r="F38" i="330"/>
  <c r="F41" i="330"/>
  <c r="F42" i="330"/>
  <c r="N10" i="15"/>
  <c r="N10" i="14"/>
  <c r="N10" i="11"/>
  <c r="N10" i="125"/>
  <c r="M9" i="330"/>
  <c r="M9" i="44"/>
  <c r="W24" i="44" s="1"/>
  <c r="M9" i="58"/>
  <c r="X24" i="58" s="1"/>
  <c r="M10" i="18"/>
  <c r="W25" i="18" s="1"/>
  <c r="M10" i="174"/>
  <c r="W25" i="174" s="1"/>
  <c r="M10" i="291"/>
  <c r="W25" i="291" s="1"/>
  <c r="M10" i="328"/>
  <c r="W25" i="328" s="1"/>
  <c r="F37" i="58"/>
  <c r="Q236" i="209" s="1"/>
  <c r="K255" i="209"/>
  <c r="O13" i="292"/>
  <c r="R13" i="292" s="1"/>
  <c r="M13" i="18"/>
  <c r="W28" i="18" s="1"/>
  <c r="M13" i="291"/>
  <c r="W28" i="291" s="1"/>
  <c r="M11" i="44"/>
  <c r="W26" i="44" s="1"/>
  <c r="N14" i="11"/>
  <c r="M13" i="174"/>
  <c r="W28" i="174" s="1"/>
  <c r="M13" i="327"/>
  <c r="W28" i="327" s="1"/>
  <c r="F40" i="327"/>
  <c r="K89" i="209" s="1"/>
  <c r="F37" i="327"/>
  <c r="Q207" i="209" s="1"/>
  <c r="M13" i="44"/>
  <c r="W28" i="44" s="1"/>
  <c r="F41" i="327"/>
  <c r="K207" i="209" s="1"/>
  <c r="M14" i="174"/>
  <c r="W29" i="174" s="1"/>
  <c r="F39" i="327"/>
  <c r="Q30" i="209" s="1"/>
  <c r="U10" i="292"/>
  <c r="N11" i="7"/>
  <c r="N11" i="9"/>
  <c r="N11" i="14"/>
  <c r="Q19" i="209"/>
  <c r="N11" i="13"/>
  <c r="N11" i="15"/>
  <c r="N11" i="11"/>
  <c r="N11" i="125"/>
  <c r="N14" i="6"/>
  <c r="N14" i="4"/>
  <c r="N11" i="16"/>
  <c r="N14" i="9"/>
  <c r="N14" i="14"/>
  <c r="N14" i="13"/>
  <c r="N14" i="7"/>
  <c r="M11" i="330"/>
  <c r="X26" i="330" s="1"/>
  <c r="N11" i="10"/>
  <c r="N14" i="16"/>
  <c r="M14" i="326"/>
  <c r="W29" i="326" s="1"/>
  <c r="M14" i="291"/>
  <c r="W29" i="291" s="1"/>
  <c r="M14" i="327"/>
  <c r="W29" i="327" s="1"/>
  <c r="M14" i="248"/>
  <c r="W29" i="248" s="1"/>
  <c r="M14" i="228"/>
  <c r="W29" i="228" s="1"/>
  <c r="M14" i="250"/>
  <c r="W29" i="250" s="1"/>
  <c r="N11" i="4"/>
  <c r="K19" i="209"/>
  <c r="K738" i="209"/>
  <c r="N13" i="6"/>
  <c r="M13" i="330"/>
  <c r="X28" i="330" s="1"/>
  <c r="N13" i="10"/>
  <c r="K196" i="209"/>
  <c r="N13" i="13"/>
  <c r="M13" i="328"/>
  <c r="W28" i="328" s="1"/>
  <c r="N13" i="14"/>
  <c r="J240" i="209"/>
  <c r="N13" i="125"/>
  <c r="M13" i="250"/>
  <c r="W28" i="250" s="1"/>
  <c r="N13" i="9"/>
  <c r="N13" i="4"/>
  <c r="M13" i="326"/>
  <c r="W28" i="326" s="1"/>
  <c r="N13" i="15"/>
  <c r="W24" i="327"/>
  <c r="M13" i="228"/>
  <c r="W28" i="228" s="1"/>
  <c r="N13" i="16"/>
  <c r="M13" i="247"/>
  <c r="W28" i="247" s="1"/>
  <c r="N13" i="11"/>
  <c r="M9" i="18"/>
  <c r="W24" i="18" s="1"/>
  <c r="M9" i="247"/>
  <c r="W24" i="247" s="1"/>
  <c r="M9" i="228"/>
  <c r="W24" i="228" s="1"/>
  <c r="M9" i="326"/>
  <c r="W24" i="326" s="1"/>
  <c r="M9" i="328"/>
  <c r="W24" i="328" s="1"/>
  <c r="M9" i="248"/>
  <c r="W24" i="248" s="1"/>
  <c r="M9" i="174"/>
  <c r="W24" i="174" s="1"/>
  <c r="M9" i="250"/>
  <c r="W24" i="250" s="1"/>
  <c r="M9" i="291"/>
  <c r="W24" i="291" s="1"/>
  <c r="P63" i="209"/>
  <c r="N14" i="125"/>
  <c r="N14" i="15"/>
  <c r="M10" i="250"/>
  <c r="W25" i="250" s="1"/>
  <c r="M11" i="291"/>
  <c r="W26" i="291" s="1"/>
  <c r="M10" i="330"/>
  <c r="Y25" i="330" s="1"/>
  <c r="M11" i="250"/>
  <c r="W26" i="250" s="1"/>
  <c r="M14" i="18"/>
  <c r="W29" i="18" s="1"/>
  <c r="M10" i="248"/>
  <c r="W25" i="248" s="1"/>
  <c r="M10" i="327"/>
  <c r="W25" i="327" s="1"/>
  <c r="M10" i="228"/>
  <c r="W25" i="228" s="1"/>
  <c r="M10" i="58"/>
  <c r="X25" i="58" s="1"/>
  <c r="M14" i="44"/>
  <c r="W29" i="44" s="1"/>
  <c r="M11" i="18"/>
  <c r="W26" i="18" s="1"/>
  <c r="M14" i="58"/>
  <c r="X29" i="58" s="1"/>
  <c r="J299" i="209"/>
  <c r="M11" i="328"/>
  <c r="W26" i="328" s="1"/>
  <c r="M14" i="328"/>
  <c r="W29" i="328" s="1"/>
  <c r="M11" i="248"/>
  <c r="W26" i="248" s="1"/>
  <c r="M14" i="247"/>
  <c r="W29" i="247" s="1"/>
  <c r="M11" i="174"/>
  <c r="W26" i="174" s="1"/>
  <c r="M11" i="326"/>
  <c r="W26" i="326" s="1"/>
  <c r="M11" i="327"/>
  <c r="W26" i="327" s="1"/>
  <c r="M11" i="58"/>
  <c r="X26" i="58" s="1"/>
  <c r="M11" i="228"/>
  <c r="W26" i="228" s="1"/>
  <c r="F38" i="327"/>
  <c r="K30" i="209" s="1"/>
  <c r="N12" i="10"/>
  <c r="N12" i="7"/>
  <c r="N12" i="6"/>
  <c r="N12" i="125"/>
  <c r="N12" i="4"/>
  <c r="N12" i="15"/>
  <c r="N12" i="13"/>
  <c r="L14" i="15"/>
  <c r="W30" i="15" s="1"/>
  <c r="L14" i="14"/>
  <c r="W30" i="14" s="1"/>
  <c r="L14" i="125"/>
  <c r="W30" i="125" s="1"/>
  <c r="L14" i="11"/>
  <c r="W30" i="11" s="1"/>
  <c r="I255" i="209"/>
  <c r="L14" i="16"/>
  <c r="W30" i="16" s="1"/>
  <c r="L14" i="7"/>
  <c r="W30" i="7" s="1"/>
  <c r="L14" i="6"/>
  <c r="W30" i="6" s="1"/>
  <c r="L14" i="13"/>
  <c r="W30" i="13" s="1"/>
  <c r="L14" i="10"/>
  <c r="W30" i="10" s="1"/>
  <c r="L14" i="9"/>
  <c r="W30" i="9" s="1"/>
  <c r="L14" i="4"/>
  <c r="W30" i="4" s="1"/>
  <c r="I767" i="209"/>
  <c r="M767" i="209" s="1"/>
  <c r="D41" i="58"/>
  <c r="I236" i="209" s="1"/>
  <c r="D40" i="58"/>
  <c r="I118" i="209" s="1"/>
  <c r="D18" i="229"/>
  <c r="D42" i="58"/>
  <c r="I295" i="209" s="1"/>
  <c r="D38" i="58"/>
  <c r="I59" i="209" s="1"/>
  <c r="D39" i="58"/>
  <c r="O59" i="209" s="1"/>
  <c r="D37" i="58"/>
  <c r="O236" i="209" s="1"/>
  <c r="D42" i="330"/>
  <c r="D40" i="330"/>
  <c r="D41" i="330"/>
  <c r="D39" i="330"/>
  <c r="D38" i="330"/>
  <c r="D37" i="330"/>
  <c r="D39" i="327"/>
  <c r="O30" i="209" s="1"/>
  <c r="D41" i="327"/>
  <c r="I207" i="209" s="1"/>
  <c r="D37" i="327"/>
  <c r="O207" i="209" s="1"/>
  <c r="I738" i="209"/>
  <c r="M738" i="209" s="1"/>
  <c r="D40" i="327"/>
  <c r="I89" i="209" s="1"/>
  <c r="D42" i="327"/>
  <c r="I266" i="209" s="1"/>
  <c r="D38" i="327"/>
  <c r="I30" i="209" s="1"/>
  <c r="L10" i="4"/>
  <c r="W26" i="4" s="1"/>
  <c r="L10" i="10"/>
  <c r="W26" i="10" s="1"/>
  <c r="L10" i="6"/>
  <c r="W26" i="6" s="1"/>
  <c r="L10" i="15"/>
  <c r="W26" i="15" s="1"/>
  <c r="L10" i="7"/>
  <c r="W26" i="7" s="1"/>
  <c r="L10" i="9"/>
  <c r="W26" i="9" s="1"/>
  <c r="L10" i="13"/>
  <c r="W26" i="13" s="1"/>
  <c r="L10" i="14"/>
  <c r="W26" i="14" s="1"/>
  <c r="L10" i="11"/>
  <c r="W26" i="11" s="1"/>
  <c r="I19" i="209"/>
  <c r="L10" i="16"/>
  <c r="W26" i="16" s="1"/>
  <c r="L10" i="125"/>
  <c r="W26" i="125" s="1"/>
  <c r="L13" i="4"/>
  <c r="W29" i="4" s="1"/>
  <c r="L13" i="6"/>
  <c r="W29" i="6" s="1"/>
  <c r="L13" i="15"/>
  <c r="W29" i="15" s="1"/>
  <c r="L13" i="125"/>
  <c r="W29" i="125" s="1"/>
  <c r="L13" i="7"/>
  <c r="W29" i="7" s="1"/>
  <c r="L13" i="14"/>
  <c r="W29" i="14" s="1"/>
  <c r="L13" i="16"/>
  <c r="W29" i="16" s="1"/>
  <c r="L13" i="13"/>
  <c r="W29" i="13" s="1"/>
  <c r="L13" i="9"/>
  <c r="W29" i="9" s="1"/>
  <c r="L13" i="10"/>
  <c r="W29" i="10" s="1"/>
  <c r="I196" i="209"/>
  <c r="L13" i="11"/>
  <c r="W29" i="11" s="1"/>
  <c r="N12" i="16"/>
  <c r="N12" i="11"/>
  <c r="N12" i="9"/>
  <c r="H18" i="58"/>
  <c r="L9" i="4"/>
  <c r="W25" i="4" s="1"/>
  <c r="O196" i="209"/>
  <c r="L9" i="7"/>
  <c r="W25" i="7" s="1"/>
  <c r="L9" i="15"/>
  <c r="W25" i="15" s="1"/>
  <c r="L9" i="14"/>
  <c r="W25" i="14" s="1"/>
  <c r="L9" i="10"/>
  <c r="W25" i="10" s="1"/>
  <c r="L9" i="9"/>
  <c r="W25" i="9" s="1"/>
  <c r="L9" i="11"/>
  <c r="W25" i="11" s="1"/>
  <c r="L9" i="16"/>
  <c r="W25" i="16" s="1"/>
  <c r="L9" i="6"/>
  <c r="W25" i="6" s="1"/>
  <c r="L9" i="13"/>
  <c r="W25" i="13" s="1"/>
  <c r="L9" i="125"/>
  <c r="W25" i="125" s="1"/>
  <c r="L12" i="14"/>
  <c r="W28" i="14" s="1"/>
  <c r="L12" i="6"/>
  <c r="W28" i="6" s="1"/>
  <c r="I78" i="209"/>
  <c r="L12" i="125"/>
  <c r="W28" i="125" s="1"/>
  <c r="L12" i="4"/>
  <c r="W28" i="4" s="1"/>
  <c r="L12" i="10"/>
  <c r="W28" i="10" s="1"/>
  <c r="L12" i="13"/>
  <c r="W28" i="13" s="1"/>
  <c r="L12" i="16"/>
  <c r="W28" i="16" s="1"/>
  <c r="L12" i="11"/>
  <c r="W28" i="11" s="1"/>
  <c r="L12" i="9"/>
  <c r="W28" i="9" s="1"/>
  <c r="L12" i="7"/>
  <c r="W28" i="7" s="1"/>
  <c r="L12" i="15"/>
  <c r="W28" i="15" s="1"/>
  <c r="L11" i="14"/>
  <c r="W27" i="14" s="1"/>
  <c r="L11" i="13"/>
  <c r="W27" i="13" s="1"/>
  <c r="L11" i="6"/>
  <c r="W27" i="6" s="1"/>
  <c r="O19" i="209"/>
  <c r="L11" i="4"/>
  <c r="W27" i="4" s="1"/>
  <c r="L11" i="125"/>
  <c r="W27" i="125" s="1"/>
  <c r="L11" i="10"/>
  <c r="W27" i="10" s="1"/>
  <c r="L11" i="11"/>
  <c r="W27" i="11" s="1"/>
  <c r="L11" i="9"/>
  <c r="W27" i="9" s="1"/>
  <c r="L11" i="16"/>
  <c r="W27" i="16" s="1"/>
  <c r="L11" i="7"/>
  <c r="W27" i="7" s="1"/>
  <c r="L11" i="15"/>
  <c r="W27" i="15" s="1"/>
  <c r="H18" i="327"/>
  <c r="N12" i="14"/>
  <c r="W27" i="174"/>
  <c r="N13" i="226"/>
  <c r="N13" i="170"/>
  <c r="K202" i="246"/>
  <c r="N13" i="104"/>
  <c r="N13" i="186"/>
  <c r="M9" i="84"/>
  <c r="W24" i="84" s="1"/>
  <c r="M9" i="231"/>
  <c r="W24" i="231" s="1"/>
  <c r="M9" i="171"/>
  <c r="W24" i="171" s="1"/>
  <c r="M9" i="361"/>
  <c r="W24" i="361" s="1"/>
  <c r="M9" i="229"/>
  <c r="W24" i="229" s="1"/>
  <c r="P208" i="246"/>
  <c r="M9" i="184"/>
  <c r="W24" i="184" s="1"/>
  <c r="M9" i="175"/>
  <c r="W24" i="175" s="1"/>
  <c r="M9" i="172"/>
  <c r="W24" i="172" s="1"/>
  <c r="N12" i="186"/>
  <c r="K100" i="246"/>
  <c r="N12" i="170"/>
  <c r="N12" i="104"/>
  <c r="N12" i="226"/>
  <c r="N9" i="104"/>
  <c r="N9" i="226"/>
  <c r="N9" i="186"/>
  <c r="Q202" i="246"/>
  <c r="N9" i="170"/>
  <c r="M13" i="172"/>
  <c r="W28" i="172" s="1"/>
  <c r="M13" i="229"/>
  <c r="W28" i="229" s="1"/>
  <c r="M13" i="175"/>
  <c r="W28" i="175" s="1"/>
  <c r="J208" i="246"/>
  <c r="M13" i="361"/>
  <c r="W28" i="361" s="1"/>
  <c r="M13" i="184"/>
  <c r="W28" i="184" s="1"/>
  <c r="M13" i="84"/>
  <c r="W28" i="84" s="1"/>
  <c r="M13" i="231"/>
  <c r="W28" i="231" s="1"/>
  <c r="M13" i="171"/>
  <c r="W28" i="171" s="1"/>
  <c r="M14" i="175"/>
  <c r="W29" i="175" s="1"/>
  <c r="J259" i="246"/>
  <c r="M14" i="231"/>
  <c r="W29" i="231" s="1"/>
  <c r="M14" i="229"/>
  <c r="W29" i="229" s="1"/>
  <c r="M14" i="171"/>
  <c r="W29" i="171" s="1"/>
  <c r="M14" i="184"/>
  <c r="W29" i="184" s="1"/>
  <c r="M14" i="84"/>
  <c r="W29" i="84" s="1"/>
  <c r="M14" i="172"/>
  <c r="W29" i="172" s="1"/>
  <c r="M14" i="361"/>
  <c r="W29" i="361" s="1"/>
  <c r="K253" i="246"/>
  <c r="N14" i="170"/>
  <c r="N14" i="186"/>
  <c r="N14" i="226"/>
  <c r="N14" i="104"/>
  <c r="J106" i="246"/>
  <c r="M12" i="84"/>
  <c r="W27" i="84" s="1"/>
  <c r="M12" i="184"/>
  <c r="W27" i="184" s="1"/>
  <c r="M12" i="175"/>
  <c r="W27" i="175" s="1"/>
  <c r="M12" i="361"/>
  <c r="W27" i="361" s="1"/>
  <c r="M12" i="231"/>
  <c r="W27" i="231" s="1"/>
  <c r="M12" i="229"/>
  <c r="W27" i="229" s="1"/>
  <c r="M12" i="172"/>
  <c r="W27" i="172" s="1"/>
  <c r="M12" i="171"/>
  <c r="W27" i="171" s="1"/>
  <c r="M10" i="361"/>
  <c r="W25" i="361" s="1"/>
  <c r="M10" i="171"/>
  <c r="W25" i="171" s="1"/>
  <c r="M10" i="175"/>
  <c r="W25" i="175" s="1"/>
  <c r="M10" i="84"/>
  <c r="W25" i="84" s="1"/>
  <c r="M10" i="231"/>
  <c r="W25" i="231" s="1"/>
  <c r="M10" i="229"/>
  <c r="W25" i="229" s="1"/>
  <c r="M10" i="172"/>
  <c r="W25" i="172" s="1"/>
  <c r="J55" i="246"/>
  <c r="M10" i="184"/>
  <c r="W25" i="184" s="1"/>
  <c r="F39" i="175"/>
  <c r="N11" i="212" s="1"/>
  <c r="F37" i="175"/>
  <c r="N9" i="212" s="1"/>
  <c r="F38" i="175"/>
  <c r="N10" i="212" s="1"/>
  <c r="F40" i="175"/>
  <c r="N12" i="212" s="1"/>
  <c r="F41" i="175"/>
  <c r="N13" i="212" s="1"/>
  <c r="F42" i="175"/>
  <c r="N14" i="212" s="1"/>
  <c r="M11" i="171"/>
  <c r="W26" i="171" s="1"/>
  <c r="P55" i="246"/>
  <c r="M11" i="184"/>
  <c r="W26" i="184" s="1"/>
  <c r="M11" i="231"/>
  <c r="W26" i="231" s="1"/>
  <c r="M11" i="175"/>
  <c r="W26" i="175" s="1"/>
  <c r="M11" i="84"/>
  <c r="W26" i="84" s="1"/>
  <c r="M11" i="361"/>
  <c r="W26" i="361" s="1"/>
  <c r="M11" i="172"/>
  <c r="W26" i="172" s="1"/>
  <c r="M11" i="229"/>
  <c r="W26" i="229" s="1"/>
  <c r="N9" i="194"/>
  <c r="N9" i="270"/>
  <c r="N9" i="362"/>
  <c r="N9" i="189"/>
  <c r="N9" i="160"/>
  <c r="N9" i="293"/>
  <c r="N9" i="137"/>
  <c r="N9" i="187"/>
  <c r="N9" i="188"/>
  <c r="N9" i="151"/>
  <c r="N9" i="183"/>
  <c r="N9" i="126"/>
  <c r="N9" i="178"/>
  <c r="N9" i="146"/>
  <c r="N9" i="353"/>
  <c r="N9" i="349"/>
  <c r="N9" i="195"/>
  <c r="N9" i="141"/>
  <c r="N9" i="219"/>
  <c r="N13" i="141"/>
  <c r="N13" i="195"/>
  <c r="N13" i="362"/>
  <c r="N13" i="160"/>
  <c r="N13" i="270"/>
  <c r="N13" i="151"/>
  <c r="N13" i="189"/>
  <c r="N13" i="183"/>
  <c r="N13" i="178"/>
  <c r="N13" i="146"/>
  <c r="N13" i="219"/>
  <c r="N13" i="187"/>
  <c r="N13" i="293"/>
  <c r="N13" i="137"/>
  <c r="N13" i="126"/>
  <c r="N13" i="194"/>
  <c r="N13" i="353"/>
  <c r="N13" i="349"/>
  <c r="N13" i="188"/>
  <c r="G37" i="231"/>
  <c r="R206" i="246" s="1"/>
  <c r="G41" i="231"/>
  <c r="L206" i="246" s="1"/>
  <c r="G39" i="231"/>
  <c r="R53" i="246" s="1"/>
  <c r="L665" i="246"/>
  <c r="M665" i="246" s="1"/>
  <c r="G38" i="231"/>
  <c r="L53" i="246" s="1"/>
  <c r="G40" i="231"/>
  <c r="L104" i="246" s="1"/>
  <c r="G42" i="231"/>
  <c r="L257" i="246" s="1"/>
  <c r="H18" i="231"/>
  <c r="N14" i="270"/>
  <c r="N14" i="187"/>
  <c r="N14" i="293"/>
  <c r="N14" i="219"/>
  <c r="N14" i="126"/>
  <c r="N14" i="141"/>
  <c r="N14" i="353"/>
  <c r="N14" i="160"/>
  <c r="N14" i="146"/>
  <c r="N14" i="137"/>
  <c r="N14" i="195"/>
  <c r="N14" i="189"/>
  <c r="N14" i="151"/>
  <c r="N14" i="194"/>
  <c r="N14" i="183"/>
  <c r="N14" i="362"/>
  <c r="N14" i="349"/>
  <c r="N14" i="188"/>
  <c r="N14" i="178"/>
  <c r="G37" i="172"/>
  <c r="G40" i="172"/>
  <c r="G41" i="172"/>
  <c r="G39" i="172"/>
  <c r="G38" i="172"/>
  <c r="G42" i="172"/>
  <c r="G18" i="174"/>
  <c r="L661" i="246"/>
  <c r="H18" i="172"/>
  <c r="N12" i="146"/>
  <c r="N12" i="270"/>
  <c r="N12" i="187"/>
  <c r="N12" i="189"/>
  <c r="N12" i="126"/>
  <c r="N12" i="178"/>
  <c r="N12" i="141"/>
  <c r="N12" i="349"/>
  <c r="N12" i="362"/>
  <c r="N12" i="137"/>
  <c r="N12" i="160"/>
  <c r="N12" i="183"/>
  <c r="N12" i="195"/>
  <c r="N12" i="151"/>
  <c r="N12" i="353"/>
  <c r="N12" i="219"/>
  <c r="N12" i="293"/>
  <c r="N12" i="188"/>
  <c r="N12" i="194"/>
  <c r="G40" i="170"/>
  <c r="G41" i="170"/>
  <c r="G37" i="170"/>
  <c r="G38" i="170"/>
  <c r="G18" i="175"/>
  <c r="G39" i="170"/>
  <c r="G42" i="170"/>
  <c r="H18" i="170"/>
  <c r="N11" i="178"/>
  <c r="N11" i="362"/>
  <c r="N11" i="195"/>
  <c r="N11" i="349"/>
  <c r="N11" i="353"/>
  <c r="N11" i="188"/>
  <c r="N11" i="137"/>
  <c r="N11" i="270"/>
  <c r="N11" i="187"/>
  <c r="N11" i="293"/>
  <c r="N11" i="183"/>
  <c r="N11" i="189"/>
  <c r="N11" i="151"/>
  <c r="N11" i="146"/>
  <c r="N11" i="194"/>
  <c r="N11" i="126"/>
  <c r="N11" i="160"/>
  <c r="N11" i="219"/>
  <c r="N11" i="141"/>
  <c r="U35" i="292"/>
  <c r="R35" i="292"/>
  <c r="N10" i="189"/>
  <c r="N10" i="160"/>
  <c r="N10" i="194"/>
  <c r="N10" i="183"/>
  <c r="N10" i="126"/>
  <c r="N10" i="219"/>
  <c r="N10" i="293"/>
  <c r="N10" i="362"/>
  <c r="N10" i="187"/>
  <c r="N10" i="353"/>
  <c r="N10" i="146"/>
  <c r="N10" i="188"/>
  <c r="N10" i="151"/>
  <c r="N10" i="349"/>
  <c r="N10" i="270"/>
  <c r="N10" i="195"/>
  <c r="N10" i="137"/>
  <c r="N10" i="141"/>
  <c r="N10" i="178"/>
  <c r="F38" i="174"/>
  <c r="O37" i="292"/>
  <c r="F41" i="174"/>
  <c r="F39" i="174"/>
  <c r="F37" i="174"/>
  <c r="F42" i="174"/>
  <c r="F40" i="174"/>
  <c r="K667" i="246"/>
  <c r="N10" i="186"/>
  <c r="N10" i="170"/>
  <c r="K49" i="246"/>
  <c r="N10" i="226"/>
  <c r="N10" i="104"/>
  <c r="Q49" i="246"/>
  <c r="N11" i="170"/>
  <c r="N11" i="186"/>
  <c r="N11" i="104"/>
  <c r="N11" i="226"/>
  <c r="Y28" i="58"/>
  <c r="X28" i="58"/>
  <c r="Y27" i="58"/>
  <c r="X27" i="58"/>
  <c r="Y24" i="330"/>
  <c r="X24" i="330"/>
  <c r="Y29" i="330"/>
  <c r="X29" i="330"/>
  <c r="F37" i="229"/>
  <c r="K771" i="209"/>
  <c r="F42" i="229"/>
  <c r="F40" i="229"/>
  <c r="F39" i="229"/>
  <c r="G39" i="229"/>
  <c r="G42" i="229"/>
  <c r="G41" i="229"/>
  <c r="L771" i="209"/>
  <c r="G38" i="229"/>
  <c r="G37" i="229"/>
  <c r="G40" i="229"/>
  <c r="Y27" i="330"/>
  <c r="X27" i="330"/>
  <c r="U13" i="292" l="1"/>
  <c r="F41" i="229"/>
  <c r="N13" i="291" s="1"/>
  <c r="F38" i="229"/>
  <c r="N10" i="327" s="1"/>
  <c r="Y24" i="58"/>
  <c r="X25" i="330"/>
  <c r="Y28" i="330"/>
  <c r="Y26" i="330"/>
  <c r="Y25" i="58"/>
  <c r="Y29" i="58"/>
  <c r="Y26" i="58"/>
  <c r="I771" i="209"/>
  <c r="M771" i="209" s="1"/>
  <c r="D42" i="229"/>
  <c r="D37" i="229"/>
  <c r="D38" i="229"/>
  <c r="D40" i="229"/>
  <c r="D41" i="229"/>
  <c r="D39" i="229"/>
  <c r="H18" i="229"/>
  <c r="R37" i="292"/>
  <c r="U37" i="292"/>
  <c r="O13" i="137"/>
  <c r="O13" i="146"/>
  <c r="O13" i="293"/>
  <c r="O13" i="178"/>
  <c r="O13" i="187"/>
  <c r="O13" i="349"/>
  <c r="O13" i="126"/>
  <c r="O13" i="141"/>
  <c r="O13" i="188"/>
  <c r="O13" i="353"/>
  <c r="O13" i="194"/>
  <c r="O13" i="151"/>
  <c r="O13" i="160"/>
  <c r="O13" i="189"/>
  <c r="O13" i="362"/>
  <c r="O13" i="219"/>
  <c r="O13" i="183"/>
  <c r="O13" i="270"/>
  <c r="O13" i="195"/>
  <c r="N10" i="361"/>
  <c r="N10" i="171"/>
  <c r="N10" i="231"/>
  <c r="N10" i="175"/>
  <c r="N10" i="172"/>
  <c r="N10" i="184"/>
  <c r="N10" i="84"/>
  <c r="N10" i="229"/>
  <c r="K55" i="246"/>
  <c r="O12" i="141"/>
  <c r="O12" i="189"/>
  <c r="O12" i="137"/>
  <c r="O12" i="126"/>
  <c r="O12" i="349"/>
  <c r="O12" i="194"/>
  <c r="O12" i="151"/>
  <c r="O12" i="188"/>
  <c r="O12" i="270"/>
  <c r="O12" i="293"/>
  <c r="O12" i="178"/>
  <c r="O12" i="146"/>
  <c r="O12" i="160"/>
  <c r="O12" i="362"/>
  <c r="O12" i="195"/>
  <c r="O12" i="187"/>
  <c r="O12" i="183"/>
  <c r="O12" i="353"/>
  <c r="O12" i="219"/>
  <c r="G39" i="174"/>
  <c r="G42" i="174"/>
  <c r="G41" i="174"/>
  <c r="L667" i="246"/>
  <c r="M667" i="246" s="1"/>
  <c r="G37" i="174"/>
  <c r="G40" i="174"/>
  <c r="G38" i="174"/>
  <c r="H18" i="174"/>
  <c r="O14" i="186"/>
  <c r="O14" i="104"/>
  <c r="O14" i="226"/>
  <c r="L253" i="246"/>
  <c r="O14" i="170"/>
  <c r="O10" i="170"/>
  <c r="L49" i="246"/>
  <c r="O10" i="186"/>
  <c r="O10" i="104"/>
  <c r="O10" i="226"/>
  <c r="O11" i="104"/>
  <c r="O11" i="170"/>
  <c r="O11" i="186"/>
  <c r="R49" i="246"/>
  <c r="O11" i="226"/>
  <c r="N12" i="229"/>
  <c r="N12" i="175"/>
  <c r="N12" i="184"/>
  <c r="N12" i="231"/>
  <c r="N12" i="84"/>
  <c r="K106" i="246"/>
  <c r="N12" i="171"/>
  <c r="N12" i="361"/>
  <c r="N12" i="172"/>
  <c r="O14" i="178"/>
  <c r="O14" i="194"/>
  <c r="O14" i="146"/>
  <c r="O14" i="160"/>
  <c r="O14" i="349"/>
  <c r="O14" i="219"/>
  <c r="O14" i="141"/>
  <c r="O14" i="293"/>
  <c r="O14" i="362"/>
  <c r="O14" i="353"/>
  <c r="O14" i="187"/>
  <c r="O14" i="151"/>
  <c r="O14" i="189"/>
  <c r="O14" i="270"/>
  <c r="O14" i="183"/>
  <c r="O14" i="195"/>
  <c r="O14" i="188"/>
  <c r="O14" i="126"/>
  <c r="O14" i="137"/>
  <c r="O13" i="226"/>
  <c r="O13" i="170"/>
  <c r="O13" i="104"/>
  <c r="L202" i="246"/>
  <c r="O13" i="186"/>
  <c r="N14" i="184"/>
  <c r="K259" i="246"/>
  <c r="N14" i="171"/>
  <c r="N14" i="229"/>
  <c r="N14" i="172"/>
  <c r="N14" i="175"/>
  <c r="N14" i="84"/>
  <c r="N14" i="231"/>
  <c r="N14" i="361"/>
  <c r="O11" i="189"/>
  <c r="O11" i="194"/>
  <c r="O11" i="270"/>
  <c r="O11" i="178"/>
  <c r="O11" i="188"/>
  <c r="O11" i="137"/>
  <c r="O11" i="293"/>
  <c r="O11" i="195"/>
  <c r="O11" i="349"/>
  <c r="O11" i="160"/>
  <c r="O11" i="146"/>
  <c r="O11" i="183"/>
  <c r="O11" i="141"/>
  <c r="O11" i="151"/>
  <c r="O11" i="126"/>
  <c r="O11" i="219"/>
  <c r="O11" i="187"/>
  <c r="O11" i="353"/>
  <c r="O11" i="362"/>
  <c r="O12" i="104"/>
  <c r="O12" i="170"/>
  <c r="O12" i="186"/>
  <c r="O12" i="226"/>
  <c r="L100" i="246"/>
  <c r="N9" i="184"/>
  <c r="N9" i="175"/>
  <c r="Q208" i="246"/>
  <c r="N9" i="229"/>
  <c r="N9" i="361"/>
  <c r="N9" i="231"/>
  <c r="N9" i="84"/>
  <c r="N9" i="171"/>
  <c r="N9" i="172"/>
  <c r="G38" i="175"/>
  <c r="O10" i="212" s="1"/>
  <c r="G41" i="175"/>
  <c r="O13" i="212" s="1"/>
  <c r="G37" i="175"/>
  <c r="O9" i="212" s="1"/>
  <c r="G39" i="175"/>
  <c r="O11" i="212" s="1"/>
  <c r="G42" i="175"/>
  <c r="O14" i="212" s="1"/>
  <c r="G40" i="175"/>
  <c r="O12" i="212" s="1"/>
  <c r="H18" i="175"/>
  <c r="O9" i="186"/>
  <c r="O9" i="226"/>
  <c r="R202" i="246"/>
  <c r="O9" i="104"/>
  <c r="O9" i="170"/>
  <c r="N11" i="184"/>
  <c r="N11" i="175"/>
  <c r="Q55" i="246"/>
  <c r="N11" i="172"/>
  <c r="N11" i="361"/>
  <c r="N11" i="171"/>
  <c r="N11" i="231"/>
  <c r="N11" i="84"/>
  <c r="N11" i="229"/>
  <c r="O10" i="353"/>
  <c r="O10" i="362"/>
  <c r="O10" i="219"/>
  <c r="O10" i="188"/>
  <c r="O10" i="137"/>
  <c r="O10" i="141"/>
  <c r="O10" i="195"/>
  <c r="O10" i="194"/>
  <c r="O10" i="160"/>
  <c r="O10" i="151"/>
  <c r="O10" i="126"/>
  <c r="O10" i="183"/>
  <c r="O10" i="270"/>
  <c r="O10" i="189"/>
  <c r="O10" i="349"/>
  <c r="O10" i="178"/>
  <c r="O10" i="293"/>
  <c r="O10" i="146"/>
  <c r="O10" i="187"/>
  <c r="N13" i="171"/>
  <c r="N13" i="361"/>
  <c r="N13" i="84"/>
  <c r="N13" i="175"/>
  <c r="N13" i="229"/>
  <c r="N13" i="172"/>
  <c r="N13" i="231"/>
  <c r="K208" i="246"/>
  <c r="N13" i="184"/>
  <c r="O9" i="160"/>
  <c r="O9" i="194"/>
  <c r="O9" i="141"/>
  <c r="O9" i="362"/>
  <c r="O9" i="349"/>
  <c r="O9" i="126"/>
  <c r="O9" i="137"/>
  <c r="O9" i="195"/>
  <c r="O9" i="146"/>
  <c r="O9" i="353"/>
  <c r="O9" i="189"/>
  <c r="O9" i="270"/>
  <c r="O9" i="188"/>
  <c r="O9" i="187"/>
  <c r="O9" i="293"/>
  <c r="O9" i="151"/>
  <c r="O9" i="183"/>
  <c r="O9" i="219"/>
  <c r="O9" i="178"/>
  <c r="O14" i="44"/>
  <c r="O14" i="326"/>
  <c r="O14" i="327"/>
  <c r="O14" i="228"/>
  <c r="O14" i="248"/>
  <c r="O14" i="174"/>
  <c r="O14" i="330"/>
  <c r="L299" i="209"/>
  <c r="O14" i="328"/>
  <c r="O14" i="291"/>
  <c r="O14" i="247"/>
  <c r="O14" i="58"/>
  <c r="O14" i="250"/>
  <c r="O14" i="18"/>
  <c r="O13" i="250"/>
  <c r="O13" i="174"/>
  <c r="O13" i="291"/>
  <c r="O13" i="330"/>
  <c r="O13" i="327"/>
  <c r="O13" i="328"/>
  <c r="O13" i="247"/>
  <c r="O13" i="326"/>
  <c r="O13" i="18"/>
  <c r="O13" i="228"/>
  <c r="O13" i="58"/>
  <c r="O13" i="44"/>
  <c r="O13" i="248"/>
  <c r="L240" i="209"/>
  <c r="N12" i="18"/>
  <c r="N12" i="174"/>
  <c r="N12" i="291"/>
  <c r="N12" i="328"/>
  <c r="K122" i="209"/>
  <c r="N12" i="327"/>
  <c r="N12" i="58"/>
  <c r="N12" i="228"/>
  <c r="N12" i="326"/>
  <c r="N12" i="247"/>
  <c r="N12" i="330"/>
  <c r="N12" i="250"/>
  <c r="N12" i="248"/>
  <c r="N12" i="44"/>
  <c r="N11" i="248"/>
  <c r="N11" i="328"/>
  <c r="N11" i="291"/>
  <c r="N11" i="326"/>
  <c r="N11" i="18"/>
  <c r="N11" i="330"/>
  <c r="N11" i="174"/>
  <c r="N11" i="58"/>
  <c r="N11" i="228"/>
  <c r="N11" i="250"/>
  <c r="N11" i="44"/>
  <c r="Q63" i="209"/>
  <c r="N11" i="327"/>
  <c r="N11" i="247"/>
  <c r="N14" i="247"/>
  <c r="N14" i="250"/>
  <c r="N14" i="291"/>
  <c r="N14" i="174"/>
  <c r="N14" i="248"/>
  <c r="N14" i="44"/>
  <c r="N14" i="328"/>
  <c r="K299" i="209"/>
  <c r="N14" i="18"/>
  <c r="N14" i="326"/>
  <c r="N14" i="228"/>
  <c r="N14" i="327"/>
  <c r="N14" i="58"/>
  <c r="N14" i="330"/>
  <c r="N13" i="248"/>
  <c r="N13" i="330"/>
  <c r="N13" i="58"/>
  <c r="N13" i="328"/>
  <c r="N13" i="228"/>
  <c r="N13" i="44"/>
  <c r="N13" i="327"/>
  <c r="K240" i="209"/>
  <c r="N13" i="18"/>
  <c r="N13" i="247"/>
  <c r="N13" i="326"/>
  <c r="N13" i="174"/>
  <c r="N10" i="328"/>
  <c r="N10" i="18"/>
  <c r="N10" i="250"/>
  <c r="N10" i="248"/>
  <c r="N10" i="326"/>
  <c r="N10" i="44"/>
  <c r="N10" i="58"/>
  <c r="N9" i="44"/>
  <c r="N9" i="18"/>
  <c r="N9" i="228"/>
  <c r="N9" i="174"/>
  <c r="N9" i="328"/>
  <c r="N9" i="327"/>
  <c r="N9" i="248"/>
  <c r="N9" i="250"/>
  <c r="N9" i="326"/>
  <c r="N9" i="247"/>
  <c r="N9" i="330"/>
  <c r="N9" i="58"/>
  <c r="Q240" i="209"/>
  <c r="N9" i="291"/>
  <c r="O12" i="250"/>
  <c r="O12" i="174"/>
  <c r="L122" i="209"/>
  <c r="O12" i="291"/>
  <c r="O12" i="326"/>
  <c r="O12" i="327"/>
  <c r="O12" i="328"/>
  <c r="O12" i="228"/>
  <c r="O12" i="18"/>
  <c r="O12" i="330"/>
  <c r="O12" i="248"/>
  <c r="O12" i="247"/>
  <c r="O12" i="58"/>
  <c r="O12" i="44"/>
  <c r="O9" i="174"/>
  <c r="R240" i="209"/>
  <c r="O9" i="247"/>
  <c r="O9" i="18"/>
  <c r="O9" i="228"/>
  <c r="O9" i="44"/>
  <c r="O9" i="327"/>
  <c r="O9" i="58"/>
  <c r="O9" i="291"/>
  <c r="O9" i="326"/>
  <c r="O9" i="328"/>
  <c r="O9" i="248"/>
  <c r="O9" i="330"/>
  <c r="O9" i="250"/>
  <c r="O10" i="248"/>
  <c r="O10" i="330"/>
  <c r="O10" i="291"/>
  <c r="O10" i="328"/>
  <c r="O10" i="44"/>
  <c r="O10" i="58"/>
  <c r="O10" i="228"/>
  <c r="O10" i="327"/>
  <c r="O10" i="247"/>
  <c r="O10" i="250"/>
  <c r="O10" i="174"/>
  <c r="O10" i="326"/>
  <c r="L63" i="209"/>
  <c r="O10" i="18"/>
  <c r="O11" i="328"/>
  <c r="R63" i="209"/>
  <c r="O11" i="44"/>
  <c r="O11" i="174"/>
  <c r="O11" i="18"/>
  <c r="O11" i="291"/>
  <c r="O11" i="250"/>
  <c r="O11" i="58"/>
  <c r="O11" i="248"/>
  <c r="O11" i="327"/>
  <c r="O11" i="326"/>
  <c r="O11" i="247"/>
  <c r="O11" i="228"/>
  <c r="O11" i="330"/>
  <c r="O39" i="292"/>
  <c r="R24" i="292"/>
  <c r="U24" i="292"/>
  <c r="N10" i="174" l="1"/>
  <c r="N10" i="291"/>
  <c r="N10" i="330"/>
  <c r="K63" i="209"/>
  <c r="N13" i="250"/>
  <c r="N10" i="228"/>
  <c r="N10" i="247"/>
  <c r="L11" i="18"/>
  <c r="L11" i="174"/>
  <c r="L11" i="326"/>
  <c r="L11" i="330"/>
  <c r="O63" i="209"/>
  <c r="L11" i="247"/>
  <c r="L11" i="328"/>
  <c r="L11" i="248"/>
  <c r="L11" i="228"/>
  <c r="L11" i="250"/>
  <c r="L11" i="58"/>
  <c r="L11" i="291"/>
  <c r="L11" i="327"/>
  <c r="L11" i="44"/>
  <c r="L13" i="248"/>
  <c r="L13" i="247"/>
  <c r="L13" i="327"/>
  <c r="L13" i="174"/>
  <c r="L13" i="250"/>
  <c r="L13" i="228"/>
  <c r="L13" i="328"/>
  <c r="L13" i="330"/>
  <c r="L13" i="326"/>
  <c r="L13" i="291"/>
  <c r="I240" i="209"/>
  <c r="L13" i="18"/>
  <c r="L13" i="58"/>
  <c r="L13" i="44"/>
  <c r="L12" i="250"/>
  <c r="L12" i="247"/>
  <c r="L12" i="291"/>
  <c r="L12" i="44"/>
  <c r="L12" i="330"/>
  <c r="L12" i="18"/>
  <c r="L12" i="174"/>
  <c r="I122" i="209"/>
  <c r="L12" i="328"/>
  <c r="L12" i="326"/>
  <c r="L12" i="228"/>
  <c r="L12" i="327"/>
  <c r="L12" i="248"/>
  <c r="L12" i="58"/>
  <c r="L10" i="327"/>
  <c r="L10" i="330"/>
  <c r="L10" i="248"/>
  <c r="L10" i="18"/>
  <c r="L10" i="250"/>
  <c r="L10" i="58"/>
  <c r="L10" i="228"/>
  <c r="L10" i="174"/>
  <c r="I63" i="209"/>
  <c r="L10" i="328"/>
  <c r="L10" i="326"/>
  <c r="L10" i="44"/>
  <c r="L10" i="291"/>
  <c r="L10" i="247"/>
  <c r="L9" i="326"/>
  <c r="L9" i="330"/>
  <c r="L9" i="291"/>
  <c r="L9" i="174"/>
  <c r="L9" i="328"/>
  <c r="L9" i="247"/>
  <c r="L9" i="44"/>
  <c r="L9" i="327"/>
  <c r="L9" i="250"/>
  <c r="L9" i="58"/>
  <c r="O240" i="209"/>
  <c r="L9" i="228"/>
  <c r="L9" i="18"/>
  <c r="L9" i="248"/>
  <c r="L14" i="174"/>
  <c r="L14" i="18"/>
  <c r="L14" i="58"/>
  <c r="L14" i="328"/>
  <c r="L14" i="326"/>
  <c r="L14" i="44"/>
  <c r="I299" i="209"/>
  <c r="L14" i="250"/>
  <c r="L14" i="330"/>
  <c r="L14" i="327"/>
  <c r="L14" i="291"/>
  <c r="L14" i="248"/>
  <c r="L14" i="228"/>
  <c r="L14" i="247"/>
  <c r="O10" i="231"/>
  <c r="O10" i="175"/>
  <c r="O10" i="172"/>
  <c r="L55" i="246"/>
  <c r="O10" i="171"/>
  <c r="O10" i="361"/>
  <c r="O10" i="229"/>
  <c r="O10" i="184"/>
  <c r="O10" i="84"/>
  <c r="O12" i="175"/>
  <c r="O12" i="361"/>
  <c r="O12" i="231"/>
  <c r="O12" i="84"/>
  <c r="O12" i="184"/>
  <c r="O12" i="171"/>
  <c r="O12" i="172"/>
  <c r="L106" i="246"/>
  <c r="O12" i="229"/>
  <c r="O9" i="171"/>
  <c r="O9" i="172"/>
  <c r="O9" i="361"/>
  <c r="O9" i="231"/>
  <c r="O9" i="184"/>
  <c r="O9" i="175"/>
  <c r="O9" i="84"/>
  <c r="O9" i="229"/>
  <c r="R208" i="246"/>
  <c r="L208" i="246"/>
  <c r="O13" i="229"/>
  <c r="O13" i="361"/>
  <c r="O13" i="175"/>
  <c r="O13" i="184"/>
  <c r="O13" i="231"/>
  <c r="O13" i="171"/>
  <c r="O13" i="172"/>
  <c r="O13" i="84"/>
  <c r="O14" i="231"/>
  <c r="L259" i="246"/>
  <c r="O14" i="171"/>
  <c r="O14" i="175"/>
  <c r="O14" i="361"/>
  <c r="O14" i="84"/>
  <c r="O14" i="184"/>
  <c r="O14" i="229"/>
  <c r="O14" i="172"/>
  <c r="O11" i="175"/>
  <c r="O11" i="172"/>
  <c r="O11" i="361"/>
  <c r="O11" i="231"/>
  <c r="O11" i="184"/>
  <c r="R55" i="246"/>
  <c r="O11" i="229"/>
  <c r="O11" i="84"/>
  <c r="O11" i="171"/>
  <c r="R39" i="292"/>
  <c r="U39" i="2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 Rickett</author>
  </authors>
  <commentList>
    <comment ref="A1" authorId="0" shapeId="0" xr:uid="{6882C8D0-5051-4FED-B83C-D2AECE96BF8B}">
      <text>
        <r>
          <rPr>
            <b/>
            <sz val="9"/>
            <color indexed="81"/>
            <rFont val="Tahoma"/>
            <charset val="1"/>
          </rPr>
          <t>&lt;?xml version="1.0" encoding="utf-8"?&gt;&lt;Schema xmlns:xsd="http://www.w3.org/2001/XMLSchema" xmlns:xsi="http://www.w3.org/2001/XMLSchema-instance" Version="2" Timestamp="1777038722"&gt;&lt;FQL&gt;&lt;Q&gt;USDJPY^FG_PRICE&lt;/Q&gt;&lt;R&gt;1&lt;/R&gt;&lt;C&gt;1&lt;/C&gt;&lt;D xsi:type="xsd:double"&gt;159.74998&lt;/D&gt;&lt;/FQL&gt;&lt;FQL&gt;&lt;Q&gt;USDRUB^FG_PRICE&lt;/Q&gt;&lt;R&gt;1&lt;/R&gt;&lt;C&gt;1&lt;/C&gt;&lt;D xsi:type="xsd:double"&gt;75.50004&lt;/D&gt;&lt;/FQL&gt;&lt;FQL&gt;&lt;Q&gt;VOD-GB^FG_PRICE&lt;/Q&gt;&lt;R&gt;1&lt;/R&gt;&lt;C&gt;1&lt;/C&gt;&lt;D xsi:type="xsd:double"&gt;1.1595&lt;/D&gt;&lt;/FQL&gt;&lt;FQL&gt;&lt;Q&gt;LBTYA-US^FG_PRICE&lt;/Q&gt;&lt;R&gt;1&lt;/R&gt;&lt;C&gt;1&lt;/C&gt;&lt;D xsi:type="xsd:double"&gt;11.97&lt;/D&gt;&lt;/FQL&gt;&lt;FQL&gt;&lt;Q&gt;USDCZK^FG_PRICE&lt;/Q&gt;&lt;R&gt;1&lt;/R&gt;&lt;C&gt;1&lt;/C&gt;&lt;D xsi:type="xsd:double"&gt;20.856968&lt;/D&gt;&lt;/FQL&gt;&lt;FQL&gt;&lt;Q&gt;AMXB-MX^FG_PRICE&lt;/Q&gt;&lt;R&gt;1&lt;/R&gt;&lt;C&gt;1&lt;/C&gt;&lt;D xsi:type="xsd:double"&gt;22.8&lt;/D&gt;&lt;/FQL&gt;&lt;FQL&gt;&lt;Q&gt;TIT-IT^FG_PRICE&lt;/Q&gt;&lt;R&gt;1&lt;/R&gt;&lt;C&gt;1&lt;/C&gt;&lt;D xsi:type="xsd:double"&gt;0.6598&lt;/D&gt;&lt;/FQL&gt;&lt;FQL&gt;&lt;Q&gt;ELISA-FI^FG_PRICE&lt;/Q&gt;&lt;R&gt;1&lt;/R&gt;&lt;C&gt;1&lt;/C&gt;&lt;D xsi:type="xsd:double"&gt;41.88&lt;/D&gt;&lt;/FQL&gt;&lt;FQL&gt;&lt;Q&gt;USDSGD^FG_PRICE&lt;/Q&gt;&lt;R&gt;1&lt;/R&gt;&lt;C&gt;1&lt;/C&gt;&lt;D xsi:type="xsd:double"&gt;1.2780168&lt;/D&gt;&lt;/FQL&gt;&lt;FQL&gt;&lt;Q&gt;EXCL-ID^FG_PRICE&lt;/Q&gt;&lt;R&gt;1&lt;/R&gt;&lt;C&gt;1&lt;/C&gt;&lt;D xsi:type="xsd:double"&gt;3070&lt;/D&gt;&lt;/FQL&gt;&lt;FQL&gt;&lt;Q&gt;1U1-DE^FG_PRICE&lt;/Q&gt;&lt;R&gt;1&lt;/R&gt;&lt;C&gt;1&lt;/C&gt;&lt;D xsi:type="xsd:double"&gt;23.15&lt;/D&gt;&lt;/FQL&gt;&lt;FQL&gt;&lt;Q&gt;VIVT3-BR^FG_PRICE&lt;/Q&gt;&lt;R&gt;1&lt;/R&gt;&lt;C&gt;1&lt;/C&gt;&lt;D xsi:type="xsd:double"&gt;39.88&lt;/D&gt;&lt;/FQL&gt;&lt;FQL&gt;&lt;Q&gt;CLNX-ES^FG_PRICE&lt;/Q&gt;&lt;R&gt;1&lt;/R&gt;&lt;C&gt;1&lt;/C&gt;&lt;D xsi:type="xsd:double"&gt;28.4&lt;/D&gt;&lt;/FQL&gt;&lt;FQL&gt;&lt;Q&gt;HTO-GR^FG_PRICE&lt;/Q&gt;&lt;R&gt;1&lt;/R&gt;&lt;C&gt;1&lt;/C&gt;&lt;D xsi:type="xsd:double"&gt;18.29&lt;/D&gt;&lt;/FQL&gt;&lt;FQL&gt;&lt;Q&gt;6947-MY^FG_PRICE&lt;/Q&gt;&lt;R&gt;1&lt;/R&gt;&lt;C&gt;1&lt;/C&gt;&lt;D xsi:type="xsd:double"&gt;2.97&lt;/D&gt;&lt;/FQL&gt;&lt;FQL&gt;&lt;Q&gt;ORA-FR^FG_PRICE&lt;/Q&gt;&lt;R&gt;1&lt;/R&gt;&lt;C&gt;1&lt;/C&gt;&lt;D xsi:type="xsd:double"&gt;17.64&lt;/D&gt;&lt;/FQL&gt;&lt;FQL&gt;&lt;Q&gt;T-US^FG_PRICE&lt;/Q&gt;&lt;R&gt;1&lt;/R&gt;&lt;C&gt;1&lt;/C&gt;&lt;D xsi:type="xsd:double"&gt;26.28&lt;/D&gt;&lt;/FQL&gt;&lt;FQL&gt;&lt;Q&gt;SUNN-CH^FG_PRICE&lt;/Q&gt;&lt;R&gt;1&lt;/R&gt;&lt;C&gt;1&lt;/C&gt;&lt;D xsi:type="xsd:double"&gt;46.1&lt;/D&gt;&lt;/FQL&gt;&lt;FQL&gt;&lt;Q&gt;USDMYR^FG_PRICE&lt;/Q&gt;&lt;R&gt;1&lt;/R&gt;&lt;C&gt;1&lt;/C&gt;&lt;D xsi:type="xsd:double"&gt;3.9649932&lt;/D&gt;&lt;/FQL&gt;&lt;FQL&gt;&lt;Q&gt;9433-JP^FG_PRICE&lt;/Q&gt;&lt;R&gt;1&lt;/R&gt;&lt;C&gt;1&lt;/C&gt;&lt;D xsi:type="xsd:double"&gt;2565&lt;/D&gt;&lt;/FQL&gt;&lt;FQL&gt;&lt;Q&gt;USDHKD^FG_PRICE&lt;/Q&gt;&lt;R&gt;1&lt;/R&gt;&lt;C&gt;1&lt;/C&gt;&lt;D xsi:type="xsd:double"&gt;7.835126&lt;/D&gt;&lt;/FQL&gt;&lt;FQL&gt;&lt;Q&gt;TEL2.B-SE^FG_PRICE&lt;/Q&gt;&lt;R&gt;1&lt;/R&gt;&lt;C&gt;1&lt;/C&gt;&lt;D xsi:type="xsd:double"&gt;189.65&lt;/D&gt;&lt;/FQL&gt;&lt;FQL&gt;&lt;Q&gt;USDQAR^FG_PRICE&lt;/Q&gt;&lt;R&gt;1&lt;/R&gt;&lt;C&gt;1&lt;/C&gt;&lt;D xsi:type="xsd:double"&gt;3.6410296&lt;/D&gt;&lt;/FQL&gt;&lt;FQL&gt;&lt;Q&gt;LBTYK-US^FG_PRICE&lt;/Q&gt;&lt;R&gt;1&lt;/R&gt;&lt;C&gt;1&lt;/C&gt;&lt;D xsi:type="xsd:double"&gt;11.615&lt;/D&gt;&lt;/FQL&gt;&lt;FQL&gt;&lt;Q&gt;6012-MY^FG_PRICE&lt;/Q&gt;&lt;R&gt;1&lt;/R&gt;&lt;C&gt;1&lt;/C&gt;&lt;D xsi:type="xsd:double"&gt;3.5&lt;/D&gt;&lt;/FQL&gt;&lt;FQL&gt;&lt;Q&gt;ENTEL-CL^FG_PRICE&lt;/Q&gt;&lt;R&gt;1&lt;/R&gt;&lt;C&gt;1&lt;/C&gt;&lt;D xsi:type="xsd:double"&gt;3643&lt;/D&gt;&lt;/FQL&gt;&lt;FQL&gt;&lt;Q&gt;TMUS-US^FG_PRICE&lt;/Q&gt;&lt;R&gt;1&lt;/R&gt;&lt;C&gt;1&lt;/C&gt;&lt;D xsi:type="xsd:double"&gt;191.47&lt;/D&gt;&lt;/FQL&gt;&lt;FQL&gt;&lt;Q&gt;DTE-DE^FG_PRICE&lt;/Q&gt;&lt;R&gt;1&lt;/R&gt;&lt;C&gt;1&lt;/C&gt;&lt;D xsi:type="xsd:double"&gt;27.67&lt;/D&gt;&lt;/FQL&gt;&lt;FQL&gt;&lt;Q&gt;532454-IN^FG_PRICE&lt;/Q&gt;&lt;R&gt;1&lt;/R&gt;&lt;C&gt;1&lt;/C&gt;&lt;D xsi:type="xsd:double"&gt;1814.7&lt;/D&gt;&lt;/FQL&gt;&lt;FQL&gt;&lt;Q&gt;SATS-US^FG_PRICE&lt;/Q&gt;&lt;R&gt;1&lt;/R&gt;&lt;C&gt;1&lt;/C&gt;&lt;D xsi:type="xsd:double"&gt;119.08&lt;/D&gt;&lt;/FQL&gt;&lt;FQL&gt;&lt;Q&gt;SCMN-CH^FG_PRICE&lt;/Q&gt;&lt;R&gt;1&lt;/R&gt;&lt;C&gt;1&lt;/C&gt;&lt;D xsi:type="xsd:double"&gt;672.5&lt;/D&gt;&lt;/FQL&gt;&lt;FQL&gt;&lt;Q&gt;TEL2.A-SE^FG_PRICE&lt;/Q&gt;&lt;R&gt;1&lt;/R&gt;&lt;C&gt;1&lt;/C&gt;&lt;D xsi:type="xsd:double"&gt;191.5&lt;/D&gt;&lt;/FQL&gt;&lt;FQL&gt;&lt;Q&gt;ATUS-US^FG_PRICE&lt;/Q&gt;&lt;R&gt;1&lt;/R&gt;&lt;C&gt;1&lt;/C&gt;&lt;D xsi:type="xsd:double"&gt;1.67&lt;/D&gt;&lt;/FQL&gt;&lt;FQL&gt;&lt;Q&gt;VOD-ZA^FG_PRICE&lt;/Q&gt;&lt;R&gt;1&lt;/R&gt;&lt;C&gt;1&lt;/C&gt;&lt;D xsi:type="xsd:double"&gt;145.58&lt;/D&gt;&lt;/FQL&gt;&lt;FQL&gt;&lt;Q&gt;CMCSA-US^FG_PRICE&lt;/Q&gt;&lt;R&gt;1&lt;/R&gt;&lt;C&gt;1&lt;/C&gt;&lt;D xsi:type="xsd:double"&gt;30.245&lt;/D&gt;&lt;/FQL&gt;&lt;FQL&gt;&lt;Q&gt;USDKWD^FG_PRICE&lt;/Q&gt;&lt;R&gt;1&lt;/R&gt;&lt;C&gt;1&lt;/C&gt;&lt;D xsi:type="xsd:double"&gt;0.30790624&lt;/D&gt;&lt;/FQL&gt;&lt;FQL&gt;&lt;Q&gt;USDDKK^FG_PRICE&lt;/Q&gt;&lt;R&gt;1&lt;/R&gt;&lt;C&gt;1&lt;/C&gt;&lt;D xsi:type="xsd:double"&gt;6.3946447&lt;/D&gt;&lt;/FQL&gt;&lt;FQL&gt;&lt;Q&gt;TLKM-ID^FG_PRICE&lt;/Q&gt;&lt;R&gt;1&lt;/R&gt;&lt;C&gt;1&lt;/C&gt;&lt;D xsi:type="xsd:double"&gt;2810&lt;/D&gt;&lt;/FQL&gt;&lt;FQL&gt;&lt;Q&gt;ADVANC-TH^FG_PRICE&lt;/Q&gt;&lt;R&gt;1&lt;/R&gt;&lt;C&gt;1&lt;/C&gt;&lt;D xsi:type="xsd:double"&gt;349&lt;/D&gt;&lt;/FQL&gt;&lt;FQL&gt;&lt;Q&gt;USDCAD^FG_PRICE&lt;/Q&gt;&lt;R&gt;1&lt;/R&gt;&lt;C&gt;1&lt;/C&gt;&lt;D xsi:type="xsd:double"&gt;1.3689461&lt;/D&gt;&lt;/FQL&gt;&lt;FQL&gt;&lt;Q&gt;USDLTL^FG_PRICE&lt;/Q&gt;&lt;R&gt;1&lt;/R&gt;&lt;C&gt;1&lt;/C&gt;&lt;D xsi:type="xsd:double"&gt;2.9544578&lt;/D&gt;&lt;/FQL&gt;&lt;FQL&gt;&lt;Q&gt;017670-KR^FG_PRICE&lt;/Q&gt;&lt;R&gt;1&lt;/R&gt;&lt;C&gt;1&lt;/C&gt;&lt;D xsi:type="xsd:double"&gt;100000&lt;/D&gt;&lt;/FQL&gt;&lt;FQL&gt;&lt;Q&gt;EURUSD^FG_PRICE&lt;/Q&gt;&lt;R&gt;1&lt;/R&gt;&lt;C&gt;1&lt;/C&gt;&lt;D xsi:type="xsd:double"&gt;1.1686747&lt;/D&gt;&lt;/FQL&gt;&lt;FQL&gt;&lt;Q&gt;USDPHP^FG_PRICE&lt;/Q&gt;&lt;R&gt;1&lt;/R&gt;&lt;C&gt;1&lt;/C&gt;&lt;D xsi:type="xsd:double"&gt;60.709003&lt;/D&gt;&lt;/FQL&gt;&lt;FQL&gt;&lt;Q&gt;USDZAR^FG_PRICE&lt;/Q&gt;&lt;R&gt;1&lt;/R&gt;&lt;C&gt;1&lt;/C&gt;&lt;D xsi:type="xsd:double"&gt;16.651264&lt;/D&gt;&lt;/FQL&gt;&lt;FQL&gt;&lt;Q&gt;IAM-FR^FG_PRICE&lt;/Q&gt;&lt;R&gt;1&lt;/R&gt;&lt;C&gt;1&lt;/C&gt;&lt;D xsi:type="xsd:double"&gt;9.22&lt;/D&gt;&lt;/FQL&gt;&lt;FQL&gt;&lt;Q&gt;SESG-FR^FG_PRICE&lt;/Q&gt;&lt;R&gt;1&lt;/R&gt;&lt;C&gt;1&lt;/C&gt;&lt;D xsi:type="xsd:double"&gt;6.615&lt;/D&gt;&lt;/FQL&gt;&lt;FQL&gt;&lt;Q&gt;KPN-NL^FG_PRICE&lt;/Q&gt;&lt;R&gt;1&lt;/R&gt;&lt;C&gt;1&lt;/C&gt;&lt;D xsi:type="xsd:double"&gt;4.664&lt;/D&gt;&lt;/FQL&gt;&lt;FQL&gt;&lt;Q&gt;762-HK^FG_PRICE&lt;/Q&gt;&lt;R&gt;1&lt;/R&gt;&lt;C&gt;1&lt;/C&gt;&lt;D xsi:type="xsd:double"&gt;7.26&lt;/D&gt;&lt;/FQL&gt;&lt;FQL&gt;&lt;Q&gt;SITES1A.1-MX^FG_PRICE&lt;/Q&gt;&lt;R&gt;1&lt;/R&gt;&lt;C&gt;1&lt;/C&gt;&lt;D xsi:type="xsd:double"&gt;16.16&lt;/D&gt;&lt;/FQL&gt;&lt;FQL&gt;&lt;Q&gt;6888-MY^FG_PRICE&lt;/Q&gt;&lt;R&gt;1&lt;/R&gt;&lt;C&gt;1&lt;/C&gt;&lt;D xsi:type="xsd:double"&gt;2.24&lt;/D&gt;&lt;/FQL&gt;&lt;FQL&gt;&lt;Q&gt;941-HK^FG_PRICE&lt;/Q&gt;&lt;R&gt;1&lt;/R&gt;&lt;C&gt;1&lt;/C&gt;&lt;D xsi:type="xsd:double"&gt;83.9&lt;/D&gt;&lt;/FQL&gt;&lt;FQL&gt;&lt;Q&gt;TBIG-ID^FG_PRICE&lt;/Q&gt;&lt;R&gt;1&lt;/R&gt;&lt;C&gt;1&lt;/C&gt;&lt;D xsi:type="xsd:double"&gt;1875&lt;/D&gt;&lt;/FQL&gt;&lt;FQL&gt;&lt;Q&gt;PROX-BE^FG_PRICE&lt;/Q&gt;&lt;R&gt;1&lt;/R&gt;&lt;C&gt;1&lt;/C&gt;&lt;D xsi:type="xsd:double"&gt;6.63&lt;/D&gt;&lt;/FQL&gt;&lt;FQL&gt;&lt;Q&gt;NZDUSD^FG_PRICE&lt;/Q&gt;&lt;R&gt;1&lt;/R&gt;&lt;C&gt;1&lt;/C&gt;&lt;D xsi:type="xsd:double"&gt;0.5856445&lt;/D&gt;&lt;/FQL&gt;&lt;FQL&gt;&lt;Q&gt;USDCLP^FG_PRICE&lt;/Q&gt;&lt;R&gt;1&lt;/R&gt;&lt;C&gt;1&lt;/C&gt;&lt;D xsi:type="xsd:double"&gt;898.08026&lt;/D&gt;&lt;/FQL&gt;&lt;FQL&gt;&lt;Q&gt;USDTRY^FG_PRICE&lt;/Q&gt;&lt;R&gt;1&lt;/R&gt;&lt;C&gt;1&lt;/C&gt;&lt;D xsi:type="xsd:double"&gt;45.024994&lt;/D&gt;&lt;/FQL&gt;&lt;FQL&gt;&lt;Q&gt;TV-US^FG_PRICE&lt;/Q&gt;&lt;R&gt;1&lt;/R&gt;&lt;C&gt;1&lt;/C&gt;&lt;D xsi:type="xsd:double"&gt;3.05&lt;/D&gt;&lt;/FQL&gt;&lt;FQL&gt;&lt;Q&gt;LILAB-US^FG_PRICE&lt;/Q&gt;&lt;R&gt;1&lt;/R&gt;&lt;C&gt;1&lt;/C&gt;&lt;D xsi:type="xsd:double"&gt;10.24&lt;/D&gt;&lt;/FQL&gt;&lt;FQL&gt;&lt;Q&gt;ISAT-ID^FG_PRICE&lt;/Q&gt;&lt;R&gt;1&lt;/R&gt;&lt;C&gt;1&lt;/C&gt;&lt;D xsi:type="xsd:double"&gt;1970&lt;/D&gt;&lt;/FQL&gt;&lt;FQL&gt;&lt;Q&gt;USDBDT^FG_PRICE&lt;/Q&gt;&lt;R&gt;1&lt;/R&gt;&lt;C&gt;1&lt;/C&gt;&lt;D xsi:type="xsd:double"&gt;123.15004&lt;/D&gt;&lt;/FQL&gt;&lt;FQL&gt;&lt;Q&gt;TEL-NO^FG_PRICE&lt;/Q&gt;&lt;R&gt;1&lt;/R&gt;&lt;C&gt;1&lt;/C&gt;&lt;D xsi:type="xsd:double"&gt;164.3&lt;/D&gt;&lt;/FQL&gt;&lt;FQL&gt;&lt;Q&gt;USDTWD^FG_PRICE&lt;/Q&gt;&lt;R&gt;1&lt;/R&gt;&lt;C&gt;1&lt;/C&gt;&lt;D xsi:type="xsd:double"&gt;31.47152&lt;/D&gt;&lt;/FQL&gt;&lt;FQL&gt;&lt;Q&gt;TELIA-SE^FG_PRICE&lt;/Q&gt;&lt;R&gt;1&lt;/R&gt;&lt;C&gt;1&lt;/C&gt;&lt;D xsi:type="xsd:double"&gt;48.71&lt;/D&gt;&lt;/FQL&gt;&lt;FQL&gt;&lt;Q&gt;032640-KR^FG_PRICE&lt;/Q&gt;&lt;R&gt;1&lt;/R&gt;&lt;C&gt;1&lt;/C&gt;&lt;D xsi:type="xsd:double"&gt;16600&lt;/D&gt;&lt;/FQL&gt;&lt;FQL&gt;&lt;Q&gt;TRUE-TH^FG_PRICE&lt;/Q&gt;&lt;R&gt;1&lt;/R&gt;&lt;C&gt;1&lt;/C&gt;&lt;D xsi:type="xsd:double"&gt;13.5&lt;/D&gt;&lt;/FQL&gt;&lt;FQL&gt;&lt;Q&gt;FYBR-US^FG_PRICE&lt;/Q&gt;&lt;R&gt;0&lt;/R&gt;&lt;C&gt;0&lt;/C&gt;&lt;/FQL&gt;&lt;FQL&gt;&lt;Q&gt;TEF-ES^FG_PRICE&lt;/Q&gt;&lt;R&gt;1&lt;/R&gt;&lt;C&gt;1&lt;/C&gt;&lt;D xsi:type="xsd:double"&gt;3.882&lt;/D&gt;&lt;/FQL&gt;&lt;FQL&gt;&lt;Q&gt;TITR-IT^FG_PRICE&lt;/Q&gt;&lt;R&gt;1&lt;/R&gt;&lt;C&gt;1&lt;/C&gt;&lt;D xsi:type="xsd:double"&gt;0.771&lt;/D&gt;&lt;/FQL&gt;&lt;FQL&gt;&lt;Q&gt;BT.A-GB^FG_PRICE&lt;/Q&gt;&lt;R&gt;1&lt;/R&gt;&lt;C&gt;1&lt;/C&gt;&lt;D xsi:type="xsd:double"&gt;2.2405&lt;/D&gt;&lt;/FQL&gt;&lt;FQL&gt;&lt;Q&gt;CCI-US^FG_PRICE&lt;/Q&gt;&lt;R&gt;1&lt;/R&gt;&lt;C&gt;1&lt;/C&gt;&lt;D xsi:type="xsd:double"&gt;86.215&lt;/D&gt;&lt;/FQL&gt;&lt;FQL&gt;&lt;Q&gt;USDSEK^FG_PRICE&lt;/Q&gt;&lt;R&gt;1&lt;/R&gt;&lt;C&gt;1&lt;/C&gt;&lt;D xsi:type="xsd:double"&gt;9.27353&lt;/D&gt;&lt;/FQL&gt;&lt;FQL&gt;&lt;Q&gt;AMT-US^FG_PRICE&lt;/Q&gt;&lt;R&gt;1&lt;/R&gt;&lt;C&gt;1&lt;/C&gt;&lt;D xsi:type="xsd:double"&gt;177.78&lt;/D&gt;&lt;/FQL&gt;&lt;FQL&gt;&lt;Q&gt;USDTHB^FG_PRICE&lt;/Q&gt;&lt;R&gt;1&lt;/R&gt;&lt;C&gt;1&lt;/C&gt;&lt;D xsi:type="xsd:double"&gt;32.429985&lt;/D&gt;&lt;/FQL&gt;&lt;FQL&gt;&lt;Q&gt;USDARS^FG_PRICE&lt;/Q&gt;&lt;R&gt;1&lt;/R&gt;&lt;C&gt;1&lt;/C&gt;&lt;D xsi:type="xsd:double"&gt;1392.75&lt;/D&gt;&lt;/FQL&gt;&lt;FQL&gt;&lt;Q&gt;4755-JP^FG_PRICE&lt;/Q&gt;&lt;R&gt;1&lt;/R&gt;&lt;C&gt;1&lt;/C&gt;&lt;D xsi:type="xsd:double"&gt;775.3&lt;/D&gt;&lt;/FQL&gt;&lt;FQL&gt;&lt;Q&gt;ETL-FR^FG_PRICE&lt;/Q&gt;&lt;R&gt;1&lt;/R&gt;&lt;C&gt;1&lt;/C&gt;&lt;D xsi:type="xsd:double"&gt;2.8&lt;/D&gt;&lt;/FQL&gt;&lt;FQL&gt;&lt;Q&gt;MTEL-ID^FG_PRICE&lt;/Q&gt;&lt;R&gt;1&lt;/R&gt;&lt;C&gt;1&lt;/C&gt;&lt;D xsi:type="xsd:double"&gt;530&lt;/D&gt;&lt;/FQL&gt;&lt;FQL&gt;&lt;Q&gt;9432-JP^FG_PRICE&lt;/Q&gt;&lt;R&gt;1&lt;/R&gt;&lt;C&gt;1&lt;/C&gt;&lt;D xsi:type="xsd:double"&gt;151.5&lt;/D&gt;&lt;/FQL&gt;&lt;FQL&gt;&lt;Q&gt;USDINR^FG_PRICE&lt;/Q&gt;&lt;R&gt;1&lt;/R&gt;&lt;C&gt;1&lt;/C&gt;&lt;D xsi:type="xsd:double"&gt;94.2475&lt;/D&gt;&lt;/FQL&gt;&lt;FQL&gt;&lt;Q&gt;OBEL-BE^FG_PRICE&lt;/Q&gt;&lt;R&gt;1&lt;/R&gt;&lt;C&gt;1&lt;/C&gt;&lt;D xsi:type="xsd:double"&gt;21&lt;/D&gt;&lt;/FQL&gt;&lt;FQL&gt;&lt;Q&gt;NOS-PT^FG_PRICE&lt;/Q&gt;&lt;R&gt;1&lt;/R&gt;&lt;C&gt;1&lt;/C&gt;&lt;D xsi:type="xsd:double"&gt;5.65&lt;/D&gt;&lt;/FQL&gt;&lt;FQL&gt;&lt;Q&gt;CHTR-US^FG_PRICE&lt;/Q&gt;&lt;R&gt;1&lt;/R&gt;&lt;C&gt;1&lt;/C&gt;&lt;D xsi:type="xsd:double"&gt;222&lt;/D&gt;&lt;/FQL&gt;&lt;FQL&gt;&lt;Q&gt;MEGACPO-MX^FG_PRICE&lt;/Q&gt;&lt;R&gt;1&lt;/R&gt;&lt;C&gt;1&lt;/C&gt;&lt;D xsi:type="xsd:double"&gt;59.4&lt;/D&gt;&lt;/FQL&gt;&lt;FQL&gt;&lt;Q&gt;USDCNY^FG_PRICE&lt;/Q&gt;&lt;R&gt;1&lt;/R&gt;&lt;C&gt;1&lt;/C&gt;&lt;D xsi:type="xsd:double"&gt;6.8343472&lt;/D&gt;&lt;/FQL&gt;&lt;FQL&gt;&lt;Q&gt;TIGO-US^FG_PRICE&lt;/Q&gt;&lt;R&gt;1&lt;/R&gt;&lt;C&gt;1&lt;/C&gt;&lt;D xsi:type="xsd:double"&gt;83.625&lt;/D&gt;&lt;/FQL&gt;&lt;FQL&gt;&lt;Q&gt;USDKRW^FG_PRICE&lt;/Q&gt;&lt;R&gt;1&lt;/R&gt;&lt;C&gt;1&lt;/C&gt;&lt;D xsi:type="xsd:double"&gt;1484.2501&lt;/D&gt;&lt;/FQL&gt;&lt;FQL&gt;&lt;Q&gt;USDCHF^FG_PRICE&lt;/Q&gt;&lt;R&gt;1&lt;/R&gt;&lt;C&gt;1&lt;/C&gt;&lt;D xsi:type="xsd:double"&gt;0.78691685&lt;/D&gt;&lt;/FQL&gt;&lt;FQL&gt;&lt;Q&gt;AAF-GB^FG_PRICE&lt;/Q&gt;&lt;R&gt;1&lt;/R&gt;&lt;C&gt;1&lt;/C&gt;&lt;D xsi:type="xsd:double"&gt;3.596&lt;/D&gt;&lt;/FQL&gt;&lt;FQL&gt;&lt;Q&gt;HTWS-GB^FG_PRICE&lt;/Q&gt;&lt;R&gt;1&lt;/R&gt;&lt;C&gt;1&lt;/C&gt;&lt;D xsi:type="xsd:double"&gt;1.975&lt;/D&gt;&lt;/FQL&gt;&lt;FQL&gt;&lt;Q&gt;VZ-US^FG_PRICE&lt;/Q&gt;&lt;R&gt;1&lt;/R&gt;&lt;C&gt;1&lt;/C&gt;&lt;D xsi:type="xsd:double"&gt;46.86&lt;/D&gt;&lt;/FQL&gt;&lt;FQL&gt;&lt;Q&gt;534816-IN^FG_PRICE&lt;/Q&gt;&lt;R&gt;1&lt;/R&gt;&lt;C&gt;1&lt;/C&gt;&lt;D xsi:type="xsd:double"&gt;402.15&lt;/D&gt;&lt;/FQL&gt;&lt;FQL&gt;&lt;Q&gt;USDNOK^FG_PRICE&lt;/Q&gt;&lt;R&gt;1&lt;/R&gt;&lt;C&gt;1&lt;/C&gt;&lt;D xsi:type="xsd:double"&gt;9.3462515&lt;/D&gt;&lt;/FQL&gt;&lt;FQL&gt;&lt;Q&gt;USDKES^FG_PRICE&lt;/Q&gt;&lt;R&gt;1&lt;/R&gt;&lt;C&gt;1&lt;/C&gt;&lt;D xsi:type="xsd:double"&gt;129.25006&lt;/D&gt;&lt;/FQL&gt;&lt;FQL&gt;&lt;Q&gt;USDEGP^FG_PRICE&lt;/Q&gt;&lt;R&gt;1&lt;/R&gt;&lt;C&gt;1&lt;/C&gt;&lt;D xsi:type="xsd:double"&gt;52.620003&lt;/D&gt;&lt;/FQL&gt;&lt;FQL&gt;&lt;Q&gt;USDHUF^FG_PRICE&lt;/Q&gt;&lt;R&gt;1&lt;/R&gt;&lt;C&gt;1&lt;/C&gt;&lt;D xsi:type="xsd:double"&gt;314.61517&lt;/D&gt;&lt;/FQL&gt;&lt;FQL&gt;&lt;Q&gt;728-HK^FG_PRICE&lt;/Q&gt;&lt;R&gt;1&lt;/R&gt;&lt;C&gt;1&lt;/C&gt;&lt;D xsi:type="xsd:double"&gt;5.01&lt;/D&gt;&lt;/FQL&gt;&lt;FQL&gt;&lt;Q&gt;030200-KR^FG_PRICE&lt;/Q&gt;&lt;R&gt;1&lt;/R&gt;&lt;C&gt;1&lt;/C&gt;&lt;D xsi:type="xsd:double"&gt;61700&lt;/D&gt;&lt;/FQL&gt;&lt;FQL&gt;&lt;Q&gt;USDIDR^FG_PRICE&lt;/Q&gt;&lt;R&gt;1&lt;/R&gt;&lt;C&gt;1&lt;/C&gt;&lt;D xsi:type="xsd:double"&gt;17192.5&lt;/D&gt;&lt;/FQL&gt;&lt;FQL&gt;&lt;Q&gt;BBVA-ES^FG_PRICE&lt;/Q&gt;&lt;R&gt;1&lt;/R&gt;&lt;C&gt;1&lt;/C&gt;&lt;D xsi:type="xsd:double"&gt;18.475&lt;/D&gt;&lt;/FQL&gt;&lt;FQL&gt;&lt;Q&gt;9434-JP^FG_PRICE&lt;/Q&gt;&lt;R&gt;1&lt;/R&gt;&lt;C&gt;1&lt;/C&gt;&lt;D xsi:type="xsd:double"&gt;220.2&lt;/D&gt;&lt;/FQL&gt;&lt;FQL&gt;&lt;Q&gt;USDLKR^FG_PRICE&lt;/Q&gt;&lt;R&gt;1&lt;/R&gt;&lt;C&gt;1&lt;/C&gt;&lt;D xsi:type="xsd:double"&gt;317.80005&lt;/D&gt;&lt;/FQL&gt;&lt;FQL&gt;&lt;Q&gt;INW-IT^FG_PRICE&lt;/Q&gt;&lt;R&gt;1&lt;/R&gt;&lt;C&gt;1&lt;/C&gt;&lt;D xsi:type="xsd:double"&gt;7.295&lt;/D&gt;&lt;/FQL&gt;&lt;FQL&gt;&lt;Q&gt;USDPKR^FG_PRICE&lt;/Q&gt;&lt;R&gt;1&lt;/R&gt;&lt;C&gt;1&lt;/C&gt;&lt;D xsi:type="xsd:double"&gt;278.95007&lt;/D&gt;&lt;/FQL&gt;&lt;FQL&gt;&lt;Q&gt;MTN-ZA^FG_PRICE&lt;/Q&gt;&lt;R&gt;1&lt;/R&gt;&lt;C&gt;1&lt;/C&gt;&lt;D xsi:type="xsd:double"&gt;206.35&lt;/D&gt;&lt;/FQL&gt;&lt;FQL&gt;&lt;Q&gt;USDMAD^FG_PRICE&lt;/Q&gt;&lt;R&gt;1&lt;/R&gt;&lt;C&gt;1&lt;/C&gt;&lt;D xsi:type="xsd:double"&gt;9.271417&lt;/D&gt;&lt;/FQL&gt;&lt;FQL&gt;&lt;Q&gt;Z74-SG^FG_PRICE&lt;/Q&gt;&lt;R&gt;1&lt;/R&gt;&lt;C&gt;1&lt;/C&gt;&lt;D xsi:type="xsd:double"&gt;4.63&lt;/D&gt;&lt;/FQL&gt;&lt;FQL&gt;&lt;Q&gt;SBAC-US^FG_PRICE&lt;/Q&gt;&lt;R&gt;1&lt;/R&gt;&lt;C&gt;1&lt;/C&gt;&lt;D xsi:type="xsd:double"&gt;217.5&lt;/D&gt;&lt;/FQL&gt;&lt;FQL&gt;&lt;Q&gt;788-HK^FG_PRICE&lt;/Q&gt;&lt;R&gt;1&lt;/R&gt;&lt;C&gt;1&lt;/C&gt;&lt;D xsi:type="xsd:double"&gt;11.16&lt;/D&gt;&lt;/FQL&gt;&lt;FQL&gt;&lt;Q&gt;USDMXN^FG_PRICE&lt;/Q&gt;&lt;R&gt;1&lt;/R&gt;&lt;C&gt;1&lt;/C&gt;&lt;D xsi:type="xsd:double"&gt;17.445486&lt;/D&gt;&lt;/FQL&gt;&lt;FQL&gt;&lt;Q&gt;EN-FR^FG_PRICE&lt;/Q&gt;&lt;R&gt;1&lt;/R&gt;&lt;C&gt;1&lt;/C&gt;&lt;D xsi:type="xsd:double"&gt;51.78&lt;/D&gt;&lt;/FQL&gt;&lt;FQL&gt;&lt;Q&gt;TOWR-ID^FG_PRICE&lt;/Q&gt;&lt;R&gt;1&lt;/R&gt;&lt;C&gt;1&lt;/C&gt;&lt;D xsi:type="xsd:double"&gt;488&lt;/D&gt;&lt;/FQL&gt;&lt;FQL&gt;&lt;Q&gt;UTDI-DE^FG_PRICE&lt;/Q&gt;&lt;R&gt;1&lt;/R&gt;&lt;C&gt;1&lt;/C&gt;&lt;D xsi:type="xsd:double"&gt;26.68&lt;/D&gt;&lt;/FQL&gt;&lt;FQL&gt;&lt;Q&gt;IHS-USA^FG_PRICE&lt;/Q&gt;&lt;R&gt;1&lt;/R&gt;&lt;C&gt;1&lt;/C&gt;&lt;D xsi:type="xsd:double"&gt;8.2105&lt;/D&gt;&lt;/FQL&gt;&lt;FQL&gt;&lt;Q&gt;VEON-US^FG_PRICE&lt;/Q&gt;&lt;R&gt;1&lt;/R&gt;&lt;C&gt;1&lt;/C&gt;&lt;D xsi:type="xsd:double"&gt;54.91&lt;/D&gt;&lt;/FQL&gt;&lt;FQL&gt;&lt;Q&gt;LILA-US^FG_PRICE&lt;/Q&gt;&lt;R&gt;1&lt;/R&gt;&lt;C&gt;1&lt;/C&gt;&lt;D xsi:type="xsd:double"&gt;8.34&lt;/D&gt;&lt;/FQL&gt;&lt;FQL&gt;&lt;Q&gt;USDGBP^FG_PRICE&lt;/Q&gt;&lt;R&gt;1&lt;/R&gt;&lt;C&gt;1&lt;/C&gt;&lt;D xsi:type="xsd:double"&gt;0.7416747&lt;/D&gt;&lt;/FQL&gt;&lt;FQL&gt;&lt;Q&gt;USDAUD^FG_PRICE&lt;/Q&gt;&lt;R&gt;1&lt;/R&gt;&lt;C&gt;1&lt;/C&gt;&lt;D xsi:type="xsd:double"&gt;1.4024327&lt;/D&gt;&lt;/FQL&gt;&lt;FQL&gt;&lt;Q&gt;USDPLN^FG_PRICE&lt;/Q&gt;&lt;R&gt;1&lt;/R&gt;&lt;C&gt;1&lt;/C&gt;&lt;D xsi:type="xsd:double"&gt;3.6326115&lt;/D&gt;&lt;/FQL&gt;&lt;FQL&gt;&lt;Q&gt;LBTYB-US^FG_PRICE&lt;/Q&gt;&lt;R&gt;1&lt;/R&gt;&lt;C&gt;1&lt;/C&gt;&lt;D xsi:type="xsd:double"&gt;16.84&lt;/D&gt;&lt;/FQL&gt;&lt;FQL&gt;&lt;Q&gt;ZEG-GB^FG_PRICE&lt;/Q&gt;&lt;R&gt;1&lt;/R&gt;&lt;C&gt;1&lt;/C&gt;&lt;D xsi:type="xsd:double"&gt;17.92&lt;/D&gt;&lt;/FQL&gt;&lt;FQL&gt;&lt;Q&gt;532822-IN^FG_PRICE&lt;/Q&gt;&lt;R&gt;1&lt;/R&gt;&lt;C&gt;1&lt;/C&gt;&lt;D xsi:type="xsd:double"&gt;9.52&lt;/D&gt;&lt;/FQL&gt;&lt;FQL&gt;&lt;Q&gt;USDBRL^FG_PRICE&lt;/Q&gt;&lt;R&gt;1&lt;/R&gt;&lt;C&gt;1&lt;/C&gt;&lt;D xsi:type="xsd:double"&gt;5.0182824&lt;/D&gt;&lt;/FQL&gt;&lt;FQL&gt;&lt;Q&gt;TIMS3-BR^FG_PRICE&lt;/Q&gt;&lt;R&gt;1&lt;/R&gt;&lt;C&gt;1&lt;/C&gt;&lt;D xsi:type="xsd:double"&gt;25.99&lt;/D&gt;&lt;/FQL&gt;&lt;FQL&gt;&lt;Q&gt;SCOM-KE^FG_PRICE&lt;/Q&gt;&lt;R&gt;1&lt;/R&gt;&lt;C&gt;1&lt;/C&gt;&lt;D xsi:type="xsd:double"&gt;29.9&lt;/D&gt;&lt;/FQL&gt;&lt;FQL&gt;&lt;Q&gt;LILAK-US^FG_PRICE&lt;/Q&gt;&lt;R&gt;1&lt;/R&gt;&lt;C&gt;1&lt;/C&gt;&lt;D xsi:type="xsd:double"&gt;8.525&lt;/D&gt;&lt;/FQL&gt;&lt;/Schema&gt;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T13" authorId="0" shapeId="0" xr:uid="{00000000-0006-0000-A800-000001000000}">
      <text>
        <r>
          <rPr>
            <b/>
            <sz val="8"/>
            <color indexed="81"/>
            <rFont val="Tahoma"/>
            <family val="2"/>
          </rPr>
          <t>rwaller:</t>
        </r>
        <r>
          <rPr>
            <sz val="8"/>
            <color indexed="81"/>
            <rFont val="Tahoma"/>
            <family val="2"/>
          </rPr>
          <t xml:space="preserve">
Indus proportionately consolidated therefore no minority in EV calculation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OMara</author>
  </authors>
  <commentList>
    <comment ref="J14" authorId="0" shapeId="0" xr:uid="{00000000-0006-0000-B000-000001000000}">
      <text>
        <r>
          <rPr>
            <b/>
            <sz val="9"/>
            <color indexed="81"/>
            <rFont val="Tahoma"/>
            <family val="2"/>
          </rPr>
          <t>John OMara:</t>
        </r>
        <r>
          <rPr>
            <sz val="9"/>
            <color indexed="81"/>
            <rFont val="Tahoma"/>
            <family val="2"/>
          </rPr>
          <t xml:space="preserve">
impaired by 50%</t>
        </r>
      </text>
    </comment>
    <comment ref="J15" authorId="0" shapeId="0" xr:uid="{00000000-0006-0000-B000-000002000000}">
      <text>
        <r>
          <rPr>
            <b/>
            <sz val="9"/>
            <color indexed="81"/>
            <rFont val="Tahoma"/>
            <family val="2"/>
          </rPr>
          <t>John OMara:</t>
        </r>
        <r>
          <rPr>
            <sz val="9"/>
            <color indexed="81"/>
            <rFont val="Tahoma"/>
            <family val="2"/>
          </rPr>
          <t xml:space="preserve">
impaired by 50%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B38" authorId="0" shapeId="0" xr:uid="{00000000-0006-0000-A700-000003000000}">
      <text>
        <r>
          <rPr>
            <b/>
            <sz val="12"/>
            <color indexed="81"/>
            <rFont val="Tahoma"/>
            <family val="2"/>
          </rPr>
          <t xml:space="preserve">rwaller:
Mauritius
Equatorial Guinea
Vanuatu
Tunisia
Morocco
Iraq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Russell</author>
  </authors>
  <commentList>
    <comment ref="J20" authorId="0" shapeId="0" xr:uid="{F25D2D47-D957-455F-A7DF-63582FE0F822}">
      <text>
        <r>
          <rPr>
            <b/>
            <sz val="9"/>
            <color indexed="81"/>
            <rFont val="Tahoma"/>
            <family val="2"/>
          </rPr>
          <t>Russell:</t>
        </r>
        <r>
          <rPr>
            <sz val="9"/>
            <color indexed="81"/>
            <rFont val="Tahoma"/>
            <family val="2"/>
          </rPr>
          <t xml:space="preserve">
May 20 - Sunrise CHF350m calim and other claims following the CHF186m fine from Como (paid in 2016)
B/S proviison is CHF243 - assume 75% chance of payment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Jeremy Ben-Nathan</author>
  </authors>
  <commentList>
    <comment ref="H36" authorId="0" shapeId="0" xr:uid="{167CCF48-832E-4D87-8DE0-BD87CF07F71B}">
      <text>
        <r>
          <rPr>
            <b/>
            <sz val="9"/>
            <color indexed="81"/>
            <rFont val="Tahoma"/>
            <family val="2"/>
          </rPr>
          <t>Jeremy Ben-Nathan:</t>
        </r>
        <r>
          <rPr>
            <sz val="9"/>
            <color indexed="81"/>
            <rFont val="Tahoma"/>
            <family val="2"/>
          </rPr>
          <t xml:space="preserve">
Proceeds included in 25 ND value.</t>
        </r>
      </text>
    </comment>
    <comment ref="J55" authorId="0" shapeId="0" xr:uid="{6A923189-4D29-4ADB-9D71-9B90C0BE3188}">
      <text>
        <r>
          <rPr>
            <b/>
            <sz val="9"/>
            <color indexed="81"/>
            <rFont val="Tahoma"/>
            <family val="2"/>
          </rPr>
          <t>Jeremy Ben-Nathan:</t>
        </r>
        <r>
          <rPr>
            <sz val="9"/>
            <color indexed="81"/>
            <rFont val="Tahoma"/>
            <family val="2"/>
          </rPr>
          <t xml:space="preserve">
Included in the Sweden forecasts now.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<sst xmlns="http://schemas.openxmlformats.org/spreadsheetml/2006/main" count="10500" uniqueCount="1370">
  <si>
    <t>Finnish mobile</t>
  </si>
  <si>
    <t>Estonia mobile</t>
  </si>
  <si>
    <t>Wireline</t>
  </si>
  <si>
    <t>Net interest</t>
  </si>
  <si>
    <t>Less: NPV YE tax credit</t>
  </si>
  <si>
    <t>ords</t>
  </si>
  <si>
    <t>savers</t>
  </si>
  <si>
    <t>EFCF MKT CAP</t>
  </si>
  <si>
    <t>Adjustment</t>
  </si>
  <si>
    <t>Adjusted mkt cap</t>
  </si>
  <si>
    <t>Tele2 equity</t>
  </si>
  <si>
    <t>TM INTERNATIONAL</t>
  </si>
  <si>
    <t>Share price, MYR</t>
  </si>
  <si>
    <t>Share price, US$</t>
  </si>
  <si>
    <t>The Netherlands</t>
  </si>
  <si>
    <t>Mkt. Cap. (EUR for Europe, US$ RoW)</t>
  </si>
  <si>
    <t>EV (EUR for Europe, US$ RoW)</t>
  </si>
  <si>
    <t>Net debt (cash) (EUR for Europe, US$ RoW)</t>
  </si>
  <si>
    <t>KT</t>
  </si>
  <si>
    <t>KT CORP</t>
  </si>
  <si>
    <t>Treasury shares</t>
  </si>
  <si>
    <t>Belg equity</t>
  </si>
  <si>
    <t>Plus: Net debt (net cash)</t>
  </si>
  <si>
    <t>Share price, NOK</t>
  </si>
  <si>
    <t>EM sector</t>
  </si>
  <si>
    <t>AGGREGATE EMEA MULTIPLES</t>
  </si>
  <si>
    <t>AGGREGATE EMEA CELLULAR</t>
  </si>
  <si>
    <t>EM CELLULAR MULTIPLES</t>
  </si>
  <si>
    <t>Dividends, ords</t>
  </si>
  <si>
    <t>KPN equity</t>
  </si>
  <si>
    <t>Verizon</t>
  </si>
  <si>
    <t>W. EUR. CELLULAR SECTOR MULTIPLES</t>
  </si>
  <si>
    <t>W. EUR. INCUMBENT SECTOR MULTIPLES</t>
  </si>
  <si>
    <t>Dividends plus buybacks</t>
  </si>
  <si>
    <t>True Corp</t>
  </si>
  <si>
    <t xml:space="preserve">Plus: Net debt (net cash) </t>
  </si>
  <si>
    <t xml:space="preserve">Plus: Other financial liabilities </t>
  </si>
  <si>
    <t>TRUE CORP</t>
  </si>
  <si>
    <t>TRUE MULTIPLES</t>
  </si>
  <si>
    <t>Asia cellular</t>
  </si>
  <si>
    <t>Infratel</t>
  </si>
  <si>
    <t>Other RoW</t>
  </si>
  <si>
    <t>EUR/EGP</t>
  </si>
  <si>
    <t>Entreprise / ICSS</t>
  </si>
  <si>
    <t>CMCSA</t>
  </si>
  <si>
    <t>SWISSCOM GROUP</t>
  </si>
  <si>
    <t>Swiss equity</t>
  </si>
  <si>
    <t>Belgacom</t>
  </si>
  <si>
    <t>Other Europe</t>
  </si>
  <si>
    <t>Rating</t>
  </si>
  <si>
    <t>Target</t>
  </si>
  <si>
    <t>Buy</t>
  </si>
  <si>
    <t>Upside</t>
  </si>
  <si>
    <t>Reduce</t>
  </si>
  <si>
    <t>Neutral</t>
  </si>
  <si>
    <t xml:space="preserve">Target price per share </t>
  </si>
  <si>
    <t>Mobistar</t>
  </si>
  <si>
    <t>US - Telecoms</t>
  </si>
  <si>
    <t>IDEA CELLULAR</t>
  </si>
  <si>
    <t>INDOSAT</t>
  </si>
  <si>
    <t>INDO MULTIPLES</t>
  </si>
  <si>
    <t>AMX MULTIPLES</t>
  </si>
  <si>
    <t>ASIACELLULAR SECTOR MULTIPLES</t>
  </si>
  <si>
    <t>ASIA CELLULAR SECTOR MULTIPLES</t>
  </si>
  <si>
    <t>ASIA INCUMBENT SECTOR MULTIPLES</t>
  </si>
  <si>
    <t>Liberty</t>
  </si>
  <si>
    <t>Agg. US Satellite</t>
  </si>
  <si>
    <t>AGG. W. EUR. INCUMBENT MULTIPLES</t>
  </si>
  <si>
    <t>AGG. W. EUR. CELLULAR MULTIPLES</t>
  </si>
  <si>
    <t>Method</t>
  </si>
  <si>
    <t>Driver</t>
  </si>
  <si>
    <t>Multiple</t>
  </si>
  <si>
    <t>100% EV</t>
  </si>
  <si>
    <t>Net debt</t>
  </si>
  <si>
    <t>BHARTI AIRTEL</t>
  </si>
  <si>
    <t>Share price, INR</t>
  </si>
  <si>
    <t>Enterprise Value, USD m</t>
  </si>
  <si>
    <t>AGGREGATE DEVELOPED ASIA CELLULAR MULTIPLES</t>
  </si>
  <si>
    <t>DW SECTOR MULTIPLES</t>
  </si>
  <si>
    <t>DEVELOPED ASIA MULTIPLES</t>
  </si>
  <si>
    <t>Agg. Developed Asia Cellular</t>
  </si>
  <si>
    <t>Agg. W Europe</t>
  </si>
  <si>
    <t>Agg. EMEA Incumbent</t>
  </si>
  <si>
    <t>Bangladesh</t>
  </si>
  <si>
    <t xml:space="preserve">% upside/downside to current price </t>
  </si>
  <si>
    <t>Wholesale &amp; Op. (inc Other)</t>
  </si>
  <si>
    <t>Sweden mobile</t>
  </si>
  <si>
    <t>KPN GROUP</t>
  </si>
  <si>
    <t>CHINA MOBILE</t>
  </si>
  <si>
    <t>Denmark fixed</t>
  </si>
  <si>
    <t>Europe</t>
  </si>
  <si>
    <t xml:space="preserve">INR </t>
  </si>
  <si>
    <t>TIM Participacoes</t>
  </si>
  <si>
    <t>Sri Lanka</t>
  </si>
  <si>
    <t>Market price</t>
  </si>
  <si>
    <t>na</t>
  </si>
  <si>
    <t>Share price, USD</t>
  </si>
  <si>
    <t>Tele2 A</t>
  </si>
  <si>
    <t>Tele2 B</t>
  </si>
  <si>
    <t>Lattelekom (Latvia - fixed)</t>
  </si>
  <si>
    <t>Per share</t>
  </si>
  <si>
    <t>Enterprise Value US$</t>
  </si>
  <si>
    <t>Mkt price</t>
  </si>
  <si>
    <t>Belgium</t>
  </si>
  <si>
    <t>Elisa equity</t>
  </si>
  <si>
    <t xml:space="preserve">MYR </t>
  </si>
  <si>
    <t>Add: Dividend per share</t>
  </si>
  <si>
    <t>100% equity</t>
  </si>
  <si>
    <t>Ownership</t>
  </si>
  <si>
    <t>Minority</t>
  </si>
  <si>
    <t>% of equity</t>
  </si>
  <si>
    <t>per share</t>
  </si>
  <si>
    <t>Domestic wireline</t>
  </si>
  <si>
    <t>x</t>
  </si>
  <si>
    <t>=</t>
  </si>
  <si>
    <t>-</t>
  </si>
  <si>
    <t>Mkt value</t>
  </si>
  <si>
    <t>Total</t>
  </si>
  <si>
    <t>Associates</t>
  </si>
  <si>
    <t>Mobile</t>
  </si>
  <si>
    <t>Other</t>
  </si>
  <si>
    <t xml:space="preserve">Total EV </t>
  </si>
  <si>
    <t xml:space="preserve">BRL </t>
  </si>
  <si>
    <t>P/EFCF (2012)</t>
  </si>
  <si>
    <t>EFCF yield (2012)</t>
  </si>
  <si>
    <t>Common</t>
  </si>
  <si>
    <t>Share price, IDR</t>
  </si>
  <si>
    <t>PT TELEKOMUNIKASI</t>
  </si>
  <si>
    <t>PTT</t>
  </si>
  <si>
    <t>French fixed (Home)</t>
  </si>
  <si>
    <t>French Mobile (Personal)</t>
  </si>
  <si>
    <t>Total France</t>
  </si>
  <si>
    <t>ICSS</t>
  </si>
  <si>
    <t>Total France inc Enterprice/ICSS</t>
  </si>
  <si>
    <t>N. AMERICAN CATV SECTOR MULTIPLES</t>
  </si>
  <si>
    <t>AGGREGATE W. EUROPE INCUMBENTS</t>
  </si>
  <si>
    <t>FORECASTS, EUR m</t>
  </si>
  <si>
    <t>Share price, CHF</t>
  </si>
  <si>
    <t>Incumbents</t>
  </si>
  <si>
    <t>Cellular</t>
  </si>
  <si>
    <t>CHINA TELECOM</t>
  </si>
  <si>
    <t>TIM PARTICIPACOES</t>
  </si>
  <si>
    <t>DIGI.COM</t>
  </si>
  <si>
    <t>MAXIS</t>
  </si>
  <si>
    <t>LatAm cellular</t>
  </si>
  <si>
    <t>AGGREGATE LATAM SECTOR</t>
  </si>
  <si>
    <t>LatAm sector</t>
  </si>
  <si>
    <t>AGGREGATE LATAM INCUMBENTS</t>
  </si>
  <si>
    <t>LatAm incumbents</t>
  </si>
  <si>
    <t>DIGI MULTIPLES</t>
  </si>
  <si>
    <t>KT MULTIPLES</t>
  </si>
  <si>
    <t>MAXIS MULTIPLES</t>
  </si>
  <si>
    <t>TIM Part</t>
  </si>
  <si>
    <t>TIM MULTIPLES</t>
  </si>
  <si>
    <t>Pref</t>
  </si>
  <si>
    <t>N. AMERICAN TELECOMS SECTOR MULTIPLES</t>
  </si>
  <si>
    <t>N. AMERICAN SATELLITE SECTOR MULTIPLES</t>
  </si>
  <si>
    <t>OpFCF</t>
  </si>
  <si>
    <t>EV/EBITDA</t>
  </si>
  <si>
    <t>EV/OpFCF</t>
  </si>
  <si>
    <t>British Telecom</t>
  </si>
  <si>
    <t>Deutsche Telekom</t>
  </si>
  <si>
    <t>NOK</t>
  </si>
  <si>
    <t>Syria</t>
  </si>
  <si>
    <t>Ghana</t>
  </si>
  <si>
    <t>Market cap. (less treasury shares)</t>
  </si>
  <si>
    <t>Vimpelcom</t>
  </si>
  <si>
    <t>Indus</t>
  </si>
  <si>
    <t>LG</t>
  </si>
  <si>
    <t>Share price, BRL</t>
  </si>
  <si>
    <t>Mobb equity</t>
  </si>
  <si>
    <t>EMERGING MARKET MULTIPLES</t>
  </si>
  <si>
    <t>DEVELOPED MARKET MULTIPLES</t>
  </si>
  <si>
    <t>SINGTEL</t>
  </si>
  <si>
    <t>Share price, S$</t>
  </si>
  <si>
    <t>Enterprise Value, S$</t>
  </si>
  <si>
    <t>Share price, THB</t>
  </si>
  <si>
    <t xml:space="preserve">THB </t>
  </si>
  <si>
    <t>IDEA</t>
  </si>
  <si>
    <t>Overhead</t>
  </si>
  <si>
    <t>SingTel</t>
  </si>
  <si>
    <t>TELENOR GROUP</t>
  </si>
  <si>
    <t>Tnor equity</t>
  </si>
  <si>
    <t>Norway fixed</t>
  </si>
  <si>
    <t>Sweden fixed</t>
  </si>
  <si>
    <t>Norway mobile</t>
  </si>
  <si>
    <t>LG Uplus</t>
  </si>
  <si>
    <t>LG UPLUS</t>
  </si>
  <si>
    <t>Poland</t>
  </si>
  <si>
    <t>Sweden</t>
  </si>
  <si>
    <t>LMT (Latvia)</t>
  </si>
  <si>
    <t>Plus: Net debt</t>
  </si>
  <si>
    <t xml:space="preserve">ZAR </t>
  </si>
  <si>
    <t>XL AXIATA</t>
  </si>
  <si>
    <t>XL AXIATA MULTIPLES</t>
  </si>
  <si>
    <t>IDEA Cellular</t>
  </si>
  <si>
    <t>IDEA MULTIPLES</t>
  </si>
  <si>
    <t>BHART MULTIPLES</t>
  </si>
  <si>
    <t>PTT MULTIPLES</t>
  </si>
  <si>
    <t>Share price, KRW</t>
  </si>
  <si>
    <t>SK TELECOM</t>
  </si>
  <si>
    <t>China Unicom</t>
  </si>
  <si>
    <t>Singtel PROPORTIONATE MULTIPLES</t>
  </si>
  <si>
    <t>Agg. W. Eur Incumbent</t>
  </si>
  <si>
    <t>Agg. W. Eur. Incumbent</t>
  </si>
  <si>
    <t>Agg. W. Eur Cellular</t>
  </si>
  <si>
    <t>Agg. W. Eur. CATV</t>
  </si>
  <si>
    <t>Agg. W Eur. Incumbent</t>
  </si>
  <si>
    <t>Agg. W. Eur. Altnet</t>
  </si>
  <si>
    <t>Agg. Asia Cellular</t>
  </si>
  <si>
    <t>Agg. W. Eur. Cellular</t>
  </si>
  <si>
    <t>Agg. Asia Incumbent</t>
  </si>
  <si>
    <t>Agg. Asia Incumbents</t>
  </si>
  <si>
    <t>Singtel</t>
  </si>
  <si>
    <t>Agg. US Telecoms</t>
  </si>
  <si>
    <t>Agg. LatAm incumbent</t>
  </si>
  <si>
    <t>Agg. US CATV</t>
  </si>
  <si>
    <t>Lease payments</t>
  </si>
  <si>
    <t>EFCF yield (08)</t>
  </si>
  <si>
    <t>LIBERTY GLOBAL</t>
  </si>
  <si>
    <t>LIBERTY GLOBAL MULTIPLES</t>
  </si>
  <si>
    <t>Liberty Global</t>
  </si>
  <si>
    <t>Telecom Italia</t>
  </si>
  <si>
    <t>EV CALCULATION</t>
  </si>
  <si>
    <t>Share price, EUR</t>
  </si>
  <si>
    <t>EV/Revenue</t>
  </si>
  <si>
    <t>Number of shares</t>
  </si>
  <si>
    <t>Market cap.</t>
  </si>
  <si>
    <t>DiGi</t>
  </si>
  <si>
    <t>DISH</t>
  </si>
  <si>
    <t>AGGREGATE EM CELLULAR MULTIPLES</t>
  </si>
  <si>
    <t>AGGREGATE ASIA CELLULAR MULTIPLES</t>
  </si>
  <si>
    <t>AGGREGATE EMEA CELLULAR MULTIPLES</t>
  </si>
  <si>
    <t>Vodafone</t>
  </si>
  <si>
    <t>TELENOR MULTIPLES</t>
  </si>
  <si>
    <t>BT</t>
  </si>
  <si>
    <t>DT</t>
  </si>
  <si>
    <t>AGGREGATE MULTIPLES</t>
  </si>
  <si>
    <t>Telecom Italia Ords</t>
  </si>
  <si>
    <t>Telecom Italia Savers</t>
  </si>
  <si>
    <t>Revenue growth</t>
  </si>
  <si>
    <t>Net debt/EBITDA</t>
  </si>
  <si>
    <t>OpFCF/net interest</t>
  </si>
  <si>
    <t>ADR</t>
  </si>
  <si>
    <t>CT MULTIPLES</t>
  </si>
  <si>
    <t>CT</t>
  </si>
  <si>
    <t>CHINA UNICOM</t>
  </si>
  <si>
    <t>CU</t>
  </si>
  <si>
    <t>China Telecom</t>
  </si>
  <si>
    <t>TSON equity</t>
  </si>
  <si>
    <t>CM MULTIPLES</t>
  </si>
  <si>
    <t>AGGREGATE ASIA CELLULAR</t>
  </si>
  <si>
    <t>AGGREGATE ASIA MULTIPLES</t>
  </si>
  <si>
    <t>KDDI</t>
  </si>
  <si>
    <t>COMCAST</t>
  </si>
  <si>
    <t>CHARTER</t>
  </si>
  <si>
    <t>FORECASTS, USD m</t>
  </si>
  <si>
    <t>Comcast</t>
  </si>
  <si>
    <t>Charter</t>
  </si>
  <si>
    <t>Net Income</t>
  </si>
  <si>
    <t xml:space="preserve">Market cap. </t>
  </si>
  <si>
    <t>AGGREGATE EM CELLULAR</t>
  </si>
  <si>
    <t>AGGREGATE EM INCUMBENTS</t>
  </si>
  <si>
    <t>AGGREGATE EM SECTOR</t>
  </si>
  <si>
    <t>AGGREGATE DEVELOPING ASIA</t>
  </si>
  <si>
    <t xml:space="preserve">AGGREGATE DEVELOPED WORLD </t>
  </si>
  <si>
    <t>Agg. W.Europe Incumbent</t>
  </si>
  <si>
    <t>Malaysia</t>
  </si>
  <si>
    <t>Cambodia</t>
  </si>
  <si>
    <t>MYR/US$</t>
  </si>
  <si>
    <t>MYR/INR</t>
  </si>
  <si>
    <t>AXI</t>
  </si>
  <si>
    <t>Axiata</t>
  </si>
  <si>
    <t>AXIATA</t>
  </si>
  <si>
    <t>Share price, ZAR</t>
  </si>
  <si>
    <t>Asia incumbents</t>
  </si>
  <si>
    <t>AGGREGATE ASIA INCUMBENT MULTIPLES</t>
  </si>
  <si>
    <t>AGGREGATE EM INCUMBENT MULTIPLES</t>
  </si>
  <si>
    <t>AGGREGATE EMEA SECTOR</t>
  </si>
  <si>
    <t>AGGREGATE ASIA SECTOR</t>
  </si>
  <si>
    <t>Asia sector</t>
  </si>
  <si>
    <t>Bharti Airtel</t>
  </si>
  <si>
    <t>America Movil</t>
  </si>
  <si>
    <t>AGGREGATE ASIA INCUMBENTS</t>
  </si>
  <si>
    <t>TELEFONICA GROUP</t>
  </si>
  <si>
    <t>ELISA</t>
  </si>
  <si>
    <t>Elisa</t>
  </si>
  <si>
    <t>ELISA MULTIPLES</t>
  </si>
  <si>
    <t>W. Eur - Incumbents</t>
  </si>
  <si>
    <t>XL Axiata</t>
  </si>
  <si>
    <t>Market cap. US$ m</t>
  </si>
  <si>
    <t>Enterprise Value, US$ m</t>
  </si>
  <si>
    <t>EMEA sector</t>
  </si>
  <si>
    <t>Maxis</t>
  </si>
  <si>
    <t>DiGi.com</t>
  </si>
  <si>
    <t>KT Corp</t>
  </si>
  <si>
    <t>LatAm - Incumbents</t>
  </si>
  <si>
    <t>EMEA - Cellular</t>
  </si>
  <si>
    <t>Emerging Asia - Incumbents</t>
  </si>
  <si>
    <t>Emerging Asia - Cellular</t>
  </si>
  <si>
    <t>Share price, US$ (ADR)</t>
  </si>
  <si>
    <t xml:space="preserve">Less: minorities </t>
  </si>
  <si>
    <t>EUR/US$</t>
  </si>
  <si>
    <t xml:space="preserve">Plus: associates </t>
  </si>
  <si>
    <t>Less: NPV Youth Account reserve/Other liabilities</t>
  </si>
  <si>
    <t>EMEA INCUMBENT SECTOR MULTIPLES</t>
  </si>
  <si>
    <t>EMEA CELLULAR SECTOR MULTIPLES</t>
  </si>
  <si>
    <t>Vodacom</t>
  </si>
  <si>
    <t>Aggregate Asia Cellular</t>
  </si>
  <si>
    <t>SKT MULTIPLES</t>
  </si>
  <si>
    <t>P/EFCF (08)</t>
  </si>
  <si>
    <t xml:space="preserve">IDR </t>
  </si>
  <si>
    <t>SEK</t>
  </si>
  <si>
    <t>P/E</t>
  </si>
  <si>
    <t>OTE GROUP</t>
  </si>
  <si>
    <t>OTE equity</t>
  </si>
  <si>
    <t>TELE2</t>
  </si>
  <si>
    <t>Tele2</t>
  </si>
  <si>
    <t>A shares</t>
  </si>
  <si>
    <t>B shares</t>
  </si>
  <si>
    <t>TELE2 MULTIPLES</t>
  </si>
  <si>
    <t>Share price, SEK</t>
  </si>
  <si>
    <t>TELE2 GROUP</t>
  </si>
  <si>
    <t xml:space="preserve">SEK </t>
  </si>
  <si>
    <t>Liberty Global A</t>
  </si>
  <si>
    <t>Liberty Global B</t>
  </si>
  <si>
    <t>Millicom</t>
  </si>
  <si>
    <t>MTN</t>
  </si>
  <si>
    <t>Maroc Telecom (EUR)</t>
  </si>
  <si>
    <t>VERIZON COMMUNICATIONS</t>
  </si>
  <si>
    <t>AT&amp;T</t>
  </si>
  <si>
    <t>USD</t>
  </si>
  <si>
    <t>NTT</t>
  </si>
  <si>
    <t>Add: NPV tax benefit of licence amortisation in Belgium</t>
  </si>
  <si>
    <t>Safaricom</t>
  </si>
  <si>
    <t>OpFCF (adjusted)</t>
  </si>
  <si>
    <t>FCF (adjusted)</t>
  </si>
  <si>
    <t>EV/EBITDA (adjusted)</t>
  </si>
  <si>
    <t>EV/OpFCF (adjusted)</t>
  </si>
  <si>
    <t>EV/FCF (adjusted)</t>
  </si>
  <si>
    <t>MOBISTAR MULTIPLES</t>
  </si>
  <si>
    <t>MOBISTAR</t>
  </si>
  <si>
    <t>MILLICOM</t>
  </si>
  <si>
    <t>MILLI MULTIPLES</t>
  </si>
  <si>
    <t>Liberty Global C</t>
  </si>
  <si>
    <t>Dividend yield, Ords</t>
  </si>
  <si>
    <t>Africa</t>
  </si>
  <si>
    <t>MTN equity</t>
  </si>
  <si>
    <t>Nigeria</t>
  </si>
  <si>
    <t>PROPORTIONATE FORECASTS, £ m</t>
  </si>
  <si>
    <t>VOD PROPORTIONATE MULTIPLES</t>
  </si>
  <si>
    <t>Market cap. (RMB)</t>
  </si>
  <si>
    <t>Austria</t>
  </si>
  <si>
    <t>CLP</t>
  </si>
  <si>
    <t>SWISSCOM MULTIPLES</t>
  </si>
  <si>
    <t>TI MULTIPLES</t>
  </si>
  <si>
    <t>SK Telecom</t>
  </si>
  <si>
    <t>Market cap. US$</t>
  </si>
  <si>
    <t>Less: minorities (Aditya Birla Telecom)</t>
  </si>
  <si>
    <t>PT Telekomunikasi</t>
  </si>
  <si>
    <t>LATAM CELLULAR SECTOR MULTIPLES</t>
  </si>
  <si>
    <t>VOD MULTIPLES</t>
  </si>
  <si>
    <t>VODAFONE GROUP</t>
  </si>
  <si>
    <t>UK</t>
  </si>
  <si>
    <t>Germany</t>
  </si>
  <si>
    <t>Italy</t>
  </si>
  <si>
    <t>Spain</t>
  </si>
  <si>
    <t>Vod equity</t>
  </si>
  <si>
    <t>Hungary</t>
  </si>
  <si>
    <t>South Africa</t>
  </si>
  <si>
    <t>Irancell</t>
  </si>
  <si>
    <t>Enterprise Value, EUR m</t>
  </si>
  <si>
    <t>Market cap. EUR m</t>
  </si>
  <si>
    <t>KPN</t>
  </si>
  <si>
    <t>OTE</t>
  </si>
  <si>
    <t>TeliaSonera</t>
  </si>
  <si>
    <t>Telefonica</t>
  </si>
  <si>
    <t>Telenor</t>
  </si>
  <si>
    <t>Swisscom</t>
  </si>
  <si>
    <t>Price</t>
  </si>
  <si>
    <t>CAGR</t>
  </si>
  <si>
    <t>EV/FCF</t>
  </si>
  <si>
    <t>P/Adj E</t>
  </si>
  <si>
    <t>EBITDA margin</t>
  </si>
  <si>
    <t>OpFCF margin</t>
  </si>
  <si>
    <t>EBITDA growth</t>
  </si>
  <si>
    <t>OpFCF growth</t>
  </si>
  <si>
    <t>Adj net income margin</t>
  </si>
  <si>
    <t>BELG MULTIPLES</t>
  </si>
  <si>
    <t>Capex/sales</t>
  </si>
  <si>
    <t>P/EFCF</t>
  </si>
  <si>
    <t>LATAM INCUMBENT SECTOR MULTIPLES</t>
  </si>
  <si>
    <t>Market cap. (RMB bn)</t>
  </si>
  <si>
    <t>China Mobile</t>
  </si>
  <si>
    <t>CM</t>
  </si>
  <si>
    <t>EUR/PLN</t>
  </si>
  <si>
    <t>FORECASTS, US$ m</t>
  </si>
  <si>
    <t>EBITDA</t>
  </si>
  <si>
    <t>Consumer</t>
  </si>
  <si>
    <t>Business</t>
  </si>
  <si>
    <t>EBITDA (adjusted)</t>
  </si>
  <si>
    <t>N.AM telecoms</t>
  </si>
  <si>
    <t>N.AM Cable</t>
  </si>
  <si>
    <t xml:space="preserve">AT&amp;T </t>
  </si>
  <si>
    <t>CELLULAR SECTOR MULTIPLES</t>
  </si>
  <si>
    <t>VODACOM</t>
  </si>
  <si>
    <t>Fair value per share</t>
  </si>
  <si>
    <t xml:space="preserve">Group equity value </t>
  </si>
  <si>
    <t xml:space="preserve">Number of shares </t>
  </si>
  <si>
    <t xml:space="preserve">Fair value per share </t>
  </si>
  <si>
    <t xml:space="preserve">Current price </t>
  </si>
  <si>
    <t xml:space="preserve">Telenor </t>
  </si>
  <si>
    <t>Share price</t>
  </si>
  <si>
    <t>VIMP MULTIPLES</t>
  </si>
  <si>
    <t>CHF</t>
  </si>
  <si>
    <t>INCUMBENTS</t>
  </si>
  <si>
    <t>EM INCUMBENT MULTIPLES</t>
  </si>
  <si>
    <t>Agg. LatAm Incumbent</t>
  </si>
  <si>
    <t>Agg. EMEA Cellular</t>
  </si>
  <si>
    <t>Agg. LatAm Cellular</t>
  </si>
  <si>
    <t>Agg. EMEA sector</t>
  </si>
  <si>
    <t>Agg. LatAm sector</t>
  </si>
  <si>
    <t>Agg. Global EM sector (ex-consensus)</t>
  </si>
  <si>
    <t>Enterprise Value, US$</t>
  </si>
  <si>
    <t>US$</t>
  </si>
  <si>
    <t>Slovakia</t>
  </si>
  <si>
    <t>TEF MULTIPLES</t>
  </si>
  <si>
    <t>Market cap. USD m</t>
  </si>
  <si>
    <t>AXIATA MULTIPLES</t>
  </si>
  <si>
    <t>CU MULTIPLES</t>
  </si>
  <si>
    <t>VODACOM MULTIPLES</t>
  </si>
  <si>
    <t xml:space="preserve">US$ </t>
  </si>
  <si>
    <t>BBVA</t>
  </si>
  <si>
    <t>Plus: Other financial liabilities</t>
  </si>
  <si>
    <t>EV/Invested capital</t>
  </si>
  <si>
    <t>Plus: Minorities</t>
  </si>
  <si>
    <t>Less: Associates</t>
  </si>
  <si>
    <t>Adjusted P/E</t>
  </si>
  <si>
    <t>Less: Cumulative dividends</t>
  </si>
  <si>
    <t>DEVELOPED ASIA INCUMBENT SECTOR MULTIPLES</t>
  </si>
  <si>
    <t>DEVELOPED ASIA CELLULAR SECTOR MULTIPLES</t>
  </si>
  <si>
    <t>Less: minorities</t>
  </si>
  <si>
    <t>Plus: Associates</t>
  </si>
  <si>
    <t>Czech Republic</t>
  </si>
  <si>
    <t>Croatia</t>
  </si>
  <si>
    <t>Pakistan</t>
  </si>
  <si>
    <t>W.European telecoms sector</t>
  </si>
  <si>
    <t>Associates and minorities</t>
  </si>
  <si>
    <t>Developed Asia</t>
  </si>
  <si>
    <t>DEVELOPED ASIA INCUMBENTS (EX-CONSENSUS)</t>
  </si>
  <si>
    <t>DEVELOPING ASIA INCUMBENT MULTIPLES</t>
  </si>
  <si>
    <t>Share price, HK$</t>
  </si>
  <si>
    <t>BREAKDOWN OF VALUE</t>
  </si>
  <si>
    <t>EM SECTOR MULTIPLES</t>
  </si>
  <si>
    <t>DEUTSCHE TELEKOM GROUP</t>
  </si>
  <si>
    <t>DT equity</t>
  </si>
  <si>
    <t>SINGAPORE TELECOMMUNICATIONS</t>
  </si>
  <si>
    <t>SINGTEL MULTIPLES</t>
  </si>
  <si>
    <t>Domestic mobile</t>
  </si>
  <si>
    <t>PT Telkom</t>
  </si>
  <si>
    <t>Indosat</t>
  </si>
  <si>
    <t>ADVANCED INFO SERVICES</t>
  </si>
  <si>
    <t>AIS</t>
  </si>
  <si>
    <t>EM incumbents</t>
  </si>
  <si>
    <t>EMEA cellular</t>
  </si>
  <si>
    <t>EM cellular</t>
  </si>
  <si>
    <t>ASIA cellular</t>
  </si>
  <si>
    <t>W.Europe Incumbent</t>
  </si>
  <si>
    <t>W. Europe Cellular</t>
  </si>
  <si>
    <t>W. Europe Altnet</t>
  </si>
  <si>
    <t>MTN MULTIPLES</t>
  </si>
  <si>
    <t>Enterprise</t>
  </si>
  <si>
    <t>Bharti</t>
  </si>
  <si>
    <t>AMX</t>
  </si>
  <si>
    <t>Brazil</t>
  </si>
  <si>
    <t>DISCLAIMER</t>
  </si>
  <si>
    <t>AMERICA MOVIL</t>
  </si>
  <si>
    <t>PROPORTIONATE FORECASTS, S$ m</t>
  </si>
  <si>
    <t>SingTel (prop.)</t>
  </si>
  <si>
    <t>SKT</t>
  </si>
  <si>
    <t xml:space="preserve">KRW </t>
  </si>
  <si>
    <t>Dividend yield</t>
  </si>
  <si>
    <t>EFCF yield</t>
  </si>
  <si>
    <t>MXN</t>
  </si>
  <si>
    <t>Enterprise Value</t>
  </si>
  <si>
    <t>Revenue</t>
  </si>
  <si>
    <t>Sector</t>
  </si>
  <si>
    <t>FCF</t>
  </si>
  <si>
    <t>Invested Capital</t>
  </si>
  <si>
    <t>EFCF</t>
  </si>
  <si>
    <t>Adjusted net income</t>
  </si>
  <si>
    <t>Dividends</t>
  </si>
  <si>
    <t>Net fixed assets</t>
  </si>
  <si>
    <t>EV/NFA</t>
  </si>
  <si>
    <t>BRITISH TELECOM</t>
  </si>
  <si>
    <t>DEUTSCHE TELEKOM</t>
  </si>
  <si>
    <t>SWISSCOM</t>
  </si>
  <si>
    <t>TELECOM ITALIA</t>
  </si>
  <si>
    <t>TELEFONICA</t>
  </si>
  <si>
    <t>TELENOR</t>
  </si>
  <si>
    <t>BT MULTIPLES</t>
  </si>
  <si>
    <t>DT MULTIPLES</t>
  </si>
  <si>
    <t>KPN MULTIPLES</t>
  </si>
  <si>
    <t>OTE MULTIPLES</t>
  </si>
  <si>
    <t>Payout ratio (% of EFCF)</t>
  </si>
  <si>
    <t>Dividend plus buyback yield</t>
  </si>
  <si>
    <t>Buyback</t>
  </si>
  <si>
    <t>nm</t>
  </si>
  <si>
    <t>DM sector</t>
  </si>
  <si>
    <t>AGGREGATE W.EUROPEAN TELECOMS SECTOR</t>
  </si>
  <si>
    <t>DM Aggregate</t>
  </si>
  <si>
    <t>AGGREGATE LATAM INCUMBENT MULTIPLES</t>
  </si>
  <si>
    <t>AGGREGATE LATAM CELLULAR MULTIPLES</t>
  </si>
  <si>
    <t>EM Asia incumbents</t>
  </si>
  <si>
    <t>DM Asia incumbents</t>
  </si>
  <si>
    <t>Asia Aggregate</t>
  </si>
  <si>
    <t>DM cellular</t>
  </si>
  <si>
    <t>DM Asia cellular</t>
  </si>
  <si>
    <t>Payout ratio (as % of EFCF)</t>
  </si>
  <si>
    <t>Telefonica Brasil</t>
  </si>
  <si>
    <t>TELEFONICA BRASIL</t>
  </si>
  <si>
    <t>TELEFONICA BRASIL MULTIPLES</t>
  </si>
  <si>
    <t>SAFARICOM</t>
  </si>
  <si>
    <t>Share price, KES</t>
  </si>
  <si>
    <t>DPS / EPS</t>
  </si>
  <si>
    <t>Share Buyback as % of Market Cap</t>
  </si>
  <si>
    <t>Dividend plus buyback yield (%)</t>
  </si>
  <si>
    <t>Dividend plus Buyback Yield %</t>
  </si>
  <si>
    <t>Agg. Emerging Asia Incumbent</t>
  </si>
  <si>
    <t>Agg. Emerging Asia Cellular</t>
  </si>
  <si>
    <t>Agg. Emerging Asia sector</t>
  </si>
  <si>
    <t>Dividends as % of normalised EFCF</t>
  </si>
  <si>
    <t>Entel Chile</t>
  </si>
  <si>
    <t>ENTEL</t>
  </si>
  <si>
    <t>ENTEL MULTIPLES</t>
  </si>
  <si>
    <t>Entel</t>
  </si>
  <si>
    <t>Share price, CLP</t>
  </si>
  <si>
    <t>KDDI MULTIPLES</t>
  </si>
  <si>
    <t>DISH MULTIPLES</t>
  </si>
  <si>
    <t>CMCSA MULTIPLES</t>
  </si>
  <si>
    <t>CHARTER MULTIPLES</t>
  </si>
  <si>
    <t>ATT MULTIPLES</t>
  </si>
  <si>
    <t>AIS MULTIPLES</t>
  </si>
  <si>
    <t>LG MULTIPLES</t>
  </si>
  <si>
    <t>NTT MULTIPLES</t>
  </si>
  <si>
    <t>SAFARICOM MULTIPLES</t>
  </si>
  <si>
    <t>VZ MULTIPLES</t>
  </si>
  <si>
    <t>TEF equity</t>
  </si>
  <si>
    <t>Latam</t>
  </si>
  <si>
    <t>Switzerland</t>
  </si>
  <si>
    <t>SEK/LTL</t>
  </si>
  <si>
    <t>Less: Future licence spend (net of tax)</t>
  </si>
  <si>
    <t>Less: NPV France seniors plan</t>
  </si>
  <si>
    <t>Plus: minority debt adjustment</t>
  </si>
  <si>
    <t>Digital TV</t>
  </si>
  <si>
    <t>Less; Spectrum / license renewals</t>
  </si>
  <si>
    <t>Plus: Treasury shares</t>
  </si>
  <si>
    <t>Iran</t>
  </si>
  <si>
    <t>Other Large Opco</t>
  </si>
  <si>
    <t>Small Opco</t>
  </si>
  <si>
    <t>USD/EUR</t>
  </si>
  <si>
    <t>Televisa</t>
  </si>
  <si>
    <t>TELEVISA</t>
  </si>
  <si>
    <t>EV CALCULATION (US$m)</t>
  </si>
  <si>
    <t>TV MULTIPLES</t>
  </si>
  <si>
    <t>Crown Castle</t>
  </si>
  <si>
    <t>US - Towers</t>
  </si>
  <si>
    <t>American Tower</t>
  </si>
  <si>
    <t>Telefonica Brasil 3 (ord)</t>
  </si>
  <si>
    <t>Domestic Mobile</t>
  </si>
  <si>
    <t>TMUS</t>
  </si>
  <si>
    <t xml:space="preserve"> </t>
  </si>
  <si>
    <t>Axiata equity</t>
  </si>
  <si>
    <t>Bharti equity</t>
  </si>
  <si>
    <t>Add: dividend per share</t>
  </si>
  <si>
    <t>Plus: dividend per share</t>
  </si>
  <si>
    <t>T-MOBILE USA</t>
  </si>
  <si>
    <t>Agg. US Telco</t>
  </si>
  <si>
    <t>TMUS MULTIPLES</t>
  </si>
  <si>
    <t>N. AMERICAN TOWERS SECTOR MULTIPLES</t>
  </si>
  <si>
    <t>AMT</t>
  </si>
  <si>
    <t>Agg. US Towers</t>
  </si>
  <si>
    <t>AMT MULTIPLES</t>
  </si>
  <si>
    <t>Crown Castle International</t>
  </si>
  <si>
    <t>CCI MULTIPLES</t>
  </si>
  <si>
    <t>CCI</t>
  </si>
  <si>
    <t>SBA Communications</t>
  </si>
  <si>
    <t>SBAC MULTIPLES</t>
  </si>
  <si>
    <t>SBAC</t>
  </si>
  <si>
    <t>AGGREGATE US TOWERS</t>
  </si>
  <si>
    <t>AGG. US SECTOR MULTIPLES</t>
  </si>
  <si>
    <t>AGGREGATE US SECTOR</t>
  </si>
  <si>
    <t>AGGREGATE US TELECOMS</t>
  </si>
  <si>
    <t>AGG. US TELECOMS MULTIPLES</t>
  </si>
  <si>
    <t>AGGREGATE US CABLE MULTIPLES</t>
  </si>
  <si>
    <t>AGG. US TOWER MULTIPLES</t>
  </si>
  <si>
    <t>US Towers</t>
  </si>
  <si>
    <t>US Aggregate</t>
  </si>
  <si>
    <t>Adjusted P/AFFO</t>
  </si>
  <si>
    <t>ORANGE (FRANCE TELECOM GROUP)</t>
  </si>
  <si>
    <t>ORA equity</t>
  </si>
  <si>
    <t>ORANGE</t>
  </si>
  <si>
    <t>ORA MULTIPLES</t>
  </si>
  <si>
    <t>ORA</t>
  </si>
  <si>
    <t>Orange</t>
  </si>
  <si>
    <t>Current share price</t>
  </si>
  <si>
    <t>Excess property</t>
  </si>
  <si>
    <t>NPV of disposals</t>
  </si>
  <si>
    <t>US$bn</t>
  </si>
  <si>
    <t>Revenues</t>
  </si>
  <si>
    <t>Market cap</t>
  </si>
  <si>
    <t>EV</t>
  </si>
  <si>
    <t>Net debt/ EBITDA</t>
  </si>
  <si>
    <t>Towers</t>
  </si>
  <si>
    <t>US</t>
  </si>
  <si>
    <t>Developed Markets</t>
  </si>
  <si>
    <t>Incumbent</t>
  </si>
  <si>
    <t>EMEA</t>
  </si>
  <si>
    <t>Global EM</t>
  </si>
  <si>
    <t>LatAm</t>
  </si>
  <si>
    <t>Emerging Asia</t>
  </si>
  <si>
    <t>Global telcos</t>
  </si>
  <si>
    <t>(used in PEG calculation)</t>
  </si>
  <si>
    <t>GLOBAL TELECOMS SECTOR - SUMMARY</t>
  </si>
  <si>
    <t>Add: dividend</t>
  </si>
  <si>
    <t>Add: NPV tax benefit of eplus sale book loss</t>
  </si>
  <si>
    <t>Indian Mobile</t>
  </si>
  <si>
    <t>South Asian Mobile</t>
  </si>
  <si>
    <t>RELATIVE VALUATION (2014E)</t>
  </si>
  <si>
    <t>Mar 15E net debt</t>
  </si>
  <si>
    <t>Net Inc.</t>
  </si>
  <si>
    <t>Indus Towers</t>
  </si>
  <si>
    <t>Plus: Proportionate Net debt (net cash)</t>
  </si>
  <si>
    <t>MYR/NOK</t>
  </si>
  <si>
    <t>EUR/NOK</t>
  </si>
  <si>
    <t>THB/NOK</t>
  </si>
  <si>
    <t>CAD/NOK</t>
  </si>
  <si>
    <t>USD/NOK</t>
  </si>
  <si>
    <t>Bharti Infratel</t>
  </si>
  <si>
    <t>BHIN MULTIPLES</t>
  </si>
  <si>
    <t>Nos</t>
  </si>
  <si>
    <t>NOS MULTIPLES</t>
  </si>
  <si>
    <t>NOS</t>
  </si>
  <si>
    <t xml:space="preserve">SBA </t>
  </si>
  <si>
    <t>Tower Bersama</t>
  </si>
  <si>
    <t>Sarana Menara</t>
  </si>
  <si>
    <t>Emerging Asia - Towers</t>
  </si>
  <si>
    <t>EV/Sales</t>
  </si>
  <si>
    <t>TOWR MULTIPLES</t>
  </si>
  <si>
    <t>TOWER BERSAMA</t>
  </si>
  <si>
    <t>SARANA MENARA (PROTELINDO)</t>
  </si>
  <si>
    <t>EM TOWER SECTOR MULTIPLES</t>
  </si>
  <si>
    <t>TOWR</t>
  </si>
  <si>
    <t>Agg. EM Tower</t>
  </si>
  <si>
    <t>TBIG</t>
  </si>
  <si>
    <t>TBIG MULTIPLES</t>
  </si>
  <si>
    <t>Dividend Yield %</t>
  </si>
  <si>
    <t>EV/Invested Capital</t>
  </si>
  <si>
    <t>Net debt / EBITDA</t>
  </si>
  <si>
    <t>Capex / Sales</t>
  </si>
  <si>
    <t>EV/Tower (US$000)</t>
  </si>
  <si>
    <t>EV/Tenant (US$000)</t>
  </si>
  <si>
    <t>EFCF Yield %</t>
  </si>
  <si>
    <t>OpFCF/Net Interest</t>
  </si>
  <si>
    <t>EBITDA growth y/y</t>
  </si>
  <si>
    <t>OpFCF growth y/y</t>
  </si>
  <si>
    <t>Revenue growth y/y</t>
  </si>
  <si>
    <t>Market Cap (US$bn)</t>
  </si>
  <si>
    <t>Entreprise Value (US$bn)</t>
  </si>
  <si>
    <t>Plus: Tower assets</t>
  </si>
  <si>
    <t>IDEA equity</t>
  </si>
  <si>
    <t>BDT/NOK</t>
  </si>
  <si>
    <t>Lithuania</t>
  </si>
  <si>
    <t>Estonia</t>
  </si>
  <si>
    <t>Latvia</t>
  </si>
  <si>
    <t>LiLAC</t>
  </si>
  <si>
    <t>SEK/USD</t>
  </si>
  <si>
    <t>EUR/GBP</t>
  </si>
  <si>
    <t xml:space="preserve">Agg. Developed Asia </t>
  </si>
  <si>
    <t>Agg. Global Developed</t>
  </si>
  <si>
    <t xml:space="preserve">Agg. Global Developed </t>
  </si>
  <si>
    <t>n.a.</t>
  </si>
  <si>
    <t>M&amp;A upside in France</t>
  </si>
  <si>
    <t xml:space="preserve">EU mobile </t>
  </si>
  <si>
    <t>Other Mobile</t>
  </si>
  <si>
    <t>EU-like mobile</t>
  </si>
  <si>
    <t>Proximus</t>
  </si>
  <si>
    <t>MEGACABLE</t>
  </si>
  <si>
    <t>Megacable</t>
  </si>
  <si>
    <t>AGGREGATE EMERGING ASIA INCUMBENTS</t>
  </si>
  <si>
    <t>AGGREGATE EMERGING ASIA CELLULAR</t>
  </si>
  <si>
    <t>MEGA MULTIPLES</t>
  </si>
  <si>
    <t>Magya</t>
  </si>
  <si>
    <t>LATAM ALTNET &amp; CABLE SECTOR MULTIPLES</t>
  </si>
  <si>
    <t>LiLAC A</t>
  </si>
  <si>
    <t>LiLAC B</t>
  </si>
  <si>
    <t>LiLAC C</t>
  </si>
  <si>
    <t>Share price, MXN</t>
  </si>
  <si>
    <t>Market cap. MXN</t>
  </si>
  <si>
    <t>LiLAC MULTIPLES</t>
  </si>
  <si>
    <t>Prop. EV/EBITDA</t>
  </si>
  <si>
    <t>Prop. EV/OpFCF</t>
  </si>
  <si>
    <t>Prop. EV/FCF</t>
  </si>
  <si>
    <t>Inwit</t>
  </si>
  <si>
    <t>2018E</t>
  </si>
  <si>
    <t>Cellnex</t>
  </si>
  <si>
    <t>Share price, Euro</t>
  </si>
  <si>
    <t>CELLNEX MULTIPLES</t>
  </si>
  <si>
    <t>INWIT MULTIPLES</t>
  </si>
  <si>
    <t>INWIT</t>
  </si>
  <si>
    <t>W. Eur - Towers</t>
  </si>
  <si>
    <t>RELATIVE VALUATION (2016E)</t>
  </si>
  <si>
    <t>Agg. West Europ TOWER</t>
  </si>
  <si>
    <t>Agg. W.Euro TOWER</t>
  </si>
  <si>
    <t>W.EURO TOWER SECTOR MULTIPLES</t>
  </si>
  <si>
    <t>AGGREGATE DM INCUMB MULTIPLES</t>
  </si>
  <si>
    <t>AGGREGATE DEVELOPED WORLD  INCUMBENT</t>
  </si>
  <si>
    <t>Agg. DM Incumbent total</t>
  </si>
  <si>
    <t>DM AGGREGATE MULTIPLES</t>
  </si>
  <si>
    <t>DM Incumbent sector</t>
  </si>
  <si>
    <t>AGGREGATE DEVELOPED WORLD CELLULAR</t>
  </si>
  <si>
    <t>Agg. Emerging Incumbent</t>
  </si>
  <si>
    <t>Agg. Emerging  Cellular</t>
  </si>
  <si>
    <t>EV/invested capital</t>
  </si>
  <si>
    <t xml:space="preserve">Less: Minorities </t>
  </si>
  <si>
    <t>2019E</t>
  </si>
  <si>
    <t>Less Associates</t>
  </si>
  <si>
    <t>Market cap.(bn)</t>
  </si>
  <si>
    <t>Market cap. (bn)</t>
  </si>
  <si>
    <t>Share price, IDR (bn)</t>
  </si>
  <si>
    <t>Market cap. (Bn)</t>
  </si>
  <si>
    <t>Telesites</t>
  </si>
  <si>
    <t>EV CALCULATION (MXN m)</t>
  </si>
  <si>
    <t>Telesites MULTIPLES</t>
  </si>
  <si>
    <t xml:space="preserve">LatAm </t>
  </si>
  <si>
    <t>Share price,MXN</t>
  </si>
  <si>
    <t>Market cap.(m)</t>
  </si>
  <si>
    <t>Agg. Developed Asia Incumbent</t>
  </si>
  <si>
    <t xml:space="preserve">Agg. Developed Asia Incumbent </t>
  </si>
  <si>
    <t>Bangladesh (ROBI)</t>
  </si>
  <si>
    <t>Drillisch</t>
  </si>
  <si>
    <t>United Internet</t>
  </si>
  <si>
    <t>Share price, Eur</t>
  </si>
  <si>
    <t xml:space="preserve">P/EFCF </t>
  </si>
  <si>
    <t>UTDI MULTIPLES</t>
  </si>
  <si>
    <t>Agg.W.Eur.Altnet</t>
  </si>
  <si>
    <t>DRI MULTIPLES</t>
  </si>
  <si>
    <t xml:space="preserve">Share price, Euro </t>
  </si>
  <si>
    <t>Network</t>
  </si>
  <si>
    <t>`</t>
  </si>
  <si>
    <t>Less: Nigerian fine liability</t>
  </si>
  <si>
    <t>Orange Belgium</t>
  </si>
  <si>
    <t>Of which: fixed</t>
  </si>
  <si>
    <t>Of which: mobile</t>
  </si>
  <si>
    <t>Forecasts, THB m</t>
  </si>
  <si>
    <t>Forecasts, US$</t>
  </si>
  <si>
    <t>Forecasts, US$ m</t>
  </si>
  <si>
    <t>Forecasts, EUR m</t>
  </si>
  <si>
    <t>Forecasts, USD m</t>
  </si>
  <si>
    <t>Forecasts, MYR m</t>
  </si>
  <si>
    <t>Forecasts, INR m</t>
  </si>
  <si>
    <t>Forecasts, £ m</t>
  </si>
  <si>
    <t>Forecasts, Euro m</t>
  </si>
  <si>
    <t>Forecasts, RMB bn</t>
  </si>
  <si>
    <t>Forecasts, RMB m</t>
  </si>
  <si>
    <t>Forecasts, Eur m</t>
  </si>
  <si>
    <t>Forecasts, CLPm</t>
  </si>
  <si>
    <t>Forecasts, IDR m</t>
  </si>
  <si>
    <t>Forecasts, US$m</t>
  </si>
  <si>
    <t>Forecasts, IDR bn</t>
  </si>
  <si>
    <t>Forecasts, ¥bn</t>
  </si>
  <si>
    <t>Forecasts, KRW m</t>
  </si>
  <si>
    <t>Forecasts, MXN m</t>
  </si>
  <si>
    <t>Forecasts, ZAR m</t>
  </si>
  <si>
    <t>Forecasts, S$ m</t>
  </si>
  <si>
    <t>Forecasts, BRL m</t>
  </si>
  <si>
    <t>Forecasts, IDRbn</t>
  </si>
  <si>
    <t>Forecasts, KES m</t>
  </si>
  <si>
    <t>Forecasts,MXN m</t>
  </si>
  <si>
    <t>Forecasts, CHF m</t>
  </si>
  <si>
    <t>Forecasts, IDR</t>
  </si>
  <si>
    <t>Forecasts, SEK m</t>
  </si>
  <si>
    <t>Forecasts, NOK m</t>
  </si>
  <si>
    <t>Forecasts, SKK m</t>
  </si>
  <si>
    <t>Nepal</t>
  </si>
  <si>
    <t>Mobileone (Singapore)</t>
  </si>
  <si>
    <t>Plus: NPV of tax benefit from License Amortisation</t>
  </si>
  <si>
    <t>Plus: Iran cash received (75% probability)</t>
  </si>
  <si>
    <t>Add: NPV tax benefit of licence amortisation</t>
  </si>
  <si>
    <t>Denmark mobile</t>
  </si>
  <si>
    <t>Less: NPV licence renewal</t>
  </si>
  <si>
    <t>Plus: Licence amortisation tax shield</t>
  </si>
  <si>
    <t>Less/Plus: Pension Obligation/Surplus</t>
  </si>
  <si>
    <t>Fair value, ZAR</t>
  </si>
  <si>
    <t xml:space="preserve">Add: Capital repayment </t>
  </si>
  <si>
    <t>Share price, ¥</t>
  </si>
  <si>
    <t xml:space="preserve">Forecasts, ¥bn </t>
  </si>
  <si>
    <t>Less: Pension post tax</t>
  </si>
  <si>
    <t>Less: NPV Restructuring charge</t>
  </si>
  <si>
    <t>Estonia fixed</t>
  </si>
  <si>
    <t>Finland fixed</t>
  </si>
  <si>
    <t>Share price, p</t>
  </si>
  <si>
    <t>Market cap. (£)</t>
  </si>
  <si>
    <t>Enterprise Value (£)</t>
  </si>
  <si>
    <t>2020E</t>
  </si>
  <si>
    <t>Plus: MEIH</t>
  </si>
  <si>
    <t>Veon</t>
  </si>
  <si>
    <t>VEON</t>
  </si>
  <si>
    <t>Corporate Development</t>
  </si>
  <si>
    <t>Altice US</t>
  </si>
  <si>
    <t>Forecasts, USDm</t>
  </si>
  <si>
    <t>Plus: Tax Assets/(Liabilities)</t>
  </si>
  <si>
    <t>Plus: NPV of License Amortisation</t>
  </si>
  <si>
    <t>Add: Synergies</t>
  </si>
  <si>
    <t xml:space="preserve">Underlying Fair value per share </t>
  </si>
  <si>
    <t>Synergies (Vod IDEA)</t>
  </si>
  <si>
    <t>Less: NPV restructuring payments</t>
  </si>
  <si>
    <t>Plus: NPV CEE deferred sales proceeds</t>
  </si>
  <si>
    <t>Less: Mar 2019E (net debt)/cash</t>
  </si>
  <si>
    <t>2021E</t>
  </si>
  <si>
    <t>18E-21E</t>
  </si>
  <si>
    <t>RELATIVE VALUATION (2018E)</t>
  </si>
  <si>
    <t>12 month historical recommendation changes are available on request</t>
  </si>
  <si>
    <t>New Street Research LLP is authorised and regulated in the UK by the Financial Conduct Authority and is registered in the United States with the Securities and Exchange Commission as an investment adviser.  It may be distributed in the United States by New Street Research LLC which is a partner of New Street Research LLP.</t>
  </si>
  <si>
    <t>Regulatory Disclosures: This research is directed only at persons classified as Professional Clients under the rules of the Financial Conduct Authority (‘FCA’), and must not be re-distributed to Retail Clients as defined in the rules of the FCA.</t>
  </si>
  <si>
    <t>This research is for our clients only. It is based on current public information which we consider reliable, but we do not represent that it is accurate or complete, and it should not be relied on as such. We seek to update our research as appropriate, but various regulations may prevent us from doing so. Most of our reports are published at irregular intervals as appropriate in the analyst's judgment.</t>
  </si>
  <si>
    <t>This research is not an offer to sell or the solicitation of an offer to buy any security in any jurisdiction where such an offer or solicitation would be illegal. It does not constitute a personal recommendation or take into account the particular investment objectives, financial situations, or needs of individual clients. </t>
  </si>
  <si>
    <t>All our research reports are disseminated and available to all clients simultaneously through electronic publication to our website. </t>
  </si>
  <si>
    <t>No part of this material may be copied, photocopied or duplicated in any form by any means or redistributed without the prior written consent of New Street Research LLP.</t>
  </si>
  <si>
    <t>Orange Poland</t>
  </si>
  <si>
    <t>Rest of Europe</t>
  </si>
  <si>
    <t>AME</t>
  </si>
  <si>
    <t>Bank</t>
  </si>
  <si>
    <t>Vox group (Luxembourg)</t>
  </si>
  <si>
    <t>Telxius</t>
  </si>
  <si>
    <t>Less: Hybrids</t>
  </si>
  <si>
    <t>China Tower</t>
  </si>
  <si>
    <t>CHINA TOWER</t>
  </si>
  <si>
    <t>China Tower MULTIPLES</t>
  </si>
  <si>
    <t>Plus: NPV tax credit</t>
  </si>
  <si>
    <t>Less: Minorities</t>
  </si>
  <si>
    <t>Digi (Malaysia)</t>
  </si>
  <si>
    <t>Grameen (Bangla)</t>
  </si>
  <si>
    <t>Sweden Mobile</t>
  </si>
  <si>
    <t>Telia GROUP</t>
  </si>
  <si>
    <t>Other/Fin stores</t>
  </si>
  <si>
    <t>Telia</t>
  </si>
  <si>
    <t>Telia MULTIPLES</t>
  </si>
  <si>
    <t>Mar 20E net debt</t>
  </si>
  <si>
    <t xml:space="preserve">Plus: Associates </t>
  </si>
  <si>
    <t>Add: 2019 dividend</t>
  </si>
  <si>
    <t>End 20E net debt</t>
  </si>
  <si>
    <t>SoftBank KK (Corp)</t>
  </si>
  <si>
    <t>SOFTBANK KK (CORP)</t>
  </si>
  <si>
    <t>SOFTBANK KK (CORP) MULTIPLES</t>
  </si>
  <si>
    <t>Rakuten</t>
  </si>
  <si>
    <t>RAKUTEN</t>
  </si>
  <si>
    <t>Enterprise Value (bn)</t>
  </si>
  <si>
    <t>RAKUTEN MULTIPLES</t>
  </si>
  <si>
    <t>Plus: associates</t>
  </si>
  <si>
    <t>Total Nordic</t>
  </si>
  <si>
    <t>Total Europe</t>
  </si>
  <si>
    <t>Total Asia</t>
  </si>
  <si>
    <t>Total Group</t>
  </si>
  <si>
    <t>NPV: licences not in net debt</t>
  </si>
  <si>
    <t>Greece Mobile</t>
  </si>
  <si>
    <t>Romania Mobile</t>
  </si>
  <si>
    <t>Greece Fixed</t>
  </si>
  <si>
    <t>Other (Insurance, OTEGlobe etc)</t>
  </si>
  <si>
    <t>Vodafone IDEA</t>
  </si>
  <si>
    <t>Synergies w/ TNOR</t>
  </si>
  <si>
    <t>Home services</t>
  </si>
  <si>
    <t>Less: Mar 2020E (net debt)/cash</t>
  </si>
  <si>
    <t>Africa net debt</t>
  </si>
  <si>
    <t>Add: 2020E dividend</t>
  </si>
  <si>
    <t>Airtel Africa</t>
  </si>
  <si>
    <t>West Europe</t>
  </si>
  <si>
    <t>Rest of World</t>
  </si>
  <si>
    <t xml:space="preserve">This report was produced by New Street Research LLP. 52 Cornhill, London, EC3V 3PD Tel: +44 20 7375 9111. </t>
  </si>
  <si>
    <t>DCF</t>
  </si>
  <si>
    <t>Total associatess</t>
  </si>
  <si>
    <t>Total Sweden</t>
  </si>
  <si>
    <t>Total Finland</t>
  </si>
  <si>
    <t>Total Noray</t>
  </si>
  <si>
    <t>Total Denmark</t>
  </si>
  <si>
    <t>Finland mobile</t>
  </si>
  <si>
    <t>Total Estonia</t>
  </si>
  <si>
    <t>Total Lithuania</t>
  </si>
  <si>
    <t>Bonnier</t>
  </si>
  <si>
    <t>Less: licence renewal (NPV)</t>
  </si>
  <si>
    <t>Lithuania mobile</t>
  </si>
  <si>
    <t>Lithuania fixed</t>
  </si>
  <si>
    <t>Fixed</t>
  </si>
  <si>
    <t>Total Norway</t>
  </si>
  <si>
    <t>DNA (Finland)</t>
  </si>
  <si>
    <t>NPV: lease payments not in net debt</t>
  </si>
  <si>
    <t>Less: Pension</t>
  </si>
  <si>
    <t>Less: NPV 2020 France auction</t>
  </si>
  <si>
    <t>Plus: Tax credits (inc licence amortisation)</t>
  </si>
  <si>
    <t>Total Greece</t>
  </si>
  <si>
    <t>Total Romania</t>
  </si>
  <si>
    <t>Total value</t>
  </si>
  <si>
    <t>Now in greece</t>
  </si>
  <si>
    <t>Less: NPV of spectrum license renewal</t>
  </si>
  <si>
    <t>T Mobile NL</t>
  </si>
  <si>
    <t>Less: NPV of spectrum renewal</t>
  </si>
  <si>
    <t>Less: NPV Lease payments not in Net Debt</t>
  </si>
  <si>
    <t>Less: NPV spectrum cost post 2020</t>
  </si>
  <si>
    <t>AGGREGATE W.EUROPE TOWERS</t>
  </si>
  <si>
    <t>AGGREGATE W.EUROPEAN TELECOMS SECTOR (EX. TOWERS)</t>
  </si>
  <si>
    <t>EFCF Mkt Cap (EUR for Europe, US$ RoW)</t>
  </si>
  <si>
    <t>Dividend + buyback yield, Ords</t>
  </si>
  <si>
    <t>Adj. net income (Cons.)</t>
  </si>
  <si>
    <t>EFCF (Prop.)</t>
  </si>
  <si>
    <t>GHS</t>
  </si>
  <si>
    <t>NSR Target</t>
  </si>
  <si>
    <t>Less: NPV licence renewals (net of tax)</t>
  </si>
  <si>
    <t>Less: NPV Restructuring, content, PPE sales</t>
  </si>
  <si>
    <t>Book value</t>
  </si>
  <si>
    <t>Less: NPV spectrum not yet paid</t>
  </si>
  <si>
    <t>Plus: New VRS (now in forecats)</t>
  </si>
  <si>
    <t>Further cost-cutting upside (included in forecats)</t>
  </si>
  <si>
    <t>CHF/USD</t>
  </si>
  <si>
    <t>DKK/USD</t>
  </si>
  <si>
    <t>TRY/USD</t>
  </si>
  <si>
    <t>KWD/USD</t>
  </si>
  <si>
    <t>INR/USD</t>
  </si>
  <si>
    <t>GBP/USD</t>
  </si>
  <si>
    <t>CZK/USD</t>
  </si>
  <si>
    <t>HUF/USD</t>
  </si>
  <si>
    <t>NOK/USD</t>
  </si>
  <si>
    <t>MYR/USD</t>
  </si>
  <si>
    <t>BRL/USD</t>
  </si>
  <si>
    <t>JPY/USD</t>
  </si>
  <si>
    <t>PLN/USD</t>
  </si>
  <si>
    <t>THB/USD</t>
  </si>
  <si>
    <t>CAD/USD</t>
  </si>
  <si>
    <t>CLP/USD</t>
  </si>
  <si>
    <t>LTL/USD</t>
  </si>
  <si>
    <t>MAD/USD</t>
  </si>
  <si>
    <t>ZAR/USD</t>
  </si>
  <si>
    <t>EGP/USD</t>
  </si>
  <si>
    <t>IDR/USD</t>
  </si>
  <si>
    <t>KRW/USD</t>
  </si>
  <si>
    <t>RUB/USD</t>
  </si>
  <si>
    <t>CNY/USD</t>
  </si>
  <si>
    <t>SGD/USD</t>
  </si>
  <si>
    <t>PHP/USD</t>
  </si>
  <si>
    <t>LKR/USD</t>
  </si>
  <si>
    <t>KES/USD</t>
  </si>
  <si>
    <t>MXN/USD</t>
  </si>
  <si>
    <t>TWD/USD</t>
  </si>
  <si>
    <t>ARS/USD</t>
  </si>
  <si>
    <t>PKR/USD</t>
  </si>
  <si>
    <t>BDT/USD</t>
  </si>
  <si>
    <t>QAR/USD</t>
  </si>
  <si>
    <t>BT.A-GB</t>
  </si>
  <si>
    <t>DTE-DE</t>
  </si>
  <si>
    <t>KPN-NL</t>
  </si>
  <si>
    <t>ORA-FR</t>
  </si>
  <si>
    <t>SCMN-CH</t>
  </si>
  <si>
    <t>TIT-IT</t>
  </si>
  <si>
    <t>TITR-IT</t>
  </si>
  <si>
    <t>TEF-ES</t>
  </si>
  <si>
    <t>TEL-NO</t>
  </si>
  <si>
    <t>TELIA-SE</t>
  </si>
  <si>
    <t>HTO-GR</t>
  </si>
  <si>
    <t>ELISA-FI</t>
  </si>
  <si>
    <t>TEL2.B-SE</t>
  </si>
  <si>
    <t>TEL2.A-SE</t>
  </si>
  <si>
    <t>OBEL-BE</t>
  </si>
  <si>
    <t>VOD-GB</t>
  </si>
  <si>
    <t>UTDI-DE</t>
  </si>
  <si>
    <t>LBTYA-US</t>
  </si>
  <si>
    <t>LBTYB-US</t>
  </si>
  <si>
    <t>LBTYK-US</t>
  </si>
  <si>
    <t>NOS-PT</t>
  </si>
  <si>
    <t>CLNX-ES</t>
  </si>
  <si>
    <t>INW-IT</t>
  </si>
  <si>
    <t>TMUS-US</t>
  </si>
  <si>
    <t>CHTR-US</t>
  </si>
  <si>
    <t>CMCSA-US</t>
  </si>
  <si>
    <t>ATUS-US</t>
  </si>
  <si>
    <t>AMT-US</t>
  </si>
  <si>
    <t>CCI-US</t>
  </si>
  <si>
    <t>9432-JP</t>
  </si>
  <si>
    <t>9433-JP</t>
  </si>
  <si>
    <t>4755-JP</t>
  </si>
  <si>
    <t>9434-JP</t>
  </si>
  <si>
    <t>Z74-SG</t>
  </si>
  <si>
    <t>SBAC-US</t>
  </si>
  <si>
    <t>728-HK</t>
  </si>
  <si>
    <t>762-HK</t>
  </si>
  <si>
    <t>TLKM-ID</t>
  </si>
  <si>
    <t>This sheet contains FactSet XML data for use with this workbook's =FDS codes.  Modifying the worksheet's contents may damage the workbook's =FDS functionality.</t>
  </si>
  <si>
    <t>ADVANC-TH</t>
  </si>
  <si>
    <t>941-HK</t>
  </si>
  <si>
    <t>6888-MY</t>
  </si>
  <si>
    <t>532454-IN</t>
  </si>
  <si>
    <t>6947-MY</t>
  </si>
  <si>
    <t>Vodafone Idea</t>
  </si>
  <si>
    <t>532822-IN</t>
  </si>
  <si>
    <t>ISAT-ID</t>
  </si>
  <si>
    <t>032640-KR</t>
  </si>
  <si>
    <t>6012-MY</t>
  </si>
  <si>
    <t>017670-KR</t>
  </si>
  <si>
    <t>TRUE-TH</t>
  </si>
  <si>
    <t>EXCL-ID</t>
  </si>
  <si>
    <t>534816-IN</t>
  </si>
  <si>
    <t>788-HK</t>
  </si>
  <si>
    <t>TOWR-ID</t>
  </si>
  <si>
    <t>TBIG-ID</t>
  </si>
  <si>
    <t>MTN-ZA</t>
  </si>
  <si>
    <t>SCOM-KE</t>
  </si>
  <si>
    <t>VOD-ZA</t>
  </si>
  <si>
    <t>TV-US</t>
  </si>
  <si>
    <t>ENTEL-CL</t>
  </si>
  <si>
    <t>TIMS3-BR</t>
  </si>
  <si>
    <t>MEGACPO-MX</t>
  </si>
  <si>
    <t>LILAB-US</t>
  </si>
  <si>
    <t>LILAK-US</t>
  </si>
  <si>
    <t>VIVT3-BR</t>
  </si>
  <si>
    <t>LILA-US</t>
  </si>
  <si>
    <t>BBVA-ES</t>
  </si>
  <si>
    <t>USDCHF</t>
  </si>
  <si>
    <t>USDDKK</t>
  </si>
  <si>
    <t>USDTRY</t>
  </si>
  <si>
    <t>USDKWD</t>
  </si>
  <si>
    <t>USDINR</t>
  </si>
  <si>
    <t>USDGBP</t>
  </si>
  <si>
    <t>USDCZK</t>
  </si>
  <si>
    <t>USDHUF</t>
  </si>
  <si>
    <t>USDNOK</t>
  </si>
  <si>
    <t>USDSEK</t>
  </si>
  <si>
    <t>USDMYR</t>
  </si>
  <si>
    <t>USDBRL</t>
  </si>
  <si>
    <t>USDJPY</t>
  </si>
  <si>
    <t>USDPLN</t>
  </si>
  <si>
    <t>USDTHB</t>
  </si>
  <si>
    <t>USDCAD</t>
  </si>
  <si>
    <t>USDCLP</t>
  </si>
  <si>
    <t>USDLTL</t>
  </si>
  <si>
    <t>USDHKD</t>
  </si>
  <si>
    <t>USDAUD</t>
  </si>
  <si>
    <t>USDMAD</t>
  </si>
  <si>
    <t>USDZAR</t>
  </si>
  <si>
    <t>USDEGP</t>
  </si>
  <si>
    <t>USDIDR</t>
  </si>
  <si>
    <t>USDKRW</t>
  </si>
  <si>
    <t>USDRUB</t>
  </si>
  <si>
    <t>USDCNY</t>
  </si>
  <si>
    <t>USDSGD</t>
  </si>
  <si>
    <t>USDPHP</t>
  </si>
  <si>
    <t>USDLKR</t>
  </si>
  <si>
    <t>USDKES</t>
  </si>
  <si>
    <t>USDMXN</t>
  </si>
  <si>
    <t>USDTWD</t>
  </si>
  <si>
    <t>USDARS</t>
  </si>
  <si>
    <t>USDPKR</t>
  </si>
  <si>
    <t>USDBDT</t>
  </si>
  <si>
    <t>USDQAR</t>
  </si>
  <si>
    <t>T-US</t>
  </si>
  <si>
    <t>VZ-US</t>
  </si>
  <si>
    <t>TIGO-US</t>
  </si>
  <si>
    <t>IAM-FR</t>
  </si>
  <si>
    <t>EURUSD</t>
  </si>
  <si>
    <t>NZDUSD</t>
  </si>
  <si>
    <t>USD/NZD</t>
  </si>
  <si>
    <t>AUD/USD</t>
  </si>
  <si>
    <t>HKD/USD</t>
  </si>
  <si>
    <t>FX rates (USD)</t>
  </si>
  <si>
    <t>VEON-US</t>
  </si>
  <si>
    <t>Tenants</t>
  </si>
  <si>
    <t>RELATIVE VALUATION</t>
  </si>
  <si>
    <t>Tower KPIs</t>
  </si>
  <si>
    <t>Plus: NPV APG cash</t>
  </si>
  <si>
    <t>Less: KPN buys APG stake</t>
  </si>
  <si>
    <t>Less: 50% of hybrid not included in net debt</t>
  </si>
  <si>
    <t>Less: lease liability not in net debt</t>
  </si>
  <si>
    <t>Fibre JVs</t>
  </si>
  <si>
    <t>TOWER MULTIPLES</t>
  </si>
  <si>
    <t>Value in accounts</t>
  </si>
  <si>
    <t>AAF-GB</t>
  </si>
  <si>
    <t>AAF MULTIPLES</t>
  </si>
  <si>
    <t>Indus Tower</t>
  </si>
  <si>
    <t>INDUS TOWERS</t>
  </si>
  <si>
    <t>Less: (net debt)/cash</t>
  </si>
  <si>
    <t>Less: Future claims (75% chance)</t>
  </si>
  <si>
    <t>1&amp;1</t>
  </si>
  <si>
    <t>1U1-DE</t>
  </si>
  <si>
    <t>Agg. W. Europe Other</t>
  </si>
  <si>
    <t>OTHER</t>
  </si>
  <si>
    <t>AGGREGATE W. EUROPE OTHER</t>
  </si>
  <si>
    <t>W. EUR OTHER SECTOR MULTIPLES</t>
  </si>
  <si>
    <t>W. EUR. OTHER SECTOR MULTIPLES</t>
  </si>
  <si>
    <t>W.EUR OTHER SECTOR MULTIPLES</t>
  </si>
  <si>
    <t>Agg.W.Eur Other</t>
  </si>
  <si>
    <t>AGGREGATE DEVELOPED ASIA OTHER</t>
  </si>
  <si>
    <t>Agg. Developed Asia Other</t>
  </si>
  <si>
    <t>W. Eur - Other</t>
  </si>
  <si>
    <t>LatAm - Towers</t>
  </si>
  <si>
    <t>EMEA - Towers</t>
  </si>
  <si>
    <t>IHS Towers</t>
  </si>
  <si>
    <t>Share price, $</t>
  </si>
  <si>
    <t>Forecasts, $ m</t>
  </si>
  <si>
    <t>AGGREGATE EM TOWERS</t>
  </si>
  <si>
    <t>Market cap. $ m</t>
  </si>
  <si>
    <t>EM Aggregate</t>
  </si>
  <si>
    <t>EM Towers</t>
  </si>
  <si>
    <t>RELATIVE VALUATION (2022E)</t>
  </si>
  <si>
    <t>IHS-USA</t>
  </si>
  <si>
    <t>Mitratel</t>
  </si>
  <si>
    <t>MITRATEL</t>
  </si>
  <si>
    <t>MTEL-ID</t>
  </si>
  <si>
    <t>PROX-BE</t>
  </si>
  <si>
    <t>Asia</t>
  </si>
  <si>
    <t>Add dividend</t>
  </si>
  <si>
    <t>Sale price</t>
  </si>
  <si>
    <t xml:space="preserve">USD </t>
  </si>
  <si>
    <t xml:space="preserve">EUR </t>
  </si>
  <si>
    <t xml:space="preserve">HKD </t>
  </si>
  <si>
    <t xml:space="preserve">MXN </t>
  </si>
  <si>
    <t xml:space="preserve">GBP </t>
  </si>
  <si>
    <t>GBP</t>
  </si>
  <si>
    <t xml:space="preserve">JPY </t>
  </si>
  <si>
    <t xml:space="preserve">SGD </t>
  </si>
  <si>
    <t xml:space="preserve">KES </t>
  </si>
  <si>
    <t>Plus: Poland FTTH cash still to come</t>
  </si>
  <si>
    <t>Less: Poland FTTH JV bought back</t>
  </si>
  <si>
    <t>Less: Orange Concessions FTTH JV bought back</t>
  </si>
  <si>
    <t>Assume 51% stake bought back, and so no minority adjustment</t>
  </si>
  <si>
    <t>Liberty Global (prop.)</t>
  </si>
  <si>
    <t>SITES1A.1-MX</t>
  </si>
  <si>
    <t>Sub-total</t>
  </si>
  <si>
    <t>Chile Infra</t>
  </si>
  <si>
    <t>Deal multiple</t>
  </si>
  <si>
    <t xml:space="preserve">Less: Restructuring </t>
  </si>
  <si>
    <t>Less: NPV equity injections</t>
  </si>
  <si>
    <t>TOTEM</t>
  </si>
  <si>
    <t>Africa only (5x Revenue)</t>
  </si>
  <si>
    <t>2025E</t>
  </si>
  <si>
    <t>PROPORTIONATES</t>
  </si>
  <si>
    <t>Share price (A), US$</t>
  </si>
  <si>
    <t>Share price (C), US$</t>
  </si>
  <si>
    <t>Global Telecoms Multiples</t>
  </si>
  <si>
    <t>AXIATA SOP</t>
  </si>
  <si>
    <t>BHARTI SOP</t>
  </si>
  <si>
    <t>DEUTSCHE TELEKOM SOP</t>
  </si>
  <si>
    <t>ELISA SOP</t>
  </si>
  <si>
    <t>IDEA CELLULAR SOP</t>
  </si>
  <si>
    <t>KPN SOP</t>
  </si>
  <si>
    <t>MTN SOP</t>
  </si>
  <si>
    <t>Orange Belgium SOP</t>
  </si>
  <si>
    <t>ORANGE SOP</t>
  </si>
  <si>
    <t>OTE SOP</t>
  </si>
  <si>
    <t>Proximus SOP</t>
  </si>
  <si>
    <t>SWISSCOM SOP</t>
  </si>
  <si>
    <t>TELEFONICA SOP</t>
  </si>
  <si>
    <t>TELE2 SOP</t>
  </si>
  <si>
    <t>TELENOR SOP</t>
  </si>
  <si>
    <t>Telia SOP</t>
  </si>
  <si>
    <t>VODAFONE SOP</t>
  </si>
  <si>
    <t>ATCUS</t>
  </si>
  <si>
    <t>James Ratzer</t>
  </si>
  <si>
    <t>james@newstreetresearch.com</t>
  </si>
  <si>
    <t>Russell Waller</t>
  </si>
  <si>
    <t>russell@newstreetresearch.com</t>
  </si>
  <si>
    <t>USA</t>
  </si>
  <si>
    <t>Emerging Markets</t>
  </si>
  <si>
    <t>chris@newstreetresearch.com</t>
  </si>
  <si>
    <t>Chris Hoare</t>
  </si>
  <si>
    <t>+44 20 7375 9125</t>
  </si>
  <si>
    <t>+44 20 7375 9127</t>
  </si>
  <si>
    <t>+1 212 921 9876</t>
  </si>
  <si>
    <t>+44 20 7375 9130</t>
  </si>
  <si>
    <t>Plus: ERF upside (included in forecasts)</t>
  </si>
  <si>
    <t>FibreCo</t>
  </si>
  <si>
    <t>FibreCo value uplift vs Norway fixed valuation</t>
  </si>
  <si>
    <t>Orange Concessions FTTH JV</t>
  </si>
  <si>
    <t>Less: end (net debt)/cash</t>
  </si>
  <si>
    <t>Less:  (net debt)/cash</t>
  </si>
  <si>
    <t>Less: Net (debt)/cash</t>
  </si>
  <si>
    <t>Book value + spectrum</t>
  </si>
  <si>
    <t>Total Domestic</t>
  </si>
  <si>
    <t>Fiberklaar</t>
  </si>
  <si>
    <t>Unifiber</t>
  </si>
  <si>
    <t>GOFiber</t>
  </si>
  <si>
    <t>Consortium</t>
  </si>
  <si>
    <t>Fibre JVs (Equity value) 2023</t>
  </si>
  <si>
    <t>Less: Spectrum renewal (NPV of renewal cost after 2019)</t>
  </si>
  <si>
    <t>Less: NPV of spectrum auctions</t>
  </si>
  <si>
    <t>SOP assumes JVs bought in, therefore include debt at JVs</t>
  </si>
  <si>
    <t>Domestic</t>
  </si>
  <si>
    <t>BICS/Telesign</t>
  </si>
  <si>
    <t>Adj. EBITDA</t>
  </si>
  <si>
    <t>Systems Solutions</t>
  </si>
  <si>
    <t>DMFG</t>
  </si>
  <si>
    <t>Net debt AL</t>
  </si>
  <si>
    <t>Hispam</t>
  </si>
  <si>
    <t>Other and eliminations (excl. Telxius)</t>
  </si>
  <si>
    <t>Target price (BRL)</t>
  </si>
  <si>
    <t>VMO2</t>
  </si>
  <si>
    <t>Less: NPV future licences (excl. DE/ BR)</t>
  </si>
  <si>
    <t>Add: Tax credits/ other</t>
  </si>
  <si>
    <t>Common Functions</t>
  </si>
  <si>
    <t>Spectrum liabilities</t>
  </si>
  <si>
    <t>Vodafone Ziggo loan</t>
  </si>
  <si>
    <t>Restructuring costs</t>
  </si>
  <si>
    <t>Tax benefits</t>
  </si>
  <si>
    <t>Add: Dividends</t>
  </si>
  <si>
    <t>GBP/ EUR</t>
  </si>
  <si>
    <t>Target price per share (GBP)</t>
  </si>
  <si>
    <t>Target price per share (EUR)</t>
  </si>
  <si>
    <t>2026E</t>
  </si>
  <si>
    <t>EV/ EBITDA</t>
  </si>
  <si>
    <t>PEG*</t>
  </si>
  <si>
    <t>FCF Yield</t>
  </si>
  <si>
    <t>Div. Yield</t>
  </si>
  <si>
    <t>030200-KR</t>
  </si>
  <si>
    <t>AMXB-MX</t>
  </si>
  <si>
    <t>Amp</t>
  </si>
  <si>
    <t>Infra</t>
  </si>
  <si>
    <t>Other Units</t>
  </si>
  <si>
    <t>CelcomDigi</t>
  </si>
  <si>
    <t>FX rates (EUR)</t>
  </si>
  <si>
    <t>CHF/EUR</t>
  </si>
  <si>
    <t>DKK/EUR</t>
  </si>
  <si>
    <t>TRY/EUR</t>
  </si>
  <si>
    <t>KWD/EUR</t>
  </si>
  <si>
    <t>INR/EUR</t>
  </si>
  <si>
    <t>GBP/EUR</t>
  </si>
  <si>
    <t>CZK/EUR</t>
  </si>
  <si>
    <t>EUR/USD</t>
  </si>
  <si>
    <t>HUF/EUR</t>
  </si>
  <si>
    <t>NOK/EUR</t>
  </si>
  <si>
    <t>SEK/EUR</t>
  </si>
  <si>
    <t>MYR/EUR</t>
  </si>
  <si>
    <t>BRL/EUR</t>
  </si>
  <si>
    <t>JPY/EUR</t>
  </si>
  <si>
    <t>PLN/EUR</t>
  </si>
  <si>
    <t>THB/EUR</t>
  </si>
  <si>
    <t>CAD/EUR</t>
  </si>
  <si>
    <t>CLP/EUR</t>
  </si>
  <si>
    <t>LTL/EUR</t>
  </si>
  <si>
    <t>HKD/EUR</t>
  </si>
  <si>
    <t>AUD/EUR</t>
  </si>
  <si>
    <t>MAD/EUR</t>
  </si>
  <si>
    <t>ZAR/EUR</t>
  </si>
  <si>
    <t>EGP/EUR</t>
  </si>
  <si>
    <t>IDR/EUR</t>
  </si>
  <si>
    <t>KRW/EUR</t>
  </si>
  <si>
    <t>RUB/EUR</t>
  </si>
  <si>
    <t>CNY/EUR</t>
  </si>
  <si>
    <t>SGD/EUR</t>
  </si>
  <si>
    <t>PHP/EUR</t>
  </si>
  <si>
    <t>LKR/EUR</t>
  </si>
  <si>
    <t>KES/EUR</t>
  </si>
  <si>
    <t>MXN/EUR</t>
  </si>
  <si>
    <t>TWD/EUR</t>
  </si>
  <si>
    <t>ARS/EUR</t>
  </si>
  <si>
    <t>PKR/EUR</t>
  </si>
  <si>
    <t>BDT/EUR</t>
  </si>
  <si>
    <t>QAR/EUR</t>
  </si>
  <si>
    <t>NZD/EUR</t>
  </si>
  <si>
    <t>EchoStar</t>
  </si>
  <si>
    <t xml:space="preserve">Comcast </t>
  </si>
  <si>
    <t>SATS-US</t>
  </si>
  <si>
    <t>US - Other</t>
  </si>
  <si>
    <t>Agg. US</t>
  </si>
  <si>
    <t>Agg. US Other</t>
  </si>
  <si>
    <t>EchoStar Corporation</t>
  </si>
  <si>
    <t>AGGREGATE US OTHER</t>
  </si>
  <si>
    <t>Share price (B+C), US$</t>
  </si>
  <si>
    <t>Telco</t>
  </si>
  <si>
    <t>nexfibre</t>
  </si>
  <si>
    <t>BICS</t>
  </si>
  <si>
    <t>RouteMobile</t>
  </si>
  <si>
    <t>Telesign</t>
  </si>
  <si>
    <t>Total International</t>
  </si>
  <si>
    <t>True (Thailand)</t>
  </si>
  <si>
    <t>Associate discount</t>
  </si>
  <si>
    <t>Less: Vendor financing</t>
  </si>
  <si>
    <t>* Calculated as P/E vs. 2023-2026 earnings CAGR</t>
  </si>
  <si>
    <t>Eutelsat</t>
  </si>
  <si>
    <t>EUTELSAT</t>
  </si>
  <si>
    <t>ETL-FR</t>
  </si>
  <si>
    <t>Helios Towers</t>
  </si>
  <si>
    <t>HTWS-GB</t>
  </si>
  <si>
    <t>IHS Holding</t>
  </si>
  <si>
    <t>Helios</t>
  </si>
  <si>
    <t>EM TOWERS SECTOR MULTIPLES</t>
  </si>
  <si>
    <t>Equity value</t>
  </si>
  <si>
    <t>Value to Tnor</t>
  </si>
  <si>
    <t>Sunrise</t>
  </si>
  <si>
    <t>SUNN-CH</t>
  </si>
  <si>
    <t>Developed Asia - Incumbents</t>
  </si>
  <si>
    <t>Developed Asia - Cellular</t>
  </si>
  <si>
    <t>Agg. Global EM sector</t>
  </si>
  <si>
    <t>Glaspoort JV</t>
  </si>
  <si>
    <t>Buy-in price</t>
  </si>
  <si>
    <t>Add: 2025 JVs net debt</t>
  </si>
  <si>
    <t>Tower Co</t>
  </si>
  <si>
    <t>Less: NPV future spectrum costs</t>
  </si>
  <si>
    <t>Less: NPV of 2022 spectrum auction</t>
  </si>
  <si>
    <t>NSR Target share price</t>
  </si>
  <si>
    <t>2027E</t>
  </si>
  <si>
    <t>2028E</t>
  </si>
  <si>
    <t>© Copyright 2025 New Street Research LLP</t>
  </si>
  <si>
    <t>2025-28</t>
  </si>
  <si>
    <t>Zegona</t>
  </si>
  <si>
    <t>ZEG-GB</t>
  </si>
  <si>
    <t>ZEGONA</t>
  </si>
  <si>
    <t>Sell</t>
  </si>
  <si>
    <t>Bouygues</t>
  </si>
  <si>
    <t>EN-FR</t>
  </si>
  <si>
    <t>BOUYGUES</t>
  </si>
  <si>
    <t>BOUY</t>
  </si>
  <si>
    <t>BOUY MULTIPLES</t>
  </si>
  <si>
    <t>SUNN</t>
  </si>
  <si>
    <t>BOUYGUES SOP</t>
  </si>
  <si>
    <t>Construction</t>
  </si>
  <si>
    <t>Immoblier</t>
  </si>
  <si>
    <t>Colas</t>
  </si>
  <si>
    <t>Equans</t>
  </si>
  <si>
    <t>TF1</t>
  </si>
  <si>
    <t>Telecom</t>
  </si>
  <si>
    <t>Other &amp; Elims</t>
  </si>
  <si>
    <t>Peer 2026E EV/COPA</t>
  </si>
  <si>
    <t>Bouygues equity</t>
  </si>
  <si>
    <t>Conglomerate discount</t>
  </si>
  <si>
    <t>M&amp;A</t>
  </si>
  <si>
    <t>Share price (€)</t>
  </si>
  <si>
    <t>LatAm - Other</t>
  </si>
  <si>
    <t>AGGREGATE LATAM OTHER</t>
  </si>
  <si>
    <t>AGGREGATE DEVELOPED ASIA</t>
  </si>
  <si>
    <t>Agg. LatAm Other</t>
  </si>
  <si>
    <t>Telia Towers</t>
  </si>
  <si>
    <t>ISS</t>
  </si>
  <si>
    <t>SESG-FR</t>
  </si>
  <si>
    <t>SES</t>
  </si>
  <si>
    <t>Plus: Bredband2 value uplift</t>
  </si>
  <si>
    <t>Telkom Indonesia</t>
  </si>
  <si>
    <t>Vivo</t>
  </si>
  <si>
    <t>Plus: M&amp;A upside in Denmark (20% probability)</t>
  </si>
  <si>
    <t>Plus: Telecom JVs buy-in upside</t>
  </si>
  <si>
    <t xml:space="preserve">Baltic Towers JV </t>
  </si>
  <si>
    <t xml:space="preserve">Plus M&amp;A upside in Sweden (hard synergies) </t>
  </si>
  <si>
    <t>David Barden</t>
  </si>
  <si>
    <t>david.barden@newstreetresearch.com</t>
  </si>
  <si>
    <t>Prices</t>
  </si>
  <si>
    <t>Peer, 2026E EV/COPA</t>
  </si>
  <si>
    <t>DCF, implied 2026E EV/EBITDAaL</t>
  </si>
  <si>
    <t>2026 EV/EBITDA (Inwit/Cellnex mult)</t>
  </si>
  <si>
    <t>Spain (MasOrange)</t>
  </si>
  <si>
    <t>Spain Fibre JV</t>
  </si>
  <si>
    <t>Value based on equity stake sold</t>
  </si>
  <si>
    <t>Bluevia Fibra (rural JV)</t>
  </si>
  <si>
    <t>Fiberpass (Zegona JV)</t>
  </si>
  <si>
    <t>Nabiax</t>
  </si>
  <si>
    <t>Movistar Alarmas</t>
  </si>
  <si>
    <t>Market</t>
  </si>
  <si>
    <t>Add: Germany mobile merger (20% probability)</t>
  </si>
  <si>
    <t>Turkey</t>
  </si>
  <si>
    <t>Glasfaser Nordwest</t>
  </si>
  <si>
    <t>GlasfaserPlus</t>
  </si>
  <si>
    <t>Plus: DTCP fund</t>
  </si>
  <si>
    <t>Plus: Spectrum tax shield</t>
  </si>
  <si>
    <t>Plus: NPV Thailand sale proceeds</t>
  </si>
  <si>
    <t>Less: NPV future spectrum renewals</t>
  </si>
  <si>
    <t>Less: Future spectrum renewals,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</si>
</sst>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0">
    <numFmt numFmtId="164" formatCode="&quot;$&quot;#,##0;[Red]\-&quot;$&quot;#,##0"/>
    <numFmt numFmtId="165" formatCode="&quot;$&quot;#,##0.00;\-&quot;$&quot;#,##0.00"/>
    <numFmt numFmtId="166" formatCode="&quot;$&quot;#,##0.00;[Red]\-&quot;$&quot;#,##0.00"/>
    <numFmt numFmtId="167" formatCode="_(* #,##0_);_(* \(#,##0\);_(* &quot;-&quot;_);_(@_)"/>
    <numFmt numFmtId="168" formatCode="_(* #,##0.00_);_(* \(#,##0.00\);_(* &quot;-&quot;??_);_(@_)"/>
    <numFmt numFmtId="169" formatCode="&quot;$&quot;#,##0_);[Red]\(&quot;$&quot;#,##0\)"/>
    <numFmt numFmtId="170" formatCode="&quot;$&quot;#,##0.00_);\(&quot;$&quot;#,##0.00\)"/>
    <numFmt numFmtId="171" formatCode="&quot;$&quot;#,##0.00_);[Red]\(&quot;$&quot;#,##0.00\)"/>
    <numFmt numFmtId="172" formatCode="_(&quot;$&quot;* #,##0_);_(&quot;$&quot;* \(#,##0\);_(&quot;$&quot;* &quot;-&quot;_);_(@_)"/>
    <numFmt numFmtId="173" formatCode="_(&quot;$&quot;* #,##0.00_);_(&quot;$&quot;* \(#,##0.00\);_(&quot;$&quot;* &quot;-&quot;??_);_(@_)"/>
    <numFmt numFmtId="174" formatCode="_-* #,##0.0_-;\-* #,##0.0_-;_-* &quot;-&quot;??_-;_-@_-"/>
    <numFmt numFmtId="175" formatCode="_-* #,##0_-;\-* #,##0_-;_-* &quot;-&quot;??_-;_-@_-"/>
    <numFmt numFmtId="176" formatCode="0.0%"/>
    <numFmt numFmtId="177" formatCode="0.0"/>
    <numFmt numFmtId="178" formatCode="#,##0.0"/>
    <numFmt numFmtId="179" formatCode="0.00_);\(0.00\);0.00"/>
    <numFmt numFmtId="180" formatCode="0.00_);\(0.00\);0.00_)"/>
    <numFmt numFmtId="181" formatCode="0.00\%;\-0.00\%;0.00\%"/>
    <numFmt numFmtId="182" formatCode="0.00\x;\-0.00\x;0.00\x"/>
    <numFmt numFmtId="183" formatCode="#,##0_);[Red]\-#,##0_);0_);@_)"/>
    <numFmt numFmtId="184" formatCode="#,##0.00_);[Red]\-#,##0.00_);0.00_);@_)"/>
    <numFmt numFmtId="185" formatCode="#,##0%;[Red]\-#,##0%;0%;@_)"/>
    <numFmt numFmtId="186" formatCode="#,##0.00%;[Red]\-#,##0.00%;0.00%;@_)"/>
    <numFmt numFmtId="187" formatCode="* _(#,##0.00_);[Red]* \(#,##0.00\);* _(&quot;-&quot;?_);@_)"/>
    <numFmt numFmtId="188" formatCode="\€\ * _(#,##0_);[Red]\€\ * \(#,##0\);\€\ * _(&quot;-&quot;?_);@_)"/>
    <numFmt numFmtId="189" formatCode="\€\ * _(#,##0.00_);[Red]\€\ * \(#,##0.00\);\€\ * _(&quot;-&quot;?_);@_)"/>
    <numFmt numFmtId="190" formatCode="[$EUR]\ * _(#,##0_);[Red][$EUR]\ * \(#,##0\);[$EUR]\ * _(&quot;-&quot;?_);@_)"/>
    <numFmt numFmtId="191" formatCode="[$EUR]\ * _(#,##0.00_);[Red][$EUR]\ * \(#,##0.00\);[$EUR]\ * _(&quot;-&quot;?_);@_)"/>
    <numFmt numFmtId="192" formatCode="\$\ * _(#,##0_);[Red]\$\ * \(#,##0\);\$\ * _(&quot;-&quot;?_);@_)"/>
    <numFmt numFmtId="193" formatCode="\$\ * _(#,##0.00_);[Red]\$\ * \(#,##0.00\);\$\ * _(&quot;-&quot;?_);@_)"/>
    <numFmt numFmtId="194" formatCode="[$USD]\ * _(#,##0_);[Red][$USD]\ * \(#,##0\);[$USD]\ * _(&quot;-&quot;?_);@_)"/>
    <numFmt numFmtId="195" formatCode="[$USD]\ * _(#,##0.00_);[Red][$USD]\ * \(#,##0.00\);[$USD]\ * _(&quot;-&quot;?_);@_)"/>
    <numFmt numFmtId="196" formatCode="\£\ * _(#,##0_);[Red]\£\ * \(#,##0\);\£\ * _(&quot;-&quot;?_);@_)"/>
    <numFmt numFmtId="197" formatCode="\£\ * _(#,##0.00_);[Red]\£\ * \(#,##0.00\);\£\ * _(&quot;-&quot;?_);@_)"/>
    <numFmt numFmtId="198" formatCode="[$GBP]\ * _(#,##0_);[Red][$GBP]\ * \(#,##0\);[$GBP]\ * _(&quot;-&quot;?_);@_)"/>
    <numFmt numFmtId="199" formatCode="[$GBP]\ * _(#,##0.00_);[Red][$GBP]\ * \(#,##0.00\);[$GBP]\ * _(&quot;-&quot;?_);@_)"/>
    <numFmt numFmtId="200" formatCode="mmm\ yy_)"/>
    <numFmt numFmtId="201" formatCode="yyyy_)"/>
    <numFmt numFmtId="202" formatCode="_-* #,##0.0_-;\-* #,##0.0_-;_-* &quot;-&quot;?_-;_-@_-"/>
    <numFmt numFmtId="203" formatCode="0.0000"/>
    <numFmt numFmtId="204" formatCode="#,##0.0_);\(#,##0.0\)"/>
    <numFmt numFmtId="205" formatCode="&quot;$&quot;_(#,##0.00_);&quot;$&quot;\(#,##0.00\)"/>
    <numFmt numFmtId="206" formatCode="#,##0.0_)\x;\(#,##0.0\)\x"/>
    <numFmt numFmtId="207" formatCode="#,##0.0_)_x;\(#,##0.0\)_x"/>
    <numFmt numFmtId="208" formatCode="0.0_)\%;\(0.0\)\%"/>
    <numFmt numFmtId="209" formatCode="#,##0.0_)_%;\(#,##0.0\)_%"/>
    <numFmt numFmtId="210" formatCode="0.000%"/>
    <numFmt numFmtId="211" formatCode="#,##0.00\ &quot;Kč&quot;;[Red]\-#,##0.00\ &quot;Kč&quot;"/>
    <numFmt numFmtId="212" formatCode="0_);\(0\)"/>
    <numFmt numFmtId="213" formatCode="0&quot;E&quot;;\(0\)&quot;E&quot;"/>
    <numFmt numFmtId="214" formatCode="#,##0;\(#,##0\)"/>
    <numFmt numFmtId="215" formatCode="#,##0,;\-#,##0,"/>
    <numFmt numFmtId="216" formatCode="#,##0.000_);[Red]\(#,##0.000\)"/>
    <numFmt numFmtId="217" formatCode="_-\€* #,##0.00_-;\-\€* #,##0.00_-;_-\€* &quot;-&quot;??_-;_-@_-"/>
    <numFmt numFmtId="218" formatCode="_-\€* #,##0_-;\-\€* #,##0_-;_-\€* &quot;-&quot;_-;_-@_-"/>
    <numFmt numFmtId="219" formatCode="0.0%_);\(0.0%\)_)"/>
    <numFmt numFmtId="220" formatCode="&quot;$&quot;#,##0.00000000000000000000000000_);[Red]\(&quot;$&quot;#,##0.00000000000000000000000000\)"/>
    <numFmt numFmtId="221" formatCode="#,##0.000;\(#,##0.000\)"/>
    <numFmt numFmtId="222" formatCode="#,##0.00;\(#,##0.00\)"/>
    <numFmt numFmtId="223" formatCode="yyyy"/>
    <numFmt numFmtId="224" formatCode="#,##0_);\(#,##0\);0_)"/>
    <numFmt numFmtId="225" formatCode="#,##0.0000_);[Red]\(#,##0.0000\);0.0000_)"/>
    <numFmt numFmtId="226" formatCode="00000"/>
    <numFmt numFmtId="227" formatCode="&quot;$&quot;#,##0.00&quot;A&quot;;[Red]\(&quot;$&quot;#,##0.00\)&quot;A&quot;"/>
    <numFmt numFmtId="228" formatCode="&quot;$&quot;#,##0.00&quot;E&quot;;[Red]\(&quot;$&quot;#,##0.00\)&quot;E&quot;"/>
    <numFmt numFmtId="229" formatCode="_-[$€]* #,##0.00_-;\-[$€]* #,##0.00_-;_-[$€]* &quot;-&quot;??_-;_-@_-"/>
    <numFmt numFmtId="230" formatCode="#\ ##0.0"/>
    <numFmt numFmtId="231" formatCode="#,##0.0_);[Red]\(#,##0.0\)"/>
    <numFmt numFmtId="232" formatCode="0.0%_);[Red]\(0.0%\)"/>
    <numFmt numFmtId="233" formatCode="#,##0.0;\(#,##0.0\)"/>
    <numFmt numFmtId="234" formatCode="0.00%;\(0.00%\)"/>
    <numFmt numFmtId="235" formatCode="###0"/>
    <numFmt numFmtId="236" formatCode="General_)"/>
    <numFmt numFmtId="237" formatCode="0.0%_);\(0.0%\)"/>
    <numFmt numFmtId="238" formatCode="_-* #,##0_ _F_-;\-* #,##0_ _F_-;_-* &quot;-&quot;_ _F_-;_-@_-"/>
    <numFmt numFmtId="239" formatCode="#,##0.00_);[Red]\(#,##0.00\);0.00_)"/>
    <numFmt numFmtId="240" formatCode="_-* #,##0.00_ _F_-;\-* #,##0.00_ _F_-;_-* &quot;-&quot;??_ _F_-;_-@_-"/>
    <numFmt numFmtId="241" formatCode="_-* #,##0&quot; F&quot;_-;\-* #,##0&quot; F&quot;_-;_-* &quot;-&quot;&quot; F&quot;_-;_-@_-"/>
    <numFmt numFmtId="242" formatCode="#,##0.00_)&quot; F&quot;;[Red]\(#,##0.00\)&quot; F&quot;;0.00_)&quot; F&quot;"/>
    <numFmt numFmtId="243" formatCode="_-* #,##0.00&quot; F&quot;_-;\-* #,##0.00&quot; F&quot;_-;_-* &quot;-&quot;??&quot; F&quot;_-;_-@_-"/>
    <numFmt numFmtId="244" formatCode="_ * #,##0.00_ ;_ * \-#,##0.00_ ;_ * &quot;-&quot;??_ ;_ @_ "/>
    <numFmt numFmtId="245" formatCode="_-* #,##0.00\ _K_č_-;\-* #,##0.00\ _K_č_-;_-* &quot;-&quot;??\ _K_č_-;_-@_-"/>
    <numFmt numFmtId="246" formatCode="#,##0_);\(#,##0\);;"/>
    <numFmt numFmtId="247" formatCode="#,##0.0000;\(#,##0.0000\)"/>
    <numFmt numFmtId="248" formatCode="0%;[Red]\-0%"/>
    <numFmt numFmtId="249" formatCode="0.00%_);\(0.00%\)"/>
    <numFmt numFmtId="250" formatCode="#.0"/>
    <numFmt numFmtId="251" formatCode="&quot;kr&quot;\ #,##0_);[Red]\(&quot;kr&quot;\ #,##0\)"/>
    <numFmt numFmtId="252" formatCode="0\.00%;[Red]\-0\.00%"/>
    <numFmt numFmtId="253" formatCode="0.0000%"/>
    <numFmt numFmtId="254" formatCode="#,##0.00_)\ \x;\(#,##0.00\)\ \x"/>
    <numFmt numFmtId="255" formatCode="&quot;kr&quot;\ #,##0.00_);[Red]\(&quot;kr&quot;\ #,##0.00\)"/>
    <numFmt numFmtId="256" formatCode="#,##0.0\ ;\(#,##0.0\)"/>
    <numFmt numFmtId="257" formatCode="#,##0.00\ ;\(#,##0.00\)"/>
    <numFmt numFmtId="258" formatCode="#,##0.0000_);[Red]\(#,##0.0000\)"/>
    <numFmt numFmtId="259" formatCode="&quot;$&quot;#,##0.0_);[Red]\(&quot;$&quot;#,##0.0\)"/>
    <numFmt numFmtId="260" formatCode="0.000"/>
    <numFmt numFmtId="261" formatCode="0.0%;\(0.0%\)"/>
    <numFmt numFmtId="262" formatCode="mmm"/>
    <numFmt numFmtId="263" formatCode="mmm\ dd\,\ yyyy"/>
    <numFmt numFmtId="264" formatCode="#,##0\ ;\(#,##0\);\-\ "/>
    <numFmt numFmtId="265" formatCode="_([$€-2]* #,##0.00_);_([$€-2]* \(#,##0.00\);_([$€-2]* &quot;-&quot;??_)"/>
    <numFmt numFmtId="266" formatCode="0.00%_);[Red]\(0.00%\)"/>
    <numFmt numFmtId="267" formatCode="#,##0.00\ ;\ \(#,##0.00\);\ &quot;- &quot;"/>
    <numFmt numFmtId="268" formatCode="#,##0.00\x_);[Red]\(#,##0.00\x\)"/>
    <numFmt numFmtId="269" formatCode="0%;\-0%"/>
    <numFmt numFmtId="270" formatCode="#,##0.00\p;[Red]\-&quot;£&quot;#,##0.00\p"/>
    <numFmt numFmtId="271" formatCode="#,##0.00\p;[Red]\-#,##0.00\p"/>
    <numFmt numFmtId="272" formatCode="&quot;DK&quot;#,##0_);\(&quot;$&quot;#,##0\)"/>
    <numFmt numFmtId="273" formatCode="&quot;FL&quot;#,##0_);\(&quot;$&quot;#,##0\)"/>
    <numFmt numFmtId="274" formatCode="&quot;FL&quot;#,##0.0_);\(&quot;$&quot;#,##0.0\)"/>
    <numFmt numFmtId="275" formatCode="&quot;FL&quot;#,##0.00_);\(&quot;$&quot;#,##0.00\)"/>
    <numFmt numFmtId="276" formatCode="&quot;EP&quot;#,##0_);\(&quot;$&quot;#,##0\)"/>
    <numFmt numFmtId="277" formatCode="&quot;£&quot;#,##0.0;[Red]\-&quot;£&quot;#,##0.0"/>
    <numFmt numFmtId="278" formatCode="0.000000"/>
    <numFmt numFmtId="279" formatCode="#,##0.0\ \x"/>
    <numFmt numFmtId="280" formatCode="#,##0;&quot;£&quot;#,##0"/>
    <numFmt numFmtId="281" formatCode="&quot;£&quot;\ #,##0_);[Red]\(&quot;£&quot;\ #,##0\)"/>
    <numFmt numFmtId="282" formatCode="&quot;¥&quot;\ #,##0_);[Red]\(&quot;¥&quot;\ #,##0\)"/>
    <numFmt numFmtId="283" formatCode="0_)"/>
    <numFmt numFmtId="284" formatCode="0\A"/>
    <numFmt numFmtId="285" formatCode="0.00000"/>
    <numFmt numFmtId="286" formatCode="0.000_]"/>
    <numFmt numFmtId="287" formatCode="#,##0.0\ _]"/>
    <numFmt numFmtId="288" formatCode="&quot;•&quot;\ \ @"/>
    <numFmt numFmtId="289" formatCode="_-* #,###_-;\(#,###\);_-* &quot;–&quot;_-;_-@_-"/>
    <numFmt numFmtId="290" formatCode="0.00000000000"/>
    <numFmt numFmtId="291" formatCode="0.000000000000"/>
    <numFmt numFmtId="292" formatCode="0.0%;\(0.0\)%"/>
    <numFmt numFmtId="293" formatCode="dd\-mm"/>
    <numFmt numFmtId="294" formatCode="dd/m/yy"/>
    <numFmt numFmtId="295" formatCode="#,##0_%_);\(#,##0\)_%;#,##0_%_);@_%_)"/>
    <numFmt numFmtId="296" formatCode="#,##0.0\x_);\(#,##0.0\x\)"/>
    <numFmt numFmtId="297" formatCode="0.0_)"/>
    <numFmt numFmtId="298" formatCode="\ \ _•&quot;–&quot;\ \ \ \ @"/>
    <numFmt numFmtId="299" formatCode="#,##0.00;\(#,##0.00\);&quot;-&quot;"/>
    <numFmt numFmtId="300" formatCode="#,##0.0000\ ;\(#,##0.0000\)"/>
    <numFmt numFmtId="301" formatCode=";;;"/>
    <numFmt numFmtId="302" formatCode="mmyy"/>
    <numFmt numFmtId="303" formatCode="\$#,##0.0;\-\$#,##0.0"/>
    <numFmt numFmtId="304" formatCode="0.0\x;\-0.0\x;"/>
    <numFmt numFmtId="305" formatCode="[Red]0.###,,&quot; mm&quot;"/>
    <numFmt numFmtId="306" formatCode="##0.00000"/>
    <numFmt numFmtId="307" formatCode="#,##0;\(#,##0\);&quot;–&quot;;@"/>
    <numFmt numFmtId="308" formatCode="#,##0.000\ ;\(#,##0.000\)"/>
    <numFmt numFmtId="309" formatCode="0.000000000"/>
    <numFmt numFmtId="310" formatCode="0."/>
    <numFmt numFmtId="311" formatCode="&quot;£&quot;0&quot;m&quot;"/>
    <numFmt numFmtId="312" formatCode="0.0_)\%;\(0.0\)\%;0.0_)\%;@_)_%"/>
    <numFmt numFmtId="313" formatCode="#,##0.0_)_%;\(#,##0.0\)_%;0.0_)_%;@_)_%"/>
    <numFmt numFmtId="314" formatCode="#,##0.0_);\(#,##0.0\);#,##0.0_);@_)"/>
    <numFmt numFmtId="315" formatCode="&quot;£&quot;_(#,##0.00_);&quot;£&quot;\(#,##0.00\);&quot;£&quot;_(0.00_);@_)"/>
    <numFmt numFmtId="316" formatCode="#,##0.00_);\(#,##0.00\);0.00_);@_)"/>
    <numFmt numFmtId="317" formatCode="\€_(#,##0.00_);\€\(#,##0.00\);\€_(0.00_);@_)"/>
    <numFmt numFmtId="318" formatCode="#,##0_)\x;\(#,##0\)\x;0_)\x;@_)_x"/>
    <numFmt numFmtId="319" formatCode="#,##0_)_x;\(#,##0\)_x;0_)_x;@_)_x"/>
    <numFmt numFmtId="320" formatCode="0.00\e"/>
    <numFmt numFmtId="321" formatCode="_-* #,##0.00\ [$€]_-;\-* #,##0.00\ [$€]_-;_-* &quot;-&quot;??\ [$€]_-;_-@_-"/>
    <numFmt numFmtId="322" formatCode="#,#00"/>
    <numFmt numFmtId="323" formatCode="0.0_ ;[Red]\-0.0\ "/>
    <numFmt numFmtId="324" formatCode="#,##0;[Red]&quot;-&quot;#,##0"/>
    <numFmt numFmtId="325" formatCode="_ * #,##0_ ;_ * \-#,##0_ ;_ * &quot;-&quot;_ ;_ @_ "/>
    <numFmt numFmtId="326" formatCode="_ &quot;S/&quot;* #,##0_ ;_ &quot;S/&quot;* \-#,##0_ ;_ &quot;S/&quot;* &quot;-&quot;_ ;_ @_ "/>
    <numFmt numFmtId="327" formatCode="_ &quot;S/&quot;* #,##0.00_ ;_ &quot;S/&quot;* \-#,##0.00_ ;_ &quot;S/&quot;* &quot;-&quot;??_ ;_ @_ "/>
    <numFmt numFmtId="328" formatCode="d\.mmm\.yy"/>
    <numFmt numFmtId="329" formatCode="_-* #,##0\ _F_-;\-* #,##0\ _F_-;_-* &quot;-&quot;\ _F_-;_-@_-"/>
    <numFmt numFmtId="330" formatCode="d\.mmm"/>
    <numFmt numFmtId="331" formatCode="_-* #,##0.00\ &quot;F&quot;_-;\-* #,##0.00\ &quot;F&quot;_-;_-* &quot;-&quot;??\ &quot;F&quot;_-;_-@_-"/>
    <numFmt numFmtId="332" formatCode="0.00_)"/>
    <numFmt numFmtId="333" formatCode="%#,#00"/>
    <numFmt numFmtId="334" formatCode="#.##000"/>
    <numFmt numFmtId="335" formatCode="_-* #,##0.00\ _D_M_-;\-* #,##0.00\ _D_M_-;_-* &quot;-&quot;??\ _D_M_-;_-@_-"/>
    <numFmt numFmtId="336" formatCode="_(* #,##0_);_(* \(#,##0\);_(* &quot;-&quot;??_);_(@_)"/>
    <numFmt numFmtId="337" formatCode="#,"/>
    <numFmt numFmtId="338" formatCode="#,##0;\(#,##0\);\-"/>
    <numFmt numFmtId="339" formatCode="\Z\A\R0"/>
    <numFmt numFmtId="340" formatCode="\$#,##0.0;\(\$#,##0.0\);\-"/>
    <numFmt numFmtId="341" formatCode="\€#,##0.0;\(\€#,##0.0\);\-"/>
    <numFmt numFmtId="342" formatCode="#,##0.0;\(#,##0.0\);\-"/>
    <numFmt numFmtId="343" formatCode="0.0%;\(0.0%\);\-"/>
  </numFmts>
  <fonts count="309">
    <font>
      <sz val="10"/>
      <name val="Trebuchet M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rebuchet MS"/>
      <family val="2"/>
    </font>
    <font>
      <sz val="8"/>
      <name val="Trebuchet MS"/>
      <family val="2"/>
    </font>
    <font>
      <sz val="10"/>
      <name val="Arial"/>
      <family val="2"/>
    </font>
    <font>
      <sz val="10"/>
      <name val="MS Sans Serif"/>
      <family val="2"/>
    </font>
    <font>
      <sz val="8"/>
      <name val="Helvetica"/>
      <family val="2"/>
    </font>
    <font>
      <sz val="10"/>
      <name val="Frutiger 45 Light"/>
      <family val="2"/>
    </font>
    <font>
      <sz val="24"/>
      <name val="MS Sans Serif"/>
      <family val="2"/>
    </font>
    <font>
      <sz val="9"/>
      <color indexed="18"/>
      <name val="Arial"/>
      <family val="2"/>
    </font>
    <font>
      <sz val="10"/>
      <name val="Times New Roman"/>
      <family val="1"/>
    </font>
    <font>
      <sz val="10"/>
      <color indexed="12"/>
      <name val="Times New Roman"/>
      <family val="1"/>
    </font>
    <font>
      <sz val="10"/>
      <color indexed="12"/>
      <name val="Arial"/>
      <family val="2"/>
    </font>
    <font>
      <b/>
      <sz val="10"/>
      <name val="MS Sans Serif"/>
      <family val="2"/>
    </font>
    <font>
      <sz val="10"/>
      <name val="Geneva"/>
    </font>
    <font>
      <sz val="10"/>
      <color indexed="23"/>
      <name val="MS Sans Serif"/>
      <family val="2"/>
    </font>
    <font>
      <b/>
      <sz val="12"/>
      <name val="MS Sans Serif"/>
      <family val="2"/>
    </font>
    <font>
      <sz val="10"/>
      <name val="Arial Narrow"/>
      <family val="2"/>
    </font>
    <font>
      <b/>
      <sz val="10"/>
      <name val="Times New Roman"/>
      <family val="1"/>
    </font>
    <font>
      <sz val="10"/>
      <name val="Trebuchet MS"/>
      <family val="2"/>
    </font>
    <font>
      <b/>
      <sz val="22"/>
      <name val="Arial"/>
      <family val="2"/>
    </font>
    <font>
      <i/>
      <sz val="9"/>
      <color indexed="16"/>
      <name val="Arial"/>
      <family val="2"/>
    </font>
    <font>
      <sz val="8"/>
      <name val="Arial"/>
      <family val="2"/>
    </font>
    <font>
      <sz val="9"/>
      <name val="Arial"/>
      <family val="2"/>
    </font>
    <font>
      <b/>
      <sz val="10"/>
      <name val="Arial"/>
      <family val="2"/>
    </font>
    <font>
      <b/>
      <sz val="8"/>
      <color indexed="81"/>
      <name val="Tahoma"/>
      <family val="2"/>
    </font>
    <font>
      <sz val="8"/>
      <color indexed="81"/>
      <name val="Tahoma"/>
      <family val="2"/>
    </font>
    <font>
      <sz val="9"/>
      <name val="Arial"/>
      <family val="2"/>
    </font>
    <font>
      <i/>
      <sz val="9"/>
      <color indexed="55"/>
      <name val="Arial"/>
      <family val="2"/>
    </font>
    <font>
      <b/>
      <sz val="9"/>
      <name val="Arial"/>
      <family val="2"/>
    </font>
    <font>
      <b/>
      <sz val="18"/>
      <name val="Arial"/>
      <family val="2"/>
    </font>
    <font>
      <b/>
      <sz val="14"/>
      <name val="Arial"/>
      <family val="2"/>
    </font>
    <font>
      <b/>
      <sz val="12"/>
      <name val="Arial"/>
      <family val="2"/>
    </font>
    <font>
      <sz val="8"/>
      <name val="Arial"/>
      <family val="2"/>
    </font>
    <font>
      <b/>
      <sz val="12"/>
      <color indexed="81"/>
      <name val="Tahoma"/>
      <family val="2"/>
    </font>
    <font>
      <sz val="10"/>
      <color indexed="10"/>
      <name val="Arial"/>
      <family val="2"/>
    </font>
    <font>
      <sz val="8"/>
      <color indexed="10"/>
      <name val="Arial"/>
      <family val="2"/>
    </font>
    <font>
      <sz val="8"/>
      <color indexed="9"/>
      <name val="Arial"/>
      <family val="2"/>
    </font>
    <font>
      <sz val="10"/>
      <name val="Trebuchet MS"/>
      <family val="2"/>
    </font>
    <font>
      <sz val="10"/>
      <name val="Trebuchet MS"/>
      <family val="2"/>
    </font>
    <font>
      <sz val="10"/>
      <color indexed="8"/>
      <name val="MS Sans Serif"/>
      <family val="2"/>
    </font>
    <font>
      <sz val="12"/>
      <name val="·s²Ó©úÅé"/>
      <charset val="136"/>
    </font>
    <font>
      <sz val="10"/>
      <name val="Helv"/>
    </font>
    <font>
      <sz val="8"/>
      <color indexed="8"/>
      <name val="MS Sans Serif"/>
      <family val="2"/>
    </font>
    <font>
      <b/>
      <sz val="12"/>
      <name val="Helv"/>
    </font>
    <font>
      <sz val="8"/>
      <name val="Times New Roman"/>
      <family val="1"/>
    </font>
    <font>
      <sz val="12"/>
      <name val="Arial"/>
      <family val="2"/>
    </font>
    <font>
      <sz val="10"/>
      <color indexed="10"/>
      <name val="Times New Roman"/>
      <family val="1"/>
    </font>
    <font>
      <b/>
      <sz val="11"/>
      <color indexed="10"/>
      <name val="Times New Roman"/>
      <family val="1"/>
    </font>
    <font>
      <b/>
      <i/>
      <sz val="11"/>
      <color indexed="9"/>
      <name val="Times New Roman"/>
      <family val="1"/>
    </font>
    <font>
      <b/>
      <sz val="9"/>
      <color indexed="9"/>
      <name val="Arial"/>
      <family val="2"/>
    </font>
    <font>
      <sz val="8"/>
      <color indexed="12"/>
      <name val="Times"/>
      <family val="1"/>
    </font>
    <font>
      <u val="singleAccounting"/>
      <sz val="10"/>
      <name val="Arial"/>
      <family val="2"/>
    </font>
    <font>
      <sz val="12"/>
      <color indexed="10"/>
      <name val="Times New Roman"/>
      <family val="1"/>
    </font>
    <font>
      <b/>
      <sz val="10"/>
      <name val="Helv"/>
    </font>
    <font>
      <sz val="10"/>
      <color indexed="18"/>
      <name val="Times New Roman"/>
      <family val="1"/>
    </font>
    <font>
      <sz val="10"/>
      <color indexed="22"/>
      <name val="Arial"/>
      <family val="2"/>
    </font>
    <font>
      <sz val="12"/>
      <name val="Times New Roman"/>
      <family val="1"/>
    </font>
    <font>
      <b/>
      <sz val="8"/>
      <name val="Arial"/>
      <family val="2"/>
    </font>
    <font>
      <b/>
      <sz val="8"/>
      <name val="Times New Roman"/>
      <family val="1"/>
    </font>
    <font>
      <sz val="12"/>
      <color indexed="14"/>
      <name val="Times New Roman"/>
      <family val="1"/>
    </font>
    <font>
      <u val="doubleAccounting"/>
      <sz val="10"/>
      <name val="Arial"/>
      <family val="2"/>
    </font>
    <font>
      <b/>
      <i/>
      <sz val="8"/>
      <color indexed="12"/>
      <name val="HelveticaNeue Condensed"/>
    </font>
    <font>
      <b/>
      <u/>
      <sz val="12"/>
      <name val="Arial Narrow"/>
      <family val="2"/>
    </font>
    <font>
      <sz val="10"/>
      <color indexed="2"/>
      <name val="Tahoma"/>
      <family val="2"/>
    </font>
    <font>
      <b/>
      <sz val="7"/>
      <color indexed="12"/>
      <name val="Arial"/>
      <family val="2"/>
    </font>
    <font>
      <b/>
      <sz val="10"/>
      <color indexed="0"/>
      <name val="Tahoma"/>
      <family val="2"/>
    </font>
    <font>
      <u/>
      <sz val="10"/>
      <color indexed="36"/>
      <name val="Arial"/>
      <family val="2"/>
    </font>
    <font>
      <i/>
      <sz val="8"/>
      <color indexed="17"/>
      <name val="Times New Roman"/>
      <family val="1"/>
    </font>
    <font>
      <sz val="8"/>
      <color indexed="21"/>
      <name val="Arial"/>
      <family val="2"/>
    </font>
    <font>
      <sz val="8"/>
      <color indexed="12"/>
      <name val="Times New Roman"/>
      <family val="1"/>
    </font>
    <font>
      <b/>
      <sz val="12"/>
      <color indexed="10"/>
      <name val="Arial"/>
      <family val="2"/>
    </font>
    <font>
      <b/>
      <sz val="10"/>
      <color indexed="18"/>
      <name val="Times New Roman"/>
      <family val="1"/>
    </font>
    <font>
      <sz val="10"/>
      <name val="Tahoma"/>
      <family val="2"/>
    </font>
    <font>
      <sz val="8"/>
      <color indexed="8"/>
      <name val="Helvetica"/>
      <family val="2"/>
    </font>
    <font>
      <u/>
      <sz val="6"/>
      <color indexed="12"/>
      <name val="Arial"/>
      <family val="2"/>
    </font>
    <font>
      <sz val="12"/>
      <name val="Helv"/>
    </font>
    <font>
      <sz val="8"/>
      <color indexed="39"/>
      <name val="Arial"/>
      <family val="2"/>
    </font>
    <font>
      <sz val="8"/>
      <color indexed="10"/>
      <name val="Helv"/>
    </font>
    <font>
      <sz val="10"/>
      <color indexed="16"/>
      <name val="MS Sans Serif"/>
      <family val="2"/>
    </font>
    <font>
      <b/>
      <sz val="12"/>
      <color indexed="17"/>
      <name val="Wingdings"/>
      <charset val="2"/>
    </font>
    <font>
      <b/>
      <sz val="18"/>
      <name val="Times New Roman"/>
      <family val="1"/>
    </font>
    <font>
      <b/>
      <sz val="8"/>
      <color indexed="14"/>
      <name val="MS Sans Serif"/>
      <family val="2"/>
    </font>
    <font>
      <sz val="8"/>
      <color indexed="18"/>
      <name val="Times New Roman"/>
      <family val="1"/>
    </font>
    <font>
      <b/>
      <i/>
      <sz val="10"/>
      <color indexed="4"/>
      <name val="Tahoma"/>
      <family val="2"/>
    </font>
    <font>
      <sz val="10"/>
      <color indexed="4"/>
      <name val="Tahoma"/>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amily val="2"/>
    </font>
    <font>
      <b/>
      <sz val="8"/>
      <color indexed="18"/>
      <name val="Times New Roman"/>
      <family val="1"/>
    </font>
    <font>
      <sz val="8"/>
      <name val="Univers"/>
      <family val="2"/>
    </font>
    <font>
      <sz val="10"/>
      <name val="GillSans Light"/>
    </font>
    <font>
      <sz val="8"/>
      <name val="COUR"/>
    </font>
    <font>
      <sz val="10"/>
      <name val="COUR"/>
    </font>
    <font>
      <sz val="12"/>
      <color indexed="12"/>
      <name val="Times New Roman"/>
      <family val="1"/>
    </font>
    <font>
      <b/>
      <sz val="14"/>
      <name val="Times New Roman"/>
      <family val="1"/>
    </font>
    <font>
      <b/>
      <sz val="10"/>
      <name val="GillSans"/>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b/>
      <sz val="9"/>
      <color indexed="81"/>
      <name val="Tahoma"/>
      <family val="2"/>
    </font>
    <font>
      <sz val="9"/>
      <color indexed="81"/>
      <name val="Tahoma"/>
      <family val="2"/>
    </font>
    <font>
      <sz val="11"/>
      <color indexed="8"/>
      <name val="Calibri"/>
      <family val="2"/>
    </font>
    <font>
      <i/>
      <sz val="8"/>
      <name val="Arial"/>
      <family val="2"/>
    </font>
    <font>
      <b/>
      <i/>
      <sz val="8"/>
      <color indexed="12"/>
      <name val="HelveticaNeue Condensed"/>
      <family val="2"/>
    </font>
    <font>
      <i/>
      <sz val="10"/>
      <name val="Arial"/>
      <family val="2"/>
    </font>
    <font>
      <b/>
      <sz val="7"/>
      <name val="Helvetica-Narrow"/>
      <family val="2"/>
    </font>
    <font>
      <b/>
      <sz val="7"/>
      <name val="GillSans"/>
      <family val="2"/>
    </font>
    <font>
      <sz val="9"/>
      <name val="GillSans Light"/>
      <family val="2"/>
    </font>
    <font>
      <sz val="8"/>
      <color indexed="17"/>
      <name val="Times New Roman"/>
      <family val="1"/>
    </font>
    <font>
      <b/>
      <sz val="10"/>
      <color indexed="9"/>
      <name val="GillSans"/>
      <family val="2"/>
    </font>
    <font>
      <b/>
      <sz val="10"/>
      <color indexed="8"/>
      <name val="GillSans"/>
      <family val="2"/>
    </font>
    <font>
      <sz val="10"/>
      <name val="GillSans Light"/>
      <family val="2"/>
    </font>
    <font>
      <b/>
      <sz val="10"/>
      <name val="GillSans"/>
      <family val="2"/>
    </font>
    <font>
      <b/>
      <sz val="16"/>
      <color indexed="62"/>
      <name val="Arial"/>
      <family val="2"/>
    </font>
    <font>
      <b/>
      <sz val="10"/>
      <name val="Helvetica 65"/>
      <family val="2"/>
    </font>
    <font>
      <b/>
      <sz val="10"/>
      <color indexed="16"/>
      <name val="GillSans"/>
      <family val="2"/>
    </font>
    <font>
      <sz val="11"/>
      <color indexed="10"/>
      <name val="Calibri"/>
      <family val="2"/>
    </font>
    <font>
      <b/>
      <sz val="11"/>
      <color indexed="8"/>
      <name val="Calibri"/>
      <family val="2"/>
    </font>
    <font>
      <b/>
      <sz val="9.5"/>
      <color indexed="10"/>
      <name val="MS Sans Serif"/>
      <family val="2"/>
    </font>
    <font>
      <sz val="10"/>
      <color indexed="8"/>
      <name val="Times New Roman"/>
      <family val="1"/>
    </font>
    <font>
      <sz val="10"/>
      <name val="Courier"/>
      <family val="3"/>
    </font>
    <font>
      <sz val="12"/>
      <name val="‚l‚r ‚oƒSƒVƒbƒN"/>
      <family val="2"/>
      <charset val="128"/>
    </font>
    <font>
      <sz val="10"/>
      <name val="Univers 55"/>
      <family val="2"/>
    </font>
    <font>
      <sz val="12"/>
      <name val="Arial MT"/>
      <family val="2"/>
    </font>
    <font>
      <b/>
      <sz val="8"/>
      <name val="Tms Rmn"/>
      <family val="1"/>
    </font>
    <font>
      <sz val="9"/>
      <color indexed="8"/>
      <name val="Times New Roman"/>
      <family val="1"/>
    </font>
    <font>
      <b/>
      <sz val="10"/>
      <color indexed="8"/>
      <name val="Times New Roman"/>
      <family val="1"/>
    </font>
    <font>
      <sz val="7"/>
      <color indexed="14"/>
      <name val="Small Fonts"/>
      <family val="2"/>
    </font>
    <font>
      <b/>
      <sz val="6"/>
      <name val="Arial"/>
      <family val="2"/>
    </font>
    <font>
      <sz val="8"/>
      <color indexed="12"/>
      <name val="Helv"/>
      <family val="2"/>
    </font>
    <font>
      <sz val="10"/>
      <name val="Geneva"/>
      <family val="2"/>
    </font>
    <font>
      <sz val="9"/>
      <color indexed="18"/>
      <name val="Helvetica"/>
      <family val="2"/>
    </font>
    <font>
      <b/>
      <sz val="12"/>
      <name val="Times New Roman"/>
      <family val="1"/>
    </font>
    <font>
      <b/>
      <sz val="8"/>
      <name val="GillSans"/>
      <family val="2"/>
    </font>
    <font>
      <sz val="12"/>
      <name val="Helvetica"/>
      <family val="2"/>
    </font>
    <font>
      <sz val="8"/>
      <name val="Palatino"/>
      <family val="1"/>
    </font>
    <font>
      <sz val="24"/>
      <name val="Arial"/>
      <family val="2"/>
    </font>
    <font>
      <b/>
      <sz val="24"/>
      <name val="Times New Roman"/>
      <family val="1"/>
    </font>
    <font>
      <sz val="8"/>
      <color indexed="12"/>
      <name val="Tms Rmn"/>
      <family val="1"/>
    </font>
    <font>
      <sz val="10"/>
      <name val="Tms Rmn"/>
      <family val="1"/>
    </font>
    <font>
      <sz val="9"/>
      <color indexed="12"/>
      <name val="Times New Roman"/>
      <family val="1"/>
    </font>
    <font>
      <sz val="10"/>
      <color indexed="12"/>
      <name val="Helvetica"/>
      <family val="2"/>
    </font>
    <font>
      <sz val="10"/>
      <name val="Helv"/>
      <family val="2"/>
    </font>
    <font>
      <b/>
      <sz val="10"/>
      <color indexed="17"/>
      <name val="Helvetica"/>
      <family val="2"/>
    </font>
    <font>
      <b/>
      <sz val="16"/>
      <color indexed="10"/>
      <name val="FrankfurtGothicHeavy"/>
      <family val="2"/>
    </font>
    <font>
      <sz val="8"/>
      <color indexed="8"/>
      <name val="Helv"/>
      <family val="2"/>
    </font>
    <font>
      <sz val="10"/>
      <color indexed="20"/>
      <name val="Times New Roman"/>
      <family val="1"/>
    </font>
    <font>
      <sz val="9"/>
      <name val="Times New Roman"/>
      <family val="1"/>
    </font>
    <font>
      <sz val="10"/>
      <name val="Palatino"/>
      <family val="1"/>
    </font>
    <font>
      <sz val="8"/>
      <color indexed="17"/>
      <name val="Tms Rmn"/>
      <family val="1"/>
    </font>
    <font>
      <b/>
      <sz val="13.5"/>
      <name val="MS Sans Serif"/>
      <family val="2"/>
    </font>
    <font>
      <sz val="10"/>
      <color indexed="16"/>
      <name val="Helvetica-Black"/>
      <family val="2"/>
    </font>
    <font>
      <sz val="8"/>
      <color indexed="14"/>
      <name val="Tms Rmn"/>
      <family val="1"/>
    </font>
    <font>
      <sz val="8"/>
      <name val="Helv"/>
      <family val="2"/>
    </font>
    <font>
      <sz val="10"/>
      <color indexed="10"/>
      <name val="MS Sans Serif"/>
      <family val="2"/>
    </font>
    <font>
      <sz val="10"/>
      <color indexed="55"/>
      <name val="Times New Roman"/>
      <family val="1"/>
    </font>
    <font>
      <sz val="8"/>
      <color indexed="12"/>
      <name val="Helvetica"/>
      <family val="2"/>
    </font>
    <font>
      <i/>
      <sz val="10"/>
      <name val="Times New Roman"/>
      <family val="1"/>
    </font>
    <font>
      <b/>
      <sz val="8"/>
      <name val="HelveticaNeue Condensed"/>
      <family val="2"/>
    </font>
    <font>
      <sz val="8"/>
      <name val="HelveticaNeue LightCond"/>
      <family val="2"/>
    </font>
    <font>
      <sz val="7"/>
      <name val="HelveticaNeue LightCond"/>
      <family val="2"/>
    </font>
    <font>
      <b/>
      <sz val="9"/>
      <name val="Times New Roman"/>
      <family val="1"/>
    </font>
    <font>
      <i/>
      <sz val="12"/>
      <color indexed="12"/>
      <name val="Times New Roman"/>
      <family val="1"/>
    </font>
    <font>
      <b/>
      <sz val="10"/>
      <color indexed="18"/>
      <name val="Symbol"/>
      <family val="1"/>
      <charset val="2"/>
    </font>
    <font>
      <b/>
      <sz val="11"/>
      <name val="Times New Roman"/>
      <family val="1"/>
    </font>
    <font>
      <sz val="9"/>
      <color indexed="21"/>
      <name val="Helvetica-Black"/>
      <family val="2"/>
    </font>
    <font>
      <sz val="9"/>
      <name val="Helvetica-Black"/>
      <family val="2"/>
    </font>
    <font>
      <sz val="7"/>
      <name val="Palatino"/>
      <family val="1"/>
    </font>
    <font>
      <sz val="8"/>
      <name val="Helvetica-Narrow"/>
      <family val="2"/>
    </font>
    <font>
      <u/>
      <sz val="10"/>
      <name val="Helv"/>
      <family val="2"/>
    </font>
    <font>
      <sz val="8"/>
      <color indexed="10"/>
      <name val="Arial Narrow"/>
      <family val="2"/>
    </font>
    <font>
      <sz val="8"/>
      <color indexed="16"/>
      <name val="Helv"/>
      <family val="2"/>
    </font>
    <font>
      <b/>
      <sz val="8"/>
      <color indexed="8"/>
      <name val="Wingdings"/>
      <charset val="2"/>
    </font>
    <font>
      <b/>
      <sz val="8"/>
      <color indexed="10"/>
      <name val="Wingdings"/>
      <charset val="2"/>
    </font>
    <font>
      <b/>
      <sz val="8"/>
      <color indexed="9"/>
      <name val="Wingdings"/>
      <charset val="2"/>
    </font>
    <font>
      <b/>
      <i/>
      <sz val="12"/>
      <name val="Times New Roman"/>
      <family val="1"/>
    </font>
    <font>
      <b/>
      <u/>
      <sz val="10"/>
      <name val="Tms Rmn"/>
      <family val="1"/>
    </font>
    <font>
      <sz val="8"/>
      <name val="HelveticaNeue Condensed"/>
      <family val="2"/>
    </font>
    <font>
      <u/>
      <sz val="11"/>
      <color theme="10"/>
      <name val="Calibri"/>
      <family val="2"/>
    </font>
    <font>
      <sz val="10"/>
      <color theme="1"/>
      <name val="Calibri"/>
      <family val="2"/>
    </font>
    <font>
      <b/>
      <sz val="15"/>
      <color theme="3"/>
      <name val="Calibri"/>
      <family val="2"/>
    </font>
    <font>
      <b/>
      <sz val="13"/>
      <color theme="3"/>
      <name val="Calibri"/>
      <family val="2"/>
    </font>
    <font>
      <b/>
      <sz val="11"/>
      <color theme="3"/>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9"/>
      <color indexed="8"/>
      <name val="Times New Roman"/>
      <family val="2"/>
    </font>
    <font>
      <i/>
      <sz val="11"/>
      <color rgb="FF7F7F7F"/>
      <name val="Calibri"/>
      <family val="2"/>
    </font>
    <font>
      <sz val="11"/>
      <color rgb="FF006100"/>
      <name val="Calibri"/>
      <family val="2"/>
    </font>
    <font>
      <sz val="11"/>
      <color rgb="FF3F3F76"/>
      <name val="Calibri"/>
      <family val="2"/>
    </font>
    <font>
      <sz val="11"/>
      <color rgb="FFFA7D00"/>
      <name val="Calibri"/>
      <family val="2"/>
    </font>
    <font>
      <sz val="10"/>
      <color rgb="FF9C6500"/>
      <name val="Times New Roman"/>
      <family val="2"/>
    </font>
    <font>
      <sz val="11"/>
      <color rgb="FF9C6500"/>
      <name val="Calibri"/>
      <family val="2"/>
    </font>
    <font>
      <b/>
      <sz val="11"/>
      <color rgb="FF3F3F3F"/>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8"/>
      <color theme="3"/>
      <name val="Cambria"/>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4"/>
      <color indexed="16"/>
      <name val="Times New Roman"/>
      <family val="1"/>
    </font>
    <font>
      <sz val="12"/>
      <color indexed="16"/>
      <name val="Times New Roman"/>
      <family val="1"/>
    </font>
    <font>
      <sz val="10"/>
      <name val="Book Antiqua"/>
      <family val="1"/>
    </font>
    <font>
      <sz val="11"/>
      <color indexed="52"/>
      <name val="Calibri"/>
      <family val="2"/>
    </font>
    <font>
      <sz val="11"/>
      <color indexed="60"/>
      <name val="Calibri"/>
      <family val="2"/>
    </font>
    <font>
      <b/>
      <sz val="11"/>
      <color indexed="63"/>
      <name val="Calibri"/>
      <family val="2"/>
    </font>
    <font>
      <sz val="11"/>
      <color indexed="62"/>
      <name val="Calibri"/>
      <family val="2"/>
    </font>
    <font>
      <u/>
      <sz val="10"/>
      <color indexed="12"/>
      <name val="Arial"/>
      <family val="2"/>
    </font>
    <font>
      <b/>
      <sz val="10"/>
      <color indexed="9"/>
      <name val="Arial"/>
      <family val="2"/>
    </font>
    <font>
      <sz val="8"/>
      <color indexed="49"/>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Times New Roman"/>
      <family val="1"/>
    </font>
    <font>
      <sz val="8"/>
      <name val="Times"/>
      <family val="1"/>
    </font>
    <font>
      <sz val="11"/>
      <color indexed="14"/>
      <name val="Calibri"/>
      <family val="2"/>
    </font>
    <font>
      <sz val="6"/>
      <color indexed="12"/>
      <name val="Times New Roman"/>
      <family val="1"/>
    </font>
    <font>
      <sz val="10"/>
      <name val="BERNHARD"/>
    </font>
    <font>
      <sz val="1"/>
      <color indexed="8"/>
      <name val="Courier"/>
      <family val="3"/>
    </font>
    <font>
      <b/>
      <sz val="1"/>
      <color indexed="8"/>
      <name val="Courier"/>
      <family val="3"/>
    </font>
    <font>
      <sz val="8"/>
      <name val="Tahoma"/>
      <family val="2"/>
    </font>
    <font>
      <b/>
      <sz val="7"/>
      <color indexed="48"/>
      <name val="Tahoma"/>
      <family val="2"/>
    </font>
    <font>
      <sz val="6"/>
      <color indexed="16"/>
      <name val="Palatino"/>
      <family val="1"/>
    </font>
    <font>
      <sz val="18"/>
      <name val="Helvetica-Black"/>
    </font>
    <font>
      <i/>
      <sz val="14"/>
      <name val="Palatino"/>
      <family val="1"/>
    </font>
    <font>
      <b/>
      <sz val="11"/>
      <color indexed="34"/>
      <name val="Calibri"/>
      <family val="2"/>
    </font>
    <font>
      <b/>
      <sz val="11"/>
      <color indexed="56"/>
      <name val="Calibri"/>
      <family val="2"/>
    </font>
    <font>
      <b/>
      <sz val="11"/>
      <color indexed="62"/>
      <name val="Calibri"/>
      <family val="2"/>
    </font>
    <font>
      <u/>
      <sz val="8"/>
      <color indexed="12"/>
      <name val="Trebuchet MS"/>
      <family val="2"/>
    </font>
    <font>
      <u/>
      <sz val="10"/>
      <color indexed="12"/>
      <name val="Trebuchet MS"/>
      <family val="2"/>
    </font>
    <font>
      <u/>
      <sz val="8"/>
      <color indexed="53"/>
      <name val="Arial"/>
      <family val="2"/>
    </font>
    <font>
      <u/>
      <sz val="10"/>
      <color indexed="20"/>
      <name val="Arial"/>
      <family val="2"/>
    </font>
    <font>
      <sz val="8"/>
      <color indexed="10"/>
      <name val="Times New Roman"/>
      <family val="1"/>
    </font>
    <font>
      <sz val="10.5"/>
      <name val="Arial"/>
      <family val="2"/>
    </font>
    <font>
      <sz val="9"/>
      <color indexed="12"/>
      <name val="Arial"/>
      <family val="2"/>
    </font>
    <font>
      <sz val="10"/>
      <name val="N Helvetica Narrow"/>
      <family val="1"/>
    </font>
    <font>
      <sz val="18"/>
      <name val="Times New Roman"/>
      <family val="1"/>
    </font>
    <font>
      <b/>
      <sz val="13"/>
      <name val="Times New Roman"/>
      <family val="1"/>
    </font>
    <font>
      <i/>
      <sz val="12"/>
      <name val="Times New Roman"/>
      <family val="1"/>
    </font>
    <font>
      <b/>
      <i/>
      <sz val="16"/>
      <name val="Helv"/>
    </font>
    <font>
      <sz val="10"/>
      <color indexed="16"/>
      <name val="Helvetica-Black"/>
    </font>
    <font>
      <sz val="8"/>
      <name val="Helv"/>
    </font>
    <font>
      <sz val="10"/>
      <color indexed="12"/>
      <name val="Geneva"/>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56"/>
      <name val="Arial"/>
      <family val="2"/>
    </font>
    <font>
      <b/>
      <u/>
      <sz val="11"/>
      <name val="Helv"/>
      <family val="2"/>
    </font>
    <font>
      <b/>
      <sz val="8"/>
      <name val="Verdana"/>
      <family val="2"/>
    </font>
    <font>
      <sz val="8"/>
      <name val="Verdana"/>
      <family val="2"/>
    </font>
    <font>
      <b/>
      <sz val="18"/>
      <color indexed="56"/>
      <name val="Cambria"/>
      <family val="2"/>
    </font>
    <font>
      <b/>
      <sz val="18"/>
      <color indexed="62"/>
      <name val="Cambria"/>
      <family val="2"/>
    </font>
    <font>
      <b/>
      <sz val="14"/>
      <name val="Helv"/>
    </font>
    <font>
      <sz val="11"/>
      <name val="ＭＳ Ｐゴシック"/>
      <family val="3"/>
      <charset val="128"/>
    </font>
    <font>
      <u/>
      <sz val="10"/>
      <color theme="10"/>
      <name val="Trebuchet MS"/>
      <family val="2"/>
    </font>
    <font>
      <sz val="9"/>
      <color theme="0"/>
      <name val="Calibri"/>
      <family val="2"/>
      <scheme val="major"/>
    </font>
    <font>
      <sz val="9"/>
      <name val="Calibri"/>
      <family val="2"/>
      <scheme val="major"/>
    </font>
    <font>
      <u/>
      <sz val="9"/>
      <color theme="0"/>
      <name val="Calibri"/>
      <family val="2"/>
      <scheme val="major"/>
    </font>
    <font>
      <i/>
      <sz val="9"/>
      <name val="Calibri"/>
      <family val="2"/>
      <scheme val="major"/>
    </font>
    <font>
      <b/>
      <sz val="9"/>
      <name val="Calibri"/>
      <family val="2"/>
      <scheme val="major"/>
    </font>
    <font>
      <sz val="9"/>
      <color theme="0" tint="-0.14999847407452621"/>
      <name val="Calibri"/>
      <family val="2"/>
      <scheme val="major"/>
    </font>
    <font>
      <i/>
      <sz val="9"/>
      <color theme="0" tint="-0.14999847407452621"/>
      <name val="Calibri"/>
      <family val="2"/>
      <scheme val="major"/>
    </font>
    <font>
      <b/>
      <sz val="16"/>
      <color theme="0"/>
      <name val="Calibri"/>
      <family val="2"/>
      <scheme val="major"/>
    </font>
    <font>
      <b/>
      <sz val="9"/>
      <color theme="0"/>
      <name val="Calibri"/>
      <family val="2"/>
      <scheme val="major"/>
    </font>
    <font>
      <sz val="16"/>
      <color theme="0"/>
      <name val="Calibri"/>
      <family val="2"/>
      <scheme val="major"/>
    </font>
    <font>
      <sz val="16"/>
      <color theme="0" tint="-0.14999847407452621"/>
      <name val="Calibri"/>
      <family val="2"/>
      <scheme val="major"/>
    </font>
    <font>
      <b/>
      <sz val="9"/>
      <color theme="0" tint="-0.14999847407452621"/>
      <name val="Calibri"/>
      <family val="2"/>
      <scheme val="major"/>
    </font>
    <font>
      <sz val="9"/>
      <color indexed="9"/>
      <name val="Calibri"/>
      <family val="2"/>
      <scheme val="major"/>
    </font>
    <font>
      <b/>
      <sz val="9"/>
      <color indexed="9"/>
      <name val="Calibri"/>
      <family val="2"/>
      <scheme val="major"/>
    </font>
    <font>
      <b/>
      <sz val="9"/>
      <color indexed="48"/>
      <name val="Calibri"/>
      <family val="2"/>
      <scheme val="major"/>
    </font>
    <font>
      <sz val="9"/>
      <color indexed="48"/>
      <name val="Calibri"/>
      <family val="2"/>
      <scheme val="major"/>
    </font>
    <font>
      <sz val="16"/>
      <name val="Calibri"/>
      <family val="2"/>
      <scheme val="major"/>
    </font>
    <font>
      <b/>
      <sz val="16"/>
      <color theme="0" tint="-0.14999847407452621"/>
      <name val="Calibri"/>
      <family val="2"/>
      <scheme val="major"/>
    </font>
    <font>
      <b/>
      <u/>
      <sz val="9"/>
      <color theme="0"/>
      <name val="Calibri"/>
      <family val="2"/>
      <scheme val="major"/>
    </font>
    <font>
      <b/>
      <u/>
      <sz val="9"/>
      <name val="Calibri"/>
      <family val="2"/>
      <scheme val="major"/>
    </font>
    <font>
      <sz val="9"/>
      <color indexed="59"/>
      <name val="Calibri"/>
      <family val="2"/>
      <scheme val="major"/>
    </font>
    <font>
      <sz val="9"/>
      <color indexed="52"/>
      <name val="Calibri"/>
      <family val="2"/>
      <scheme val="major"/>
    </font>
    <font>
      <b/>
      <sz val="9"/>
      <color rgb="FF000000"/>
      <name val="Calibri"/>
      <family val="2"/>
      <scheme val="major"/>
    </font>
    <font>
      <sz val="9"/>
      <color rgb="FF000000"/>
      <name val="Calibri"/>
      <family val="2"/>
      <scheme val="major"/>
    </font>
    <font>
      <b/>
      <sz val="16"/>
      <color indexed="9"/>
      <name val="Calibri"/>
      <family val="2"/>
      <scheme val="major"/>
    </font>
    <font>
      <sz val="16"/>
      <color indexed="9"/>
      <name val="Calibri"/>
      <family val="2"/>
      <scheme val="major"/>
    </font>
    <font>
      <i/>
      <sz val="9"/>
      <color theme="0"/>
      <name val="Calibri"/>
      <family val="2"/>
      <scheme val="major"/>
    </font>
    <font>
      <b/>
      <sz val="16"/>
      <name val="Calibri"/>
      <family val="2"/>
      <scheme val="major"/>
    </font>
    <font>
      <sz val="11"/>
      <name val="Calibri"/>
      <family val="2"/>
      <scheme val="major"/>
    </font>
    <font>
      <u/>
      <sz val="9"/>
      <color theme="10"/>
      <name val="Calibri"/>
      <family val="2"/>
      <scheme val="major"/>
    </font>
    <font>
      <b/>
      <sz val="9"/>
      <color indexed="81"/>
      <name val="Tahoma"/>
      <charset val="1"/>
    </font>
  </fonts>
  <fills count="111">
    <fill>
      <patternFill patternType="none"/>
    </fill>
    <fill>
      <patternFill patternType="gray125"/>
    </fill>
    <fill>
      <patternFill patternType="solid">
        <fgColor indexed="9"/>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48"/>
      </patternFill>
    </fill>
    <fill>
      <patternFill patternType="solid">
        <fgColor indexed="22"/>
        <bgColor indexed="64"/>
      </patternFill>
    </fill>
    <fill>
      <patternFill patternType="solid">
        <fgColor indexed="42"/>
        <bgColor indexed="64"/>
      </patternFill>
    </fill>
    <fill>
      <patternFill patternType="gray0625"/>
    </fill>
    <fill>
      <patternFill patternType="solid">
        <fgColor indexed="15"/>
        <bgColor indexed="64"/>
      </patternFill>
    </fill>
    <fill>
      <patternFill patternType="solid">
        <fgColor indexed="13"/>
        <bgColor indexed="64"/>
      </patternFill>
    </fill>
    <fill>
      <patternFill patternType="solid">
        <fgColor indexed="15"/>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12"/>
      </patternFill>
    </fill>
    <fill>
      <patternFill patternType="lightGray"/>
    </fill>
    <fill>
      <patternFill patternType="solid">
        <fgColor indexed="44"/>
        <bgColor indexed="64"/>
      </patternFill>
    </fill>
    <fill>
      <patternFill patternType="solid">
        <fgColor indexed="16"/>
        <bgColor indexed="64"/>
      </patternFill>
    </fill>
    <fill>
      <patternFill patternType="solid">
        <fgColor indexed="54"/>
        <bgColor indexed="64"/>
      </patternFill>
    </fill>
    <fill>
      <patternFill patternType="solid">
        <fgColor rgb="FF99CCFF"/>
        <bgColor indexed="64"/>
      </patternFill>
    </fill>
    <fill>
      <patternFill patternType="solid">
        <fgColor theme="0"/>
        <bgColor indexed="64"/>
      </patternFill>
    </fill>
    <fill>
      <patternFill patternType="solid">
        <fgColor theme="5" tint="0.39997558519241921"/>
        <bgColor indexed="64"/>
      </patternFill>
    </fill>
    <fill>
      <patternFill patternType="solid">
        <fgColor rgb="FFFFEB9C"/>
      </patternFill>
    </fill>
    <fill>
      <patternFill patternType="gray0625">
        <fgColor indexed="10"/>
        <bgColor indexed="9"/>
      </patternFill>
    </fill>
    <fill>
      <patternFill patternType="solid">
        <fgColor indexed="40"/>
        <bgColor indexed="64"/>
      </patternFill>
    </fill>
    <fill>
      <patternFill patternType="gray0625">
        <fgColor indexed="13"/>
        <bgColor indexed="9"/>
      </patternFill>
    </fill>
    <fill>
      <patternFill patternType="mediumGray"/>
    </fill>
    <fill>
      <patternFill patternType="lightGray">
        <fgColor indexed="22"/>
        <bgColor indexed="9"/>
      </patternFill>
    </fill>
    <fill>
      <patternFill patternType="solid">
        <fgColor indexed="58"/>
        <bgColor indexed="64"/>
      </patternFill>
    </fill>
    <fill>
      <patternFill patternType="solid">
        <fgColor indexed="2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9"/>
      </patternFill>
    </fill>
    <fill>
      <patternFill patternType="solid">
        <fgColor indexed="54"/>
      </patternFill>
    </fill>
    <fill>
      <patternFill patternType="solid">
        <fgColor indexed="51"/>
        <bgColor indexed="64"/>
      </patternFill>
    </fill>
    <fill>
      <patternFill patternType="solid">
        <fgColor rgb="FF4F81BD"/>
        <bgColor indexed="64"/>
      </patternFill>
    </fill>
    <fill>
      <patternFill patternType="solid">
        <fgColor indexed="45"/>
        <bgColor indexed="1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FFFFFF"/>
        <bgColor indexed="64"/>
      </patternFill>
    </fill>
    <fill>
      <patternFill patternType="solid">
        <fgColor theme="2"/>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0" tint="-0.14999847407452621"/>
        <bgColor indexed="64"/>
      </patternFill>
    </fill>
  </fills>
  <borders count="89">
    <border>
      <left/>
      <right/>
      <top/>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thin">
        <color indexed="64"/>
      </bottom>
      <diagonal/>
    </border>
    <border>
      <left/>
      <right/>
      <top style="thick">
        <color indexed="64"/>
      </top>
      <bottom/>
      <diagonal/>
    </border>
    <border>
      <left/>
      <right/>
      <top/>
      <bottom style="thick">
        <color indexed="18"/>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indexed="64"/>
      </left>
      <right/>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ck">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9"/>
      </left>
      <right style="thin">
        <color indexed="9"/>
      </right>
      <top style="thin">
        <color indexed="9"/>
      </top>
      <bottom style="thin">
        <color indexed="9"/>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right/>
      <top style="dotted">
        <color indexed="64"/>
      </top>
      <bottom style="medium">
        <color indexed="64"/>
      </bottom>
      <diagonal/>
    </border>
    <border>
      <left style="medium">
        <color indexed="9"/>
      </left>
      <right style="medium">
        <color indexed="49"/>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style="medium">
        <color indexed="9"/>
      </right>
      <top/>
      <bottom style="medium">
        <color indexed="9"/>
      </bottom>
      <diagonal/>
    </border>
    <border>
      <left style="thin">
        <color indexed="63"/>
      </left>
      <right style="thin">
        <color indexed="63"/>
      </right>
      <top style="thin">
        <color indexed="64"/>
      </top>
      <bottom style="thin">
        <color indexed="63"/>
      </bottom>
      <diagonal/>
    </border>
    <border>
      <left/>
      <right/>
      <top style="thin">
        <color indexed="45"/>
      </top>
      <bottom style="thin">
        <color indexed="47"/>
      </bottom>
      <diagonal/>
    </border>
    <border>
      <left/>
      <right/>
      <top/>
      <bottom style="thin">
        <color indexed="47"/>
      </bottom>
      <diagonal/>
    </border>
    <border>
      <left/>
      <right/>
      <top style="thin">
        <color indexed="47"/>
      </top>
      <bottom style="thin">
        <color indexed="43"/>
      </bottom>
      <diagonal/>
    </border>
    <border>
      <left/>
      <right/>
      <top/>
      <bottom style="thin">
        <color auto="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top style="thin">
        <color auto="1"/>
      </top>
      <bottom/>
      <diagonal/>
    </border>
    <border>
      <left style="thin">
        <color indexed="64"/>
      </left>
      <right/>
      <top style="thin">
        <color auto="1"/>
      </top>
      <bottom/>
      <diagonal/>
    </border>
  </borders>
  <cellStyleXfs count="2372">
    <xf numFmtId="0" fontId="0" fillId="0" borderId="0"/>
    <xf numFmtId="0" fontId="17" fillId="0" borderId="0" applyNumberFormat="0" applyFill="0" applyBorder="0" applyAlignment="0" applyProtection="0"/>
    <xf numFmtId="0" fontId="42" fillId="0" borderId="0"/>
    <xf numFmtId="0" fontId="6" fillId="0" borderId="0"/>
    <xf numFmtId="0" fontId="6" fillId="0" borderId="0"/>
    <xf numFmtId="0" fontId="6" fillId="0" borderId="0"/>
    <xf numFmtId="0" fontId="23" fillId="0" borderId="0"/>
    <xf numFmtId="0" fontId="6" fillId="0" borderId="0"/>
    <xf numFmtId="0" fontId="6" fillId="0" borderId="0"/>
    <xf numFmtId="0" fontId="44" fillId="0" borderId="0" applyNumberFormat="0" applyFont="0" applyFill="0" applyBorder="0" applyAlignment="0" applyProtection="0"/>
    <xf numFmtId="0" fontId="8" fillId="0" borderId="0"/>
    <xf numFmtId="204" fontId="8" fillId="0" borderId="0" applyFont="0" applyFill="0" applyBorder="0" applyAlignment="0" applyProtection="0"/>
    <xf numFmtId="205"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44" fillId="0" borderId="0" applyNumberForma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applyFont="0" applyFill="0" applyBorder="0" applyAlignment="0" applyProtection="0"/>
    <xf numFmtId="210" fontId="8" fillId="0" borderId="0" applyFont="0" applyFill="0" applyBorder="0" applyAlignment="0" applyProtection="0"/>
    <xf numFmtId="0" fontId="46" fillId="0" borderId="0">
      <protection locked="0"/>
    </xf>
    <xf numFmtId="177" fontId="8" fillId="0" borderId="0" applyNumberFormat="0" applyFill="0" applyBorder="0" applyAlignment="0"/>
    <xf numFmtId="211" fontId="8" fillId="0" borderId="0" applyFill="0" applyBorder="0" applyProtection="0">
      <alignment horizontal="right"/>
    </xf>
    <xf numFmtId="0" fontId="8" fillId="0" borderId="0" applyFont="0" applyFill="0" applyBorder="0" applyAlignment="0" applyProtection="0"/>
    <xf numFmtId="0" fontId="8" fillId="0" borderId="0" applyFont="0" applyFill="0" applyBorder="0" applyAlignment="0" applyProtection="0"/>
    <xf numFmtId="178" fontId="47" fillId="4" borderId="0">
      <alignment horizontal="left"/>
    </xf>
    <xf numFmtId="212" fontId="14" fillId="0" borderId="0" applyFont="0" applyFill="0" applyBorder="0" applyAlignment="0" applyProtection="0"/>
    <xf numFmtId="213" fontId="48" fillId="0" borderId="0" applyFont="0" applyFill="0" applyBorder="0" applyAlignment="0" applyProtection="0"/>
    <xf numFmtId="0" fontId="49" fillId="0" borderId="0">
      <alignment horizontal="center" wrapText="1"/>
      <protection locked="0"/>
    </xf>
    <xf numFmtId="0" fontId="8" fillId="0" borderId="0" applyNumberFormat="0" applyFill="0" applyBorder="0" applyAlignment="0" applyProtection="0"/>
    <xf numFmtId="0" fontId="50" fillId="0" borderId="0" applyNumberFormat="0" applyFill="0" applyBorder="0" applyAlignment="0" applyProtection="0"/>
    <xf numFmtId="0" fontId="51" fillId="0" borderId="1" applyNumberFormat="0" applyFill="0" applyAlignment="0" applyProtection="0"/>
    <xf numFmtId="214" fontId="52" fillId="5" borderId="0" applyNumberFormat="0" applyFill="0" applyBorder="0" applyAlignment="0" applyProtection="0">
      <alignment horizontal="right"/>
    </xf>
    <xf numFmtId="0" fontId="8" fillId="0" borderId="0" applyFont="0" applyFill="0" applyBorder="0" applyAlignment="0" applyProtection="0"/>
    <xf numFmtId="168" fontId="8" fillId="0" borderId="0" applyFont="0" applyFill="0" applyBorder="0" applyAlignment="0" applyProtection="0"/>
    <xf numFmtId="215" fontId="8" fillId="0" borderId="0" applyFont="0" applyFill="0" applyBorder="0" applyAlignment="0" applyProtection="0"/>
    <xf numFmtId="0" fontId="8" fillId="0" borderId="0"/>
    <xf numFmtId="216" fontId="49" fillId="0" borderId="0" applyFill="0" applyBorder="0" applyAlignment="0" applyProtection="0">
      <protection locked="0"/>
    </xf>
    <xf numFmtId="0" fontId="53" fillId="6" borderId="0"/>
    <xf numFmtId="204" fontId="14" fillId="0" borderId="0" applyNumberFormat="0" applyFont="0" applyAlignment="0" applyProtection="0"/>
    <xf numFmtId="0" fontId="54" fillId="7" borderId="0" applyNumberFormat="0" applyBorder="0">
      <alignment horizontal="center" vertical="center"/>
    </xf>
    <xf numFmtId="0" fontId="55" fillId="0" borderId="0" applyNumberFormat="0" applyFill="0" applyBorder="0" applyAlignment="0" applyProtection="0"/>
    <xf numFmtId="0" fontId="56" fillId="0" borderId="0" applyFont="0" applyFill="0" applyBorder="0" applyAlignment="0" applyProtection="0"/>
    <xf numFmtId="0" fontId="8" fillId="0" borderId="0"/>
    <xf numFmtId="39" fontId="57" fillId="0" borderId="2" applyNumberFormat="0" applyFill="0" applyBorder="0"/>
    <xf numFmtId="0" fontId="31" fillId="0" borderId="0" applyNumberFormat="0" applyAlignment="0">
      <alignment vertical="center"/>
    </xf>
    <xf numFmtId="216" fontId="49" fillId="0" borderId="0" applyFont="0" applyFill="0" applyBorder="0" applyAlignment="0" applyProtection="0">
      <protection locked="0"/>
    </xf>
    <xf numFmtId="0" fontId="58" fillId="0" borderId="0"/>
    <xf numFmtId="1" fontId="59" fillId="0" borderId="0"/>
    <xf numFmtId="184" fontId="32" fillId="0" borderId="0" applyNumberFormat="0" applyAlignment="0">
      <alignment vertical="center"/>
    </xf>
    <xf numFmtId="0" fontId="9" fillId="0" borderId="0">
      <alignment horizontal="center" wrapText="1"/>
      <protection hidden="1"/>
    </xf>
    <xf numFmtId="0" fontId="22" fillId="8" borderId="3" applyNumberFormat="0" applyProtection="0">
      <alignment horizontal="center" vertical="center" wrapText="1"/>
    </xf>
    <xf numFmtId="0" fontId="22" fillId="8" borderId="0" applyNumberFormat="0" applyBorder="0" applyProtection="0">
      <alignment horizontal="centerContinuous" vertical="center"/>
    </xf>
    <xf numFmtId="0" fontId="22" fillId="8" borderId="4" applyNumberFormat="0" applyBorder="0" applyProtection="0">
      <alignment horizontal="center" vertical="center" wrapText="1"/>
    </xf>
    <xf numFmtId="0" fontId="33" fillId="9" borderId="0" applyNumberFormat="0">
      <alignment horizontal="center" vertical="top" wrapText="1"/>
    </xf>
    <xf numFmtId="0" fontId="33" fillId="9" borderId="0" applyNumberFormat="0">
      <alignment horizontal="left" vertical="top" wrapText="1"/>
    </xf>
    <xf numFmtId="0" fontId="33" fillId="9" borderId="0" applyNumberFormat="0">
      <alignment horizontal="centerContinuous" vertical="top"/>
    </xf>
    <xf numFmtId="0" fontId="31" fillId="9" borderId="0" applyNumberFormat="0">
      <alignment horizontal="center" vertical="top" wrapText="1"/>
    </xf>
    <xf numFmtId="0" fontId="33" fillId="9" borderId="0" applyNumberFormat="0">
      <alignment horizontal="center" vertical="top" wrapText="1"/>
    </xf>
    <xf numFmtId="0" fontId="14" fillId="0" borderId="5" applyNumberFormat="0" applyFont="0" applyFill="0" applyAlignment="0" applyProtection="0">
      <alignment horizontal="left"/>
    </xf>
    <xf numFmtId="168" fontId="6" fillId="0" borderId="0" applyFont="0" applyFill="0" applyBorder="0" applyAlignment="0" applyProtection="0"/>
    <xf numFmtId="178"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168" fontId="6" fillId="0" borderId="0" applyFont="0" applyFill="0" applyBorder="0" applyAlignment="0" applyProtection="0"/>
    <xf numFmtId="168" fontId="43" fillId="0" borderId="0" applyFont="0" applyFill="0" applyBorder="0" applyAlignment="0" applyProtection="0"/>
    <xf numFmtId="0" fontId="18" fillId="0" borderId="0" applyFont="0" applyFill="0" applyBorder="0" applyAlignment="0" applyProtection="0"/>
    <xf numFmtId="204" fontId="26" fillId="0" borderId="0"/>
    <xf numFmtId="3" fontId="60" fillId="0" borderId="0" applyFont="0" applyFill="0" applyBorder="0" applyAlignment="0" applyProtection="0"/>
    <xf numFmtId="0" fontId="12" fillId="10" borderId="0">
      <alignment horizontal="center" vertical="center" wrapText="1"/>
    </xf>
    <xf numFmtId="0" fontId="8" fillId="0" borderId="0">
      <alignment horizontal="left"/>
    </xf>
    <xf numFmtId="0" fontId="8" fillId="0" borderId="0"/>
    <xf numFmtId="0" fontId="8" fillId="0" borderId="0">
      <alignment horizontal="left"/>
    </xf>
    <xf numFmtId="179" fontId="9" fillId="0" borderId="0" applyFill="0" applyBorder="0">
      <alignment horizontal="right"/>
      <protection locked="0"/>
    </xf>
    <xf numFmtId="217" fontId="61" fillId="0" borderId="0" applyFont="0"/>
    <xf numFmtId="187" fontId="31" fillId="0" borderId="0" applyFont="0" applyFill="0" applyBorder="0" applyAlignment="0" applyProtection="0">
      <alignment vertical="center"/>
    </xf>
    <xf numFmtId="218" fontId="61" fillId="0" borderId="0" applyFont="0"/>
    <xf numFmtId="219" fontId="8" fillId="0" borderId="0"/>
    <xf numFmtId="171" fontId="8" fillId="0" borderId="0" applyFont="0" applyFill="0" applyBorder="0" applyAlignment="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192" fontId="31" fillId="0" borderId="0" applyFont="0" applyFill="0" applyBorder="0" applyAlignment="0" applyProtection="0">
      <alignment vertical="center"/>
    </xf>
    <xf numFmtId="193" fontId="31" fillId="0" borderId="0" applyFont="0" applyFill="0" applyBorder="0" applyAlignment="0" applyProtection="0">
      <alignment vertical="center"/>
    </xf>
    <xf numFmtId="190" fontId="31" fillId="0" borderId="0" applyFont="0" applyFill="0" applyBorder="0" applyAlignment="0" applyProtection="0">
      <alignment vertical="center"/>
    </xf>
    <xf numFmtId="191" fontId="31" fillId="0" borderId="0" applyFont="0" applyFill="0" applyBorder="0" applyAlignment="0" applyProtection="0">
      <alignment vertical="center"/>
    </xf>
    <xf numFmtId="188" fontId="31" fillId="0" borderId="0" applyFont="0" applyFill="0" applyBorder="0" applyAlignment="0" applyProtection="0">
      <alignment vertical="center"/>
    </xf>
    <xf numFmtId="189" fontId="31" fillId="0" borderId="0" applyFont="0" applyFill="0" applyBorder="0" applyAlignment="0" applyProtection="0">
      <alignment vertical="center"/>
    </xf>
    <xf numFmtId="198" fontId="31" fillId="0" borderId="0" applyFont="0" applyFill="0" applyBorder="0" applyAlignment="0" applyProtection="0">
      <alignment vertical="center"/>
    </xf>
    <xf numFmtId="199" fontId="31" fillId="0" borderId="0" applyFont="0" applyFill="0" applyBorder="0" applyAlignment="0" applyProtection="0">
      <alignment vertical="center"/>
    </xf>
    <xf numFmtId="196" fontId="31" fillId="0" borderId="0" applyFont="0" applyFill="0" applyBorder="0" applyAlignment="0" applyProtection="0">
      <alignment vertical="center"/>
    </xf>
    <xf numFmtId="197" fontId="31" fillId="0" borderId="0" applyFont="0" applyFill="0" applyBorder="0" applyAlignment="0" applyProtection="0">
      <alignment vertical="center"/>
    </xf>
    <xf numFmtId="194" fontId="31" fillId="0" borderId="0" applyFont="0" applyFill="0" applyBorder="0" applyAlignment="0" applyProtection="0">
      <alignment vertical="center"/>
    </xf>
    <xf numFmtId="195" fontId="31" fillId="0" borderId="0" applyFont="0" applyFill="0" applyBorder="0" applyAlignment="0" applyProtection="0">
      <alignment vertical="center"/>
    </xf>
    <xf numFmtId="220" fontId="8" fillId="0" borderId="0" applyFont="0" applyFill="0" applyBorder="0" applyAlignment="0" applyProtection="0"/>
    <xf numFmtId="0" fontId="8" fillId="0" borderId="0">
      <alignment horizontal="right"/>
      <protection locked="0"/>
    </xf>
    <xf numFmtId="200" fontId="31" fillId="0" borderId="0" applyFont="0" applyFill="0" applyBorder="0" applyAlignment="0" applyProtection="0">
      <alignment vertical="center"/>
    </xf>
    <xf numFmtId="201" fontId="31" fillId="0" borderId="0" applyFont="0" applyFill="0" applyBorder="0" applyAlignment="0" applyProtection="0">
      <alignment vertical="center"/>
    </xf>
    <xf numFmtId="15" fontId="62" fillId="0" borderId="0" applyFill="0" applyBorder="0" applyAlignment="0"/>
    <xf numFmtId="0" fontId="62" fillId="4" borderId="0" applyFont="0" applyFill="0" applyBorder="0" applyAlignment="0" applyProtection="0"/>
    <xf numFmtId="221" fontId="8" fillId="4" borderId="6" applyFont="0" applyFill="0" applyBorder="0" applyAlignment="0" applyProtection="0"/>
    <xf numFmtId="222" fontId="8" fillId="4" borderId="0" applyFont="0" applyFill="0" applyBorder="0" applyAlignment="0" applyProtection="0"/>
    <xf numFmtId="17" fontId="62" fillId="0" borderId="0" applyFill="0" applyBorder="0">
      <alignment horizontal="right"/>
    </xf>
    <xf numFmtId="175" fontId="8" fillId="0" borderId="7" applyFont="0" applyFill="0" applyBorder="0" applyAlignment="0" applyProtection="0"/>
    <xf numFmtId="0" fontId="11" fillId="0" borderId="0" applyFont="0" applyFill="0" applyBorder="0" applyAlignment="0" applyProtection="0"/>
    <xf numFmtId="222" fontId="8" fillId="0" borderId="0" applyFill="0" applyBorder="0">
      <alignment horizontal="right"/>
    </xf>
    <xf numFmtId="14" fontId="63" fillId="0" borderId="0" applyFont="0" applyFill="0" applyBorder="0" applyAlignment="0" applyProtection="0">
      <alignment horizontal="center"/>
    </xf>
    <xf numFmtId="223" fontId="63" fillId="0" borderId="0" applyFont="0" applyFill="0" applyBorder="0" applyAlignment="0" applyProtection="0">
      <alignment horizontal="center"/>
    </xf>
    <xf numFmtId="224" fontId="64" fillId="0" borderId="2" applyNumberFormat="0" applyFill="0" applyBorder="0" applyAlignment="0">
      <alignment horizontal="left"/>
      <protection locked="0"/>
    </xf>
    <xf numFmtId="225" fontId="14" fillId="0" borderId="0" applyFont="0" applyFill="0" applyBorder="0" applyAlignment="0" applyProtection="0"/>
    <xf numFmtId="0" fontId="13" fillId="0" borderId="0">
      <protection locked="0"/>
    </xf>
    <xf numFmtId="171" fontId="49" fillId="0" borderId="0" applyFont="0" applyFill="0" applyBorder="0" applyAlignment="0" applyProtection="0"/>
    <xf numFmtId="0" fontId="26" fillId="0" borderId="0"/>
    <xf numFmtId="169" fontId="49" fillId="0" borderId="0" applyFont="0" applyFill="0" applyBorder="0" applyAlignment="0" applyProtection="0"/>
    <xf numFmtId="0" fontId="11" fillId="0" borderId="8" applyNumberFormat="0" applyFont="0" applyFill="0" applyAlignment="0" applyProtection="0"/>
    <xf numFmtId="0" fontId="65" fillId="0" borderId="0" applyFill="0" applyBorder="0" applyAlignment="0" applyProtection="0"/>
    <xf numFmtId="176" fontId="66" fillId="0" borderId="9" applyNumberFormat="0" applyAlignment="0" applyProtection="0">
      <alignment vertical="top"/>
    </xf>
    <xf numFmtId="0" fontId="26" fillId="11" borderId="0" applyNumberFormat="0" applyFont="0" applyBorder="0" applyAlignment="0" applyProtection="0"/>
    <xf numFmtId="176" fontId="16" fillId="0" borderId="0" applyNumberFormat="0"/>
    <xf numFmtId="226" fontId="14" fillId="0" borderId="0" applyFont="0" applyFill="0" applyBorder="0" applyAlignment="0"/>
    <xf numFmtId="171" fontId="49"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0" fontId="67" fillId="0" borderId="0"/>
    <xf numFmtId="0" fontId="67" fillId="0" borderId="0"/>
    <xf numFmtId="0" fontId="67" fillId="0" borderId="0"/>
    <xf numFmtId="229" fontId="8" fillId="0" borderId="0" applyFont="0" applyFill="0" applyBorder="0" applyAlignment="0" applyProtection="0"/>
    <xf numFmtId="230" fontId="14" fillId="5" borderId="0">
      <alignment horizontal="right"/>
    </xf>
    <xf numFmtId="0" fontId="68" fillId="0" borderId="0"/>
    <xf numFmtId="3" fontId="69" fillId="0" borderId="0" applyNumberFormat="0" applyFont="0" applyFill="0" applyBorder="0" applyAlignment="0" applyProtection="0">
      <alignment horizontal="left"/>
    </xf>
    <xf numFmtId="0" fontId="70" fillId="12" borderId="0"/>
    <xf numFmtId="2" fontId="60" fillId="0" borderId="0" applyFont="0" applyFill="0" applyBorder="0" applyAlignment="0" applyProtection="0"/>
    <xf numFmtId="0" fontId="8" fillId="4" borderId="0" applyFont="0" applyFill="0" applyBorder="0" applyAlignment="0"/>
    <xf numFmtId="0" fontId="26" fillId="0" borderId="0"/>
    <xf numFmtId="0" fontId="71"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lignment horizontal="left"/>
    </xf>
    <xf numFmtId="0" fontId="8" fillId="0" borderId="0">
      <alignment horizontal="left"/>
    </xf>
    <xf numFmtId="0" fontId="26" fillId="0" borderId="0"/>
    <xf numFmtId="231" fontId="49" fillId="0" borderId="0" applyFill="0" applyBorder="0" applyAlignment="0" applyProtection="0">
      <protection locked="0"/>
    </xf>
    <xf numFmtId="38" fontId="26" fillId="13" borderId="0" applyNumberFormat="0" applyFont="0" applyBorder="0" applyAlignment="0">
      <protection hidden="1"/>
    </xf>
    <xf numFmtId="232" fontId="72" fillId="0" borderId="0" applyFill="0" applyBorder="0" applyAlignment="0" applyProtection="0"/>
    <xf numFmtId="232" fontId="73" fillId="0" borderId="0" applyAlignment="0">
      <alignment horizontal="left"/>
      <protection locked="0"/>
    </xf>
    <xf numFmtId="0" fontId="14" fillId="0" borderId="0"/>
    <xf numFmtId="0" fontId="14" fillId="0" borderId="0"/>
    <xf numFmtId="0" fontId="14" fillId="0" borderId="0"/>
    <xf numFmtId="0" fontId="14" fillId="0" borderId="0"/>
    <xf numFmtId="0" fontId="14" fillId="0" borderId="0"/>
    <xf numFmtId="0" fontId="24" fillId="14" borderId="0" applyNumberFormat="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horizontal="left" vertical="center"/>
    </xf>
    <xf numFmtId="0" fontId="33" fillId="0" borderId="0" applyNumberFormat="0" applyFill="0" applyBorder="0" applyAlignment="0" applyProtection="0">
      <alignment vertical="center"/>
    </xf>
    <xf numFmtId="0" fontId="14" fillId="0" borderId="0"/>
    <xf numFmtId="233" fontId="74" fillId="0" borderId="0" applyNumberFormat="0" applyFill="0" applyBorder="0" applyAlignment="0" applyProtection="0"/>
    <xf numFmtId="2" fontId="15" fillId="15" borderId="0"/>
    <xf numFmtId="234" fontId="62" fillId="4" borderId="4" applyNumberFormat="0" applyFont="0" applyAlignment="0"/>
    <xf numFmtId="0" fontId="11" fillId="0" borderId="0" applyFont="0" applyFill="0" applyBorder="0" applyAlignment="0" applyProtection="0">
      <alignment horizontal="right"/>
    </xf>
    <xf numFmtId="0" fontId="8" fillId="1" borderId="0" applyNumberFormat="0" applyBorder="0" applyProtection="0">
      <alignment horizontal="left" vertical="center"/>
    </xf>
    <xf numFmtId="0" fontId="8" fillId="0" borderId="0" applyProtection="0">
      <alignment horizontal="right"/>
    </xf>
    <xf numFmtId="0" fontId="8" fillId="0" borderId="0">
      <alignment horizontal="left"/>
    </xf>
    <xf numFmtId="0" fontId="75" fillId="16" borderId="0">
      <alignment horizontal="left"/>
    </xf>
    <xf numFmtId="0" fontId="8" fillId="3" borderId="0"/>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76" fillId="0" borderId="0"/>
    <xf numFmtId="0" fontId="77" fillId="0" borderId="0">
      <alignment wrapText="1"/>
    </xf>
    <xf numFmtId="0" fontId="31" fillId="17" borderId="0" applyNumberFormat="0" applyFont="0" applyBorder="0" applyAlignment="0" applyProtection="0">
      <alignment vertical="center"/>
    </xf>
    <xf numFmtId="235" fontId="78" fillId="0" borderId="0" applyNumberFormat="0" applyFill="0" applyBorder="0" applyAlignment="0"/>
    <xf numFmtId="0" fontId="79" fillId="0" borderId="0" applyNumberFormat="0" applyFill="0" applyBorder="0" applyAlignment="0" applyProtection="0">
      <alignment vertical="top"/>
      <protection locked="0"/>
    </xf>
    <xf numFmtId="231" fontId="49" fillId="0" borderId="0" applyFill="0" applyBorder="0" applyAlignment="0" applyProtection="0">
      <alignment horizontal="right"/>
      <protection locked="0"/>
    </xf>
    <xf numFmtId="0" fontId="11" fillId="0" borderId="0" applyNumberFormat="0" applyFill="0" applyBorder="0" applyAlignment="0" applyProtection="0"/>
    <xf numFmtId="16" fontId="8" fillId="0" borderId="0" applyNumberFormat="0" applyFill="0" applyBorder="0" applyAlignment="0" applyProtection="0">
      <alignment horizontal="right"/>
    </xf>
    <xf numFmtId="10" fontId="26" fillId="4" borderId="4" applyNumberFormat="0" applyBorder="0" applyAlignment="0" applyProtection="0"/>
    <xf numFmtId="0" fontId="31" fillId="0" borderId="10" applyNumberFormat="0" applyAlignment="0">
      <alignment vertical="center"/>
    </xf>
    <xf numFmtId="204" fontId="80" fillId="18" borderId="0"/>
    <xf numFmtId="171" fontId="26" fillId="0" borderId="0"/>
    <xf numFmtId="0" fontId="31" fillId="0" borderId="11" applyNumberFormat="0" applyAlignment="0">
      <alignment vertical="center"/>
      <protection locked="0"/>
    </xf>
    <xf numFmtId="222" fontId="8" fillId="4" borderId="0" applyFont="0" applyBorder="0" applyAlignment="0" applyProtection="0">
      <protection locked="0"/>
    </xf>
    <xf numFmtId="183" fontId="31" fillId="19" borderId="11" applyNumberFormat="0" applyAlignment="0">
      <alignment vertical="center"/>
      <protection locked="0"/>
    </xf>
    <xf numFmtId="0" fontId="26" fillId="4" borderId="0" applyFont="0" applyBorder="0" applyAlignment="0">
      <protection locked="0"/>
    </xf>
    <xf numFmtId="0" fontId="31" fillId="14" borderId="0" applyNumberFormat="0" applyAlignment="0">
      <alignment vertical="center"/>
    </xf>
    <xf numFmtId="0" fontId="31" fillId="20" borderId="0" applyNumberFormat="0" applyAlignment="0">
      <alignment vertical="center"/>
    </xf>
    <xf numFmtId="0" fontId="15" fillId="0" borderId="0" applyNumberFormat="0" applyFill="0" applyBorder="0" applyAlignment="0" applyProtection="0"/>
    <xf numFmtId="231" fontId="26" fillId="4" borderId="0">
      <protection locked="0"/>
    </xf>
    <xf numFmtId="0" fontId="31" fillId="0" borderId="12" applyNumberFormat="0" applyAlignment="0">
      <alignment vertical="center"/>
      <protection locked="0"/>
    </xf>
    <xf numFmtId="236" fontId="8" fillId="4" borderId="0" applyFont="0" applyBorder="0" applyAlignment="0">
      <protection locked="0"/>
    </xf>
    <xf numFmtId="10" fontId="26" fillId="4" borderId="0">
      <protection locked="0"/>
    </xf>
    <xf numFmtId="0" fontId="26" fillId="4" borderId="0" applyFont="0" applyBorder="0" applyAlignment="0">
      <protection locked="0"/>
    </xf>
    <xf numFmtId="231" fontId="81" fillId="4" borderId="0" applyNumberFormat="0" applyBorder="0" applyAlignment="0">
      <protection locked="0"/>
    </xf>
    <xf numFmtId="10" fontId="8" fillId="0" borderId="0">
      <protection locked="0"/>
    </xf>
    <xf numFmtId="0" fontId="8" fillId="4" borderId="4"/>
    <xf numFmtId="0" fontId="8" fillId="4" borderId="4"/>
    <xf numFmtId="0" fontId="16" fillId="0" borderId="0" applyNumberFormat="0" applyFill="0" applyBorder="0" applyAlignment="0">
      <protection locked="0"/>
    </xf>
    <xf numFmtId="15" fontId="8" fillId="0" borderId="0">
      <protection locked="0"/>
    </xf>
    <xf numFmtId="2" fontId="8" fillId="0" borderId="13">
      <protection locked="0"/>
    </xf>
    <xf numFmtId="0" fontId="8" fillId="0" borderId="0">
      <protection locked="0"/>
    </xf>
    <xf numFmtId="0" fontId="9" fillId="0" borderId="0" applyFill="0" applyBorder="0">
      <alignment horizontal="right"/>
      <protection locked="0"/>
    </xf>
    <xf numFmtId="180" fontId="9" fillId="0" borderId="0" applyFill="0" applyBorder="0">
      <alignment horizontal="right"/>
      <protection locked="0"/>
    </xf>
    <xf numFmtId="0" fontId="11" fillId="21" borderId="0" applyBorder="0"/>
    <xf numFmtId="0" fontId="17" fillId="22" borderId="14">
      <alignment horizontal="left" vertical="center" wrapText="1"/>
    </xf>
    <xf numFmtId="4" fontId="15" fillId="15" borderId="0"/>
    <xf numFmtId="1" fontId="82" fillId="1" borderId="15">
      <protection locked="0"/>
    </xf>
    <xf numFmtId="214" fontId="58" fillId="0" borderId="7" applyNumberFormat="0" applyFill="0">
      <alignment vertical="center"/>
    </xf>
    <xf numFmtId="1" fontId="83" fillId="0" borderId="0" applyNumberFormat="0" applyFill="0" applyBorder="0" applyAlignment="0" applyProtection="0">
      <alignment horizontal="right"/>
    </xf>
    <xf numFmtId="204" fontId="8" fillId="23" borderId="0"/>
    <xf numFmtId="204" fontId="84" fillId="0" borderId="0" applyNumberFormat="0" applyFont="0" applyFill="0" applyBorder="0" applyAlignment="0">
      <protection hidden="1"/>
    </xf>
    <xf numFmtId="0" fontId="85" fillId="0" borderId="0" applyNumberFormat="0" applyFill="0" applyBorder="0" applyProtection="0">
      <alignment horizontal="left" vertical="center"/>
    </xf>
    <xf numFmtId="0" fontId="86" fillId="0" borderId="0"/>
    <xf numFmtId="0" fontId="11" fillId="21" borderId="0" applyBorder="0" applyAlignment="0">
      <alignment horizontal="right"/>
    </xf>
    <xf numFmtId="237" fontId="87" fillId="0" borderId="0" applyFill="0" applyBorder="0" applyAlignment="0" applyProtection="0"/>
    <xf numFmtId="0" fontId="70" fillId="0" borderId="0"/>
    <xf numFmtId="0" fontId="88" fillId="0" borderId="0"/>
    <xf numFmtId="0" fontId="89" fillId="0" borderId="0"/>
    <xf numFmtId="40" fontId="9" fillId="0" borderId="0" applyFont="0" applyFill="0" applyBorder="0" applyAlignment="0" applyProtection="0"/>
    <xf numFmtId="238" fontId="18" fillId="0" borderId="0" applyFont="0" applyFill="0" applyBorder="0" applyAlignment="0" applyProtection="0"/>
    <xf numFmtId="239" fontId="14" fillId="0" borderId="0" applyFont="0" applyFill="0" applyBorder="0" applyAlignment="0" applyProtection="0"/>
    <xf numFmtId="240" fontId="18" fillId="0" borderId="0" applyFont="0" applyFill="0" applyBorder="0" applyAlignment="0" applyProtection="0"/>
    <xf numFmtId="176" fontId="8" fillId="0" borderId="0"/>
    <xf numFmtId="0" fontId="8" fillId="0" borderId="3"/>
    <xf numFmtId="241" fontId="18" fillId="0" borderId="0" applyFont="0" applyFill="0" applyBorder="0" applyAlignment="0" applyProtection="0"/>
    <xf numFmtId="242" fontId="8" fillId="0" borderId="0" applyFont="0" applyFill="0" applyBorder="0" applyAlignment="0"/>
    <xf numFmtId="243" fontId="18" fillId="0" borderId="0" applyFont="0" applyFill="0" applyBorder="0" applyAlignment="0" applyProtection="0"/>
    <xf numFmtId="0" fontId="11" fillId="0" borderId="0" applyFont="0" applyFill="0" applyBorder="0" applyAlignment="0" applyProtection="0">
      <alignment horizontal="right"/>
    </xf>
    <xf numFmtId="177" fontId="8" fillId="13" borderId="0" applyFont="0" applyBorder="0" applyAlignment="0" applyProtection="0">
      <alignment horizontal="right"/>
      <protection hidden="1"/>
    </xf>
    <xf numFmtId="0" fontId="25" fillId="0" borderId="0" applyNumberFormat="0" applyAlignment="0">
      <alignment vertical="center"/>
    </xf>
    <xf numFmtId="0" fontId="8" fillId="0" borderId="16" applyBorder="0" applyAlignment="0" applyProtection="0">
      <alignment horizontal="center"/>
    </xf>
    <xf numFmtId="37" fontId="90" fillId="0" borderId="0"/>
    <xf numFmtId="0" fontId="8" fillId="0" borderId="0"/>
    <xf numFmtId="1" fontId="91" fillId="0" borderId="0" applyFill="0" applyBorder="0"/>
    <xf numFmtId="38" fontId="26" fillId="0" borderId="0" applyFont="0" applyFill="0" applyBorder="0" applyAlignment="0"/>
    <xf numFmtId="231" fontId="8" fillId="0" borderId="0" applyFont="0" applyFill="0" applyBorder="0" applyAlignment="0"/>
    <xf numFmtId="40" fontId="26" fillId="0" borderId="0" applyFont="0" applyFill="0" applyBorder="0" applyAlignment="0"/>
    <xf numFmtId="244" fontId="8" fillId="0" borderId="0" applyFont="0" applyFill="0" applyBorder="0" applyAlignment="0"/>
    <xf numFmtId="0" fontId="8" fillId="0" borderId="0"/>
    <xf numFmtId="0" fontId="6" fillId="0" borderId="0"/>
    <xf numFmtId="231" fontId="62" fillId="0" borderId="0" applyNumberFormat="0" applyFill="0" applyBorder="0" applyAlignment="0" applyProtection="0"/>
    <xf numFmtId="0" fontId="26" fillId="0" borderId="0" applyFont="0" applyFill="0" applyBorder="0" applyAlignment="0" applyProtection="0"/>
    <xf numFmtId="0" fontId="8" fillId="0" borderId="0"/>
    <xf numFmtId="0" fontId="6" fillId="0" borderId="0"/>
    <xf numFmtId="233" fontId="14" fillId="0" borderId="0" applyFill="0" applyBorder="0" applyAlignment="0" applyProtection="0"/>
    <xf numFmtId="0" fontId="8" fillId="0" borderId="0"/>
    <xf numFmtId="174" fontId="8" fillId="0" borderId="0"/>
    <xf numFmtId="37" fontId="92" fillId="0" borderId="0" applyNumberFormat="0" applyFont="0" applyFill="0" applyBorder="0" applyAlignment="0" applyProtection="0"/>
    <xf numFmtId="0" fontId="37" fillId="0" borderId="0" applyNumberFormat="0" applyFill="0" applyBorder="0" applyAlignment="0" applyProtection="0">
      <alignment vertical="center"/>
    </xf>
    <xf numFmtId="0" fontId="93" fillId="0" borderId="13"/>
    <xf numFmtId="245" fontId="8" fillId="0" borderId="0" applyFont="0" applyFill="0" applyBorder="0" applyAlignment="0" applyProtection="0"/>
    <xf numFmtId="183" fontId="31" fillId="0" borderId="0" applyFont="0" applyFill="0" applyBorder="0" applyAlignment="0" applyProtection="0">
      <alignment vertical="center"/>
    </xf>
    <xf numFmtId="184" fontId="31" fillId="0" borderId="0" applyFont="0" applyFill="0" applyBorder="0" applyAlignment="0" applyProtection="0">
      <alignment vertical="center"/>
    </xf>
    <xf numFmtId="38" fontId="14" fillId="0" borderId="17" applyFont="0" applyFill="0" applyBorder="0" applyAlignment="0" applyProtection="0"/>
    <xf numFmtId="203" fontId="8"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246" fontId="94" fillId="24" borderId="2" applyFont="0" applyBorder="0"/>
    <xf numFmtId="177" fontId="95" fillId="0" borderId="0"/>
    <xf numFmtId="0" fontId="8" fillId="0" borderId="4">
      <alignment vertical="center" wrapText="1"/>
    </xf>
    <xf numFmtId="0" fontId="11" fillId="0" borderId="0" applyNumberFormat="0" applyFill="0" applyBorder="0" applyAlignment="0" applyProtection="0"/>
    <xf numFmtId="1" fontId="8" fillId="0" borderId="0" applyProtection="0">
      <alignment horizontal="right" vertical="center"/>
    </xf>
    <xf numFmtId="0" fontId="89" fillId="0" borderId="0"/>
    <xf numFmtId="0" fontId="22" fillId="0" borderId="18" applyNumberFormat="0" applyAlignment="0" applyProtection="0"/>
    <xf numFmtId="0" fontId="14" fillId="14" borderId="0" applyNumberFormat="0" applyFont="0" applyBorder="0" applyAlignment="0" applyProtection="0"/>
    <xf numFmtId="0" fontId="26" fillId="9" borderId="13" applyNumberFormat="0" applyFont="0" applyBorder="0" applyAlignment="0" applyProtection="0">
      <alignment horizontal="center"/>
    </xf>
    <xf numFmtId="0" fontId="26" fillId="25" borderId="13" applyNumberFormat="0" applyFont="0" applyBorder="0" applyAlignment="0" applyProtection="0">
      <alignment horizontal="center"/>
    </xf>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0" fontId="8" fillId="0" borderId="7">
      <alignment vertical="center"/>
    </xf>
    <xf numFmtId="0" fontId="26" fillId="0" borderId="0"/>
    <xf numFmtId="176" fontId="96" fillId="0" borderId="0" applyFill="0" applyBorder="0" applyProtection="0">
      <alignment vertical="top"/>
    </xf>
    <xf numFmtId="14" fontId="49" fillId="0" borderId="0">
      <alignment horizontal="center" wrapText="1"/>
      <protection locked="0"/>
    </xf>
    <xf numFmtId="9" fontId="6" fillId="0" borderId="0" applyFont="0" applyFill="0" applyBorder="0" applyAlignment="0" applyProtection="0"/>
    <xf numFmtId="0" fontId="9" fillId="0" borderId="0" applyFont="0" applyFill="0" applyBorder="0" applyAlignment="0" applyProtection="0"/>
    <xf numFmtId="176" fontId="46" fillId="0" borderId="0" applyFont="0" applyFill="0" applyBorder="0" applyAlignment="0" applyProtection="0"/>
    <xf numFmtId="10" fontId="46"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247" fontId="8" fillId="11" borderId="0" applyFont="0" applyFill="0" applyBorder="0" applyAlignment="0" applyProtection="0"/>
    <xf numFmtId="9" fontId="14" fillId="0" borderId="0"/>
    <xf numFmtId="10" fontId="14" fillId="0" borderId="0"/>
    <xf numFmtId="9" fontId="14" fillId="0" borderId="0"/>
    <xf numFmtId="9" fontId="6" fillId="0" borderId="0" applyFont="0" applyFill="0" applyBorder="0" applyAlignment="0" applyProtection="0"/>
    <xf numFmtId="9" fontId="43" fillId="0" borderId="0" applyFont="0" applyFill="0" applyBorder="0" applyAlignment="0" applyProtection="0"/>
    <xf numFmtId="185" fontId="31" fillId="0" borderId="0" applyFont="0" applyFill="0" applyBorder="0" applyAlignment="0" applyProtection="0">
      <alignment horizontal="right" vertical="center"/>
    </xf>
    <xf numFmtId="186" fontId="31" fillId="0" borderId="0" applyFont="0" applyFill="0" applyBorder="0" applyAlignment="0" applyProtection="0">
      <alignment vertical="center"/>
    </xf>
    <xf numFmtId="248" fontId="14" fillId="0" borderId="0" applyFont="0" applyFill="0" applyBorder="0" applyAlignment="0" applyProtection="0"/>
    <xf numFmtId="181" fontId="9" fillId="0" borderId="0" applyFill="0" applyBorder="0">
      <alignment horizontal="right"/>
      <protection locked="0"/>
    </xf>
    <xf numFmtId="232" fontId="49" fillId="0" borderId="0" applyFont="0" applyFill="0" applyBorder="0" applyAlignment="0" applyProtection="0"/>
    <xf numFmtId="210" fontId="8" fillId="0" borderId="0" applyFont="0" applyFill="0" applyBorder="0" applyAlignment="0" applyProtection="0"/>
    <xf numFmtId="171" fontId="49" fillId="0" borderId="0" applyFont="0" applyFill="0" applyBorder="0" applyAlignment="0" applyProtection="0"/>
    <xf numFmtId="231" fontId="49" fillId="0" borderId="0" applyFont="0" applyFill="0" applyBorder="0" applyAlignment="0" applyProtection="0">
      <protection locked="0"/>
    </xf>
    <xf numFmtId="237" fontId="93" fillId="0" borderId="0" applyFill="0" applyBorder="0" applyAlignment="0" applyProtection="0"/>
    <xf numFmtId="249" fontId="8" fillId="0" borderId="0" applyFont="0" applyFill="0" applyBorder="0" applyAlignment="0"/>
    <xf numFmtId="9" fontId="18" fillId="0" borderId="0" applyFont="0" applyFill="0" applyBorder="0" applyAlignment="0" applyProtection="0"/>
    <xf numFmtId="231" fontId="49" fillId="0" borderId="0" applyFill="0" applyBorder="0" applyAlignment="0" applyProtection="0"/>
    <xf numFmtId="38" fontId="49" fillId="0" borderId="0" applyFont="0" applyFill="0" applyBorder="0" applyAlignment="0" applyProtection="0"/>
    <xf numFmtId="171" fontId="97" fillId="0" borderId="22">
      <alignment horizontal="right"/>
    </xf>
    <xf numFmtId="0" fontId="8" fillId="0" borderId="0">
      <alignment horizontal="right"/>
    </xf>
    <xf numFmtId="0" fontId="8" fillId="0" borderId="0"/>
    <xf numFmtId="250" fontId="8" fillId="0" borderId="0"/>
    <xf numFmtId="251" fontId="98" fillId="0" borderId="0"/>
    <xf numFmtId="250" fontId="8" fillId="0" borderId="0"/>
    <xf numFmtId="251" fontId="98" fillId="0" borderId="0"/>
    <xf numFmtId="251" fontId="98" fillId="0" borderId="0"/>
    <xf numFmtId="250" fontId="8" fillId="0" borderId="0"/>
    <xf numFmtId="251" fontId="98" fillId="0" borderId="0"/>
    <xf numFmtId="251" fontId="98" fillId="0" borderId="0"/>
    <xf numFmtId="251" fontId="98" fillId="0" borderId="0"/>
    <xf numFmtId="250" fontId="8" fillId="0" borderId="0"/>
    <xf numFmtId="251" fontId="98" fillId="0" borderId="0"/>
    <xf numFmtId="251" fontId="98" fillId="0" borderId="0"/>
    <xf numFmtId="250" fontId="8" fillId="0" borderId="0"/>
    <xf numFmtId="251" fontId="98" fillId="0" borderId="0"/>
    <xf numFmtId="251" fontId="98" fillId="0" borderId="0"/>
    <xf numFmtId="0" fontId="8" fillId="0" borderId="0"/>
    <xf numFmtId="0" fontId="8" fillId="0" borderId="0"/>
    <xf numFmtId="0" fontId="8" fillId="0" borderId="0"/>
    <xf numFmtId="182" fontId="9" fillId="0" borderId="0">
      <alignment horizontal="right"/>
      <protection locked="0"/>
    </xf>
    <xf numFmtId="231" fontId="40" fillId="0" borderId="0" applyNumberFormat="0" applyFill="0" applyBorder="0" applyAlignment="0" applyProtection="0">
      <alignment horizontal="left"/>
    </xf>
    <xf numFmtId="231" fontId="63" fillId="0" borderId="0" applyFont="0" applyFill="0" applyBorder="0" applyAlignment="0" applyProtection="0"/>
    <xf numFmtId="0" fontId="99" fillId="0" borderId="0" applyNumberFormat="0" applyFill="0" applyBorder="0" applyProtection="0">
      <alignment horizontal="right" vertical="center"/>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lignment horizontal="right"/>
    </xf>
    <xf numFmtId="0" fontId="14" fillId="0" borderId="23" applyNumberFormat="0" applyFont="0" applyFill="0" applyAlignment="0" applyProtection="0"/>
    <xf numFmtId="0" fontId="22" fillId="8" borderId="24" applyNumberFormat="0" applyBorder="0" applyProtection="0">
      <alignment horizontal="left" wrapText="1"/>
    </xf>
    <xf numFmtId="0" fontId="22" fillId="8" borderId="0" applyNumberFormat="0" applyBorder="0" applyProtection="0">
      <alignment horizontal="left"/>
    </xf>
    <xf numFmtId="0" fontId="100" fillId="2" borderId="0" applyFont="0" applyFill="0" applyAlignment="0"/>
    <xf numFmtId="0" fontId="33" fillId="0" borderId="0" applyNumberFormat="0" applyFill="0" applyBorder="0">
      <alignment horizontal="left" vertical="center" wrapText="1"/>
    </xf>
    <xf numFmtId="0" fontId="31" fillId="0" borderId="0" applyNumberFormat="0" applyFill="0" applyBorder="0">
      <alignment horizontal="left" vertical="center" wrapText="1" indent="1"/>
    </xf>
    <xf numFmtId="0" fontId="26" fillId="0" borderId="0" applyNumberFormat="0" applyFont="0" applyFill="0" applyBorder="0" applyAlignment="0" applyProtection="0"/>
    <xf numFmtId="0" fontId="101" fillId="2" borderId="0" applyNumberFormat="0" applyFont="0" applyFill="0" applyBorder="0" applyAlignment="0" applyProtection="0"/>
    <xf numFmtId="0" fontId="101" fillId="2" borderId="0" applyNumberFormat="0" applyFont="0" applyFill="0" applyBorder="0" applyAlignment="0" applyProtection="0"/>
    <xf numFmtId="0" fontId="101" fillId="2" borderId="0" applyNumberFormat="0" applyFont="0" applyFill="0" applyBorder="0" applyAlignment="0" applyProtection="0"/>
    <xf numFmtId="0" fontId="14" fillId="0" borderId="25" applyNumberFormat="0" applyFont="0" applyFill="0" applyAlignment="0" applyProtection="0"/>
    <xf numFmtId="224" fontId="102" fillId="0" borderId="2" applyNumberFormat="0" applyFill="0" applyBorder="0">
      <protection locked="0"/>
    </xf>
    <xf numFmtId="0" fontId="8" fillId="0" borderId="26">
      <alignment vertical="center"/>
    </xf>
    <xf numFmtId="0" fontId="19" fillId="0" borderId="0" applyFill="0" applyBorder="0">
      <alignment horizontal="right"/>
      <protection hidden="1"/>
    </xf>
    <xf numFmtId="0" fontId="103" fillId="0" borderId="0" applyNumberFormat="0" applyFill="0" applyBorder="0" applyProtection="0">
      <alignment horizontal="left" vertical="center"/>
    </xf>
    <xf numFmtId="0" fontId="20" fillId="10" borderId="4">
      <alignment horizontal="center" vertical="center" wrapText="1"/>
      <protection hidden="1"/>
    </xf>
    <xf numFmtId="216" fontId="49" fillId="0" borderId="0" applyFill="0" applyBorder="0" applyAlignment="0" applyProtection="0">
      <protection locked="0"/>
    </xf>
    <xf numFmtId="0" fontId="56" fillId="0" borderId="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14" fontId="58" fillId="0" borderId="0" applyNumberFormat="0" applyFill="0" applyBorder="0" applyAlignment="0"/>
    <xf numFmtId="0" fontId="9" fillId="0" borderId="0"/>
    <xf numFmtId="0" fontId="14" fillId="0" borderId="0" applyFont="0" applyFill="0" applyBorder="0" applyAlignment="0" applyProtection="0"/>
    <xf numFmtId="0" fontId="26" fillId="14" borderId="0" applyNumberFormat="0" applyFont="0" applyBorder="0" applyAlignment="0">
      <protection hidden="1"/>
    </xf>
    <xf numFmtId="0" fontId="46" fillId="0" borderId="0"/>
    <xf numFmtId="0" fontId="8" fillId="0" borderId="0" applyFont="0" applyFill="0" applyBorder="0" applyAlignment="0" applyProtection="0"/>
    <xf numFmtId="0" fontId="104" fillId="0" borderId="0" applyNumberFormat="0" applyFill="0" applyBorder="0" applyProtection="0">
      <alignment horizontal="left" vertical="center"/>
    </xf>
    <xf numFmtId="183" fontId="33" fillId="0" borderId="27" applyNumberFormat="0" applyFill="0" applyAlignment="0" applyProtection="0">
      <alignment vertical="center"/>
    </xf>
    <xf numFmtId="0" fontId="49" fillId="0" borderId="0"/>
    <xf numFmtId="183" fontId="31" fillId="0" borderId="28" applyNumberFormat="0" applyFont="0" applyFill="0" applyAlignment="0" applyProtection="0">
      <alignment vertical="center"/>
    </xf>
    <xf numFmtId="0" fontId="8" fillId="0" borderId="0" applyBorder="0" applyProtection="0">
      <alignment vertical="center"/>
    </xf>
    <xf numFmtId="0" fontId="11" fillId="0" borderId="7" applyBorder="0" applyProtection="0">
      <alignment horizontal="right" vertical="center"/>
    </xf>
    <xf numFmtId="0" fontId="8" fillId="26" borderId="0" applyBorder="0" applyProtection="0">
      <alignment horizontal="centerContinuous" vertical="center"/>
    </xf>
    <xf numFmtId="0" fontId="8" fillId="6" borderId="7" applyBorder="0" applyProtection="0">
      <alignment horizontal="centerContinuous" vertical="center"/>
    </xf>
    <xf numFmtId="233" fontId="26" fillId="0" borderId="0">
      <alignment horizontal="right"/>
    </xf>
    <xf numFmtId="3" fontId="26" fillId="0" borderId="0">
      <alignment horizontal="right"/>
    </xf>
    <xf numFmtId="0" fontId="31" fillId="13" borderId="0" applyNumberFormat="0" applyFont="0" applyBorder="0" applyAlignment="0" applyProtection="0">
      <alignment vertical="center"/>
    </xf>
    <xf numFmtId="0" fontId="8" fillId="0" borderId="0">
      <alignment horizontal="left"/>
    </xf>
    <xf numFmtId="0" fontId="8" fillId="0" borderId="0"/>
    <xf numFmtId="0" fontId="8" fillId="0" borderId="0" applyFill="0" applyBorder="0" applyProtection="0">
      <alignment horizontal="left"/>
    </xf>
    <xf numFmtId="0" fontId="31" fillId="0" borderId="0" applyNumberFormat="0" applyFont="0" applyFill="0" applyAlignment="0" applyProtection="0">
      <alignment vertical="center"/>
    </xf>
    <xf numFmtId="0" fontId="8" fillId="0" borderId="2" applyFill="0" applyBorder="0" applyProtection="0">
      <alignment horizontal="left" vertical="top"/>
    </xf>
    <xf numFmtId="183" fontId="31" fillId="0" borderId="0" applyNumberFormat="0" applyFont="0" applyBorder="0" applyAlignment="0" applyProtection="0">
      <alignment vertical="center"/>
    </xf>
    <xf numFmtId="0" fontId="8" fillId="2" borderId="29" applyNumberFormat="0" applyAlignment="0" applyProtection="0">
      <alignment vertical="center"/>
    </xf>
    <xf numFmtId="0" fontId="49" fillId="0" borderId="0"/>
    <xf numFmtId="0" fontId="105" fillId="0" borderId="0">
      <alignment horizontal="centerContinuous"/>
    </xf>
    <xf numFmtId="0" fontId="8" fillId="20" borderId="0" applyNumberFormat="0" applyFont="0" applyBorder="0" applyAlignment="0" applyProtection="0"/>
    <xf numFmtId="49" fontId="11" fillId="0" borderId="7">
      <alignment vertical="center"/>
    </xf>
    <xf numFmtId="49" fontId="31" fillId="0" borderId="0" applyFont="0" applyFill="0" applyBorder="0" applyAlignment="0" applyProtection="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3" fillId="0" borderId="30" applyFill="0" applyBorder="0" applyProtection="0">
      <alignment horizontal="right"/>
    </xf>
    <xf numFmtId="254" fontId="8" fillId="0" borderId="0"/>
    <xf numFmtId="0" fontId="14" fillId="0" borderId="0" applyNumberFormat="0" applyFill="0" applyBorder="0" applyAlignment="0" applyProtection="0"/>
    <xf numFmtId="0" fontId="61" fillId="0" borderId="0" applyNumberFormat="0" applyFill="0" applyBorder="0" applyAlignment="0" applyProtection="0"/>
    <xf numFmtId="255" fontId="98" fillId="0" borderId="0"/>
    <xf numFmtId="172" fontId="11" fillId="0" borderId="7" applyFill="0" applyAlignment="0" applyProtection="0"/>
    <xf numFmtId="0" fontId="22" fillId="8" borderId="3" applyNumberFormat="0" applyProtection="0">
      <alignment horizontal="left" vertical="center"/>
    </xf>
    <xf numFmtId="0" fontId="63" fillId="0" borderId="0" applyFill="0" applyBorder="0" applyProtection="0"/>
    <xf numFmtId="0" fontId="8" fillId="0" borderId="31"/>
    <xf numFmtId="231" fontId="106" fillId="0" borderId="32"/>
    <xf numFmtId="231" fontId="97" fillId="0" borderId="0" applyNumberFormat="0" applyFill="0" applyBorder="0" applyAlignment="0" applyProtection="0"/>
    <xf numFmtId="0" fontId="9" fillId="0" borderId="0" applyBorder="0"/>
    <xf numFmtId="224" fontId="48" fillId="0" borderId="0" applyNumberFormat="0" applyFill="0" applyBorder="0" applyAlignment="0"/>
    <xf numFmtId="0" fontId="8" fillId="0" borderId="0"/>
    <xf numFmtId="0" fontId="8" fillId="0" borderId="0"/>
    <xf numFmtId="0" fontId="8" fillId="0" borderId="0" applyNumberFormat="0" applyFont="0" applyFill="0" applyBorder="0" applyAlignment="0">
      <alignment horizontal="left" vertical="center"/>
    </xf>
    <xf numFmtId="204" fontId="8" fillId="0" borderId="33" applyNumberFormat="0" applyFont="0" applyFill="0" applyAlignment="0"/>
    <xf numFmtId="183" fontId="33" fillId="0" borderId="0" applyNumberFormat="0" applyFill="0" applyBorder="0" applyAlignment="0" applyProtection="0">
      <alignment vertical="center"/>
    </xf>
    <xf numFmtId="183" fontId="33" fillId="9" borderId="0" applyNumberFormat="0" applyAlignment="0" applyProtection="0">
      <alignment vertical="center"/>
    </xf>
    <xf numFmtId="24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78" fontId="107" fillId="0" borderId="7" applyAlignment="0">
      <alignment horizontal="left"/>
      <protection locked="0"/>
    </xf>
    <xf numFmtId="0" fontId="31" fillId="0" borderId="0" applyNumberFormat="0" applyFont="0" applyBorder="0" applyAlignment="0" applyProtection="0">
      <alignment vertical="center"/>
    </xf>
    <xf numFmtId="0" fontId="8" fillId="0" borderId="0"/>
    <xf numFmtId="0" fontId="108" fillId="0" borderId="0"/>
    <xf numFmtId="0" fontId="31" fillId="0" borderId="0" applyNumberFormat="0" applyFont="0" applyAlignment="0" applyProtection="0">
      <alignment vertical="center"/>
    </xf>
    <xf numFmtId="256" fontId="8" fillId="0" borderId="0" applyNumberFormat="0"/>
    <xf numFmtId="0" fontId="109" fillId="0" borderId="0" applyNumberFormat="0" applyFont="0" applyFill="0" applyBorder="0" applyAlignment="0" applyProtection="0">
      <alignment horizontal="left"/>
    </xf>
    <xf numFmtId="0" fontId="41" fillId="0" borderId="0" applyNumberFormat="0" applyFill="0" applyBorder="0" applyAlignment="0" applyProtection="0"/>
    <xf numFmtId="1" fontId="49" fillId="0" borderId="0" applyFont="0" applyFill="0" applyBorder="0" applyAlignment="0" applyProtection="0"/>
    <xf numFmtId="0" fontId="14" fillId="8" borderId="0" applyNumberFormat="0" applyBorder="0" applyProtection="0">
      <alignment horizontal="left"/>
    </xf>
    <xf numFmtId="0" fontId="22" fillId="0" borderId="7">
      <alignment horizontal="right"/>
    </xf>
    <xf numFmtId="0" fontId="56" fillId="0" borderId="0" applyFont="0" applyFill="0" applyBorder="0" applyAlignment="0" applyProtection="0"/>
    <xf numFmtId="40" fontId="110" fillId="0" borderId="0" applyFont="0" applyFill="0" applyBorder="0" applyAlignment="0" applyProtection="0"/>
    <xf numFmtId="38" fontId="110" fillId="0" borderId="0" applyFont="0" applyFill="0" applyBorder="0" applyAlignment="0" applyProtection="0"/>
    <xf numFmtId="0" fontId="110" fillId="0" borderId="0" applyFont="0" applyFill="0" applyBorder="0" applyAlignment="0" applyProtection="0"/>
    <xf numFmtId="0" fontId="110" fillId="0" borderId="0" applyFont="0" applyFill="0" applyBorder="0" applyAlignment="0" applyProtection="0"/>
    <xf numFmtId="0" fontId="111" fillId="0" borderId="0"/>
    <xf numFmtId="0" fontId="112" fillId="0" borderId="0" applyFont="0" applyFill="0" applyBorder="0" applyAlignment="0" applyProtection="0"/>
    <xf numFmtId="0" fontId="112" fillId="0" borderId="0" applyFont="0" applyFill="0" applyBorder="0" applyAlignment="0" applyProtection="0"/>
    <xf numFmtId="257" fontId="8" fillId="0" borderId="0" applyFont="0" applyFill="0" applyBorder="0" applyAlignment="0" applyProtection="0"/>
    <xf numFmtId="0" fontId="112" fillId="0" borderId="0" applyFont="0" applyFill="0" applyBorder="0" applyAlignment="0" applyProtection="0"/>
    <xf numFmtId="0" fontId="113" fillId="0" borderId="0"/>
    <xf numFmtId="0" fontId="6"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3" fillId="0" borderId="0"/>
    <xf numFmtId="0" fontId="26" fillId="0" borderId="0" applyNumberFormat="0" applyFill="0" applyBorder="0" applyAlignment="0" applyProtection="0"/>
    <xf numFmtId="0" fontId="192" fillId="0" borderId="0" applyNumberFormat="0" applyFill="0" applyBorder="0" applyAlignment="0" applyProtection="0"/>
    <xf numFmtId="279" fontId="134" fillId="0" borderId="0">
      <alignment horizontal="right"/>
    </xf>
    <xf numFmtId="0" fontId="44" fillId="0" borderId="0" applyNumberFormat="0" applyFont="0" applyFill="0" applyBorder="0" applyAlignment="0" applyProtection="0"/>
    <xf numFmtId="0" fontId="8" fillId="0" borderId="0"/>
    <xf numFmtId="0" fontId="8" fillId="0" borderId="0"/>
    <xf numFmtId="0" fontId="44" fillId="0" borderId="0" applyNumberFormat="0" applyFont="0" applyFill="0" applyBorder="0" applyAlignment="0" applyProtection="0"/>
    <xf numFmtId="0" fontId="44" fillId="0" borderId="0" applyNumberFormat="0" applyFont="0" applyFill="0" applyBorder="0" applyAlignment="0" applyProtection="0"/>
    <xf numFmtId="0" fontId="8" fillId="0" borderId="0"/>
    <xf numFmtId="0" fontId="44"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3" fontId="27" fillId="0" borderId="0"/>
    <xf numFmtId="278" fontId="8" fillId="0" borderId="0">
      <alignment horizontal="left" wrapText="1"/>
    </xf>
    <xf numFmtId="0" fontId="135" fillId="0" borderId="0">
      <alignment vertical="center"/>
    </xf>
    <xf numFmtId="280" fontId="136" fillId="4" borderId="0" applyNumberFormat="0" applyFont="0" applyBorder="0" applyAlignment="0">
      <protection locked="0"/>
    </xf>
    <xf numFmtId="278" fontId="8" fillId="0" borderId="0">
      <alignment horizontal="left" wrapText="1"/>
    </xf>
    <xf numFmtId="281" fontId="137" fillId="0" borderId="0" applyFont="0" applyFill="0" applyBorder="0" applyAlignment="0" applyProtection="0"/>
    <xf numFmtId="282" fontId="137" fillId="0" borderId="0" applyFont="0" applyFill="0" applyBorder="0" applyAlignment="0" applyProtection="0"/>
    <xf numFmtId="283" fontId="9" fillId="0" borderId="0"/>
    <xf numFmtId="9" fontId="8" fillId="0" borderId="0"/>
    <xf numFmtId="0" fontId="9" fillId="0" borderId="0"/>
    <xf numFmtId="176" fontId="9" fillId="0" borderId="0"/>
    <xf numFmtId="0" fontId="9" fillId="0" borderId="0"/>
    <xf numFmtId="2" fontId="9" fillId="0" borderId="0"/>
    <xf numFmtId="10" fontId="9" fillId="0" borderId="0"/>
    <xf numFmtId="2" fontId="9" fillId="0" borderId="0"/>
    <xf numFmtId="283" fontId="9" fillId="0" borderId="0"/>
    <xf numFmtId="283" fontId="8" fillId="0" borderId="0"/>
    <xf numFmtId="283" fontId="8" fillId="0" borderId="0"/>
    <xf numFmtId="283" fontId="8" fillId="0" borderId="0"/>
    <xf numFmtId="283" fontId="8" fillId="0" borderId="0"/>
    <xf numFmtId="283" fontId="8" fillId="0" borderId="0"/>
    <xf numFmtId="37" fontId="138" fillId="0" borderId="0">
      <alignment horizontal="center"/>
    </xf>
    <xf numFmtId="284" fontId="139" fillId="0" borderId="7">
      <alignment horizontal="centerContinuous"/>
    </xf>
    <xf numFmtId="0" fontId="140" fillId="32" borderId="0" applyNumberFormat="0" applyFont="0" applyBorder="0" applyAlignment="0">
      <alignment horizontal="right"/>
    </xf>
    <xf numFmtId="0" fontId="141" fillId="32" borderId="30" applyFont="0">
      <alignment horizontal="right"/>
    </xf>
    <xf numFmtId="286" fontId="15" fillId="0" borderId="17"/>
    <xf numFmtId="287" fontId="14" fillId="0" borderId="36" applyBorder="0"/>
    <xf numFmtId="0" fontId="142" fillId="0" borderId="0"/>
    <xf numFmtId="0" fontId="143" fillId="0" borderId="44" applyNumberFormat="0" applyFill="0" applyBorder="0" applyAlignment="0" applyProtection="0"/>
    <xf numFmtId="0" fontId="62" fillId="0" borderId="44" applyNumberFormat="0" applyFill="0" applyBorder="0" applyAlignment="0" applyProtection="0"/>
    <xf numFmtId="0" fontId="117" fillId="0" borderId="44" applyNumberFormat="0" applyFill="0" applyBorder="0" applyAlignment="0" applyProtection="0"/>
    <xf numFmtId="0" fontId="26" fillId="0" borderId="44" applyNumberFormat="0" applyFill="0" applyAlignment="0" applyProtection="0"/>
    <xf numFmtId="0" fontId="144" fillId="0" borderId="13">
      <protection hidden="1"/>
    </xf>
    <xf numFmtId="0" fontId="145" fillId="3" borderId="13" applyNumberFormat="0" applyFont="0" applyBorder="0" applyAlignment="0" applyProtection="0">
      <protection hidden="1"/>
    </xf>
    <xf numFmtId="0" fontId="14" fillId="0" borderId="0" applyNumberFormat="0" applyFill="0" applyBorder="0" applyAlignment="0" applyProtection="0"/>
    <xf numFmtId="231" fontId="49" fillId="0" borderId="0" applyFont="0" applyFill="0" applyBorder="0" applyAlignment="0" applyProtection="0"/>
    <xf numFmtId="0" fontId="146" fillId="0" borderId="0"/>
    <xf numFmtId="0" fontId="147" fillId="0" borderId="7" applyNumberFormat="0" applyFill="0" applyAlignment="0" applyProtection="0"/>
    <xf numFmtId="288" fontId="137" fillId="0" borderId="0" applyFont="0" applyFill="0" applyBorder="0" applyAlignment="0" applyProtection="0"/>
    <xf numFmtId="289" fontId="26" fillId="0" borderId="0">
      <alignment horizontal="right" vertical="center"/>
    </xf>
    <xf numFmtId="231" fontId="63" fillId="0" borderId="0" applyFont="0" applyFill="0" applyBorder="0" applyAlignment="0" applyProtection="0"/>
    <xf numFmtId="0" fontId="36" fillId="33" borderId="0" applyNumberFormat="0" applyBorder="0">
      <alignment horizontal="centerContinuous"/>
    </xf>
    <xf numFmtId="37" fontId="14" fillId="0" borderId="0"/>
    <xf numFmtId="290" fontId="8" fillId="0" borderId="0"/>
    <xf numFmtId="291" fontId="8" fillId="0" borderId="0"/>
    <xf numFmtId="0" fontId="148" fillId="0" borderId="7" applyNumberFormat="0" applyFill="0" applyProtection="0">
      <alignment horizontal="left" vertical="center"/>
    </xf>
    <xf numFmtId="0" fontId="8" fillId="0" borderId="0">
      <alignment horizontal="center" wrapText="1"/>
      <protection hidden="1"/>
    </xf>
    <xf numFmtId="0" fontId="120" fillId="0" borderId="45" applyNumberFormat="0" applyFill="0" applyProtection="0">
      <alignment horizontal="center" vertical="center"/>
    </xf>
    <xf numFmtId="0" fontId="121" fillId="0" borderId="7" applyNumberFormat="0" applyFill="0" applyBorder="0" applyProtection="0">
      <alignment horizontal="right" vertical="center"/>
    </xf>
    <xf numFmtId="168" fontId="116" fillId="0" borderId="0" applyFont="0" applyFill="0" applyBorder="0" applyAlignment="0" applyProtection="0"/>
    <xf numFmtId="292" fontId="149" fillId="0" borderId="0"/>
    <xf numFmtId="292" fontId="149" fillId="0" borderId="0"/>
    <xf numFmtId="292" fontId="149" fillId="0" borderId="0"/>
    <xf numFmtId="292" fontId="149" fillId="0" borderId="0"/>
    <xf numFmtId="292" fontId="149" fillId="0" borderId="0"/>
    <xf numFmtId="292" fontId="149" fillId="0" borderId="0"/>
    <xf numFmtId="292" fontId="149" fillId="0" borderId="0"/>
    <xf numFmtId="292" fontId="149" fillId="0" borderId="0"/>
    <xf numFmtId="0" fontId="14" fillId="0" borderId="0"/>
    <xf numFmtId="293" fontId="8" fillId="0" borderId="0" applyFont="0" applyFill="0" applyBorder="0" applyAlignment="0" applyProtection="0">
      <alignment horizontal="right"/>
    </xf>
    <xf numFmtId="294" fontId="8" fillId="0" borderId="0" applyFont="0" applyFill="0" applyBorder="0" applyAlignment="0" applyProtection="0"/>
    <xf numFmtId="295" fontId="150" fillId="0" borderId="0" applyFont="0" applyFill="0" applyBorder="0" applyAlignment="0" applyProtection="0">
      <alignment horizontal="right"/>
    </xf>
    <xf numFmtId="168" fontId="8" fillId="0" borderId="0" applyFont="0" applyFill="0" applyBorder="0" applyAlignment="0" applyProtection="0"/>
    <xf numFmtId="0" fontId="151" fillId="10" borderId="0">
      <alignment horizontal="center" vertical="center" wrapText="1"/>
    </xf>
    <xf numFmtId="0" fontId="152" fillId="0" borderId="0" applyNumberFormat="0" applyFill="0" applyBorder="0">
      <alignment horizontal="right"/>
    </xf>
    <xf numFmtId="0" fontId="151" fillId="10" borderId="0">
      <alignment horizontal="center" vertical="center" wrapText="1"/>
    </xf>
    <xf numFmtId="296" fontId="8" fillId="0" borderId="0" applyFont="0" applyFill="0" applyBorder="0" applyAlignment="0" applyProtection="0"/>
    <xf numFmtId="179" fontId="8" fillId="0" borderId="0" applyFill="0" applyBorder="0">
      <alignment horizontal="right"/>
      <protection locked="0"/>
    </xf>
    <xf numFmtId="173" fontId="116" fillId="0" borderId="0" applyFont="0" applyFill="0" applyBorder="0" applyAlignment="0" applyProtection="0"/>
    <xf numFmtId="169" fontId="153" fillId="0" borderId="39" applyBorder="0"/>
    <xf numFmtId="263" fontId="8" fillId="0" borderId="0" applyFont="0" applyFill="0" applyBorder="0" applyAlignment="0"/>
    <xf numFmtId="170" fontId="8" fillId="0" borderId="0" applyFont="0" applyFill="0" applyBorder="0" applyAlignment="0"/>
    <xf numFmtId="297" fontId="14" fillId="0" borderId="0" applyFont="0" applyFill="0" applyBorder="0" applyAlignment="0" applyProtection="0">
      <alignment horizontal="right"/>
    </xf>
    <xf numFmtId="173" fontId="8" fillId="0" borderId="0" applyFont="0" applyFill="0" applyBorder="0" applyAlignment="0" applyProtection="0"/>
    <xf numFmtId="298" fontId="137" fillId="0" borderId="0" applyFont="0" applyFill="0" applyBorder="0" applyAlignment="0" applyProtection="0"/>
    <xf numFmtId="14" fontId="28" fillId="0" borderId="30" applyFont="0">
      <alignment horizontal="right"/>
    </xf>
    <xf numFmtId="264" fontId="8" fillId="4" borderId="0" applyFont="0" applyFill="0" applyBorder="0" applyAlignment="0" applyProtection="0"/>
    <xf numFmtId="262" fontId="8" fillId="4" borderId="6" applyFont="0" applyFill="0" applyBorder="0" applyAlignment="0" applyProtection="0"/>
    <xf numFmtId="264" fontId="8" fillId="4" borderId="0" applyFont="0" applyFill="0" applyBorder="0" applyAlignment="0" applyProtection="0"/>
    <xf numFmtId="285" fontId="14" fillId="0" borderId="0" applyFont="0" applyFill="0" applyBorder="0" applyAlignment="0" applyProtection="0"/>
    <xf numFmtId="253" fontId="9" fillId="0" borderId="0"/>
    <xf numFmtId="1" fontId="14" fillId="0" borderId="0" applyFont="0" applyFill="0" applyBorder="0" applyAlignment="0" applyProtection="0">
      <alignment horizontal="right"/>
    </xf>
    <xf numFmtId="214" fontId="154" fillId="0" borderId="0"/>
    <xf numFmtId="170" fontId="26" fillId="0" borderId="0"/>
    <xf numFmtId="174" fontId="14" fillId="0" borderId="8" applyNumberFormat="0" applyFont="0" applyFill="0" applyAlignment="0" applyProtection="0"/>
    <xf numFmtId="256" fontId="155" fillId="0" borderId="33" applyNumberFormat="0" applyBorder="0"/>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231" fontId="118" fillId="0" borderId="9" applyNumberFormat="0" applyAlignment="0" applyProtection="0">
      <alignment vertical="top"/>
    </xf>
    <xf numFmtId="9" fontId="133" fillId="0" borderId="4" applyNumberFormat="0" applyBorder="0" applyAlignment="0">
      <protection locked="0"/>
    </xf>
    <xf numFmtId="0" fontId="49" fillId="34" borderId="46" applyNumberFormat="0" applyFont="0" applyAlignment="0">
      <protection locked="0"/>
    </xf>
    <xf numFmtId="265" fontId="44" fillId="0" borderId="0" applyNumberFormat="0" applyFont="0" applyFill="0" applyBorder="0" applyAlignment="0" applyProtection="0"/>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231" fontId="8" fillId="4" borderId="0" applyFont="0" applyFill="0" applyBorder="0" applyAlignment="0"/>
    <xf numFmtId="0" fontId="122" fillId="0" borderId="0" applyNumberFormat="0" applyFill="0" applyBorder="0" applyProtection="0">
      <alignment horizontal="left" vertical="center"/>
    </xf>
    <xf numFmtId="0" fontId="156" fillId="13" borderId="0"/>
    <xf numFmtId="37" fontId="15" fillId="13" borderId="0" applyNumberFormat="0" applyBorder="0" applyAlignment="0" applyProtection="0"/>
    <xf numFmtId="300" fontId="62" fillId="0" borderId="0" applyBorder="0" applyProtection="0"/>
    <xf numFmtId="258" fontId="157" fillId="0" borderId="0"/>
    <xf numFmtId="0" fontId="158" fillId="0" borderId="0"/>
    <xf numFmtId="266" fontId="123" fillId="0" borderId="0" applyFill="0" applyBorder="0" applyAlignment="0" applyProtection="0"/>
    <xf numFmtId="278" fontId="14" fillId="0" borderId="0" applyFont="0" applyFill="0" applyBorder="0" applyAlignment="0" applyProtection="0">
      <alignment horizontal="right"/>
    </xf>
    <xf numFmtId="0" fontId="124" fillId="35" borderId="0" applyNumberFormat="0" applyBorder="0" applyProtection="0">
      <alignment horizontal="left" vertical="center"/>
    </xf>
    <xf numFmtId="0" fontId="125" fillId="1" borderId="0" applyNumberFormat="0" applyBorder="0" applyProtection="0">
      <alignment horizontal="left" vertical="center"/>
    </xf>
    <xf numFmtId="0" fontId="159" fillId="0" borderId="0"/>
    <xf numFmtId="0" fontId="36" fillId="0" borderId="38" applyNumberFormat="0" applyAlignment="0" applyProtection="0">
      <alignment horizontal="left" vertical="center"/>
    </xf>
    <xf numFmtId="0" fontId="36" fillId="0" borderId="30">
      <alignment horizontal="left" vertical="center"/>
    </xf>
    <xf numFmtId="0" fontId="36" fillId="0" borderId="0"/>
    <xf numFmtId="301" fontId="14" fillId="0" borderId="0"/>
    <xf numFmtId="233" fontId="134" fillId="14" borderId="0" applyNumberFormat="0" applyFont="0" applyBorder="0" applyAlignment="0" applyProtection="0"/>
    <xf numFmtId="37" fontId="15" fillId="0" borderId="0" applyNumberFormat="0" applyBorder="0" applyAlignment="0" applyProtection="0"/>
    <xf numFmtId="0" fontId="193" fillId="0" borderId="0" applyNumberFormat="0" applyFill="0" applyBorder="0" applyAlignment="0" applyProtection="0">
      <alignment vertical="top"/>
      <protection locked="0"/>
    </xf>
    <xf numFmtId="231" fontId="49" fillId="0" borderId="0" applyFont="0" applyFill="0" applyBorder="0" applyAlignment="0" applyProtection="0"/>
    <xf numFmtId="302" fontId="14" fillId="0" borderId="0"/>
    <xf numFmtId="171" fontId="26" fillId="4" borderId="0" applyFont="0" applyBorder="0" applyAlignment="0" applyProtection="0">
      <protection locked="0"/>
    </xf>
    <xf numFmtId="262" fontId="8" fillId="4" borderId="0" applyFont="0" applyBorder="0" applyAlignment="0" applyProtection="0">
      <protection locked="0"/>
    </xf>
    <xf numFmtId="231" fontId="8" fillId="4" borderId="0" applyFont="0" applyBorder="0" applyAlignment="0">
      <protection locked="0"/>
    </xf>
    <xf numFmtId="267" fontId="8" fillId="4" borderId="0" applyFont="0" applyBorder="0" applyAlignment="0">
      <protection locked="0"/>
    </xf>
    <xf numFmtId="267" fontId="8" fillId="4" borderId="4"/>
    <xf numFmtId="38" fontId="117" fillId="4" borderId="4"/>
    <xf numFmtId="40" fontId="117" fillId="4" borderId="4"/>
    <xf numFmtId="0" fontId="8" fillId="0" borderId="0" applyFill="0" applyBorder="0">
      <alignment horizontal="right"/>
      <protection locked="0"/>
    </xf>
    <xf numFmtId="180" fontId="8" fillId="0" borderId="0" applyFill="0" applyBorder="0">
      <alignment horizontal="right"/>
      <protection locked="0"/>
    </xf>
    <xf numFmtId="0" fontId="28" fillId="17" borderId="14">
      <alignment horizontal="left" vertical="center" wrapText="1"/>
    </xf>
    <xf numFmtId="0" fontId="126" fillId="0" borderId="0" applyNumberFormat="0" applyFill="0" applyBorder="0" applyProtection="0">
      <alignment horizontal="left" vertical="center"/>
    </xf>
    <xf numFmtId="204" fontId="14" fillId="0" borderId="0" applyNumberFormat="0" applyAlignment="0">
      <alignment horizontal="left"/>
    </xf>
    <xf numFmtId="0" fontId="160" fillId="0" borderId="13">
      <alignment horizontal="left"/>
      <protection locked="0"/>
    </xf>
    <xf numFmtId="0" fontId="35" fillId="0" borderId="0"/>
    <xf numFmtId="266" fontId="87" fillId="0" borderId="0" applyFill="0" applyBorder="0" applyAlignment="0" applyProtection="0"/>
    <xf numFmtId="0" fontId="161" fillId="0" borderId="0" applyBorder="0"/>
    <xf numFmtId="204" fontId="28" fillId="0" borderId="30" applyFont="0" applyFill="0" applyBorder="0" applyAlignment="0" applyProtection="0">
      <alignment horizontal="center"/>
    </xf>
    <xf numFmtId="0" fontId="162" fillId="0" borderId="0" applyNumberFormat="0" applyFill="0" applyBorder="0" applyAlignment="0"/>
    <xf numFmtId="38" fontId="162" fillId="0" borderId="0" applyBorder="0"/>
    <xf numFmtId="268" fontId="49" fillId="0" borderId="0" applyFont="0" applyFill="0" applyBorder="0" applyAlignment="0" applyProtection="0"/>
    <xf numFmtId="204" fontId="14" fillId="0" borderId="0" applyFont="0" applyFill="0" applyBorder="0" applyAlignment="0" applyProtection="0">
      <alignment horizontal="right"/>
    </xf>
    <xf numFmtId="269" fontId="8" fillId="13" borderId="0" applyFont="0" applyBorder="0" applyAlignment="0" applyProtection="0">
      <alignment horizontal="right"/>
      <protection hidden="1"/>
    </xf>
    <xf numFmtId="178" fontId="14" fillId="0" borderId="0" applyFill="0" applyBorder="0" applyAlignment="0" applyProtection="0"/>
    <xf numFmtId="303" fontId="14" fillId="0" borderId="33" applyFont="0" applyFill="0" applyBorder="0" applyAlignment="0" applyProtection="0"/>
    <xf numFmtId="258" fontId="14" fillId="0" borderId="0"/>
    <xf numFmtId="302" fontId="14" fillId="0" borderId="0"/>
    <xf numFmtId="233" fontId="163" fillId="0" borderId="0"/>
    <xf numFmtId="37" fontId="153" fillId="0" borderId="0"/>
    <xf numFmtId="38" fontId="164" fillId="0" borderId="0"/>
    <xf numFmtId="222" fontId="163" fillId="0" borderId="0"/>
    <xf numFmtId="304" fontId="14" fillId="0" borderId="0">
      <alignment horizontal="right"/>
    </xf>
    <xf numFmtId="216" fontId="26" fillId="0" borderId="0" applyFont="0" applyFill="0" applyBorder="0" applyAlignment="0"/>
    <xf numFmtId="0" fontId="8" fillId="0" borderId="0" applyNumberFormat="0" applyFont="0" applyFill="0" applyBorder="0" applyAlignment="0" applyProtection="0"/>
    <xf numFmtId="0" fontId="192" fillId="0" borderId="0" applyNumberFormat="0" applyFill="0" applyBorder="0" applyAlignment="0" applyProtection="0"/>
    <xf numFmtId="270" fontId="8" fillId="0" borderId="0" applyFont="0" applyFill="0" applyBorder="0" applyAlignment="0" applyProtection="0"/>
    <xf numFmtId="271" fontId="8" fillId="0" borderId="0" applyFont="0" applyFill="0" applyBorder="0" applyAlignment="0" applyProtection="0"/>
    <xf numFmtId="178" fontId="27" fillId="0" borderId="33" applyBorder="0"/>
    <xf numFmtId="272" fontId="8" fillId="0" borderId="0" applyFont="0" applyFill="0" applyBorder="0" applyAlignment="0" applyProtection="0"/>
    <xf numFmtId="177" fontId="144" fillId="0" borderId="0"/>
    <xf numFmtId="0" fontId="165" fillId="0" borderId="0">
      <alignment horizontal="left"/>
    </xf>
    <xf numFmtId="0" fontId="103" fillId="0" borderId="0" applyNumberFormat="0" applyFill="0" applyBorder="0">
      <alignment horizontal="left"/>
    </xf>
    <xf numFmtId="1" fontId="166" fillId="0" borderId="0" applyProtection="0">
      <alignment horizontal="right" vertical="center"/>
    </xf>
    <xf numFmtId="273" fontId="8" fillId="0" borderId="0"/>
    <xf numFmtId="9" fontId="116" fillId="0" borderId="0" applyFont="0" applyFill="0" applyBorder="0" applyAlignment="0" applyProtection="0"/>
    <xf numFmtId="261" fontId="167" fillId="0" borderId="0"/>
    <xf numFmtId="274" fontId="8" fillId="0" borderId="0" applyFont="0" applyFill="0" applyBorder="0" applyAlignment="0"/>
    <xf numFmtId="267" fontId="8" fillId="0" borderId="0" applyFont="0" applyFill="0" applyBorder="0" applyAlignment="0"/>
    <xf numFmtId="275" fontId="8" fillId="0" borderId="0" applyFont="0" applyFill="0" applyBorder="0" applyAlignment="0"/>
    <xf numFmtId="9" fontId="8" fillId="0" borderId="0" applyFont="0" applyFill="0" applyBorder="0" applyAlignment="0" applyProtection="0"/>
    <xf numFmtId="9" fontId="14" fillId="0" borderId="0" applyFont="0" applyFill="0" applyBorder="0" applyAlignment="0" applyProtection="0"/>
    <xf numFmtId="176" fontId="168" fillId="0" borderId="0"/>
    <xf numFmtId="181" fontId="8" fillId="0" borderId="0" applyFill="0" applyBorder="0">
      <alignment horizontal="right"/>
      <protection locked="0"/>
    </xf>
    <xf numFmtId="276" fontId="8" fillId="0" borderId="0" applyFont="0" applyFill="0" applyBorder="0" applyAlignment="0" applyProtection="0"/>
    <xf numFmtId="0" fontId="103" fillId="0" borderId="0"/>
    <xf numFmtId="0" fontId="103" fillId="0" borderId="47">
      <alignment horizontal="right"/>
    </xf>
    <xf numFmtId="2" fontId="161" fillId="0" borderId="0" applyNumberFormat="0" applyFill="0" applyBorder="0" applyAlignment="0" applyProtection="0"/>
    <xf numFmtId="182" fontId="8" fillId="0" borderId="0">
      <alignment horizontal="right"/>
      <protection locked="0"/>
    </xf>
    <xf numFmtId="0" fontId="107" fillId="0" borderId="0"/>
    <xf numFmtId="0" fontId="169" fillId="0" borderId="13" applyNumberFormat="0" applyFill="0" applyBorder="0" applyAlignment="0" applyProtection="0">
      <protection hidden="1"/>
    </xf>
    <xf numFmtId="49" fontId="27" fillId="0" borderId="0">
      <alignment horizontal="right"/>
    </xf>
    <xf numFmtId="37" fontId="170" fillId="0" borderId="0" applyNumberFormat="0" applyFill="0" applyBorder="0" applyAlignment="0" applyProtection="0"/>
    <xf numFmtId="0" fontId="171" fillId="0" borderId="0"/>
    <xf numFmtId="0" fontId="44" fillId="0" borderId="17" applyNumberFormat="0" applyBorder="0" applyAlignment="0"/>
    <xf numFmtId="0" fontId="126" fillId="0" borderId="0" applyNumberFormat="0" applyFill="0" applyBorder="0" applyProtection="0">
      <alignment horizontal="right" vertical="center"/>
    </xf>
    <xf numFmtId="305" fontId="14" fillId="0" borderId="0" applyNumberFormat="0" applyFill="0" applyBorder="0" applyProtection="0">
      <alignment horizontal="left" vertical="center"/>
      <protection locked="0"/>
    </xf>
    <xf numFmtId="306" fontId="19" fillId="0" borderId="0" applyFill="0" applyBorder="0">
      <alignment horizontal="right"/>
      <protection hidden="1"/>
    </xf>
    <xf numFmtId="0" fontId="36" fillId="10" borderId="4">
      <alignment horizontal="center" vertical="center" wrapText="1"/>
      <protection hidden="1"/>
    </xf>
    <xf numFmtId="1" fontId="149" fillId="36" borderId="0" applyNumberFormat="0" applyFont="0" applyBorder="0" applyAlignment="0">
      <alignment horizontal="left"/>
    </xf>
    <xf numFmtId="178" fontId="14" fillId="0" borderId="7" applyFont="0" applyFill="0" applyBorder="0" applyAlignment="0" applyProtection="0">
      <alignment horizontal="right"/>
    </xf>
    <xf numFmtId="231" fontId="49" fillId="0" borderId="0" applyFont="0" applyFill="0" applyBorder="0" applyAlignment="0" applyProtection="0"/>
    <xf numFmtId="0" fontId="34" fillId="13" borderId="0" applyNumberFormat="0" applyBorder="0">
      <alignment horizontal="centerContinuous"/>
    </xf>
    <xf numFmtId="0" fontId="172" fillId="0" borderId="0" applyNumberFormat="0" applyFill="0" applyBorder="0" applyAlignment="0" applyProtection="0"/>
    <xf numFmtId="3" fontId="26" fillId="0" borderId="0"/>
    <xf numFmtId="204" fontId="135" fillId="0" borderId="0" applyFill="0" applyBorder="0" applyProtection="0">
      <alignment horizontal="right"/>
    </xf>
    <xf numFmtId="231" fontId="26" fillId="14" borderId="0" applyNumberFormat="0" applyFont="0" applyBorder="0" applyAlignment="0">
      <protection hidden="1"/>
    </xf>
    <xf numFmtId="3" fontId="27" fillId="0" borderId="0"/>
    <xf numFmtId="0" fontId="173" fillId="0" borderId="0" applyNumberFormat="0" applyFill="0" applyBorder="0" applyAlignment="0" applyProtection="0">
      <protection locked="0"/>
    </xf>
    <xf numFmtId="307" fontId="173" fillId="0" borderId="0" applyNumberFormat="0" applyFill="0" applyBorder="0" applyAlignment="0" applyProtection="0">
      <alignment horizontal="right" vertical="center" wrapText="1"/>
    </xf>
    <xf numFmtId="0" fontId="173" fillId="0" borderId="0" applyNumberFormat="0" applyFill="0" applyBorder="0" applyAlignment="0" applyProtection="0">
      <protection locked="0"/>
    </xf>
    <xf numFmtId="0" fontId="174" fillId="0" borderId="0" applyNumberFormat="0" applyFill="0" applyBorder="0" applyAlignment="0" applyProtection="0"/>
    <xf numFmtId="0" fontId="175" fillId="0" borderId="30" applyNumberFormat="0" applyFill="0" applyProtection="0">
      <alignment horizontal="right" vertical="center" wrapText="1"/>
    </xf>
    <xf numFmtId="0" fontId="28" fillId="33" borderId="0" applyNumberFormat="0" applyBorder="0">
      <alignment horizontal="centerContinuous"/>
    </xf>
    <xf numFmtId="0" fontId="176" fillId="0" borderId="33" applyNumberFormat="0" applyFill="0" applyProtection="0">
      <alignment horizontal="right"/>
    </xf>
    <xf numFmtId="0" fontId="127" fillId="0" borderId="0" applyNumberFormat="0" applyFill="0" applyBorder="0" applyProtection="0">
      <alignment horizontal="left" vertical="center"/>
    </xf>
    <xf numFmtId="0" fontId="177" fillId="0" borderId="0"/>
    <xf numFmtId="259" fontId="127" fillId="0" borderId="0" applyNumberFormat="0"/>
    <xf numFmtId="0" fontId="178" fillId="0" borderId="44" applyNumberFormat="0" applyFill="0" applyBorder="0" applyAlignment="0" applyProtection="0"/>
    <xf numFmtId="0" fontId="176" fillId="0" borderId="37" applyNumberFormat="0" applyProtection="0">
      <alignment horizontal="right"/>
    </xf>
    <xf numFmtId="0" fontId="179" fillId="0" borderId="7" applyNumberFormat="0" applyFill="0" applyProtection="0"/>
    <xf numFmtId="174" fontId="14" fillId="0" borderId="7" applyBorder="0" applyProtection="0">
      <alignment horizontal="right" vertical="center"/>
    </xf>
    <xf numFmtId="0" fontId="180" fillId="26" borderId="0" applyBorder="0" applyProtection="0">
      <alignment horizontal="centerContinuous" vertical="center"/>
    </xf>
    <xf numFmtId="0" fontId="180" fillId="6" borderId="7" applyBorder="0" applyProtection="0">
      <alignment horizontal="centerContinuous" vertical="center"/>
    </xf>
    <xf numFmtId="3" fontId="33" fillId="0" borderId="0" applyNumberFormat="0"/>
    <xf numFmtId="0" fontId="181" fillId="0" borderId="0" applyFill="0" applyBorder="0" applyProtection="0">
      <alignment horizontal="left"/>
    </xf>
    <xf numFmtId="0" fontId="182" fillId="0" borderId="2" applyFill="0" applyBorder="0" applyProtection="0">
      <alignment horizontal="left" vertical="top"/>
    </xf>
    <xf numFmtId="176" fontId="183" fillId="0" borderId="0" applyNumberFormat="0" applyFill="0" applyBorder="0">
      <alignment horizontal="left"/>
    </xf>
    <xf numFmtId="176" fontId="183" fillId="0" borderId="0" applyNumberFormat="0" applyFill="0" applyBorder="0">
      <alignment horizontal="right"/>
    </xf>
    <xf numFmtId="176" fontId="120" fillId="0" borderId="0" applyNumberFormat="0" applyFill="0" applyBorder="0">
      <alignment horizontal="right"/>
    </xf>
    <xf numFmtId="231" fontId="8" fillId="20" borderId="0" applyNumberFormat="0" applyFont="0" applyBorder="0" applyAlignment="0" applyProtection="0"/>
    <xf numFmtId="277" fontId="8" fillId="0" borderId="0" applyFill="0" applyBorder="0" applyAlignment="0" applyProtection="0">
      <alignment horizontal="right"/>
    </xf>
    <xf numFmtId="308" fontId="62" fillId="0" borderId="0" applyBorder="0" applyProtection="0">
      <alignment horizontal="right"/>
    </xf>
    <xf numFmtId="3" fontId="128" fillId="0" borderId="0"/>
    <xf numFmtId="0" fontId="129" fillId="0" borderId="31"/>
    <xf numFmtId="0" fontId="33" fillId="0" borderId="48"/>
    <xf numFmtId="0" fontId="8" fillId="0" borderId="0" applyBorder="0"/>
    <xf numFmtId="0" fontId="130" fillId="0" borderId="0" applyNumberFormat="0" applyFont="0" applyFill="0" applyBorder="0" applyAlignment="0">
      <alignment horizontal="left" vertical="center"/>
    </xf>
    <xf numFmtId="0" fontId="33" fillId="0" borderId="30">
      <alignment horizontal="right" wrapText="1"/>
    </xf>
    <xf numFmtId="0" fontId="168" fillId="3" borderId="13"/>
    <xf numFmtId="3" fontId="33" fillId="0" borderId="7" applyNumberFormat="0"/>
    <xf numFmtId="257" fontId="26" fillId="0" borderId="0" applyBorder="0" applyProtection="0">
      <alignment horizontal="right"/>
    </xf>
    <xf numFmtId="40" fontId="157" fillId="0" borderId="0"/>
    <xf numFmtId="37" fontId="14" fillId="37" borderId="4" applyNumberFormat="0" applyAlignment="0" applyProtection="0"/>
    <xf numFmtId="231" fontId="184" fillId="0" borderId="0"/>
    <xf numFmtId="0" fontId="185" fillId="0" borderId="0">
      <alignment vertical="top"/>
    </xf>
    <xf numFmtId="0" fontId="186" fillId="0" borderId="0" applyNumberFormat="0"/>
    <xf numFmtId="0" fontId="119" fillId="38" borderId="49">
      <alignment horizontal="left"/>
    </xf>
    <xf numFmtId="231" fontId="41" fillId="0" borderId="0" applyNumberFormat="0" applyFill="0" applyBorder="0" applyAlignment="0" applyProtection="0"/>
    <xf numFmtId="0" fontId="3" fillId="0" borderId="0"/>
    <xf numFmtId="0" fontId="187" fillId="0" borderId="44" applyNumberFormat="0" applyFill="0" applyBorder="0" applyAlignment="0" applyProtection="0"/>
    <xf numFmtId="0" fontId="188" fillId="0" borderId="44" applyNumberFormat="0" applyFill="0" applyBorder="0" applyAlignment="0" applyProtection="0"/>
    <xf numFmtId="0" fontId="189" fillId="0" borderId="44" applyNumberFormat="0" applyFill="0" applyBorder="0" applyAlignment="0" applyProtection="0"/>
    <xf numFmtId="1" fontId="190" fillId="0" borderId="0">
      <alignment horizontal="right"/>
    </xf>
    <xf numFmtId="279" fontId="14" fillId="0" borderId="0"/>
    <xf numFmtId="1" fontId="22" fillId="0" borderId="30" applyFill="0" applyProtection="0">
      <alignment horizontal="right"/>
    </xf>
    <xf numFmtId="0" fontId="191" fillId="0" borderId="0"/>
    <xf numFmtId="309" fontId="8" fillId="0" borderId="0"/>
    <xf numFmtId="0" fontId="8" fillId="0" borderId="0" applyNumberFormat="0" applyFill="0" applyBorder="0" applyAlignment="0" applyProtection="0"/>
    <xf numFmtId="0" fontId="8" fillId="0" borderId="0" applyNumberFormat="0" applyFont="0" applyFill="0" applyBorder="0" applyAlignment="0" applyProtection="0"/>
    <xf numFmtId="37" fontId="8" fillId="0" borderId="0" applyFont="0" applyFill="0" applyBorder="0" applyAlignment="0" applyProtection="0"/>
    <xf numFmtId="0" fontId="8" fillId="0" borderId="0" applyNumberFormat="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21" fillId="0" borderId="0" applyNumberForma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0" fontId="21" fillId="0" borderId="0" applyNumberFormat="0" applyFill="0" applyBorder="0" applyAlignment="0" applyProtection="0"/>
    <xf numFmtId="9" fontId="8" fillId="0" borderId="0" applyFont="0" applyFill="0" applyBorder="0" applyAlignment="0" applyProtection="0"/>
    <xf numFmtId="37" fontId="8" fillId="0" borderId="0" applyFont="0" applyFill="0" applyBorder="0" applyAlignment="0" applyProtection="0"/>
    <xf numFmtId="0" fontId="194" fillId="0" borderId="0"/>
    <xf numFmtId="0" fontId="116" fillId="39" borderId="0" applyNumberFormat="0" applyBorder="0" applyAlignment="0" applyProtection="0"/>
    <xf numFmtId="0" fontId="116" fillId="40"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16" fillId="44"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98" fillId="51" borderId="0" applyNumberFormat="0" applyBorder="0" applyAlignment="0" applyProtection="0"/>
    <xf numFmtId="0" fontId="198" fillId="30" borderId="0" applyNumberFormat="0" applyBorder="0" applyAlignment="0" applyProtection="0"/>
    <xf numFmtId="0" fontId="198" fillId="52" borderId="0" applyNumberFormat="0" applyBorder="0" applyAlignment="0" applyProtection="0"/>
    <xf numFmtId="0" fontId="198" fillId="53" borderId="0" applyNumberFormat="0" applyBorder="0" applyAlignment="0" applyProtection="0"/>
    <xf numFmtId="0" fontId="198" fillId="54" borderId="0" applyNumberFormat="0" applyBorder="0" applyAlignment="0" applyProtection="0"/>
    <xf numFmtId="0" fontId="198" fillId="55" borderId="0" applyNumberFormat="0" applyBorder="0" applyAlignment="0" applyProtection="0"/>
    <xf numFmtId="0" fontId="198" fillId="56" borderId="0" applyNumberFormat="0" applyBorder="0" applyAlignment="0" applyProtection="0"/>
    <xf numFmtId="0" fontId="198" fillId="57" borderId="0" applyNumberFormat="0" applyBorder="0" applyAlignment="0" applyProtection="0"/>
    <xf numFmtId="0" fontId="198" fillId="58" borderId="0" applyNumberFormat="0" applyBorder="0" applyAlignment="0" applyProtection="0"/>
    <xf numFmtId="0" fontId="198" fillId="59" borderId="0" applyNumberFormat="0" applyBorder="0" applyAlignment="0" applyProtection="0"/>
    <xf numFmtId="0" fontId="198" fillId="60" borderId="0" applyNumberFormat="0" applyBorder="0" applyAlignment="0" applyProtection="0"/>
    <xf numFmtId="0" fontId="198" fillId="61" borderId="0" applyNumberFormat="0" applyBorder="0" applyAlignment="0" applyProtection="0"/>
    <xf numFmtId="0" fontId="199" fillId="62" borderId="0" applyNumberFormat="0" applyBorder="0" applyAlignment="0" applyProtection="0"/>
    <xf numFmtId="0" fontId="200" fillId="63" borderId="51" applyNumberFormat="0" applyAlignment="0" applyProtection="0"/>
    <xf numFmtId="0" fontId="201" fillId="64" borderId="43" applyNumberFormat="0" applyAlignment="0" applyProtection="0"/>
    <xf numFmtId="168" fontId="20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203" fillId="0" borderId="0" applyNumberFormat="0" applyFill="0" applyBorder="0" applyAlignment="0" applyProtection="0"/>
    <xf numFmtId="0" fontId="204" fillId="65" borderId="0" applyNumberFormat="0" applyBorder="0" applyAlignment="0" applyProtection="0"/>
    <xf numFmtId="0" fontId="195" fillId="0" borderId="41" applyNumberFormat="0" applyFill="0" applyAlignment="0" applyProtection="0"/>
    <xf numFmtId="0" fontId="196" fillId="0" borderId="55" applyNumberFormat="0" applyFill="0" applyAlignment="0" applyProtection="0"/>
    <xf numFmtId="0" fontId="197" fillId="0" borderId="50" applyNumberFormat="0" applyFill="0" applyAlignment="0" applyProtection="0"/>
    <xf numFmtId="0" fontId="197" fillId="0" borderId="0" applyNumberFormat="0" applyFill="0" applyBorder="0" applyAlignment="0" applyProtection="0"/>
    <xf numFmtId="0" fontId="205" fillId="66" borderId="51" applyNumberFormat="0" applyAlignment="0" applyProtection="0"/>
    <xf numFmtId="0" fontId="206" fillId="0" borderId="42" applyNumberFormat="0" applyFill="0" applyAlignment="0" applyProtection="0"/>
    <xf numFmtId="0" fontId="207" fillId="31" borderId="0" applyNumberFormat="0" applyBorder="0" applyAlignment="0" applyProtection="0"/>
    <xf numFmtId="0" fontId="208" fillId="67"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4" borderId="53" applyNumberFormat="0" applyFont="0" applyAlignment="0" applyProtection="0"/>
    <xf numFmtId="0" fontId="209" fillId="63" borderId="52" applyNumberFormat="0" applyAlignment="0" applyProtection="0"/>
    <xf numFmtId="40" fontId="210" fillId="5" borderId="0">
      <alignment horizontal="right"/>
    </xf>
    <xf numFmtId="0" fontId="211" fillId="5" borderId="0">
      <alignment horizontal="right"/>
    </xf>
    <xf numFmtId="0" fontId="212" fillId="5" borderId="17"/>
    <xf numFmtId="0" fontId="212" fillId="0" borderId="0" applyBorder="0">
      <alignment horizontal="centerContinuous"/>
    </xf>
    <xf numFmtId="0" fontId="213" fillId="0" borderId="0" applyBorder="0">
      <alignment horizontal="centerContinuous"/>
    </xf>
    <xf numFmtId="0" fontId="214" fillId="0" borderId="0" applyNumberFormat="0" applyFill="0" applyBorder="0" applyAlignment="0" applyProtection="0"/>
    <xf numFmtId="0" fontId="132" fillId="0" borderId="54" applyNumberFormat="0" applyFill="0" applyAlignment="0" applyProtection="0"/>
    <xf numFmtId="0" fontId="131" fillId="0" borderId="0" applyNumberFormat="0" applyFill="0" applyBorder="0" applyAlignment="0" applyProtection="0"/>
    <xf numFmtId="168" fontId="116" fillId="0" borderId="0" applyFont="0" applyFill="0" applyBorder="0" applyAlignment="0" applyProtection="0"/>
    <xf numFmtId="173" fontId="116" fillId="0" borderId="0" applyFont="0" applyFill="0" applyBorder="0" applyAlignment="0" applyProtection="0"/>
    <xf numFmtId="14" fontId="28" fillId="0" borderId="30" applyFont="0">
      <alignment horizontal="right"/>
    </xf>
    <xf numFmtId="9" fontId="116" fillId="0" borderId="0" applyFont="0" applyFill="0" applyBorder="0" applyAlignment="0" applyProtection="0"/>
    <xf numFmtId="178" fontId="27" fillId="0" borderId="33" applyBorder="0"/>
    <xf numFmtId="267" fontId="8" fillId="4" borderId="0" applyFont="0" applyBorder="0" applyAlignment="0">
      <protection locked="0"/>
    </xf>
    <xf numFmtId="267" fontId="8" fillId="4" borderId="0" applyFont="0" applyBorder="0" applyAlignment="0">
      <protection locked="0"/>
    </xf>
    <xf numFmtId="178" fontId="27" fillId="0" borderId="33" applyBorder="0"/>
    <xf numFmtId="9" fontId="116" fillId="0" borderId="0" applyFont="0" applyFill="0" applyBorder="0" applyAlignment="0" applyProtection="0"/>
    <xf numFmtId="14" fontId="28" fillId="0" borderId="30" applyFont="0">
      <alignment horizontal="right"/>
    </xf>
    <xf numFmtId="173" fontId="116" fillId="0" borderId="0" applyFont="0" applyFill="0" applyBorder="0" applyAlignment="0" applyProtection="0"/>
    <xf numFmtId="168" fontId="116" fillId="0" borderId="0" applyFont="0" applyFill="0" applyBorder="0" applyAlignment="0" applyProtection="0"/>
    <xf numFmtId="0" fontId="3" fillId="0" borderId="0"/>
    <xf numFmtId="0" fontId="8" fillId="0" borderId="0" applyNumberFormat="0" applyFill="0" applyBorder="0" applyAlignment="0" applyProtection="0"/>
    <xf numFmtId="168" fontId="2" fillId="0" borderId="0" applyFont="0" applyFill="0" applyBorder="0" applyAlignment="0" applyProtection="0"/>
    <xf numFmtId="204" fontId="14" fillId="0" borderId="0" applyNumberFormat="0" applyFont="0" applyAlignment="0" applyProtection="0"/>
    <xf numFmtId="173" fontId="116" fillId="0" borderId="0" applyFont="0" applyFill="0" applyBorder="0" applyAlignment="0" applyProtection="0"/>
    <xf numFmtId="9" fontId="116" fillId="0" borderId="0" applyFont="0" applyFill="0" applyBorder="0" applyAlignment="0" applyProtection="0"/>
    <xf numFmtId="0" fontId="192" fillId="0" borderId="0" applyNumberFormat="0" applyFill="0" applyBorder="0" applyAlignment="0" applyProtection="0"/>
    <xf numFmtId="0" fontId="2" fillId="0" borderId="0"/>
    <xf numFmtId="38" fontId="14" fillId="0" borderId="0" applyFont="0" applyFill="0" applyBorder="0" applyAlignment="0" applyProtection="0"/>
    <xf numFmtId="178" fontId="27" fillId="0" borderId="33" applyBorder="0"/>
    <xf numFmtId="170" fontId="14" fillId="0" borderId="0" applyFont="0" applyFill="0" applyBorder="0" applyAlignment="0" applyProtection="0"/>
    <xf numFmtId="14" fontId="28" fillId="0" borderId="30" applyFont="0">
      <alignment horizontal="right"/>
    </xf>
    <xf numFmtId="0" fontId="116" fillId="68" borderId="0" applyNumberFormat="0" applyBorder="0" applyAlignment="0" applyProtection="0"/>
    <xf numFmtId="0" fontId="116"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6" fillId="71" borderId="0" applyNumberFormat="0" applyBorder="0" applyAlignment="0" applyProtection="0"/>
    <xf numFmtId="0" fontId="116" fillId="74" borderId="0" applyNumberFormat="0" applyBorder="0" applyAlignment="0" applyProtection="0"/>
    <xf numFmtId="0" fontId="116" fillId="77" borderId="0" applyNumberFormat="0" applyBorder="0" applyAlignment="0" applyProtection="0"/>
    <xf numFmtId="0" fontId="198" fillId="78" borderId="0" applyNumberFormat="0" applyBorder="0" applyAlignment="0" applyProtection="0"/>
    <xf numFmtId="0" fontId="198" fillId="75" borderId="0" applyNumberFormat="0" applyBorder="0" applyAlignment="0" applyProtection="0"/>
    <xf numFmtId="0" fontId="198" fillId="76" borderId="0" applyNumberFormat="0" applyBorder="0" applyAlignment="0" applyProtection="0"/>
    <xf numFmtId="0" fontId="198" fillId="79" borderId="0" applyNumberFormat="0" applyBorder="0" applyAlignment="0" applyProtection="0"/>
    <xf numFmtId="0" fontId="198" fillId="80" borderId="0" applyNumberFormat="0" applyBorder="0" applyAlignment="0" applyProtection="0"/>
    <xf numFmtId="0" fontId="198" fillId="81" borderId="0" applyNumberFormat="0" applyBorder="0" applyAlignment="0" applyProtection="0"/>
    <xf numFmtId="0" fontId="198" fillId="82" borderId="0" applyNumberFormat="0" applyBorder="0" applyAlignment="0" applyProtection="0"/>
    <xf numFmtId="0" fontId="198" fillId="83" borderId="0" applyNumberFormat="0" applyBorder="0" applyAlignment="0" applyProtection="0"/>
    <xf numFmtId="0" fontId="198" fillId="84" borderId="0" applyNumberFormat="0" applyBorder="0" applyAlignment="0" applyProtection="0"/>
    <xf numFmtId="0" fontId="198" fillId="79" borderId="0" applyNumberFormat="0" applyBorder="0" applyAlignment="0" applyProtection="0"/>
    <xf numFmtId="0" fontId="198" fillId="80" borderId="0" applyNumberFormat="0" applyBorder="0" applyAlignment="0" applyProtection="0"/>
    <xf numFmtId="0" fontId="198" fillId="85" borderId="0" applyNumberFormat="0" applyBorder="0" applyAlignment="0" applyProtection="0"/>
    <xf numFmtId="168" fontId="8" fillId="0" borderId="0" applyFont="0" applyFill="0" applyBorder="0" applyAlignment="0" applyProtection="0"/>
    <xf numFmtId="284" fontId="139" fillId="0" borderId="7">
      <alignment horizontal="centerContinuous"/>
    </xf>
    <xf numFmtId="173" fontId="8" fillId="0" borderId="0" applyFont="0" applyFill="0" applyBorder="0" applyAlignment="0" applyProtection="0"/>
    <xf numFmtId="278" fontId="8" fillId="0" borderId="0">
      <alignment horizontal="left" wrapText="1"/>
    </xf>
    <xf numFmtId="9" fontId="8" fillId="0" borderId="0" applyFont="0" applyFill="0" applyBorder="0" applyAlignment="0" applyProtection="0"/>
    <xf numFmtId="168" fontId="8" fillId="0" borderId="0" applyFont="0" applyFill="0" applyBorder="0" applyAlignment="0" applyProtection="0"/>
    <xf numFmtId="0" fontId="144" fillId="0" borderId="13">
      <protection hidden="1"/>
    </xf>
    <xf numFmtId="0" fontId="215" fillId="69" borderId="0" applyNumberFormat="0" applyBorder="0" applyAlignment="0" applyProtection="0"/>
    <xf numFmtId="9" fontId="8" fillId="0" borderId="0" applyFont="0" applyFill="0" applyBorder="0" applyAlignment="0" applyProtection="0"/>
    <xf numFmtId="178" fontId="27" fillId="0" borderId="33" applyBorder="0"/>
    <xf numFmtId="38" fontId="14" fillId="0" borderId="0" applyFont="0" applyFill="0" applyBorder="0" applyAlignment="0" applyProtection="0"/>
    <xf numFmtId="168" fontId="8" fillId="0" borderId="0" applyFont="0" applyFill="0" applyBorder="0" applyAlignment="0" applyProtection="0"/>
    <xf numFmtId="0" fontId="216" fillId="3" borderId="56" applyNumberFormat="0" applyAlignment="0" applyProtection="0"/>
    <xf numFmtId="173" fontId="8" fillId="0" borderId="0" applyFont="0" applyFill="0" applyBorder="0" applyAlignment="0" applyProtection="0"/>
    <xf numFmtId="9" fontId="8" fillId="0" borderId="0" applyFont="0" applyFill="0" applyBorder="0" applyAlignment="0" applyProtection="0"/>
    <xf numFmtId="0" fontId="201" fillId="86" borderId="57" applyNumberFormat="0" applyAlignment="0" applyProtection="0"/>
    <xf numFmtId="0" fontId="2" fillId="0" borderId="0"/>
    <xf numFmtId="178" fontId="27" fillId="0" borderId="33" applyBorder="0"/>
    <xf numFmtId="168" fontId="8" fillId="0" borderId="0" applyFont="0" applyFill="0" applyBorder="0" applyAlignment="0" applyProtection="0"/>
    <xf numFmtId="14" fontId="28" fillId="0" borderId="30" applyFont="0">
      <alignment horizontal="right"/>
    </xf>
    <xf numFmtId="9" fontId="116" fillId="0" borderId="0" applyFont="0" applyFill="0" applyBorder="0" applyAlignment="0" applyProtection="0"/>
    <xf numFmtId="168" fontId="116" fillId="0" borderId="0" applyFont="0" applyFill="0" applyBorder="0" applyAlignment="0" applyProtection="0"/>
    <xf numFmtId="310" fontId="8" fillId="0" borderId="0" applyFont="0" applyFill="0" applyBorder="0" applyAlignment="0" applyProtection="0">
      <alignment horizontal="right"/>
    </xf>
    <xf numFmtId="173" fontId="8" fillId="0" borderId="0" applyFont="0" applyFill="0" applyBorder="0" applyAlignment="0" applyProtection="0"/>
    <xf numFmtId="311" fontId="14" fillId="0" borderId="0" applyFont="0" applyFill="0" applyBorder="0" applyAlignment="0" applyProtection="0">
      <alignment horizontal="right"/>
    </xf>
    <xf numFmtId="14" fontId="28" fillId="0" borderId="30" applyFont="0">
      <alignment horizontal="right"/>
    </xf>
    <xf numFmtId="14" fontId="28" fillId="0" borderId="30" applyFont="0">
      <alignment horizontal="right"/>
    </xf>
    <xf numFmtId="170" fontId="14" fillId="0" borderId="0" applyFont="0" applyFill="0" applyBorder="0" applyAlignment="0" applyProtection="0"/>
    <xf numFmtId="178" fontId="27" fillId="0" borderId="33" applyBorder="0"/>
    <xf numFmtId="14" fontId="28" fillId="0" borderId="30" applyFont="0">
      <alignment horizontal="right"/>
    </xf>
    <xf numFmtId="267" fontId="8" fillId="4" borderId="0" applyFont="0" applyBorder="0" applyAlignment="0">
      <protection locked="0"/>
    </xf>
    <xf numFmtId="267" fontId="8" fillId="4" borderId="0" applyFont="0" applyBorder="0" applyAlignment="0">
      <protection locked="0"/>
    </xf>
    <xf numFmtId="176" fontId="118" fillId="0" borderId="9" applyNumberFormat="0" applyAlignment="0" applyProtection="0">
      <alignment vertical="top"/>
    </xf>
    <xf numFmtId="267" fontId="8" fillId="4" borderId="0" applyFont="0" applyBorder="0" applyAlignment="0">
      <protection locked="0"/>
    </xf>
    <xf numFmtId="3" fontId="221" fillId="11" borderId="4"/>
    <xf numFmtId="3" fontId="221" fillId="11" borderId="4"/>
    <xf numFmtId="3" fontId="221" fillId="11" borderId="4"/>
    <xf numFmtId="0" fontId="219" fillId="0" borderId="7"/>
    <xf numFmtId="0" fontId="220" fillId="0" borderId="0"/>
    <xf numFmtId="0" fontId="219" fillId="0" borderId="7"/>
    <xf numFmtId="0" fontId="220" fillId="0" borderId="0"/>
    <xf numFmtId="0" fontId="219" fillId="0" borderId="7"/>
    <xf numFmtId="0" fontId="220" fillId="0" borderId="0"/>
    <xf numFmtId="0" fontId="220" fillId="0" borderId="0"/>
    <xf numFmtId="0" fontId="219" fillId="0" borderId="7"/>
    <xf numFmtId="0" fontId="220" fillId="0" borderId="0"/>
    <xf numFmtId="0" fontId="219" fillId="0" borderId="7"/>
    <xf numFmtId="0" fontId="220" fillId="0" borderId="0"/>
    <xf numFmtId="231" fontId="118" fillId="0" borderId="9" applyNumberFormat="0" applyAlignment="0" applyProtection="0">
      <alignment vertical="top"/>
    </xf>
    <xf numFmtId="0" fontId="219" fillId="0" borderId="7"/>
    <xf numFmtId="267" fontId="8" fillId="4" borderId="0" applyFont="0" applyBorder="0" applyAlignment="0">
      <protection locked="0"/>
    </xf>
    <xf numFmtId="0" fontId="217" fillId="0" borderId="0" applyNumberFormat="0" applyFill="0" applyBorder="0" applyAlignment="0" applyProtection="0"/>
    <xf numFmtId="3" fontId="221" fillId="11" borderId="4"/>
    <xf numFmtId="267" fontId="8" fillId="4" borderId="0" applyFont="0" applyBorder="0" applyAlignment="0">
      <protection locked="0"/>
    </xf>
    <xf numFmtId="3" fontId="221" fillId="11" borderId="4"/>
    <xf numFmtId="3" fontId="221" fillId="11" borderId="4"/>
    <xf numFmtId="0" fontId="218" fillId="70" borderId="0" applyNumberFormat="0" applyBorder="0" applyAlignment="0" applyProtection="0"/>
    <xf numFmtId="267" fontId="8" fillId="4" borderId="0" applyFont="0" applyBorder="0" applyAlignment="0">
      <protection locked="0"/>
    </xf>
    <xf numFmtId="38" fontId="26" fillId="13" borderId="0" applyNumberFormat="0" applyBorder="0" applyAlignment="0" applyProtection="0"/>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19" fillId="0" borderId="7"/>
    <xf numFmtId="0" fontId="220" fillId="0" borderId="0"/>
    <xf numFmtId="0" fontId="22" fillId="0" borderId="0"/>
    <xf numFmtId="0" fontId="106" fillId="0" borderId="0"/>
    <xf numFmtId="267" fontId="8" fillId="4" borderId="0" applyFont="0" applyBorder="0" applyAlignment="0">
      <protection locked="0"/>
    </xf>
    <xf numFmtId="267" fontId="8" fillId="4" borderId="0" applyFont="0" applyBorder="0" applyAlignment="0">
      <protection locked="0"/>
    </xf>
    <xf numFmtId="3" fontId="221" fillId="11" borderId="4"/>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19" fillId="0" borderId="7"/>
    <xf numFmtId="0" fontId="220" fillId="0" borderId="0"/>
    <xf numFmtId="0" fontId="225" fillId="73" borderId="56" applyNumberFormat="0" applyAlignment="0" applyProtection="0"/>
    <xf numFmtId="0" fontId="222" fillId="0" borderId="58" applyNumberFormat="0" applyFill="0" applyAlignment="0" applyProtection="0"/>
    <xf numFmtId="14" fontId="28" fillId="0" borderId="30" applyFont="0">
      <alignment horizontal="right"/>
    </xf>
    <xf numFmtId="173" fontId="116" fillId="0" borderId="0" applyFont="0" applyFill="0" applyBorder="0" applyAlignment="0" applyProtection="0"/>
    <xf numFmtId="0" fontId="192" fillId="0" borderId="0" applyNumberFormat="0" applyFill="0" applyBorder="0" applyAlignment="0" applyProtection="0"/>
    <xf numFmtId="0" fontId="223" fillId="87" borderId="0" applyNumberFormat="0" applyBorder="0" applyAlignment="0" applyProtection="0"/>
    <xf numFmtId="9" fontId="8" fillId="0" borderId="0"/>
    <xf numFmtId="9" fontId="8" fillId="0" borderId="0" applyFont="0" applyFill="0" applyBorder="0" applyAlignment="0" applyProtection="0"/>
    <xf numFmtId="176" fontId="9" fillId="0" borderId="0"/>
    <xf numFmtId="2" fontId="9" fillId="0" borderId="0"/>
    <xf numFmtId="283" fontId="8" fillId="0" borderId="0"/>
    <xf numFmtId="173" fontId="8" fillId="0" borderId="0" applyFont="0" applyFill="0" applyBorder="0" applyAlignment="0" applyProtection="0"/>
    <xf numFmtId="14" fontId="28" fillId="0" borderId="30" applyFont="0">
      <alignment horizontal="right"/>
    </xf>
    <xf numFmtId="287" fontId="14" fillId="0" borderId="36" applyBorder="0"/>
    <xf numFmtId="9" fontId="8" fillId="0" borderId="0" applyFont="0" applyFill="0" applyBorder="0" applyAlignment="0" applyProtection="0"/>
    <xf numFmtId="0" fontId="14" fillId="0" borderId="0" applyNumberFormat="0" applyFill="0" applyBorder="0" applyAlignment="0" applyProtection="0"/>
    <xf numFmtId="291" fontId="8" fillId="0" borderId="0"/>
    <xf numFmtId="296" fontId="8" fillId="0" borderId="0" applyFont="0" applyFill="0" applyBorder="0" applyAlignment="0" applyProtection="0"/>
    <xf numFmtId="173" fontId="8" fillId="0" borderId="0" applyFont="0" applyFill="0" applyBorder="0" applyAlignment="0" applyProtection="0"/>
    <xf numFmtId="0" fontId="2" fillId="0" borderId="0"/>
    <xf numFmtId="168" fontId="8" fillId="0" borderId="0" applyFont="0" applyFill="0" applyBorder="0" applyAlignment="0" applyProtection="0"/>
    <xf numFmtId="0" fontId="8" fillId="88" borderId="59" applyNumberFormat="0" applyFont="0" applyAlignment="0" applyProtection="0"/>
    <xf numFmtId="178" fontId="27" fillId="0" borderId="33" applyBorder="0"/>
    <xf numFmtId="0" fontId="224" fillId="3" borderId="60" applyNumberFormat="0" applyAlignment="0" applyProtection="0"/>
    <xf numFmtId="9" fontId="14" fillId="0" borderId="0" applyFont="0" applyFill="0" applyBorder="0" applyAlignment="0" applyProtection="0"/>
    <xf numFmtId="168" fontId="116"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10" fontId="8" fillId="0" borderId="0" applyFont="0" applyFill="0" applyBorder="0" applyAlignment="0" applyProtection="0"/>
    <xf numFmtId="9" fontId="14" fillId="0" borderId="0" applyFont="0" applyFill="0" applyBorder="0" applyAlignment="0" applyProtection="0"/>
    <xf numFmtId="0" fontId="2" fillId="0" borderId="0"/>
    <xf numFmtId="178" fontId="27" fillId="0" borderId="33" applyBorder="0"/>
    <xf numFmtId="0" fontId="8" fillId="0" borderId="0" applyNumberFormat="0" applyFill="0" applyBorder="0" applyAlignment="0" applyProtection="0"/>
    <xf numFmtId="173" fontId="8" fillId="0" borderId="0" applyFont="0" applyFill="0" applyBorder="0" applyAlignment="0" applyProtection="0"/>
    <xf numFmtId="0" fontId="179" fillId="0" borderId="7" applyNumberFormat="0" applyFill="0" applyProtection="0"/>
    <xf numFmtId="0" fontId="49" fillId="0" borderId="0"/>
    <xf numFmtId="0" fontId="2" fillId="0" borderId="0"/>
    <xf numFmtId="231" fontId="63" fillId="0" borderId="0" applyBorder="0"/>
    <xf numFmtId="168" fontId="116" fillId="0" borderId="0" applyFont="0" applyFill="0" applyBorder="0" applyAlignment="0" applyProtection="0"/>
    <xf numFmtId="0" fontId="8" fillId="0" borderId="0" applyNumberFormat="0" applyFill="0" applyBorder="0" applyAlignment="0" applyProtection="0"/>
    <xf numFmtId="0" fontId="132" fillId="0" borderId="61" applyNumberFormat="0" applyFill="0" applyAlignment="0" applyProtection="0"/>
    <xf numFmtId="178" fontId="27" fillId="0" borderId="33" applyBorder="0"/>
    <xf numFmtId="14" fontId="28" fillId="0" borderId="30" applyFont="0">
      <alignment horizontal="right"/>
    </xf>
    <xf numFmtId="173" fontId="116" fillId="0" borderId="0" applyFont="0" applyFill="0" applyBorder="0" applyAlignment="0" applyProtection="0"/>
    <xf numFmtId="0" fontId="8" fillId="0" borderId="0" applyNumberFormat="0" applyFill="0" applyBorder="0" applyAlignment="0" applyProtection="0"/>
    <xf numFmtId="178" fontId="27" fillId="0" borderId="33" applyBorder="0"/>
    <xf numFmtId="14" fontId="28" fillId="0" borderId="30" applyFont="0">
      <alignment horizontal="right"/>
    </xf>
    <xf numFmtId="283" fontId="9" fillId="0" borderId="0"/>
    <xf numFmtId="173" fontId="8" fillId="0" borderId="0" applyFont="0" applyFill="0" applyBorder="0" applyAlignment="0" applyProtection="0"/>
    <xf numFmtId="283" fontId="8" fillId="0" borderId="0"/>
    <xf numFmtId="0" fontId="8" fillId="0" borderId="0" applyNumberFormat="0" applyFill="0" applyBorder="0" applyAlignment="0" applyProtection="0"/>
    <xf numFmtId="173" fontId="116" fillId="0" borderId="0" applyFont="0" applyFill="0" applyBorder="0" applyAlignment="0" applyProtection="0"/>
    <xf numFmtId="0" fontId="2" fillId="0" borderId="0"/>
    <xf numFmtId="9" fontId="116" fillId="0" borderId="0" applyFont="0" applyFill="0" applyBorder="0" applyAlignment="0" applyProtection="0"/>
    <xf numFmtId="170" fontId="8" fillId="0" borderId="0" applyFont="0" applyFill="0" applyBorder="0" applyAlignment="0" applyProtection="0"/>
    <xf numFmtId="9" fontId="2"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178" fontId="27" fillId="0" borderId="33" applyBorder="0"/>
    <xf numFmtId="0" fontId="2" fillId="0" borderId="0"/>
    <xf numFmtId="3" fontId="221" fillId="11" borderId="4"/>
    <xf numFmtId="9" fontId="116" fillId="0" borderId="0" applyFont="0" applyFill="0" applyBorder="0" applyAlignment="0" applyProtection="0"/>
    <xf numFmtId="173"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8" fillId="0" borderId="0" applyNumberFormat="0" applyFill="0" applyBorder="0" applyAlignment="0" applyProtection="0"/>
    <xf numFmtId="283" fontId="8" fillId="0" borderId="0"/>
    <xf numFmtId="178" fontId="27" fillId="0" borderId="33" applyBorder="0"/>
    <xf numFmtId="290" fontId="8" fillId="0" borderId="0"/>
    <xf numFmtId="14" fontId="28" fillId="0" borderId="30" applyFont="0">
      <alignment horizontal="right"/>
    </xf>
    <xf numFmtId="38" fontId="14" fillId="0" borderId="0" applyFont="0" applyFill="0" applyBorder="0" applyAlignment="0" applyProtection="0"/>
    <xf numFmtId="168" fontId="116" fillId="0" borderId="0" applyFont="0" applyFill="0" applyBorder="0" applyAlignment="0" applyProtection="0"/>
    <xf numFmtId="0" fontId="8" fillId="0" borderId="0" applyNumberFormat="0" applyFill="0" applyBorder="0" applyAlignment="0" applyProtection="0"/>
    <xf numFmtId="178" fontId="27" fillId="0" borderId="33" applyBorder="0"/>
    <xf numFmtId="38" fontId="14" fillId="0" borderId="0" applyFont="0" applyFill="0" applyBorder="0" applyAlignment="0" applyProtection="0"/>
    <xf numFmtId="14" fontId="28" fillId="0" borderId="30" applyFont="0">
      <alignment horizontal="right"/>
    </xf>
    <xf numFmtId="0" fontId="9" fillId="0" borderId="0"/>
    <xf numFmtId="0" fontId="8" fillId="0" borderId="0" applyNumberFormat="0" applyFill="0" applyBorder="0" applyAlignment="0" applyProtection="0"/>
    <xf numFmtId="173" fontId="8" fillId="0" borderId="0" applyFont="0" applyFill="0" applyBorder="0" applyAlignment="0" applyProtection="0"/>
    <xf numFmtId="178" fontId="27" fillId="0" borderId="33" applyBorder="0"/>
    <xf numFmtId="14" fontId="28" fillId="0" borderId="30" applyFont="0">
      <alignment horizontal="right"/>
    </xf>
    <xf numFmtId="14" fontId="28" fillId="0" borderId="30" applyFont="0">
      <alignment horizontal="right"/>
    </xf>
    <xf numFmtId="173" fontId="8" fillId="0" borderId="0" applyFont="0" applyFill="0" applyBorder="0" applyAlignment="0" applyProtection="0"/>
    <xf numFmtId="173" fontId="8"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73" fontId="116" fillId="0" borderId="0" applyFont="0" applyFill="0" applyBorder="0" applyAlignment="0" applyProtection="0"/>
    <xf numFmtId="173" fontId="8" fillId="0" borderId="0" applyFont="0" applyFill="0" applyBorder="0" applyAlignment="0" applyProtection="0"/>
    <xf numFmtId="14" fontId="28" fillId="0" borderId="30" applyFont="0">
      <alignment horizontal="right"/>
    </xf>
    <xf numFmtId="9" fontId="116" fillId="0" borderId="0" applyFont="0" applyFill="0" applyBorder="0" applyAlignment="0" applyProtection="0"/>
    <xf numFmtId="170" fontId="14" fillId="0" borderId="0" applyFont="0" applyFill="0" applyBorder="0" applyAlignment="0" applyProtection="0"/>
    <xf numFmtId="173" fontId="116" fillId="0" borderId="0" applyFont="0" applyFill="0" applyBorder="0" applyAlignment="0" applyProtection="0"/>
    <xf numFmtId="311" fontId="14" fillId="0" borderId="0" applyFont="0" applyFill="0" applyBorder="0" applyAlignment="0" applyProtection="0">
      <alignment horizontal="right"/>
    </xf>
    <xf numFmtId="14" fontId="28" fillId="0" borderId="30" applyFont="0">
      <alignment horizontal="right"/>
    </xf>
    <xf numFmtId="168" fontId="8" fillId="0" borderId="0" applyFont="0" applyFill="0" applyBorder="0" applyAlignment="0" applyProtection="0"/>
    <xf numFmtId="3" fontId="221" fillId="11" borderId="4"/>
    <xf numFmtId="0" fontId="14" fillId="0" borderId="0"/>
    <xf numFmtId="310" fontId="8" fillId="0" borderId="0" applyFont="0" applyFill="0" applyBorder="0" applyAlignment="0" applyProtection="0">
      <alignment horizontal="right"/>
    </xf>
    <xf numFmtId="283" fontId="8" fillId="0" borderId="0"/>
    <xf numFmtId="168" fontId="116" fillId="0" borderId="0" applyFont="0" applyFill="0" applyBorder="0" applyAlignment="0" applyProtection="0"/>
    <xf numFmtId="14" fontId="28" fillId="0" borderId="30" applyFont="0">
      <alignment horizontal="right"/>
    </xf>
    <xf numFmtId="294" fontId="8" fillId="0" borderId="0" applyFont="0" applyFill="0" applyBorder="0" applyAlignment="0" applyProtection="0"/>
    <xf numFmtId="283" fontId="8" fillId="0" borderId="0"/>
    <xf numFmtId="168" fontId="2" fillId="0" borderId="0" applyFont="0" applyFill="0" applyBorder="0" applyAlignment="0" applyProtection="0"/>
    <xf numFmtId="178" fontId="27" fillId="0" borderId="33" applyBorder="0"/>
    <xf numFmtId="283" fontId="9" fillId="0" borderId="0"/>
    <xf numFmtId="9" fontId="116" fillId="0" borderId="0" applyFont="0" applyFill="0" applyBorder="0" applyAlignment="0" applyProtection="0"/>
    <xf numFmtId="168"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267" fontId="8" fillId="4" borderId="0" applyFont="0" applyBorder="0" applyAlignment="0">
      <protection locked="0"/>
    </xf>
    <xf numFmtId="3" fontId="221" fillId="11" borderId="4"/>
    <xf numFmtId="178" fontId="27" fillId="0" borderId="33" applyBorder="0"/>
    <xf numFmtId="0" fontId="2" fillId="0" borderId="0"/>
    <xf numFmtId="0" fontId="2" fillId="0" borderId="0"/>
    <xf numFmtId="0" fontId="2" fillId="0" borderId="0"/>
    <xf numFmtId="0" fontId="2" fillId="0" borderId="0"/>
    <xf numFmtId="0" fontId="2" fillId="0" borderId="0"/>
    <xf numFmtId="0" fontId="2" fillId="0" borderId="0"/>
    <xf numFmtId="173" fontId="8" fillId="0" borderId="0" applyFont="0" applyFill="0" applyBorder="0" applyAlignment="0" applyProtection="0"/>
    <xf numFmtId="178" fontId="27" fillId="0" borderId="33" applyBorder="0"/>
    <xf numFmtId="14" fontId="28" fillId="0" borderId="30" applyFont="0">
      <alignment horizontal="right"/>
    </xf>
    <xf numFmtId="170" fontId="14" fillId="0" borderId="0" applyFont="0" applyFill="0" applyBorder="0" applyAlignment="0" applyProtection="0"/>
    <xf numFmtId="9" fontId="14" fillId="0" borderId="0" applyFont="0" applyFill="0" applyBorder="0" applyAlignment="0" applyProtection="0"/>
    <xf numFmtId="178" fontId="27" fillId="0" borderId="33" applyBorder="0"/>
    <xf numFmtId="278" fontId="8" fillId="0" borderId="0">
      <alignment horizontal="left" wrapText="1"/>
    </xf>
    <xf numFmtId="10" fontId="9" fillId="0" borderId="0"/>
    <xf numFmtId="37" fontId="14" fillId="0" borderId="0"/>
    <xf numFmtId="0" fontId="49" fillId="34" borderId="46" applyNumberFormat="0" applyFont="0" applyAlignment="0">
      <protection locked="0"/>
    </xf>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3" fontId="221" fillId="11" borderId="4"/>
    <xf numFmtId="302" fontId="14" fillId="0" borderId="0"/>
    <xf numFmtId="173" fontId="8" fillId="0" borderId="0" applyFont="0" applyFill="0" applyBorder="0" applyAlignment="0" applyProtection="0"/>
    <xf numFmtId="173" fontId="8" fillId="0" borderId="0" applyFont="0" applyFill="0" applyBorder="0" applyAlignment="0" applyProtection="0"/>
    <xf numFmtId="9" fontId="14"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04" fontId="14" fillId="0" borderId="0" applyNumberFormat="0" applyAlignment="0">
      <alignment horizontal="left"/>
    </xf>
    <xf numFmtId="9"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04" fontId="14" fillId="0" borderId="0" applyFont="0" applyFill="0" applyBorder="0" applyAlignment="0" applyProtection="0">
      <alignment horizontal="right"/>
    </xf>
    <xf numFmtId="9" fontId="8" fillId="0" borderId="0" applyFont="0" applyFill="0" applyBorder="0" applyAlignment="0" applyProtection="0"/>
    <xf numFmtId="9" fontId="8" fillId="0" borderId="0" applyFont="0" applyFill="0" applyBorder="0" applyAlignment="0" applyProtection="0"/>
    <xf numFmtId="178" fontId="14" fillId="0" borderId="0" applyFill="0" applyBorder="0" applyAlignment="0" applyProtection="0"/>
    <xf numFmtId="303" fontId="14" fillId="0" borderId="33" applyFont="0" applyFill="0" applyBorder="0" applyAlignment="0" applyProtection="0"/>
    <xf numFmtId="302" fontId="14" fillId="0" borderId="0"/>
    <xf numFmtId="37" fontId="14" fillId="0" borderId="0"/>
    <xf numFmtId="168" fontId="8" fillId="0" borderId="0" applyFont="0" applyFill="0" applyBorder="0" applyAlignment="0" applyProtection="0"/>
    <xf numFmtId="168" fontId="8" fillId="0" borderId="0" applyFont="0" applyFill="0" applyBorder="0" applyAlignment="0" applyProtection="0"/>
    <xf numFmtId="304" fontId="14" fillId="0" borderId="0">
      <alignment horizontal="right"/>
    </xf>
    <xf numFmtId="37" fontId="14" fillId="0" borderId="0"/>
    <xf numFmtId="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233" fontId="14" fillId="0" borderId="0" applyFill="0" applyBorder="0" applyAlignment="0" applyProtection="0"/>
    <xf numFmtId="168" fontId="8" fillId="0" borderId="0" applyFont="0" applyFill="0" applyBorder="0" applyAlignment="0" applyProtection="0"/>
    <xf numFmtId="37" fontId="14" fillId="0" borderId="0"/>
    <xf numFmtId="37" fontId="14" fillId="0" borderId="0"/>
    <xf numFmtId="9" fontId="8" fillId="0" borderId="0" applyFont="0" applyFill="0" applyBorder="0" applyAlignment="0" applyProtection="0"/>
    <xf numFmtId="168"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0" fontId="44" fillId="0" borderId="17" applyNumberFormat="0" applyBorder="0" applyAlignment="0"/>
    <xf numFmtId="178" fontId="14" fillId="0" borderId="7" applyFont="0" applyFill="0" applyBorder="0" applyAlignment="0" applyProtection="0">
      <alignment horizontal="right"/>
    </xf>
    <xf numFmtId="0" fontId="8" fillId="0" borderId="0" applyNumberFormat="0" applyFill="0" applyBorder="0" applyAlignment="0" applyProtection="0"/>
    <xf numFmtId="37" fontId="14" fillId="37" borderId="4" applyNumberFormat="0" applyAlignment="0" applyProtection="0"/>
    <xf numFmtId="279" fontId="14" fillId="0" borderId="0"/>
    <xf numFmtId="309"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37" fontId="14" fillId="0" borderId="0"/>
    <xf numFmtId="168" fontId="8" fillId="0" borderId="0" applyFont="0" applyFill="0" applyBorder="0" applyAlignment="0" applyProtection="0"/>
    <xf numFmtId="37" fontId="14" fillId="0" borderId="0"/>
    <xf numFmtId="37" fontId="14" fillId="0" borderId="0"/>
    <xf numFmtId="37" fontId="14" fillId="0" borderId="0"/>
    <xf numFmtId="37" fontId="1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116" fillId="0" borderId="0" applyFont="0" applyFill="0" applyBorder="0" applyAlignment="0" applyProtection="0"/>
    <xf numFmtId="0" fontId="2" fillId="0" borderId="0"/>
    <xf numFmtId="9" fontId="116" fillId="0" borderId="0" applyFont="0" applyFill="0" applyBorder="0" applyAlignment="0" applyProtection="0"/>
    <xf numFmtId="0" fontId="2" fillId="0" borderId="0"/>
    <xf numFmtId="9" fontId="116" fillId="0" borderId="0" applyFont="0" applyFill="0" applyBorder="0" applyAlignment="0" applyProtection="0"/>
    <xf numFmtId="38" fontId="14" fillId="0" borderId="0" applyFont="0" applyFill="0" applyBorder="0" applyAlignment="0" applyProtection="0"/>
    <xf numFmtId="0" fontId="26" fillId="0" borderId="0" applyNumberFormat="0" applyFill="0" applyBorder="0" applyAlignment="0" applyProtection="0"/>
    <xf numFmtId="0" fontId="8" fillId="0" borderId="0"/>
    <xf numFmtId="0" fontId="8" fillId="0" borderId="0"/>
    <xf numFmtId="0" fontId="8" fillId="0" borderId="0"/>
    <xf numFmtId="0" fontId="8" fillId="0" borderId="0"/>
    <xf numFmtId="0" fontId="226" fillId="0" borderId="0" applyNumberFormat="0" applyFill="0" applyBorder="0" applyAlignment="0" applyProtection="0">
      <alignment vertical="top"/>
      <protection locked="0"/>
    </xf>
    <xf numFmtId="3" fontId="221" fillId="11" borderId="4"/>
    <xf numFmtId="9" fontId="14" fillId="0" borderId="0" applyFont="0" applyFill="0" applyBorder="0" applyAlignment="0" applyProtection="0"/>
    <xf numFmtId="170" fontId="14" fillId="0" borderId="0" applyFont="0" applyFill="0" applyBorder="0" applyAlignment="0" applyProtection="0"/>
    <xf numFmtId="0" fontId="192" fillId="0" borderId="0" applyNumberFormat="0" applyFill="0" applyBorder="0" applyAlignment="0" applyProtection="0"/>
    <xf numFmtId="14" fontId="28" fillId="0" borderId="30" applyFont="0">
      <alignment horizontal="right"/>
    </xf>
    <xf numFmtId="38" fontId="14" fillId="0" borderId="0" applyFont="0" applyFill="0" applyBorder="0" applyAlignment="0" applyProtection="0"/>
    <xf numFmtId="178" fontId="27" fillId="0" borderId="33" applyBorder="0"/>
    <xf numFmtId="0" fontId="8" fillId="0" borderId="0"/>
    <xf numFmtId="0" fontId="6" fillId="0" borderId="0"/>
    <xf numFmtId="0" fontId="1" fillId="0" borderId="0"/>
    <xf numFmtId="0" fontId="6" fillId="0" borderId="0"/>
    <xf numFmtId="0" fontId="6" fillId="0" borderId="0"/>
    <xf numFmtId="0" fontId="27" fillId="0" borderId="0" applyNumberFormat="0" applyAlignment="0">
      <alignment vertical="center"/>
    </xf>
    <xf numFmtId="0" fontId="27" fillId="9" borderId="0" applyNumberFormat="0">
      <alignment horizontal="center" vertical="top" wrapText="1"/>
    </xf>
    <xf numFmtId="168" fontId="6" fillId="0" borderId="0" applyFont="0" applyFill="0" applyBorder="0" applyAlignment="0" applyProtection="0"/>
    <xf numFmtId="168" fontId="6" fillId="0" borderId="0" applyFont="0" applyFill="0" applyBorder="0" applyAlignment="0" applyProtection="0"/>
    <xf numFmtId="187" fontId="27" fillId="0" borderId="0" applyFont="0" applyFill="0" applyBorder="0" applyAlignment="0" applyProtection="0">
      <alignment vertical="center"/>
    </xf>
    <xf numFmtId="192" fontId="27" fillId="0" borderId="0" applyFont="0" applyFill="0" applyBorder="0" applyAlignment="0" applyProtection="0">
      <alignment vertical="center"/>
    </xf>
    <xf numFmtId="193" fontId="27" fillId="0" borderId="0" applyFont="0" applyFill="0" applyBorder="0" applyAlignment="0" applyProtection="0">
      <alignment vertical="center"/>
    </xf>
    <xf numFmtId="190" fontId="27" fillId="0" borderId="0" applyFont="0" applyFill="0" applyBorder="0" applyAlignment="0" applyProtection="0">
      <alignment vertical="center"/>
    </xf>
    <xf numFmtId="191" fontId="27" fillId="0" borderId="0" applyFont="0" applyFill="0" applyBorder="0" applyAlignment="0" applyProtection="0">
      <alignment vertical="center"/>
    </xf>
    <xf numFmtId="188" fontId="27" fillId="0" borderId="0" applyFont="0" applyFill="0" applyBorder="0" applyAlignment="0" applyProtection="0">
      <alignment vertical="center"/>
    </xf>
    <xf numFmtId="189" fontId="27" fillId="0" borderId="0" applyFont="0" applyFill="0" applyBorder="0" applyAlignment="0" applyProtection="0">
      <alignment vertical="center"/>
    </xf>
    <xf numFmtId="198" fontId="27" fillId="0" borderId="0" applyFont="0" applyFill="0" applyBorder="0" applyAlignment="0" applyProtection="0">
      <alignment vertical="center"/>
    </xf>
    <xf numFmtId="199" fontId="27" fillId="0" borderId="0" applyFont="0" applyFill="0" applyBorder="0" applyAlignment="0" applyProtection="0">
      <alignment vertical="center"/>
    </xf>
    <xf numFmtId="196" fontId="27" fillId="0" borderId="0" applyFont="0" applyFill="0" applyBorder="0" applyAlignment="0" applyProtection="0">
      <alignment vertical="center"/>
    </xf>
    <xf numFmtId="197" fontId="27" fillId="0" borderId="0" applyFont="0" applyFill="0" applyBorder="0" applyAlignment="0" applyProtection="0">
      <alignment vertical="center"/>
    </xf>
    <xf numFmtId="194" fontId="27" fillId="0" borderId="0" applyFont="0" applyFill="0" applyBorder="0" applyAlignment="0" applyProtection="0">
      <alignment vertical="center"/>
    </xf>
    <xf numFmtId="195" fontId="27" fillId="0" borderId="0" applyFont="0" applyFill="0" applyBorder="0" applyAlignment="0" applyProtection="0">
      <alignment vertical="center"/>
    </xf>
    <xf numFmtId="200" fontId="27" fillId="0" borderId="0" applyFont="0" applyFill="0" applyBorder="0" applyAlignment="0" applyProtection="0">
      <alignment vertical="center"/>
    </xf>
    <xf numFmtId="201" fontId="27" fillId="0" borderId="0" applyFont="0" applyFill="0" applyBorder="0" applyAlignment="0" applyProtection="0">
      <alignment vertical="center"/>
    </xf>
    <xf numFmtId="0" fontId="8" fillId="0" borderId="0" applyProtection="0">
      <alignment horizontal="left"/>
    </xf>
    <xf numFmtId="0" fontId="8" fillId="0" borderId="0" applyProtection="0">
      <alignment horizontal="left"/>
    </xf>
    <xf numFmtId="0" fontId="27" fillId="17" borderId="0" applyNumberFormat="0" applyFont="0" applyBorder="0" applyAlignment="0" applyProtection="0">
      <alignment vertical="center"/>
    </xf>
    <xf numFmtId="16" fontId="8" fillId="0" borderId="0" applyNumberFormat="0" applyFill="0" applyBorder="0" applyAlignment="0" applyProtection="0">
      <alignment horizontal="right"/>
    </xf>
    <xf numFmtId="0" fontId="27" fillId="0" borderId="10" applyNumberFormat="0" applyAlignment="0">
      <alignment vertical="center"/>
    </xf>
    <xf numFmtId="0" fontId="27" fillId="0" borderId="63" applyNumberFormat="0" applyAlignment="0">
      <alignment vertical="center"/>
      <protection locked="0"/>
    </xf>
    <xf numFmtId="183" fontId="27" fillId="19" borderId="63" applyNumberFormat="0" applyAlignment="0">
      <alignment vertical="center"/>
      <protection locked="0"/>
    </xf>
    <xf numFmtId="0" fontId="27" fillId="14" borderId="0" applyNumberFormat="0" applyAlignment="0">
      <alignment vertical="center"/>
    </xf>
    <xf numFmtId="0" fontId="27" fillId="20" borderId="0" applyNumberFormat="0" applyAlignment="0">
      <alignment vertical="center"/>
    </xf>
    <xf numFmtId="0" fontId="27" fillId="0" borderId="64" applyNumberFormat="0" applyAlignment="0">
      <alignment vertical="center"/>
      <protection locked="0"/>
    </xf>
    <xf numFmtId="0" fontId="17" fillId="22" borderId="65">
      <alignment horizontal="left" vertical="center" wrapText="1"/>
    </xf>
    <xf numFmtId="0" fontId="26" fillId="0" borderId="0" applyNumberFormat="0" applyFill="0" applyBorder="0" applyAlignment="0" applyProtection="0">
      <alignment vertical="center"/>
    </xf>
    <xf numFmtId="183" fontId="27" fillId="0" borderId="0" applyFont="0" applyFill="0" applyBorder="0" applyAlignment="0" applyProtection="0">
      <alignment vertical="center"/>
    </xf>
    <xf numFmtId="184" fontId="27" fillId="0" borderId="0" applyFont="0" applyFill="0" applyBorder="0" applyAlignment="0" applyProtection="0">
      <alignment vertical="center"/>
    </xf>
    <xf numFmtId="0" fontId="11"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5" fontId="27" fillId="0" borderId="0" applyFont="0" applyFill="0" applyBorder="0" applyAlignment="0" applyProtection="0">
      <alignment horizontal="right" vertical="center"/>
    </xf>
    <xf numFmtId="186" fontId="27" fillId="0" borderId="0" applyFont="0" applyFill="0" applyBorder="0" applyAlignment="0" applyProtection="0">
      <alignment vertical="center"/>
    </xf>
    <xf numFmtId="0" fontId="27" fillId="0" borderId="0" applyNumberFormat="0" applyFill="0" applyBorder="0">
      <alignment horizontal="left" vertical="center" wrapText="1" indent="1"/>
    </xf>
    <xf numFmtId="183" fontId="27" fillId="0" borderId="28" applyNumberFormat="0" applyFont="0" applyFill="0" applyAlignment="0" applyProtection="0">
      <alignment vertical="center"/>
    </xf>
    <xf numFmtId="0" fontId="27" fillId="13" borderId="0" applyNumberFormat="0" applyFont="0" applyBorder="0" applyAlignment="0" applyProtection="0">
      <alignment vertical="center"/>
    </xf>
    <xf numFmtId="0" fontId="27" fillId="0" borderId="0" applyNumberFormat="0" applyFont="0" applyFill="0" applyAlignment="0" applyProtection="0">
      <alignment vertical="center"/>
    </xf>
    <xf numFmtId="183" fontId="27" fillId="0" borderId="0" applyNumberFormat="0" applyFont="0" applyBorder="0" applyAlignment="0" applyProtection="0">
      <alignment vertical="center"/>
    </xf>
    <xf numFmtId="49" fontId="27" fillId="0" borderId="0" applyFont="0" applyFill="0" applyBorder="0" applyAlignment="0" applyProtection="0">
      <alignment horizontal="center" vertical="center"/>
    </xf>
    <xf numFmtId="172" fontId="11" fillId="0" borderId="7" applyFill="0" applyAlignment="0" applyProtection="0"/>
    <xf numFmtId="204" fontId="8" fillId="0" borderId="62" applyNumberFormat="0" applyFont="0" applyFill="0" applyAlignment="0"/>
    <xf numFmtId="183" fontId="33" fillId="0" borderId="0" applyNumberFormat="0" applyFill="0" applyBorder="0" applyAlignment="0" applyProtection="0">
      <alignment vertical="center"/>
    </xf>
    <xf numFmtId="0" fontId="27" fillId="0" borderId="0" applyNumberFormat="0" applyFont="0" applyBorder="0" applyAlignment="0" applyProtection="0">
      <alignment vertical="center"/>
    </xf>
    <xf numFmtId="0" fontId="27" fillId="0" borderId="0" applyNumberFormat="0" applyFont="0" applyAlignment="0" applyProtection="0">
      <alignment vertical="center"/>
    </xf>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43" fillId="0" borderId="66" applyNumberFormat="0" applyFill="0" applyBorder="0" applyAlignment="0" applyProtection="0"/>
    <xf numFmtId="0" fontId="62" fillId="0" borderId="66" applyNumberFormat="0" applyFill="0" applyBorder="0" applyAlignment="0" applyProtection="0"/>
    <xf numFmtId="0" fontId="117" fillId="0" borderId="66" applyNumberFormat="0" applyFill="0" applyBorder="0" applyAlignment="0" applyProtection="0"/>
    <xf numFmtId="0" fontId="26" fillId="0" borderId="66" applyNumberFormat="0" applyFill="0" applyAlignment="0" applyProtection="0"/>
    <xf numFmtId="256" fontId="155" fillId="0" borderId="62" applyNumberFormat="0" applyBorder="0"/>
    <xf numFmtId="0" fontId="28" fillId="17" borderId="65">
      <alignment horizontal="left" vertical="center" wrapText="1"/>
    </xf>
    <xf numFmtId="303" fontId="14" fillId="0" borderId="62" applyFont="0" applyFill="0" applyBorder="0" applyAlignment="0" applyProtection="0"/>
    <xf numFmtId="178" fontId="27" fillId="0" borderId="62" applyBorder="0"/>
    <xf numFmtId="0" fontId="176" fillId="0" borderId="62" applyNumberFormat="0" applyFill="0" applyProtection="0">
      <alignment horizontal="right"/>
    </xf>
    <xf numFmtId="0" fontId="178" fillId="0" borderId="66" applyNumberFormat="0" applyFill="0" applyBorder="0" applyAlignment="0" applyProtection="0"/>
    <xf numFmtId="0" fontId="1" fillId="0" borderId="0"/>
    <xf numFmtId="0" fontId="187" fillId="0" borderId="66" applyNumberFormat="0" applyFill="0" applyBorder="0" applyAlignment="0" applyProtection="0"/>
    <xf numFmtId="0" fontId="188" fillId="0" borderId="66" applyNumberFormat="0" applyFill="0" applyBorder="0" applyAlignment="0" applyProtection="0"/>
    <xf numFmtId="0" fontId="189" fillId="0" borderId="66" applyNumberForma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0" fontId="1" fillId="0" borderId="0"/>
    <xf numFmtId="168" fontId="1" fillId="0" borderId="0" applyFont="0" applyFill="0" applyBorder="0" applyAlignment="0" applyProtection="0"/>
    <xf numFmtId="0" fontId="1" fillId="0" borderId="0"/>
    <xf numFmtId="178" fontId="27" fillId="0" borderId="62" applyBorder="0"/>
    <xf numFmtId="178" fontId="27" fillId="0" borderId="62" applyBorder="0"/>
    <xf numFmtId="0" fontId="216" fillId="3" borderId="67" applyNumberFormat="0" applyAlignment="0" applyProtection="0"/>
    <xf numFmtId="0" fontId="1" fillId="0" borderId="0"/>
    <xf numFmtId="178" fontId="27" fillId="0" borderId="62" applyBorder="0"/>
    <xf numFmtId="178" fontId="27" fillId="0" borderId="62" applyBorder="0"/>
    <xf numFmtId="0" fontId="1" fillId="0" borderId="0"/>
    <xf numFmtId="0" fontId="8" fillId="88" borderId="68" applyNumberFormat="0" applyFont="0" applyAlignment="0" applyProtection="0"/>
    <xf numFmtId="178" fontId="27" fillId="0" borderId="62" applyBorder="0"/>
    <xf numFmtId="0" fontId="224" fillId="3" borderId="69" applyNumberFormat="0" applyAlignment="0" applyProtection="0"/>
    <xf numFmtId="0" fontId="1" fillId="0" borderId="0"/>
    <xf numFmtId="178" fontId="27" fillId="0" borderId="62" applyBorder="0"/>
    <xf numFmtId="0" fontId="1" fillId="0" borderId="0"/>
    <xf numFmtId="0" fontId="132" fillId="0" borderId="70" applyNumberFormat="0" applyFill="0" applyAlignment="0" applyProtection="0"/>
    <xf numFmtId="178" fontId="27" fillId="0" borderId="62" applyBorder="0"/>
    <xf numFmtId="178" fontId="27" fillId="0" borderId="62" applyBorder="0"/>
    <xf numFmtId="0" fontId="1" fillId="0" borderId="0"/>
    <xf numFmtId="9" fontId="1" fillId="0" borderId="0" applyFont="0" applyFill="0" applyBorder="0" applyAlignment="0" applyProtection="0"/>
    <xf numFmtId="178" fontId="27" fillId="0" borderId="62" applyBorder="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8" fontId="27" fillId="0" borderId="62" applyBorder="0"/>
    <xf numFmtId="178" fontId="27" fillId="0" borderId="62" applyBorder="0"/>
    <xf numFmtId="178" fontId="27" fillId="0" borderId="62" applyBorder="0"/>
    <xf numFmtId="168" fontId="1" fillId="0" borderId="0" applyFont="0" applyFill="0" applyBorder="0" applyAlignment="0" applyProtection="0"/>
    <xf numFmtId="178" fontId="27" fillId="0" borderId="62" applyBorder="0"/>
    <xf numFmtId="168"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8" fontId="27" fillId="0" borderId="62" applyBorder="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303" fontId="14" fillId="0" borderId="62" applyFont="0" applyFill="0" applyBorder="0" applyAlignment="0" applyProtection="0"/>
    <xf numFmtId="0" fontId="1" fillId="0" borderId="0"/>
    <xf numFmtId="0" fontId="1" fillId="0" borderId="0"/>
    <xf numFmtId="178" fontId="27" fillId="0" borderId="62" applyBorder="0"/>
    <xf numFmtId="168" fontId="6" fillId="0" borderId="0" applyFont="0" applyFill="0" applyBorder="0" applyAlignment="0" applyProtection="0"/>
    <xf numFmtId="9"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9" fillId="0" borderId="0"/>
    <xf numFmtId="0" fontId="8" fillId="0" borderId="0"/>
    <xf numFmtId="0" fontId="9" fillId="0" borderId="0"/>
    <xf numFmtId="0" fontId="7" fillId="0" borderId="0"/>
    <xf numFmtId="0" fontId="6" fillId="0" borderId="0"/>
    <xf numFmtId="0" fontId="8" fillId="0" borderId="0"/>
    <xf numFmtId="237" fontId="228" fillId="0" borderId="0" applyFont="0" applyFill="0" applyBorder="0" applyAlignment="0" applyProtection="0"/>
    <xf numFmtId="237" fontId="228"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44" fillId="0" borderId="0" applyNumberFormat="0" applyFont="0" applyFill="0" applyBorder="0" applyAlignment="0" applyProtection="0"/>
    <xf numFmtId="0" fontId="8" fillId="0" borderId="0"/>
    <xf numFmtId="0" fontId="8" fillId="0" borderId="0"/>
    <xf numFmtId="312" fontId="27" fillId="0" borderId="0" applyFont="0" applyFill="0" applyBorder="0" applyAlignment="0" applyProtection="0"/>
    <xf numFmtId="313" fontId="27"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314" fontId="27"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315" fontId="27"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16" fontId="27" fillId="0" borderId="0" applyFont="0" applyFill="0" applyBorder="0" applyAlignment="0" applyProtection="0"/>
    <xf numFmtId="317" fontId="27" fillId="0" borderId="0" applyFont="0" applyFill="0" applyBorder="0" applyAlignment="0" applyProtection="0"/>
    <xf numFmtId="283" fontId="229" fillId="0" borderId="0" applyNumberFormat="0" applyFill="0" applyBorder="0" applyAlignment="0" applyProtection="0"/>
    <xf numFmtId="283" fontId="27" fillId="87" borderId="0" applyNumberFormat="0" applyFont="0" applyAlignment="0" applyProtection="0"/>
    <xf numFmtId="0" fontId="8" fillId="0" borderId="0" applyFont="0" applyFill="0" applyBorder="0" applyAlignment="0" applyProtection="0"/>
    <xf numFmtId="0" fontId="8"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318" fontId="27"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319" fontId="27" fillId="0" borderId="0" applyFont="0" applyFill="0" applyBorder="0" applyProtection="0">
      <alignment horizontal="right"/>
    </xf>
    <xf numFmtId="208"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83" fontId="230" fillId="0" borderId="0" applyNumberFormat="0" applyFill="0" applyBorder="0" applyProtection="0">
      <alignment vertical="top"/>
    </xf>
    <xf numFmtId="283" fontId="231" fillId="0" borderId="71" applyNumberFormat="0" applyFill="0" applyAlignment="0" applyProtection="0"/>
    <xf numFmtId="283" fontId="232" fillId="0" borderId="72" applyNumberFormat="0" applyFill="0" applyProtection="0">
      <alignment horizontal="center"/>
    </xf>
    <xf numFmtId="283" fontId="232" fillId="0" borderId="0" applyNumberFormat="0" applyFill="0" applyBorder="0" applyProtection="0">
      <alignment horizontal="left"/>
    </xf>
    <xf numFmtId="283" fontId="233" fillId="0" borderId="0" applyNumberFormat="0" applyFill="0" applyBorder="0" applyProtection="0">
      <alignment horizontal="centerContinuous"/>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234" fillId="0" borderId="0"/>
    <xf numFmtId="164" fontId="8" fillId="0" borderId="0">
      <alignment horizontal="center"/>
    </xf>
    <xf numFmtId="0" fontId="116" fillId="68" borderId="0" applyNumberFormat="0" applyBorder="0" applyAlignment="0" applyProtection="0"/>
    <xf numFmtId="0" fontId="116" fillId="2" borderId="0" applyNumberFormat="0" applyBorder="0" applyAlignment="0" applyProtection="0"/>
    <xf numFmtId="0" fontId="116" fillId="69" borderId="0" applyNumberFormat="0" applyBorder="0" applyAlignment="0" applyProtection="0"/>
    <xf numFmtId="0" fontId="116" fillId="73" borderId="0" applyNumberFormat="0" applyBorder="0" applyAlignment="0" applyProtection="0"/>
    <xf numFmtId="0" fontId="116" fillId="70" borderId="0" applyNumberFormat="0" applyBorder="0" applyAlignment="0" applyProtection="0"/>
    <xf numFmtId="0" fontId="116" fillId="88" borderId="0" applyNumberFormat="0" applyBorder="0" applyAlignment="0" applyProtection="0"/>
    <xf numFmtId="0" fontId="116" fillId="71" borderId="0" applyNumberFormat="0" applyBorder="0" applyAlignment="0" applyProtection="0"/>
    <xf numFmtId="0" fontId="116" fillId="2" borderId="0" applyNumberFormat="0" applyBorder="0" applyAlignment="0" applyProtection="0"/>
    <xf numFmtId="0" fontId="116" fillId="72" borderId="0" applyNumberFormat="0" applyBorder="0" applyAlignment="0" applyProtection="0"/>
    <xf numFmtId="0" fontId="116" fillId="74" borderId="0" applyNumberFormat="0" applyBorder="0" applyAlignment="0" applyProtection="0"/>
    <xf numFmtId="0" fontId="116" fillId="3"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6" fillId="87" borderId="0" applyNumberFormat="0" applyBorder="0" applyAlignment="0" applyProtection="0"/>
    <xf numFmtId="0" fontId="116" fillId="71" borderId="0" applyNumberFormat="0" applyBorder="0" applyAlignment="0" applyProtection="0"/>
    <xf numFmtId="0" fontId="116" fillId="3" borderId="0" applyNumberFormat="0" applyBorder="0" applyAlignment="0" applyProtection="0"/>
    <xf numFmtId="0" fontId="116" fillId="74" borderId="0" applyNumberFormat="0" applyBorder="0" applyAlignment="0" applyProtection="0"/>
    <xf numFmtId="0" fontId="116" fillId="73" borderId="0" applyNumberFormat="0" applyBorder="0" applyAlignment="0" applyProtection="0"/>
    <xf numFmtId="0" fontId="198" fillId="78" borderId="0" applyNumberFormat="0" applyBorder="0" applyAlignment="0" applyProtection="0"/>
    <xf numFmtId="0" fontId="198" fillId="80" borderId="0" applyNumberFormat="0" applyBorder="0" applyAlignment="0" applyProtection="0"/>
    <xf numFmtId="0" fontId="198" fillId="75" borderId="0" applyNumberFormat="0" applyBorder="0" applyAlignment="0" applyProtection="0"/>
    <xf numFmtId="0" fontId="198" fillId="76" borderId="0" applyNumberFormat="0" applyBorder="0" applyAlignment="0" applyProtection="0"/>
    <xf numFmtId="0" fontId="198" fillId="87" borderId="0" applyNumberFormat="0" applyBorder="0" applyAlignment="0" applyProtection="0"/>
    <xf numFmtId="0" fontId="198" fillId="79" borderId="0" applyNumberFormat="0" applyBorder="0" applyAlignment="0" applyProtection="0"/>
    <xf numFmtId="0" fontId="198" fillId="3" borderId="0" applyNumberFormat="0" applyBorder="0" applyAlignment="0" applyProtection="0"/>
    <xf numFmtId="0" fontId="198" fillId="80" borderId="0" applyNumberFormat="0" applyBorder="0" applyAlignment="0" applyProtection="0"/>
    <xf numFmtId="0" fontId="198" fillId="81" borderId="0" applyNumberFormat="0" applyBorder="0" applyAlignment="0" applyProtection="0"/>
    <xf numFmtId="0" fontId="198" fillId="73" borderId="0" applyNumberFormat="0" applyBorder="0" applyAlignment="0" applyProtection="0"/>
    <xf numFmtId="166" fontId="8" fillId="0" borderId="0">
      <alignment horizontal="center"/>
    </xf>
    <xf numFmtId="165" fontId="8" fillId="0" borderId="0">
      <alignment horizontal="center"/>
    </xf>
    <xf numFmtId="177" fontId="8" fillId="0" borderId="0" applyNumberFormat="0" applyFill="0" applyBorder="0" applyAlignment="0"/>
    <xf numFmtId="177" fontId="8" fillId="0" borderId="0" applyNumberFormat="0" applyFill="0" applyBorder="0" applyAlignment="0"/>
    <xf numFmtId="0" fontId="198" fillId="82" borderId="0" applyNumberFormat="0" applyBorder="0" applyAlignment="0" applyProtection="0"/>
    <xf numFmtId="0" fontId="198" fillId="80" borderId="0" applyNumberFormat="0" applyBorder="0" applyAlignment="0" applyProtection="0"/>
    <xf numFmtId="0" fontId="198" fillId="83" borderId="0" applyNumberFormat="0" applyBorder="0" applyAlignment="0" applyProtection="0"/>
    <xf numFmtId="0" fontId="198" fillId="89" borderId="0" applyNumberFormat="0" applyBorder="0" applyAlignment="0" applyProtection="0"/>
    <xf numFmtId="0" fontId="198" fillId="84" borderId="0" applyNumberFormat="0" applyBorder="0" applyAlignment="0" applyProtection="0"/>
    <xf numFmtId="0" fontId="198" fillId="89" borderId="0" applyNumberFormat="0" applyBorder="0" applyAlignment="0" applyProtection="0"/>
    <xf numFmtId="0" fontId="198" fillId="79" borderId="0" applyNumberFormat="0" applyBorder="0" applyAlignment="0" applyProtection="0"/>
    <xf numFmtId="0" fontId="198" fillId="90" borderId="0" applyNumberFormat="0" applyBorder="0" applyAlignment="0" applyProtection="0"/>
    <xf numFmtId="0" fontId="198" fillId="80" borderId="0" applyNumberFormat="0" applyBorder="0" applyAlignment="0" applyProtection="0"/>
    <xf numFmtId="0" fontId="198" fillId="85" borderId="0" applyNumberFormat="0" applyBorder="0" applyAlignment="0" applyProtection="0"/>
    <xf numFmtId="211" fontId="8" fillId="0" borderId="0" applyFill="0" applyBorder="0" applyProtection="0">
      <alignment horizontal="right"/>
    </xf>
    <xf numFmtId="211" fontId="8" fillId="0" borderId="0" applyFill="0" applyBorder="0" applyProtection="0">
      <alignment horizontal="right"/>
    </xf>
    <xf numFmtId="284" fontId="176" fillId="13" borderId="7">
      <alignment horizontal="right"/>
    </xf>
    <xf numFmtId="0" fontId="8" fillId="91" borderId="0" applyNumberFormat="0" applyFont="0"/>
    <xf numFmtId="0" fontId="235" fillId="0" borderId="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0" fontId="8" fillId="0" borderId="0">
      <alignment horizontal="right"/>
    </xf>
    <xf numFmtId="0" fontId="49" fillId="0" borderId="0">
      <alignment horizontal="center" wrapText="1"/>
      <protection locked="0"/>
    </xf>
    <xf numFmtId="0" fontId="49" fillId="0" borderId="0">
      <alignment horizontal="center" wrapText="1"/>
      <protection locked="0"/>
    </xf>
    <xf numFmtId="0" fontId="49" fillId="0" borderId="0">
      <alignment horizontal="center" wrapText="1"/>
      <protection locked="0"/>
    </xf>
    <xf numFmtId="0" fontId="8" fillId="0" borderId="0" applyNumberFormat="0" applyFill="0" applyBorder="0" applyAlignment="0" applyProtection="0"/>
    <xf numFmtId="0" fontId="51" fillId="0" borderId="1" applyNumberFormat="0" applyFill="0" applyAlignment="0" applyProtection="0"/>
    <xf numFmtId="0" fontId="51" fillId="0" borderId="1" applyNumberFormat="0" applyFill="0" applyAlignment="0" applyProtection="0"/>
    <xf numFmtId="0" fontId="51" fillId="0" borderId="1" applyNumberFormat="0" applyFill="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8" fillId="0" borderId="0"/>
    <xf numFmtId="0" fontId="8" fillId="0" borderId="0"/>
    <xf numFmtId="0" fontId="8" fillId="0" borderId="0"/>
    <xf numFmtId="0" fontId="162" fillId="0" borderId="0"/>
    <xf numFmtId="0" fontId="215" fillId="69" borderId="0" applyNumberFormat="0" applyBorder="0" applyAlignment="0" applyProtection="0"/>
    <xf numFmtId="0" fontId="236" fillId="69" borderId="0" applyNumberFormat="0" applyBorder="0" applyAlignment="0" applyProtection="0"/>
    <xf numFmtId="216" fontId="49" fillId="0" borderId="0" applyFill="0" applyBorder="0" applyAlignment="0" applyProtection="0">
      <protection locked="0"/>
    </xf>
    <xf numFmtId="0" fontId="53" fillId="6" borderId="0"/>
    <xf numFmtId="0" fontId="53" fillId="6" borderId="0"/>
    <xf numFmtId="0" fontId="201" fillId="92" borderId="0"/>
    <xf numFmtId="0" fontId="227" fillId="7" borderId="73">
      <alignment horizontal="center" vertical="center"/>
    </xf>
    <xf numFmtId="39" fontId="57" fillId="0" borderId="2" applyNumberFormat="0" applyFill="0" applyBorder="0"/>
    <xf numFmtId="39" fontId="57" fillId="0" borderId="2" applyNumberFormat="0" applyFill="0" applyBorder="0"/>
    <xf numFmtId="39" fontId="57" fillId="0" borderId="2" applyNumberFormat="0" applyFill="0" applyBorder="0"/>
    <xf numFmtId="216" fontId="49" fillId="0" borderId="0" applyFont="0" applyFill="0" applyBorder="0" applyAlignment="0" applyProtection="0">
      <protection locked="0"/>
    </xf>
    <xf numFmtId="0" fontId="201" fillId="86" borderId="57" applyNumberFormat="0" applyAlignment="0" applyProtection="0"/>
    <xf numFmtId="0" fontId="9" fillId="0" borderId="0">
      <alignment horizontal="center" wrapText="1"/>
      <protection hidden="1"/>
    </xf>
    <xf numFmtId="0" fontId="9" fillId="0" borderId="0">
      <alignment horizontal="center" wrapText="1"/>
      <protection hidden="1"/>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33" fillId="9" borderId="0" applyNumberFormat="0">
      <alignment horizontal="left" vertical="top" wrapText="1"/>
    </xf>
    <xf numFmtId="0" fontId="33" fillId="14" borderId="0" applyNumberFormat="0">
      <alignment horizontal="left" vertical="top" wrapText="1"/>
    </xf>
    <xf numFmtId="0" fontId="33" fillId="9" borderId="0" applyNumberFormat="0">
      <alignment horizontal="centerContinuous" vertical="top"/>
    </xf>
    <xf numFmtId="0" fontId="33" fillId="14" borderId="0" applyNumberFormat="0">
      <alignment horizontal="centerContinuous" vertical="top"/>
    </xf>
    <xf numFmtId="0" fontId="27" fillId="14"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33" fillId="9" borderId="0" applyNumberFormat="0">
      <alignment horizontal="center" vertical="top" wrapText="1"/>
    </xf>
    <xf numFmtId="0" fontId="33" fillId="9"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33" fillId="14" borderId="0" applyNumberFormat="0">
      <alignment horizontal="center" vertical="top" wrapText="1"/>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0" fillId="0" borderId="0" applyFont="0" applyFill="0" applyBorder="0" applyAlignment="0" applyProtection="0"/>
    <xf numFmtId="0" fontId="237" fillId="0" borderId="0" applyFont="0" applyFill="0" applyBorder="0" applyAlignment="0" applyProtection="0"/>
    <xf numFmtId="168" fontId="6" fillId="0" borderId="0" applyFont="0" applyFill="0" applyBorder="0" applyAlignment="0" applyProtection="0"/>
    <xf numFmtId="168" fontId="8" fillId="0" borderId="0" applyFont="0" applyFill="0" applyBorder="0" applyAlignment="0" applyProtection="0"/>
    <xf numFmtId="204" fontId="26" fillId="0" borderId="0"/>
    <xf numFmtId="204" fontId="26" fillId="0" borderId="0"/>
    <xf numFmtId="204" fontId="26" fillId="0" borderId="0"/>
    <xf numFmtId="204" fontId="26" fillId="0" borderId="0"/>
    <xf numFmtId="204" fontId="26" fillId="0" borderId="0"/>
    <xf numFmtId="0" fontId="238" fillId="0" borderId="0"/>
    <xf numFmtId="0" fontId="46" fillId="0" borderId="0"/>
    <xf numFmtId="3" fontId="60" fillId="0" borderId="0" applyFont="0" applyFill="0" applyBorder="0" applyAlignment="0" applyProtection="0"/>
    <xf numFmtId="3" fontId="60" fillId="0" borderId="0" applyFont="0" applyFill="0" applyBorder="0" applyAlignment="0" applyProtection="0"/>
    <xf numFmtId="0" fontId="238" fillId="0" borderId="0"/>
    <xf numFmtId="0" fontId="46" fillId="0" borderId="0"/>
    <xf numFmtId="0" fontId="12" fillId="10" borderId="0">
      <alignment horizontal="center" vertical="center" wrapText="1"/>
    </xf>
    <xf numFmtId="0" fontId="12" fillId="10" borderId="0">
      <alignment horizontal="center" vertical="center" wrapText="1"/>
    </xf>
    <xf numFmtId="204" fontId="8" fillId="0" borderId="0"/>
    <xf numFmtId="0" fontId="8" fillId="0" borderId="0">
      <alignment horizontal="left"/>
    </xf>
    <xf numFmtId="0" fontId="8" fillId="0" borderId="0">
      <alignment horizontal="left"/>
    </xf>
    <xf numFmtId="0" fontId="8" fillId="0" borderId="0"/>
    <xf numFmtId="0" fontId="8" fillId="0" borderId="0"/>
    <xf numFmtId="0" fontId="8" fillId="0" borderId="0">
      <alignment horizontal="left"/>
    </xf>
    <xf numFmtId="0" fontId="8" fillId="0" borderId="0">
      <alignment horizontal="left"/>
    </xf>
    <xf numFmtId="204" fontId="8" fillId="0" borderId="0" applyFill="0" applyBorder="0" applyAlignment="0" applyProtection="0">
      <alignment horizontal="left"/>
    </xf>
    <xf numFmtId="179" fontId="9" fillId="0" borderId="0" applyFill="0" applyBorder="0">
      <alignment horizontal="right"/>
      <protection locked="0"/>
    </xf>
    <xf numFmtId="179" fontId="9" fillId="0" borderId="0" applyFill="0" applyBorder="0">
      <alignment horizontal="right"/>
      <protection locked="0"/>
    </xf>
    <xf numFmtId="0" fontId="9" fillId="0" borderId="0" applyFill="0" applyBorder="0">
      <alignment horizontal="right"/>
      <protection locked="0"/>
    </xf>
    <xf numFmtId="218" fontId="61" fillId="0" borderId="0" applyFont="0"/>
    <xf numFmtId="218" fontId="61" fillId="0" borderId="0" applyFont="0"/>
    <xf numFmtId="218" fontId="61" fillId="0" borderId="0" applyFont="0"/>
    <xf numFmtId="218" fontId="61" fillId="0" borderId="0" applyFont="0"/>
    <xf numFmtId="218" fontId="61" fillId="0" borderId="0" applyFont="0"/>
    <xf numFmtId="218" fontId="61" fillId="0" borderId="0" applyFont="0"/>
    <xf numFmtId="218" fontId="61" fillId="0" borderId="0" applyFont="0"/>
    <xf numFmtId="219" fontId="8" fillId="0" borderId="0"/>
    <xf numFmtId="171" fontId="8" fillId="0" borderId="0" applyFont="0" applyFill="0" applyBorder="0" applyAlignment="0"/>
    <xf numFmtId="220" fontId="8" fillId="0" borderId="0" applyFont="0" applyFill="0" applyBorder="0" applyAlignment="0" applyProtection="0"/>
    <xf numFmtId="220" fontId="8" fillId="0" borderId="0" applyFont="0" applyFill="0" applyBorder="0" applyAlignment="0" applyProtection="0"/>
    <xf numFmtId="0" fontId="239" fillId="0" borderId="0">
      <protection locked="0"/>
    </xf>
    <xf numFmtId="221" fontId="8" fillId="4" borderId="6" applyFont="0" applyFill="0" applyBorder="0" applyAlignment="0" applyProtection="0"/>
    <xf numFmtId="222" fontId="8" fillId="4" borderId="0" applyFont="0" applyFill="0" applyBorder="0" applyAlignment="0" applyProtection="0"/>
    <xf numFmtId="175" fontId="8" fillId="0" borderId="7" applyFont="0" applyFill="0" applyBorder="0" applyAlignment="0" applyProtection="0"/>
    <xf numFmtId="175" fontId="8" fillId="0" borderId="7" applyFont="0" applyFill="0" applyBorder="0" applyAlignment="0" applyProtection="0"/>
    <xf numFmtId="222" fontId="8" fillId="0" borderId="0" applyFill="0" applyBorder="0">
      <alignment horizontal="right"/>
    </xf>
    <xf numFmtId="14" fontId="63" fillId="0" borderId="0" applyFont="0" applyFill="0" applyBorder="0" applyAlignment="0" applyProtection="0">
      <alignment horizontal="center"/>
    </xf>
    <xf numFmtId="14" fontId="63" fillId="0" borderId="0" applyFont="0" applyFill="0" applyBorder="0" applyAlignment="0" applyProtection="0">
      <alignment horizontal="center"/>
    </xf>
    <xf numFmtId="223" fontId="63" fillId="0" borderId="0" applyFont="0" applyFill="0" applyBorder="0" applyAlignment="0" applyProtection="0">
      <alignment horizontal="center"/>
    </xf>
    <xf numFmtId="223" fontId="63" fillId="0" borderId="0" applyFont="0" applyFill="0" applyBorder="0" applyAlignment="0" applyProtection="0">
      <alignment horizontal="center"/>
    </xf>
    <xf numFmtId="0" fontId="117" fillId="5" borderId="0" applyNumberFormat="0" applyFont="0" applyFill="0" applyBorder="0" applyAlignment="0" applyProtection="0"/>
    <xf numFmtId="224" fontId="64" fillId="0" borderId="2" applyNumberFormat="0" applyFill="0" applyBorder="0" applyAlignment="0">
      <alignment horizontal="left"/>
      <protection locked="0"/>
    </xf>
    <xf numFmtId="224" fontId="64" fillId="0" borderId="2" applyNumberFormat="0" applyFill="0" applyBorder="0" applyAlignment="0">
      <alignment horizontal="left"/>
      <protection locked="0"/>
    </xf>
    <xf numFmtId="224" fontId="64" fillId="0" borderId="2" applyNumberFormat="0" applyFill="0" applyBorder="0" applyAlignment="0">
      <alignment horizontal="left"/>
      <protection locked="0"/>
    </xf>
    <xf numFmtId="225" fontId="14" fillId="0" borderId="0" applyFont="0" applyFill="0" applyBorder="0" applyAlignment="0" applyProtection="0"/>
    <xf numFmtId="225" fontId="14" fillId="0" borderId="0" applyFont="0" applyFill="0" applyBorder="0" applyAlignment="0" applyProtection="0"/>
    <xf numFmtId="225" fontId="14" fillId="0" borderId="0" applyFont="0" applyFill="0" applyBorder="0" applyAlignment="0" applyProtection="0"/>
    <xf numFmtId="0" fontId="21" fillId="0" borderId="0">
      <protection locked="0"/>
    </xf>
    <xf numFmtId="0" fontId="21" fillId="0" borderId="0">
      <protection locked="0"/>
    </xf>
    <xf numFmtId="0" fontId="21" fillId="0" borderId="0">
      <protection locked="0"/>
    </xf>
    <xf numFmtId="0" fontId="13" fillId="0" borderId="0">
      <protection locked="0"/>
    </xf>
    <xf numFmtId="0" fontId="21" fillId="0" borderId="0">
      <protection locked="0"/>
    </xf>
    <xf numFmtId="0" fontId="239" fillId="0" borderId="0">
      <protection locked="0"/>
    </xf>
    <xf numFmtId="0" fontId="6" fillId="0" borderId="0"/>
    <xf numFmtId="171" fontId="49" fillId="0" borderId="0" applyFont="0" applyFill="0" applyBorder="0" applyAlignment="0" applyProtection="0"/>
    <xf numFmtId="171"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0" fontId="240" fillId="0" borderId="0">
      <protection locked="0"/>
    </xf>
    <xf numFmtId="0" fontId="240" fillId="0" borderId="0">
      <protection locked="0"/>
    </xf>
    <xf numFmtId="226" fontId="14" fillId="0" borderId="0" applyFont="0" applyFill="0" applyBorder="0" applyAlignment="0"/>
    <xf numFmtId="226" fontId="14" fillId="0" borderId="0" applyFont="0" applyFill="0" applyBorder="0" applyAlignment="0"/>
    <xf numFmtId="226" fontId="14" fillId="0" borderId="0" applyFont="0" applyFill="0" applyBorder="0" applyAlignment="0"/>
    <xf numFmtId="171" fontId="49" fillId="0" borderId="0" applyFont="0" applyFill="0" applyBorder="0" applyAlignment="0" applyProtection="0">
      <alignment horizontal="right"/>
    </xf>
    <xf numFmtId="171" fontId="49"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171" fontId="8" fillId="0" borderId="0"/>
    <xf numFmtId="171" fontId="8" fillId="0" borderId="0"/>
    <xf numFmtId="171" fontId="8" fillId="0" borderId="0"/>
    <xf numFmtId="0" fontId="67" fillId="0" borderId="0"/>
    <xf numFmtId="176" fontId="8" fillId="0" borderId="0"/>
    <xf numFmtId="176" fontId="8" fillId="0" borderId="0"/>
    <xf numFmtId="176" fontId="8" fillId="0" borderId="0"/>
    <xf numFmtId="0" fontId="67" fillId="0" borderId="0"/>
    <xf numFmtId="204" fontId="8" fillId="0" borderId="0"/>
    <xf numFmtId="204" fontId="8" fillId="0" borderId="0"/>
    <xf numFmtId="204" fontId="8" fillId="0" borderId="0"/>
    <xf numFmtId="0" fontId="67" fillId="0" borderId="0"/>
    <xf numFmtId="320" fontId="8" fillId="93" borderId="0" applyFont="0" applyFill="0" applyBorder="0" applyAlignment="0"/>
    <xf numFmtId="229" fontId="8" fillId="0" borderId="0" applyFont="0" applyFill="0" applyBorder="0" applyAlignment="0" applyProtection="0"/>
    <xf numFmtId="321" fontId="8" fillId="0" borderId="0" applyFont="0" applyFill="0" applyBorder="0" applyAlignment="0" applyProtection="0"/>
    <xf numFmtId="0" fontId="217" fillId="0" borderId="0" applyNumberFormat="0" applyFill="0" applyBorder="0" applyAlignment="0" applyProtection="0"/>
    <xf numFmtId="0" fontId="241" fillId="0" borderId="0"/>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0" fontId="241" fillId="0" borderId="0"/>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0" fontId="241" fillId="0" borderId="0"/>
    <xf numFmtId="9" fontId="242" fillId="13" borderId="40" applyNumberFormat="0" applyFont="0" applyFill="0" applyBorder="0" applyAlignment="0" applyProtection="0">
      <alignment horizontal="left" vertical="center" wrapText="1"/>
      <protection hidden="1"/>
    </xf>
    <xf numFmtId="0" fontId="241" fillId="0" borderId="0"/>
    <xf numFmtId="0" fontId="241" fillId="0" borderId="0"/>
    <xf numFmtId="0" fontId="241" fillId="0" borderId="0"/>
    <xf numFmtId="0" fontId="241" fillId="0" borderId="0"/>
    <xf numFmtId="0" fontId="241" fillId="0" borderId="0"/>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0" fontId="241" fillId="0" borderId="0"/>
    <xf numFmtId="0" fontId="241" fillId="0" borderId="0"/>
    <xf numFmtId="0" fontId="241" fillId="0" borderId="0"/>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9" fontId="242" fillId="13" borderId="40" applyNumberFormat="0" applyFont="0" applyFill="0" applyBorder="0" applyAlignment="0" applyProtection="0">
      <alignment horizontal="left" vertical="center" wrapText="1"/>
      <protection hidden="1"/>
    </xf>
    <xf numFmtId="0" fontId="241" fillId="0" borderId="0"/>
    <xf numFmtId="0" fontId="239" fillId="0" borderId="0">
      <protection locked="0"/>
    </xf>
    <xf numFmtId="0" fontId="239" fillId="0" borderId="0">
      <protection locked="0"/>
    </xf>
    <xf numFmtId="0" fontId="239" fillId="0" borderId="0">
      <protection locked="0"/>
    </xf>
    <xf numFmtId="0" fontId="239" fillId="0" borderId="0">
      <protection locked="0"/>
    </xf>
    <xf numFmtId="0" fontId="239" fillId="0" borderId="0">
      <protection locked="0"/>
    </xf>
    <xf numFmtId="0" fontId="239" fillId="0" borderId="0">
      <protection locked="0"/>
    </xf>
    <xf numFmtId="0" fontId="239" fillId="0" borderId="0">
      <protection locked="0"/>
    </xf>
    <xf numFmtId="0" fontId="68" fillId="0" borderId="0"/>
    <xf numFmtId="0" fontId="68" fillId="0" borderId="0"/>
    <xf numFmtId="0" fontId="68" fillId="0" borderId="0"/>
    <xf numFmtId="0" fontId="239" fillId="0" borderId="0">
      <protection locked="0"/>
    </xf>
    <xf numFmtId="0" fontId="239" fillId="0" borderId="0">
      <protection locked="0"/>
    </xf>
    <xf numFmtId="0" fontId="70" fillId="12" borderId="0"/>
    <xf numFmtId="0" fontId="70" fillId="12" borderId="0"/>
    <xf numFmtId="0" fontId="70" fillId="12" borderId="0"/>
    <xf numFmtId="0" fontId="8" fillId="4" borderId="0" applyFont="0" applyFill="0" applyBorder="0" applyAlignment="0"/>
    <xf numFmtId="2" fontId="60"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322" fontId="239" fillId="0" borderId="0">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pplyFill="0" applyBorder="0" applyProtection="0">
      <alignment horizontal="left"/>
    </xf>
    <xf numFmtId="0" fontId="182" fillId="0" borderId="0" applyFill="0" applyBorder="0" applyProtection="0">
      <alignment horizontal="left"/>
    </xf>
    <xf numFmtId="0" fontId="8" fillId="0" borderId="0">
      <alignment horizontal="left"/>
    </xf>
    <xf numFmtId="0" fontId="8" fillId="0" borderId="0">
      <alignment horizontal="left"/>
    </xf>
    <xf numFmtId="231" fontId="49" fillId="0" borderId="0" applyFill="0" applyBorder="0" applyAlignment="0" applyProtection="0">
      <protection locked="0"/>
    </xf>
    <xf numFmtId="0" fontId="218" fillId="70" borderId="0" applyNumberFormat="0" applyBorder="0" applyAlignment="0" applyProtection="0"/>
    <xf numFmtId="38" fontId="26" fillId="13" borderId="0" applyNumberFormat="0" applyFont="0" applyBorder="0" applyAlignment="0">
      <protection hidden="1"/>
    </xf>
    <xf numFmtId="232" fontId="72" fillId="0" borderId="0" applyFill="0" applyBorder="0" applyAlignment="0" applyProtection="0"/>
    <xf numFmtId="232" fontId="73" fillId="0" borderId="0" applyAlignment="0">
      <alignment horizontal="left"/>
      <protection locked="0"/>
    </xf>
    <xf numFmtId="232" fontId="73" fillId="0" borderId="0" applyAlignment="0">
      <alignment horizontal="left"/>
      <protection locked="0"/>
    </xf>
    <xf numFmtId="0" fontId="14" fillId="0" borderId="0"/>
    <xf numFmtId="0" fontId="14" fillId="0" borderId="0"/>
    <xf numFmtId="0" fontId="14" fillId="0" borderId="0"/>
    <xf numFmtId="0" fontId="8" fillId="1" borderId="0" applyNumberFormat="0" applyBorder="0" applyProtection="0">
      <alignment horizontal="left" vertical="center"/>
    </xf>
    <xf numFmtId="0" fontId="8" fillId="0" borderId="0" applyProtection="0">
      <alignment horizontal="right"/>
    </xf>
    <xf numFmtId="0" fontId="8" fillId="0" borderId="0" applyProtection="0">
      <alignment horizontal="right"/>
    </xf>
    <xf numFmtId="0" fontId="243" fillId="0" borderId="0" applyProtection="0">
      <alignment horizontal="righ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4"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5"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246"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76" fillId="0" borderId="0"/>
    <xf numFmtId="0" fontId="76" fillId="0" borderId="0"/>
    <xf numFmtId="0" fontId="8" fillId="3" borderId="0"/>
    <xf numFmtId="0" fontId="8" fillId="3" borderId="0"/>
    <xf numFmtId="0" fontId="8" fillId="3" borderId="0"/>
    <xf numFmtId="0" fontId="8" fillId="3" borderId="0"/>
    <xf numFmtId="0" fontId="77" fillId="0" borderId="0">
      <alignment wrapText="1"/>
    </xf>
    <xf numFmtId="0" fontId="77" fillId="0" borderId="0">
      <alignment wrapText="1"/>
    </xf>
    <xf numFmtId="0" fontId="226"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231" fontId="49" fillId="0" borderId="0" applyFill="0" applyBorder="0" applyAlignment="0" applyProtection="0">
      <alignment horizontal="right"/>
      <protection locked="0"/>
    </xf>
    <xf numFmtId="0" fontId="253" fillId="0" borderId="0" applyNumberFormat="0" applyFill="0" applyBorder="0" applyAlignment="0" applyProtection="0"/>
    <xf numFmtId="176" fontId="254" fillId="13" borderId="0">
      <protection locked="0"/>
    </xf>
    <xf numFmtId="3" fontId="8" fillId="13" borderId="0">
      <alignment horizontal="right"/>
      <protection locked="0"/>
    </xf>
    <xf numFmtId="178" fontId="8" fillId="13" borderId="0" applyBorder="0">
      <alignment horizontal="right"/>
      <protection locked="0"/>
    </xf>
    <xf numFmtId="3" fontId="255" fillId="13" borderId="0">
      <alignment horizontal="right"/>
      <protection locked="0"/>
    </xf>
    <xf numFmtId="0" fontId="74" fillId="0" borderId="0" applyNumberFormat="0" applyFill="0" applyBorder="0" applyAlignment="0" applyProtection="0"/>
    <xf numFmtId="3" fontId="256" fillId="0" borderId="15" applyNumberFormat="0" applyFont="0" applyFill="0" applyAlignment="0">
      <alignment horizontal="center" vertical="top"/>
      <protection locked="0"/>
    </xf>
    <xf numFmtId="222" fontId="8" fillId="4" borderId="0" applyFont="0" applyBorder="0" applyAlignment="0" applyProtection="0">
      <protection locked="0"/>
    </xf>
    <xf numFmtId="236" fontId="8" fillId="4" borderId="0" applyFont="0" applyBorder="0" applyAlignment="0">
      <protection locked="0"/>
    </xf>
    <xf numFmtId="236" fontId="8" fillId="4" borderId="0" applyFont="0" applyBorder="0" applyAlignment="0">
      <protection locked="0"/>
    </xf>
    <xf numFmtId="10" fontId="8" fillId="0" borderId="0">
      <protection locked="0"/>
    </xf>
    <xf numFmtId="10" fontId="8" fillId="0" borderId="0">
      <protection locked="0"/>
    </xf>
    <xf numFmtId="0" fontId="8" fillId="4" borderId="4"/>
    <xf numFmtId="176" fontId="26" fillId="4" borderId="7" applyNumberFormat="0" applyFont="0" applyAlignment="0" applyProtection="0">
      <alignment horizontal="center"/>
      <protection locked="0"/>
    </xf>
    <xf numFmtId="0" fontId="8" fillId="4" borderId="4"/>
    <xf numFmtId="0" fontId="21" fillId="0" borderId="0" applyNumberFormat="0" applyFill="0" applyBorder="0" applyAlignment="0">
      <protection locked="0"/>
    </xf>
    <xf numFmtId="0" fontId="21" fillId="0" borderId="0" applyNumberFormat="0" applyFill="0" applyBorder="0" applyAlignment="0">
      <protection locked="0"/>
    </xf>
    <xf numFmtId="0" fontId="21" fillId="0" borderId="0" applyNumberFormat="0" applyFill="0" applyBorder="0" applyAlignment="0">
      <protection locked="0"/>
    </xf>
    <xf numFmtId="0" fontId="16" fillId="0" borderId="0" applyNumberFormat="0" applyFill="0" applyBorder="0" applyAlignment="0">
      <protection locked="0"/>
    </xf>
    <xf numFmtId="0" fontId="21" fillId="0" borderId="0" applyNumberFormat="0" applyFill="0" applyBorder="0" applyAlignment="0">
      <protection locked="0"/>
    </xf>
    <xf numFmtId="15" fontId="8" fillId="0" borderId="0">
      <protection locked="0"/>
    </xf>
    <xf numFmtId="15" fontId="8" fillId="0" borderId="0">
      <protection locked="0"/>
    </xf>
    <xf numFmtId="15" fontId="8" fillId="0" borderId="0">
      <protection locked="0"/>
    </xf>
    <xf numFmtId="2" fontId="8" fillId="0" borderId="13">
      <protection locked="0"/>
    </xf>
    <xf numFmtId="2" fontId="8" fillId="0" borderId="13">
      <protection locked="0"/>
    </xf>
    <xf numFmtId="2" fontId="8" fillId="0" borderId="13">
      <protection locked="0"/>
    </xf>
    <xf numFmtId="0" fontId="8" fillId="0" borderId="0">
      <protection locked="0"/>
    </xf>
    <xf numFmtId="0" fontId="8" fillId="0" borderId="0">
      <protection locked="0"/>
    </xf>
    <xf numFmtId="0" fontId="8" fillId="0" borderId="0">
      <protection locked="0"/>
    </xf>
    <xf numFmtId="0" fontId="9" fillId="0" borderId="0" applyFill="0" applyBorder="0">
      <alignment horizontal="right"/>
      <protection locked="0"/>
    </xf>
    <xf numFmtId="0" fontId="9" fillId="0" borderId="0" applyFill="0" applyBorder="0">
      <alignment horizontal="right"/>
      <protection locked="0"/>
    </xf>
    <xf numFmtId="180" fontId="9" fillId="0" borderId="0" applyFill="0" applyBorder="0">
      <alignment horizontal="right"/>
      <protection locked="0"/>
    </xf>
    <xf numFmtId="180" fontId="9" fillId="0" borderId="0" applyFill="0" applyBorder="0">
      <alignment horizontal="right"/>
      <protection locked="0"/>
    </xf>
    <xf numFmtId="0" fontId="9" fillId="0" borderId="0" applyFill="0" applyBorder="0">
      <alignment horizontal="right"/>
      <protection locked="0"/>
    </xf>
    <xf numFmtId="0" fontId="17" fillId="22" borderId="65">
      <alignment horizontal="left" vertical="center" wrapText="1"/>
    </xf>
    <xf numFmtId="38" fontId="257" fillId="0" borderId="0"/>
    <xf numFmtId="38" fontId="258" fillId="0" borderId="0"/>
    <xf numFmtId="38" fontId="190" fillId="0" borderId="0"/>
    <xf numFmtId="38" fontId="259" fillId="0" borderId="0"/>
    <xf numFmtId="0" fontId="234" fillId="0" borderId="0"/>
    <xf numFmtId="0" fontId="234" fillId="0" borderId="0"/>
    <xf numFmtId="1" fontId="8" fillId="0" borderId="0" applyNumberFormat="0" applyBorder="0" applyAlignment="0">
      <alignment horizontal="right"/>
    </xf>
    <xf numFmtId="37" fontId="83" fillId="0" borderId="0" applyNumberFormat="0" applyFill="0" applyBorder="0" applyAlignment="0" applyProtection="0">
      <alignment horizontal="right"/>
    </xf>
    <xf numFmtId="37" fontId="83" fillId="0" borderId="0" applyNumberFormat="0" applyFill="0" applyBorder="0" applyAlignment="0" applyProtection="0">
      <alignment horizontal="right"/>
    </xf>
    <xf numFmtId="37" fontId="83" fillId="0" borderId="0" applyNumberFormat="0" applyFill="0" applyBorder="0" applyAlignment="0" applyProtection="0">
      <alignment horizontal="right"/>
    </xf>
    <xf numFmtId="1" fontId="83" fillId="0" borderId="0" applyNumberFormat="0" applyFill="0" applyBorder="0" applyAlignment="0" applyProtection="0">
      <alignment horizontal="right"/>
    </xf>
    <xf numFmtId="204" fontId="8" fillId="23" borderId="0"/>
    <xf numFmtId="204" fontId="8" fillId="23" borderId="0"/>
    <xf numFmtId="204" fontId="8" fillId="23" borderId="0"/>
    <xf numFmtId="3" fontId="26" fillId="7" borderId="0" applyFont="0"/>
    <xf numFmtId="0" fontId="85" fillId="0" borderId="0" applyNumberFormat="0" applyFill="0" applyBorder="0" applyProtection="0">
      <alignment horizontal="left" vertical="center"/>
    </xf>
    <xf numFmtId="0" fontId="85" fillId="0" borderId="0" applyNumberFormat="0" applyFill="0" applyBorder="0" applyProtection="0">
      <alignment horizontal="left" vertical="center"/>
    </xf>
    <xf numFmtId="0" fontId="85" fillId="0" borderId="0" applyNumberFormat="0" applyFill="0" applyBorder="0" applyProtection="0">
      <alignment horizontal="left" vertical="center"/>
    </xf>
    <xf numFmtId="0" fontId="86" fillId="0" borderId="0"/>
    <xf numFmtId="0" fontId="86" fillId="0" borderId="0"/>
    <xf numFmtId="0" fontId="11" fillId="21" borderId="0" applyBorder="0" applyAlignment="0">
      <alignment horizontal="right"/>
    </xf>
    <xf numFmtId="323" fontId="50" fillId="21" borderId="0" applyBorder="0" applyAlignment="0">
      <alignment horizontal="right"/>
    </xf>
    <xf numFmtId="237" fontId="87" fillId="0" borderId="0" applyFill="0" applyBorder="0" applyAlignment="0" applyProtection="0"/>
    <xf numFmtId="0" fontId="70" fillId="0" borderId="0"/>
    <xf numFmtId="0" fontId="70" fillId="0" borderId="0"/>
    <xf numFmtId="0" fontId="70" fillId="0" borderId="0"/>
    <xf numFmtId="0" fontId="88" fillId="0" borderId="0"/>
    <xf numFmtId="0" fontId="88" fillId="0" borderId="0"/>
    <xf numFmtId="0" fontId="88" fillId="0" borderId="0"/>
    <xf numFmtId="0" fontId="89" fillId="0" borderId="0"/>
    <xf numFmtId="0" fontId="89" fillId="0" borderId="0"/>
    <xf numFmtId="0" fontId="89" fillId="0" borderId="0"/>
    <xf numFmtId="324" fontId="9" fillId="0" borderId="0" applyFont="0" applyFill="0" applyBorder="0" applyAlignment="0" applyProtection="0"/>
    <xf numFmtId="325" fontId="8" fillId="0" borderId="0" applyFont="0" applyFill="0" applyBorder="0" applyAlignment="0" applyProtection="0"/>
    <xf numFmtId="244" fontId="8"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176" fontId="8" fillId="0" borderId="0"/>
    <xf numFmtId="176" fontId="8" fillId="0" borderId="0"/>
    <xf numFmtId="176" fontId="8" fillId="0" borderId="0"/>
    <xf numFmtId="0" fontId="8" fillId="0" borderId="3"/>
    <xf numFmtId="0" fontId="8" fillId="0" borderId="3"/>
    <xf numFmtId="326" fontId="8" fillId="0" borderId="0" applyFont="0" applyFill="0" applyBorder="0" applyAlignment="0" applyProtection="0"/>
    <xf numFmtId="327" fontId="8" fillId="0" borderId="0" applyFont="0" applyFill="0" applyBorder="0" applyAlignment="0" applyProtection="0"/>
    <xf numFmtId="328" fontId="8" fillId="0" borderId="0" applyFont="0" applyFill="0" applyBorder="0" applyAlignment="0" applyProtection="0"/>
    <xf numFmtId="32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2" fontId="8" fillId="0" borderId="0" applyFont="0" applyFill="0" applyBorder="0" applyAlignment="0"/>
    <xf numFmtId="242" fontId="8" fillId="0" borderId="0" applyFont="0" applyFill="0" applyBorder="0" applyAlignment="0"/>
    <xf numFmtId="242" fontId="8" fillId="0" borderId="0" applyFont="0" applyFill="0" applyBorder="0" applyAlignment="0"/>
    <xf numFmtId="330" fontId="8" fillId="0" borderId="0" applyFont="0" applyFill="0" applyBorder="0" applyAlignment="0" applyProtection="0"/>
    <xf numFmtId="331"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239" fillId="0" borderId="0">
      <protection locked="0"/>
    </xf>
    <xf numFmtId="177" fontId="8" fillId="13" borderId="0" applyFont="0" applyBorder="0" applyAlignment="0" applyProtection="0">
      <alignment horizontal="right"/>
      <protection hidden="1"/>
    </xf>
    <xf numFmtId="0" fontId="21" fillId="0" borderId="16" applyBorder="0" applyAlignment="0" applyProtection="0">
      <alignment horizontal="center"/>
    </xf>
    <xf numFmtId="0" fontId="21" fillId="0" borderId="16" applyBorder="0" applyAlignment="0" applyProtection="0">
      <alignment horizontal="center"/>
    </xf>
    <xf numFmtId="0" fontId="21" fillId="0" borderId="16" applyBorder="0" applyAlignment="0" applyProtection="0">
      <alignment horizontal="center"/>
    </xf>
    <xf numFmtId="0" fontId="8" fillId="0" borderId="16" applyBorder="0" applyAlignment="0" applyProtection="0">
      <alignment horizontal="center"/>
    </xf>
    <xf numFmtId="0" fontId="21" fillId="0" borderId="16" applyBorder="0" applyAlignment="0" applyProtection="0">
      <alignment horizontal="center"/>
    </xf>
    <xf numFmtId="0" fontId="155" fillId="0" borderId="16" applyBorder="0" applyAlignment="0" applyProtection="0">
      <alignment horizontal="center"/>
    </xf>
    <xf numFmtId="37" fontId="90" fillId="0" borderId="0"/>
    <xf numFmtId="37" fontId="90" fillId="0" borderId="0"/>
    <xf numFmtId="0" fontId="8" fillId="0" borderId="0"/>
    <xf numFmtId="0" fontId="8" fillId="0" borderId="0"/>
    <xf numFmtId="332" fontId="260" fillId="0" borderId="0"/>
    <xf numFmtId="231" fontId="8" fillId="0" borderId="0" applyFont="0" applyFill="0" applyBorder="0" applyAlignment="0"/>
    <xf numFmtId="231" fontId="8" fillId="0" borderId="0" applyFont="0" applyFill="0" applyBorder="0" applyAlignment="0"/>
    <xf numFmtId="244" fontId="8" fillId="0" borderId="0" applyFont="0" applyFill="0" applyBorder="0" applyAlignment="0"/>
    <xf numFmtId="0" fontId="8" fillId="0" borderId="0"/>
    <xf numFmtId="0" fontId="8" fillId="0" borderId="0"/>
    <xf numFmtId="0" fontId="8" fillId="0" borderId="0"/>
    <xf numFmtId="0" fontId="8" fillId="0" borderId="0"/>
    <xf numFmtId="0" fontId="8" fillId="0" borderId="0"/>
    <xf numFmtId="3" fontId="8" fillId="0" borderId="0"/>
    <xf numFmtId="2" fontId="9" fillId="0" borderId="0" applyBorder="0" applyProtection="0"/>
    <xf numFmtId="0" fontId="119" fillId="4" borderId="0" applyNumberFormat="0" applyFont="0" applyFill="0" applyBorder="0" applyAlignment="0" applyProtection="0">
      <alignment horizontal="left"/>
    </xf>
    <xf numFmtId="3" fontId="8" fillId="0" borderId="0">
      <alignment horizontal="left"/>
    </xf>
    <xf numFmtId="0" fontId="18" fillId="0" borderId="0"/>
    <xf numFmtId="0" fontId="8" fillId="0" borderId="0"/>
    <xf numFmtId="0" fontId="8" fillId="0" borderId="0"/>
    <xf numFmtId="174" fontId="8" fillId="0" borderId="0"/>
    <xf numFmtId="174" fontId="8" fillId="0" borderId="0"/>
    <xf numFmtId="245" fontId="8" fillId="0" borderId="0" applyFont="0" applyFill="0" applyBorder="0" applyAlignment="0" applyProtection="0"/>
    <xf numFmtId="203" fontId="8" fillId="0" borderId="0" applyFont="0" applyFill="0" applyBorder="0" applyAlignment="0" applyProtection="0"/>
    <xf numFmtId="246" fontId="94" fillId="24" borderId="2" applyFont="0" applyBorder="0"/>
    <xf numFmtId="246" fontId="94" fillId="24" borderId="2" applyFont="0" applyBorder="0"/>
    <xf numFmtId="246" fontId="94" fillId="24" borderId="2" applyFont="0" applyBorder="0"/>
    <xf numFmtId="0" fontId="8" fillId="0" borderId="4">
      <alignment vertical="center" wrapText="1"/>
    </xf>
    <xf numFmtId="0" fontId="8" fillId="0" borderId="4">
      <alignment vertical="center" wrapText="1"/>
    </xf>
    <xf numFmtId="1" fontId="8" fillId="0" borderId="0" applyProtection="0">
      <alignment horizontal="right" vertical="center"/>
    </xf>
    <xf numFmtId="1" fontId="8" fillId="0" borderId="0" applyProtection="0">
      <alignment horizontal="right" vertical="center"/>
    </xf>
    <xf numFmtId="0" fontId="8" fillId="0" borderId="0">
      <alignment horizontal="left"/>
    </xf>
    <xf numFmtId="1" fontId="261" fillId="0" borderId="0" applyProtection="0">
      <alignment horizontal="right" vertical="center"/>
    </xf>
    <xf numFmtId="0" fontId="89" fillId="0" borderId="0"/>
    <xf numFmtId="0" fontId="89" fillId="0" borderId="0"/>
    <xf numFmtId="0" fontId="89" fillId="0" borderId="0"/>
    <xf numFmtId="0" fontId="22" fillId="0" borderId="18" applyNumberFormat="0" applyAlignment="0" applyProtection="0"/>
    <xf numFmtId="0" fontId="14" fillId="14" borderId="0" applyNumberFormat="0" applyFont="0" applyBorder="0" applyAlignment="0" applyProtection="0"/>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14" fontId="49" fillId="0" borderId="0">
      <alignment horizontal="center" wrapText="1"/>
      <protection locked="0"/>
    </xf>
    <xf numFmtId="14" fontId="49" fillId="0" borderId="0">
      <alignment horizontal="center" wrapText="1"/>
      <protection locked="0"/>
    </xf>
    <xf numFmtId="14" fontId="49" fillId="0" borderId="0">
      <alignment horizontal="center" wrapText="1"/>
      <protection locked="0"/>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10" fontId="8" fillId="0" borderId="0" applyFont="0" applyFill="0" applyBorder="0" applyAlignment="0" applyProtection="0"/>
    <xf numFmtId="247" fontId="8" fillId="11" borderId="0" applyFont="0" applyFill="0" applyBorder="0" applyAlignment="0" applyProtection="0"/>
    <xf numFmtId="9" fontId="14" fillId="0" borderId="0"/>
    <xf numFmtId="9" fontId="14" fillId="0" borderId="0"/>
    <xf numFmtId="9" fontId="14" fillId="0" borderId="0"/>
    <xf numFmtId="10" fontId="14" fillId="0" borderId="0"/>
    <xf numFmtId="10" fontId="14" fillId="0" borderId="0"/>
    <xf numFmtId="10" fontId="14"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181" fontId="9" fillId="0" borderId="0" applyFill="0" applyBorder="0">
      <alignment horizontal="right"/>
      <protection locked="0"/>
    </xf>
    <xf numFmtId="181" fontId="9" fillId="0" borderId="0" applyFill="0" applyBorder="0">
      <alignment horizontal="right"/>
      <protection locked="0"/>
    </xf>
    <xf numFmtId="0" fontId="9" fillId="0" borderId="0" applyFill="0" applyBorder="0">
      <alignment horizontal="right"/>
      <protection locked="0"/>
    </xf>
    <xf numFmtId="232" fontId="49" fillId="0" borderId="0" applyFont="0" applyFill="0" applyBorder="0" applyAlignment="0" applyProtection="0"/>
    <xf numFmtId="232" fontId="49" fillId="0" borderId="0" applyFont="0" applyFill="0" applyBorder="0" applyAlignment="0" applyProtection="0"/>
    <xf numFmtId="210" fontId="8" fillId="0" borderId="0" applyFont="0" applyFill="0" applyBorder="0" applyAlignment="0" applyProtection="0"/>
    <xf numFmtId="333" fontId="239" fillId="0" borderId="0">
      <protection locked="0"/>
    </xf>
    <xf numFmtId="171" fontId="49" fillId="0" borderId="0" applyFont="0" applyFill="0" applyBorder="0" applyAlignment="0" applyProtection="0"/>
    <xf numFmtId="171" fontId="49" fillId="0" borderId="0" applyFont="0" applyFill="0" applyBorder="0" applyAlignment="0" applyProtection="0"/>
    <xf numFmtId="334" fontId="239" fillId="0" borderId="0">
      <protection locked="0"/>
    </xf>
    <xf numFmtId="231" fontId="49" fillId="0" borderId="0" applyFont="0" applyFill="0" applyBorder="0" applyAlignment="0" applyProtection="0">
      <protection locked="0"/>
    </xf>
    <xf numFmtId="231" fontId="49" fillId="0" borderId="0" applyFont="0" applyFill="0" applyBorder="0" applyAlignment="0" applyProtection="0">
      <protection locked="0"/>
    </xf>
    <xf numFmtId="0" fontId="239" fillId="0" borderId="0">
      <protection locked="0"/>
    </xf>
    <xf numFmtId="176" fontId="27" fillId="0" borderId="0" applyBorder="0" applyAlignment="0" applyProtection="0">
      <protection locked="0"/>
    </xf>
    <xf numFmtId="249" fontId="8" fillId="0" borderId="0" applyFont="0" applyFill="0" applyBorder="0" applyAlignment="0"/>
    <xf numFmtId="249" fontId="8" fillId="0" borderId="0" applyFont="0" applyFill="0" applyBorder="0" applyAlignment="0"/>
    <xf numFmtId="249" fontId="8" fillId="0" borderId="0" applyFont="0" applyFill="0" applyBorder="0" applyAlignment="0"/>
    <xf numFmtId="231" fontId="49" fillId="0" borderId="0" applyFill="0" applyBorder="0" applyAlignment="0" applyProtection="0"/>
    <xf numFmtId="231" fontId="49" fillId="0" borderId="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71" fontId="97" fillId="0" borderId="22">
      <alignment horizontal="right"/>
    </xf>
    <xf numFmtId="171" fontId="97" fillId="0" borderId="22">
      <alignment horizontal="right"/>
    </xf>
    <xf numFmtId="0" fontId="63" fillId="13" borderId="0" applyNumberFormat="0" applyFont="0" applyBorder="0" applyAlignment="0"/>
    <xf numFmtId="0" fontId="9" fillId="0" borderId="0" applyNumberFormat="0" applyFont="0" applyFill="0" applyBorder="0" applyAlignment="0" applyProtection="0">
      <alignment horizontal="left"/>
    </xf>
    <xf numFmtId="0" fontId="8" fillId="0" borderId="0">
      <alignment horizontal="right"/>
    </xf>
    <xf numFmtId="0" fontId="8" fillId="0" borderId="0">
      <alignment horizontal="right"/>
    </xf>
    <xf numFmtId="0" fontId="8" fillId="0" borderId="0">
      <alignment horizontal="right"/>
    </xf>
    <xf numFmtId="0" fontId="8" fillId="0" borderId="0"/>
    <xf numFmtId="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6" fillId="0" borderId="7">
      <alignment horizontal="right"/>
    </xf>
    <xf numFmtId="182" fontId="9" fillId="0" borderId="0">
      <alignment horizontal="right"/>
      <protection locked="0"/>
    </xf>
    <xf numFmtId="182" fontId="9" fillId="0" borderId="0">
      <alignment horizontal="right"/>
      <protection locked="0"/>
    </xf>
    <xf numFmtId="0" fontId="9" fillId="0" borderId="0">
      <alignment horizontal="right"/>
      <protection locked="0"/>
    </xf>
    <xf numFmtId="231" fontId="63" fillId="0" borderId="0" applyFont="0" applyFill="0" applyBorder="0" applyAlignment="0" applyProtection="0"/>
    <xf numFmtId="231" fontId="63" fillId="0" borderId="0" applyFont="0" applyFill="0" applyBorder="0" applyAlignment="0" applyProtection="0"/>
    <xf numFmtId="38" fontId="262" fillId="0" borderId="0"/>
    <xf numFmtId="0" fontId="8" fillId="0" borderId="0">
      <alignment horizontal="right"/>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263" fillId="5" borderId="68" applyNumberFormat="0" applyFont="0" applyAlignment="0" applyProtection="0">
      <alignment horizontal="left"/>
    </xf>
    <xf numFmtId="0" fontId="14" fillId="0" borderId="23" applyNumberFormat="0" applyFont="0" applyFill="0" applyAlignment="0" applyProtection="0"/>
    <xf numFmtId="0" fontId="14" fillId="0" borderId="23" applyNumberFormat="0" applyFont="0" applyFill="0" applyAlignment="0" applyProtection="0"/>
    <xf numFmtId="0" fontId="14" fillId="0" borderId="23" applyNumberFormat="0" applyFont="0" applyFill="0" applyAlignment="0" applyProtection="0"/>
    <xf numFmtId="0" fontId="22" fillId="8" borderId="0" applyNumberFormat="0" applyBorder="0" applyProtection="0">
      <alignment horizontal="left"/>
    </xf>
    <xf numFmtId="0" fontId="22" fillId="8" borderId="0" applyNumberFormat="0" applyBorder="0" applyProtection="0">
      <alignment horizontal="left"/>
    </xf>
    <xf numFmtId="0" fontId="22" fillId="8" borderId="0" applyNumberFormat="0" applyBorder="0" applyProtection="0">
      <alignment horizontal="left"/>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8" fillId="5" borderId="0" applyNumberFormat="0" applyFont="0" applyAlignment="0"/>
    <xf numFmtId="0" fontId="8" fillId="4" borderId="0" applyNumberFormat="0" applyFont="0" applyFill="0" applyBorder="0" applyAlignment="0" applyProtection="0">
      <alignment horizontal="left" indent="1"/>
    </xf>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1"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1"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1" fillId="2" borderId="0" applyNumberFormat="0" applyFont="0" applyFill="0" applyBorder="0" applyAlignment="0" applyProtection="0"/>
    <xf numFmtId="0" fontId="119" fillId="0" borderId="0" applyNumberFormat="0" applyFont="0" applyFill="0" applyBorder="0" applyAlignment="0" applyProtection="0">
      <alignment vertical="top"/>
    </xf>
    <xf numFmtId="0" fontId="117" fillId="0" borderId="0" applyNumberFormat="0" applyFill="0" applyBorder="0" applyAlignment="0" applyProtection="0">
      <alignment horizontal="left" indent="1"/>
    </xf>
    <xf numFmtId="0" fontId="14" fillId="0" borderId="25" applyNumberFormat="0" applyFont="0" applyFill="0" applyAlignment="0" applyProtection="0"/>
    <xf numFmtId="0" fontId="14" fillId="0" borderId="25" applyNumberFormat="0" applyFont="0" applyFill="0" applyAlignment="0" applyProtection="0"/>
    <xf numFmtId="0" fontId="14" fillId="0" borderId="25" applyNumberFormat="0" applyFont="0" applyFill="0" applyAlignment="0" applyProtection="0"/>
    <xf numFmtId="0" fontId="101" fillId="2" borderId="0"/>
    <xf numFmtId="224" fontId="102" fillId="0" borderId="2" applyNumberFormat="0" applyFill="0" applyBorder="0">
      <protection locked="0"/>
    </xf>
    <xf numFmtId="224" fontId="102" fillId="0" borderId="2" applyNumberFormat="0" applyFill="0" applyBorder="0">
      <protection locked="0"/>
    </xf>
    <xf numFmtId="224" fontId="102" fillId="0" borderId="2" applyNumberFormat="0" applyFill="0" applyBorder="0">
      <protection locked="0"/>
    </xf>
    <xf numFmtId="0" fontId="8" fillId="0" borderId="26">
      <alignment vertical="center"/>
    </xf>
    <xf numFmtId="0" fontId="8" fillId="0" borderId="26">
      <alignment vertical="center"/>
    </xf>
    <xf numFmtId="4" fontId="264" fillId="11" borderId="60" applyNumberFormat="0" applyProtection="0">
      <alignment vertical="center"/>
    </xf>
    <xf numFmtId="4" fontId="265" fillId="11" borderId="60" applyNumberFormat="0" applyProtection="0">
      <alignment vertical="center"/>
    </xf>
    <xf numFmtId="4" fontId="264" fillId="11" borderId="60" applyNumberFormat="0" applyProtection="0">
      <alignment horizontal="left" vertical="center" indent="1"/>
    </xf>
    <xf numFmtId="4" fontId="264" fillId="11" borderId="60" applyNumberFormat="0" applyProtection="0">
      <alignment horizontal="left" vertical="center" indent="1"/>
    </xf>
    <xf numFmtId="0" fontId="8" fillId="94" borderId="60" applyNumberFormat="0" applyProtection="0">
      <alignment horizontal="left" vertical="center" indent="1"/>
    </xf>
    <xf numFmtId="4" fontId="264" fillId="95" borderId="60" applyNumberFormat="0" applyProtection="0">
      <alignment horizontal="right" vertical="center"/>
    </xf>
    <xf numFmtId="4" fontId="264" fillId="96" borderId="60" applyNumberFormat="0" applyProtection="0">
      <alignment horizontal="right" vertical="center"/>
    </xf>
    <xf numFmtId="4" fontId="264" fillId="97" borderId="60" applyNumberFormat="0" applyProtection="0">
      <alignment horizontal="right" vertical="center"/>
    </xf>
    <xf numFmtId="4" fontId="264" fillId="91" borderId="60" applyNumberFormat="0" applyProtection="0">
      <alignment horizontal="right" vertical="center"/>
    </xf>
    <xf numFmtId="4" fontId="264" fillId="98" borderId="60" applyNumberFormat="0" applyProtection="0">
      <alignment horizontal="right" vertical="center"/>
    </xf>
    <xf numFmtId="4" fontId="264" fillId="99" borderId="60" applyNumberFormat="0" applyProtection="0">
      <alignment horizontal="right" vertical="center"/>
    </xf>
    <xf numFmtId="4" fontId="264" fillId="100" borderId="60" applyNumberFormat="0" applyProtection="0">
      <alignment horizontal="right" vertical="center"/>
    </xf>
    <xf numFmtId="4" fontId="264" fillId="101" borderId="60" applyNumberFormat="0" applyProtection="0">
      <alignment horizontal="right" vertical="center"/>
    </xf>
    <xf numFmtId="4" fontId="264" fillId="20" borderId="60" applyNumberFormat="0" applyProtection="0">
      <alignment horizontal="right" vertical="center"/>
    </xf>
    <xf numFmtId="4" fontId="266" fillId="102" borderId="60" applyNumberFormat="0" applyProtection="0">
      <alignment horizontal="left" vertical="center" indent="1"/>
    </xf>
    <xf numFmtId="4" fontId="264" fillId="103" borderId="74" applyNumberFormat="0" applyProtection="0">
      <alignment horizontal="left" vertical="center" indent="1"/>
    </xf>
    <xf numFmtId="4" fontId="267" fillId="27" borderId="0" applyNumberFormat="0" applyProtection="0">
      <alignment horizontal="left" vertical="center" indent="1"/>
    </xf>
    <xf numFmtId="0" fontId="8" fillId="94" borderId="60" applyNumberFormat="0" applyProtection="0">
      <alignment horizontal="left" vertical="center" indent="1"/>
    </xf>
    <xf numFmtId="4" fontId="264" fillId="103" borderId="60" applyNumberFormat="0" applyProtection="0">
      <alignment horizontal="left" vertical="center" indent="1"/>
    </xf>
    <xf numFmtId="4" fontId="264" fillId="104" borderId="60" applyNumberFormat="0" applyProtection="0">
      <alignment horizontal="left" vertical="center" indent="1"/>
    </xf>
    <xf numFmtId="0" fontId="8" fillId="104" borderId="60" applyNumberFormat="0" applyProtection="0">
      <alignment horizontal="left" vertical="center" indent="1"/>
    </xf>
    <xf numFmtId="0" fontId="8" fillId="104" borderId="60" applyNumberFormat="0" applyProtection="0">
      <alignment horizontal="left" vertical="center" indent="1"/>
    </xf>
    <xf numFmtId="0" fontId="8" fillId="105" borderId="60" applyNumberFormat="0" applyProtection="0">
      <alignment horizontal="left" vertical="center" indent="1"/>
    </xf>
    <xf numFmtId="0" fontId="8" fillId="105" borderId="60" applyNumberFormat="0" applyProtection="0">
      <alignment horizontal="left" vertical="center" indent="1"/>
    </xf>
    <xf numFmtId="0" fontId="8" fillId="13" borderId="60" applyNumberFormat="0" applyProtection="0">
      <alignment horizontal="left" vertical="center" indent="1"/>
    </xf>
    <xf numFmtId="0" fontId="8" fillId="13" borderId="60" applyNumberFormat="0" applyProtection="0">
      <alignment horizontal="left" vertical="center" indent="1"/>
    </xf>
    <xf numFmtId="0" fontId="8" fillId="94" borderId="60" applyNumberFormat="0" applyProtection="0">
      <alignment horizontal="left" vertical="center" indent="1"/>
    </xf>
    <xf numFmtId="0" fontId="8" fillId="94" borderId="60" applyNumberFormat="0" applyProtection="0">
      <alignment horizontal="left" vertical="center" indent="1"/>
    </xf>
    <xf numFmtId="4" fontId="264" fillId="4" borderId="60" applyNumberFormat="0" applyProtection="0">
      <alignment vertical="center"/>
    </xf>
    <xf numFmtId="4" fontId="265" fillId="4" borderId="60" applyNumberFormat="0" applyProtection="0">
      <alignment vertical="center"/>
    </xf>
    <xf numFmtId="4" fontId="264" fillId="4" borderId="60" applyNumberFormat="0" applyProtection="0">
      <alignment horizontal="left" vertical="center" indent="1"/>
    </xf>
    <xf numFmtId="4" fontId="264" fillId="4" borderId="60" applyNumberFormat="0" applyProtection="0">
      <alignment horizontal="left" vertical="center" indent="1"/>
    </xf>
    <xf numFmtId="4" fontId="264" fillId="103" borderId="60" applyNumberFormat="0" applyProtection="0">
      <alignment horizontal="right" vertical="center"/>
    </xf>
    <xf numFmtId="4" fontId="265" fillId="103" borderId="60" applyNumberFormat="0" applyProtection="0">
      <alignment horizontal="right" vertical="center"/>
    </xf>
    <xf numFmtId="0" fontId="8" fillId="94" borderId="60" applyNumberFormat="0" applyProtection="0">
      <alignment horizontal="left" vertical="center" indent="1"/>
    </xf>
    <xf numFmtId="0" fontId="8" fillId="94" borderId="60" applyNumberFormat="0" applyProtection="0">
      <alignment horizontal="left" vertical="center" indent="1"/>
    </xf>
    <xf numFmtId="0" fontId="268" fillId="0" borderId="0"/>
    <xf numFmtId="4" fontId="39" fillId="103" borderId="60" applyNumberFormat="0" applyProtection="0">
      <alignment horizontal="right" vertical="center"/>
    </xf>
    <xf numFmtId="306" fontId="19" fillId="0" borderId="0" applyFill="0" applyBorder="0">
      <alignment horizontal="right"/>
      <protection hidden="1"/>
    </xf>
    <xf numFmtId="306" fontId="19" fillId="0" borderId="0" applyFill="0" applyBorder="0">
      <alignment horizontal="right"/>
      <protection hidden="1"/>
    </xf>
    <xf numFmtId="0" fontId="19" fillId="0" borderId="0" applyFill="0" applyBorder="0">
      <alignment horizontal="right"/>
      <protection hidden="1"/>
    </xf>
    <xf numFmtId="306" fontId="19" fillId="0" borderId="0" applyFill="0" applyBorder="0">
      <alignment horizontal="right"/>
      <protection hidden="1"/>
    </xf>
    <xf numFmtId="204" fontId="269" fillId="0" borderId="0">
      <alignment horizontal="left"/>
    </xf>
    <xf numFmtId="0" fontId="103" fillId="0" borderId="0" applyNumberFormat="0" applyFill="0" applyBorder="0" applyProtection="0">
      <alignment horizontal="left" vertical="center"/>
    </xf>
    <xf numFmtId="0" fontId="103" fillId="0" borderId="0" applyNumberFormat="0" applyFill="0" applyBorder="0" applyProtection="0">
      <alignment horizontal="left" vertical="center"/>
    </xf>
    <xf numFmtId="0" fontId="103" fillId="0" borderId="0" applyNumberFormat="0" applyFill="0" applyBorder="0" applyProtection="0">
      <alignment horizontal="left" vertical="center"/>
    </xf>
    <xf numFmtId="0" fontId="20" fillId="10" borderId="4">
      <alignment horizontal="center" vertical="center" wrapText="1"/>
      <protection hidden="1"/>
    </xf>
    <xf numFmtId="0" fontId="20" fillId="10" borderId="4">
      <alignment horizontal="center" vertical="center" wrapText="1"/>
      <protection hidden="1"/>
    </xf>
    <xf numFmtId="335" fontId="8" fillId="0" borderId="0" applyFont="0" applyFill="0" applyBorder="0" applyAlignment="0" applyProtection="0"/>
    <xf numFmtId="40" fontId="9" fillId="0" borderId="0" applyFont="0" applyFill="0" applyBorder="0" applyAlignment="0" applyProtection="0"/>
    <xf numFmtId="216" fontId="49" fillId="0" borderId="0" applyFill="0" applyBorder="0" applyAlignment="0" applyProtection="0">
      <protection locked="0"/>
    </xf>
    <xf numFmtId="40" fontId="14" fillId="0" borderId="0" applyFont="0" applyFill="0" applyBorder="0" applyAlignment="0" applyProtection="0"/>
    <xf numFmtId="40" fontId="14" fillId="0" borderId="0" applyFont="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04" fontId="8" fillId="0" borderId="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44" fillId="0" borderId="0" applyNumberFormat="0" applyFill="0" applyBorder="0" applyAlignment="0" applyProtection="0"/>
    <xf numFmtId="0" fontId="27" fillId="0" borderId="0">
      <alignment vertical="top"/>
    </xf>
    <xf numFmtId="0" fontId="8" fillId="0" borderId="0"/>
    <xf numFmtId="0" fontId="8" fillId="0" borderId="0"/>
    <xf numFmtId="0" fontId="104" fillId="0" borderId="0" applyNumberFormat="0" applyFill="0" applyBorder="0" applyProtection="0">
      <alignment horizontal="left" vertical="center"/>
    </xf>
    <xf numFmtId="0" fontId="104" fillId="0" borderId="0" applyNumberFormat="0" applyFill="0" applyBorder="0" applyProtection="0">
      <alignment horizontal="left" vertical="center"/>
    </xf>
    <xf numFmtId="3" fontId="8" fillId="0" borderId="0"/>
    <xf numFmtId="3" fontId="8" fillId="0" borderId="0"/>
    <xf numFmtId="3" fontId="270" fillId="0" borderId="0"/>
    <xf numFmtId="3" fontId="231" fillId="0" borderId="33"/>
    <xf numFmtId="336" fontId="28" fillId="0" borderId="35"/>
    <xf numFmtId="3" fontId="8" fillId="0" borderId="33"/>
    <xf numFmtId="0" fontId="271" fillId="14" borderId="75">
      <alignment horizontal="right" wrapText="1"/>
    </xf>
    <xf numFmtId="0" fontId="271" fillId="14" borderId="75"/>
    <xf numFmtId="0" fontId="271" fillId="14" borderId="0">
      <alignment horizontal="left"/>
    </xf>
    <xf numFmtId="167" fontId="272" fillId="14" borderId="0" applyNumberFormat="0">
      <alignment horizontal="right"/>
    </xf>
    <xf numFmtId="167" fontId="271" fillId="14" borderId="76" applyNumberFormat="0">
      <alignment horizontal="right"/>
    </xf>
    <xf numFmtId="167" fontId="271" fillId="14" borderId="77" applyNumberFormat="0">
      <alignment horizontal="right"/>
    </xf>
    <xf numFmtId="0" fontId="272" fillId="14" borderId="0">
      <alignment horizontal="left" wrapText="1"/>
    </xf>
    <xf numFmtId="0" fontId="271" fillId="14" borderId="0">
      <alignment horizontal="left" wrapText="1"/>
    </xf>
    <xf numFmtId="0" fontId="271" fillId="14" borderId="76">
      <alignment horizontal="left"/>
    </xf>
    <xf numFmtId="0" fontId="271" fillId="14" borderId="77">
      <alignment horizontal="left"/>
    </xf>
    <xf numFmtId="0" fontId="49" fillId="0" borderId="0"/>
    <xf numFmtId="0" fontId="49" fillId="0" borderId="0"/>
    <xf numFmtId="0" fontId="8" fillId="0" borderId="0" applyBorder="0" applyProtection="0">
      <alignment vertical="center"/>
    </xf>
    <xf numFmtId="0" fontId="8" fillId="0" borderId="0" applyBorder="0" applyProtection="0">
      <alignment vertical="center"/>
    </xf>
    <xf numFmtId="0" fontId="8" fillId="0" borderId="0">
      <alignment horizontal="left"/>
    </xf>
    <xf numFmtId="0" fontId="21" fillId="0" borderId="0" applyBorder="0" applyProtection="0">
      <alignment vertical="center"/>
    </xf>
    <xf numFmtId="0" fontId="8" fillId="26" borderId="0" applyBorder="0" applyProtection="0">
      <alignment horizontal="centerContinuous" vertical="center"/>
    </xf>
    <xf numFmtId="0" fontId="8" fillId="26" borderId="0" applyBorder="0" applyProtection="0">
      <alignment horizontal="centerContinuous" vertical="center"/>
    </xf>
    <xf numFmtId="0" fontId="21" fillId="26" borderId="0" applyBorder="0" applyProtection="0">
      <alignment horizontal="centerContinuous" vertical="center"/>
    </xf>
    <xf numFmtId="0" fontId="8" fillId="6" borderId="7" applyBorder="0" applyProtection="0">
      <alignment horizontal="centerContinuous" vertical="center"/>
    </xf>
    <xf numFmtId="0" fontId="8" fillId="6" borderId="7" applyBorder="0" applyProtection="0">
      <alignment horizontal="centerContinuous" vertical="center"/>
    </xf>
    <xf numFmtId="0" fontId="21" fillId="6" borderId="7" applyBorder="0" applyProtection="0">
      <alignment horizontal="centerContinuous" vertical="center"/>
    </xf>
    <xf numFmtId="0" fontId="8" fillId="0" borderId="0">
      <alignment horizontal="left"/>
    </xf>
    <xf numFmtId="0" fontId="8" fillId="0" borderId="0">
      <alignment horizontal="left"/>
    </xf>
    <xf numFmtId="0" fontId="8" fillId="0" borderId="0"/>
    <xf numFmtId="0" fontId="8" fillId="0" borderId="0"/>
    <xf numFmtId="0" fontId="8" fillId="0" borderId="0"/>
    <xf numFmtId="0" fontId="8" fillId="0" borderId="0" applyFill="0" applyBorder="0" applyProtection="0">
      <alignment horizontal="left"/>
    </xf>
    <xf numFmtId="0" fontId="8" fillId="0" borderId="0" applyFill="0" applyBorder="0" applyProtection="0">
      <alignment horizontal="left"/>
    </xf>
    <xf numFmtId="0" fontId="105" fillId="0" borderId="0">
      <alignment horizontal="centerContinuous"/>
    </xf>
    <xf numFmtId="0" fontId="21" fillId="0" borderId="0" applyFill="0" applyBorder="0" applyProtection="0">
      <alignment horizontal="left"/>
    </xf>
    <xf numFmtId="0" fontId="8" fillId="0" borderId="2" applyFill="0" applyBorder="0" applyProtection="0">
      <alignment horizontal="left" vertical="top"/>
    </xf>
    <xf numFmtId="0" fontId="8" fillId="0" borderId="2" applyFill="0" applyBorder="0" applyProtection="0">
      <alignment horizontal="left" vertical="top"/>
    </xf>
    <xf numFmtId="0" fontId="8" fillId="0" borderId="0"/>
    <xf numFmtId="0" fontId="182" fillId="0" borderId="2" applyFill="0" applyBorder="0" applyProtection="0">
      <alignment horizontal="left" vertical="top"/>
    </xf>
    <xf numFmtId="0" fontId="8" fillId="2" borderId="29" applyNumberFormat="0" applyAlignment="0" applyProtection="0">
      <alignment vertical="center"/>
    </xf>
    <xf numFmtId="0" fontId="8" fillId="2" borderId="29" applyNumberFormat="0" applyAlignment="0" applyProtection="0">
      <alignment vertical="center"/>
    </xf>
    <xf numFmtId="0" fontId="8" fillId="2" borderId="29" applyNumberFormat="0" applyAlignment="0" applyProtection="0">
      <alignment vertical="center"/>
    </xf>
    <xf numFmtId="0" fontId="49" fillId="0" borderId="0"/>
    <xf numFmtId="0" fontId="49" fillId="0" borderId="0"/>
    <xf numFmtId="0" fontId="105" fillId="0" borderId="0">
      <alignment horizontal="centerContinuous"/>
    </xf>
    <xf numFmtId="0" fontId="105" fillId="0" borderId="0">
      <alignment horizontal="centerContinuous"/>
    </xf>
    <xf numFmtId="0" fontId="105" fillId="0" borderId="0">
      <alignment horizontal="centerContinuous"/>
    </xf>
    <xf numFmtId="0" fontId="8"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3" fillId="0" borderId="30" applyFill="0" applyBorder="0" applyProtection="0">
      <alignment horizontal="right"/>
    </xf>
    <xf numFmtId="1" fontId="63" fillId="0" borderId="30" applyFill="0" applyBorder="0" applyProtection="0">
      <alignment horizontal="right"/>
    </xf>
    <xf numFmtId="0" fontId="14" fillId="0" borderId="0" applyNumberFormat="0" applyFill="0" applyBorder="0" applyAlignment="0" applyProtection="0"/>
    <xf numFmtId="254" fontId="8" fillId="0" borderId="0"/>
    <xf numFmtId="254" fontId="8" fillId="0" borderId="0"/>
    <xf numFmtId="254" fontId="8" fillId="0" borderId="0"/>
    <xf numFmtId="254" fontId="8" fillId="0" borderId="0"/>
    <xf numFmtId="0" fontId="8" fillId="0" borderId="7" applyFill="0" applyAlignment="0" applyProtection="0"/>
    <xf numFmtId="0" fontId="8" fillId="0" borderId="7" applyFill="0" applyAlignment="0" applyProtection="0"/>
    <xf numFmtId="0" fontId="8" fillId="0" borderId="7" applyFill="0" applyAlignment="0" applyProtection="0"/>
    <xf numFmtId="0" fontId="8" fillId="0" borderId="7" applyFill="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2" fillId="8" borderId="3" applyNumberFormat="0" applyProtection="0">
      <alignment horizontal="left" vertical="center"/>
    </xf>
    <xf numFmtId="0" fontId="22" fillId="8" borderId="3" applyNumberFormat="0" applyProtection="0">
      <alignment horizontal="left" vertical="center"/>
    </xf>
    <xf numFmtId="0" fontId="22" fillId="8" borderId="3" applyNumberFormat="0" applyProtection="0">
      <alignment horizontal="left" vertical="center"/>
    </xf>
    <xf numFmtId="0" fontId="63" fillId="0" borderId="0" applyFill="0" applyBorder="0" applyProtection="0"/>
    <xf numFmtId="0" fontId="63" fillId="0" borderId="0" applyFill="0" applyBorder="0" applyProtection="0"/>
    <xf numFmtId="0" fontId="8" fillId="0" borderId="31"/>
    <xf numFmtId="231" fontId="106" fillId="0" borderId="32"/>
    <xf numFmtId="231" fontId="97" fillId="0" borderId="0" applyNumberFormat="0" applyFill="0" applyBorder="0" applyAlignment="0" applyProtection="0"/>
    <xf numFmtId="231" fontId="97" fillId="0" borderId="0" applyNumberFormat="0" applyFill="0" applyBorder="0" applyAlignment="0" applyProtection="0"/>
    <xf numFmtId="0" fontId="9" fillId="0" borderId="0" applyBorder="0"/>
    <xf numFmtId="0" fontId="9" fillId="0" borderId="0" applyBorder="0"/>
    <xf numFmtId="204" fontId="275" fillId="24" borderId="0" applyFill="0" applyBorder="0" applyAlignment="0" applyProtection="0">
      <alignment horizontal="left"/>
    </xf>
    <xf numFmtId="204" fontId="8" fillId="0" borderId="0" applyFill="0" applyBorder="0" applyAlignment="0" applyProtection="0">
      <alignment horizontal="left"/>
    </xf>
    <xf numFmtId="337" fontId="240" fillId="0" borderId="0">
      <protection locked="0"/>
    </xf>
    <xf numFmtId="337" fontId="240" fillId="0" borderId="0">
      <protection locked="0"/>
    </xf>
    <xf numFmtId="0" fontId="2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lignment horizontal="left" vertical="center"/>
    </xf>
    <xf numFmtId="0" fontId="33" fillId="14" borderId="0" applyNumberFormat="0" applyAlignment="0" applyProtection="0">
      <alignment horizontal="left" vertical="center" wrapText="1"/>
    </xf>
    <xf numFmtId="178" fontId="107" fillId="0" borderId="7" applyAlignment="0">
      <alignment horizontal="left"/>
      <protection locked="0"/>
    </xf>
    <xf numFmtId="178" fontId="107" fillId="0" borderId="7" applyAlignment="0">
      <alignment horizontal="left"/>
      <protection locked="0"/>
    </xf>
    <xf numFmtId="0" fontId="8" fillId="0" borderId="0"/>
    <xf numFmtId="0" fontId="8" fillId="0" borderId="0"/>
    <xf numFmtId="0" fontId="108" fillId="0" borderId="0"/>
    <xf numFmtId="0" fontId="108" fillId="0" borderId="0"/>
    <xf numFmtId="256" fontId="8" fillId="0" borderId="0" applyNumberFormat="0"/>
    <xf numFmtId="256" fontId="8" fillId="0" borderId="0" applyNumberFormat="0"/>
    <xf numFmtId="169" fontId="9" fillId="0" borderId="0" applyFont="0" applyFill="0" applyBorder="0" applyAlignment="0" applyProtection="0"/>
    <xf numFmtId="0" fontId="131" fillId="0" borderId="0" applyNumberFormat="0" applyFill="0" applyBorder="0" applyAlignment="0" applyProtection="0"/>
    <xf numFmtId="0" fontId="62" fillId="5" borderId="33" applyNumberFormat="0" applyFont="0" applyAlignment="0" applyProtection="0">
      <protection locked="0"/>
    </xf>
    <xf numFmtId="1" fontId="49" fillId="0" borderId="0" applyFont="0" applyFill="0" applyBorder="0" applyAlignment="0" applyProtection="0"/>
    <xf numFmtId="1" fontId="49" fillId="0" borderId="0" applyFont="0" applyFill="0" applyBorder="0" applyAlignment="0" applyProtection="0"/>
    <xf numFmtId="0" fontId="14" fillId="8" borderId="0" applyNumberFormat="0" applyBorder="0" applyProtection="0">
      <alignment horizontal="left"/>
    </xf>
    <xf numFmtId="0" fontId="14" fillId="8" borderId="0" applyNumberFormat="0" applyBorder="0" applyProtection="0">
      <alignment horizontal="left"/>
    </xf>
    <xf numFmtId="0" fontId="14" fillId="8" borderId="0" applyNumberFormat="0" applyBorder="0" applyProtection="0">
      <alignment horizontal="left"/>
    </xf>
    <xf numFmtId="1" fontId="8" fillId="89" borderId="0"/>
    <xf numFmtId="0" fontId="8" fillId="0" borderId="0">
      <alignment horizontal="right"/>
    </xf>
    <xf numFmtId="0" fontId="8" fillId="0" borderId="0"/>
    <xf numFmtId="0" fontId="276" fillId="0" borderId="0"/>
    <xf numFmtId="0" fontId="277" fillId="0" borderId="0" applyNumberFormat="0" applyFill="0" applyBorder="0" applyAlignment="0" applyProtection="0"/>
  </cellStyleXfs>
  <cellXfs count="549">
    <xf numFmtId="0" fontId="0" fillId="0" borderId="0" xfId="0"/>
    <xf numFmtId="0" fontId="279" fillId="5" borderId="0" xfId="2" applyFont="1" applyFill="1"/>
    <xf numFmtId="0" fontId="279" fillId="5" borderId="0" xfId="2" applyFont="1" applyFill="1" applyAlignment="1">
      <alignment horizontal="center"/>
    </xf>
    <xf numFmtId="0" fontId="281" fillId="5" borderId="0" xfId="2" applyFont="1" applyFill="1" applyAlignment="1">
      <alignment horizontal="center"/>
    </xf>
    <xf numFmtId="0" fontId="279" fillId="5" borderId="0" xfId="2" applyFont="1" applyFill="1" applyAlignment="1">
      <alignment horizontal="right"/>
    </xf>
    <xf numFmtId="0" fontId="279" fillId="0" borderId="0" xfId="2" applyFont="1"/>
    <xf numFmtId="176" fontId="279" fillId="5" borderId="0" xfId="2" applyNumberFormat="1" applyFont="1" applyFill="1" applyAlignment="1">
      <alignment horizontal="right"/>
    </xf>
    <xf numFmtId="9" fontId="279" fillId="5" borderId="0" xfId="284" applyFont="1" applyFill="1"/>
    <xf numFmtId="0" fontId="279" fillId="5" borderId="0" xfId="2" quotePrefix="1" applyFont="1" applyFill="1"/>
    <xf numFmtId="0" fontId="279" fillId="106" borderId="0" xfId="2" applyFont="1" applyFill="1"/>
    <xf numFmtId="9" fontId="279" fillId="0" borderId="0" xfId="2" applyNumberFormat="1" applyFont="1"/>
    <xf numFmtId="9" fontId="279" fillId="5" borderId="0" xfId="2" applyNumberFormat="1" applyFont="1" applyFill="1"/>
    <xf numFmtId="176" fontId="279" fillId="5" borderId="0" xfId="284" applyNumberFormat="1" applyFont="1" applyFill="1" applyAlignment="1">
      <alignment horizontal="right"/>
    </xf>
    <xf numFmtId="176" fontId="279" fillId="0" borderId="0" xfId="67" applyNumberFormat="1" applyFont="1" applyFill="1" applyBorder="1" applyAlignment="1">
      <alignment horizontal="right"/>
    </xf>
    <xf numFmtId="176" fontId="279" fillId="0" borderId="0" xfId="284" applyNumberFormat="1" applyFont="1" applyFill="1" applyBorder="1" applyAlignment="1">
      <alignment horizontal="right"/>
    </xf>
    <xf numFmtId="177" fontId="279" fillId="29" borderId="0" xfId="2" applyNumberFormat="1" applyFont="1" applyFill="1" applyAlignment="1">
      <alignment horizontal="center"/>
    </xf>
    <xf numFmtId="176" fontId="279" fillId="29" borderId="0" xfId="2" applyNumberFormat="1" applyFont="1" applyFill="1" applyAlignment="1">
      <alignment horizontal="right"/>
    </xf>
    <xf numFmtId="2" fontId="279" fillId="0" borderId="0" xfId="2" applyNumberFormat="1" applyFont="1" applyAlignment="1">
      <alignment horizontal="center"/>
    </xf>
    <xf numFmtId="177" fontId="279" fillId="0" borderId="0" xfId="2" applyNumberFormat="1" applyFont="1" applyAlignment="1">
      <alignment horizontal="center"/>
    </xf>
    <xf numFmtId="176" fontId="279" fillId="0" borderId="0" xfId="2" applyNumberFormat="1" applyFont="1" applyAlignment="1">
      <alignment horizontal="right"/>
    </xf>
    <xf numFmtId="176" fontId="279" fillId="106" borderId="0" xfId="2" applyNumberFormat="1" applyFont="1" applyFill="1" applyAlignment="1">
      <alignment horizontal="right"/>
    </xf>
    <xf numFmtId="177" fontId="279" fillId="0" borderId="0" xfId="3" applyNumberFormat="1" applyFont="1" applyAlignment="1">
      <alignment horizontal="center"/>
    </xf>
    <xf numFmtId="0" fontId="279" fillId="5" borderId="0" xfId="2" applyFont="1" applyFill="1" applyAlignment="1">
      <alignment vertical="center"/>
    </xf>
    <xf numFmtId="0" fontId="279" fillId="0" borderId="0" xfId="0" applyFont="1"/>
    <xf numFmtId="0" fontId="279" fillId="0" borderId="0" xfId="0" applyFont="1" applyAlignment="1">
      <alignment horizontal="center"/>
    </xf>
    <xf numFmtId="0" fontId="282" fillId="0" borderId="0" xfId="2" applyFont="1"/>
    <xf numFmtId="0" fontId="283" fillId="0" borderId="0" xfId="2" applyFont="1"/>
    <xf numFmtId="0" fontId="282" fillId="0" borderId="0" xfId="2" applyFont="1" applyAlignment="1">
      <alignment horizontal="left" vertical="center"/>
    </xf>
    <xf numFmtId="0" fontId="279" fillId="0" borderId="0" xfId="2" applyFont="1" applyAlignment="1">
      <alignment horizontal="right" vertical="center"/>
    </xf>
    <xf numFmtId="176" fontId="279" fillId="0" borderId="0" xfId="284" applyNumberFormat="1" applyFont="1" applyFill="1" applyAlignment="1">
      <alignment horizontal="right" vertical="center"/>
    </xf>
    <xf numFmtId="0" fontId="279" fillId="0" borderId="0" xfId="2" applyFont="1" applyAlignment="1">
      <alignment vertical="center"/>
    </xf>
    <xf numFmtId="177" fontId="279" fillId="0" borderId="0" xfId="67" applyNumberFormat="1" applyFont="1" applyFill="1" applyAlignment="1">
      <alignment horizontal="right" vertical="center"/>
    </xf>
    <xf numFmtId="0" fontId="279" fillId="0" borderId="0" xfId="2" applyFont="1" applyAlignment="1">
      <alignment horizontal="left" vertical="center"/>
    </xf>
    <xf numFmtId="0" fontId="282" fillId="0" borderId="0" xfId="2" applyFont="1" applyAlignment="1">
      <alignment horizontal="right"/>
    </xf>
    <xf numFmtId="0" fontId="282" fillId="0" borderId="0" xfId="2" applyFont="1" applyAlignment="1">
      <alignment horizontal="right" vertical="center"/>
    </xf>
    <xf numFmtId="0" fontId="282" fillId="0" borderId="30" xfId="2" applyFont="1" applyBorder="1" applyAlignment="1">
      <alignment horizontal="left" vertical="center"/>
    </xf>
    <xf numFmtId="0" fontId="279" fillId="0" borderId="30" xfId="2" applyFont="1" applyBorder="1" applyAlignment="1">
      <alignment horizontal="right" vertical="center"/>
    </xf>
    <xf numFmtId="176" fontId="279" fillId="0" borderId="30" xfId="284" applyNumberFormat="1" applyFont="1" applyFill="1" applyBorder="1" applyAlignment="1">
      <alignment horizontal="right" vertical="center"/>
    </xf>
    <xf numFmtId="177" fontId="282" fillId="0" borderId="30" xfId="67" applyNumberFormat="1" applyFont="1" applyFill="1" applyBorder="1" applyAlignment="1">
      <alignment horizontal="right" vertical="center"/>
    </xf>
    <xf numFmtId="176" fontId="282" fillId="0" borderId="30" xfId="284" applyNumberFormat="1" applyFont="1" applyFill="1" applyBorder="1" applyAlignment="1">
      <alignment horizontal="right" vertical="center"/>
    </xf>
    <xf numFmtId="0" fontId="282" fillId="0" borderId="0" xfId="2" applyFont="1" applyAlignment="1">
      <alignment vertical="center"/>
    </xf>
    <xf numFmtId="0" fontId="279" fillId="0" borderId="30" xfId="2" applyFont="1" applyBorder="1" applyAlignment="1">
      <alignment horizontal="left" vertical="center"/>
    </xf>
    <xf numFmtId="0" fontId="282" fillId="0" borderId="30" xfId="2" applyFont="1" applyBorder="1" applyAlignment="1">
      <alignment horizontal="right" vertical="center"/>
    </xf>
    <xf numFmtId="176" fontId="282" fillId="0" borderId="0" xfId="284" applyNumberFormat="1" applyFont="1" applyFill="1" applyAlignment="1">
      <alignment horizontal="right" vertical="center"/>
    </xf>
    <xf numFmtId="177" fontId="282" fillId="0" borderId="0" xfId="67" applyNumberFormat="1" applyFont="1" applyFill="1" applyAlignment="1">
      <alignment horizontal="right" vertical="center"/>
    </xf>
    <xf numFmtId="176" fontId="282" fillId="0" borderId="0" xfId="284" applyNumberFormat="1" applyFont="1" applyFill="1" applyBorder="1" applyAlignment="1">
      <alignment horizontal="right" vertical="center"/>
    </xf>
    <xf numFmtId="177" fontId="282" fillId="0" borderId="0" xfId="67" applyNumberFormat="1" applyFont="1" applyFill="1" applyBorder="1" applyAlignment="1">
      <alignment horizontal="right" vertical="center"/>
    </xf>
    <xf numFmtId="0" fontId="279" fillId="0" borderId="0" xfId="2" applyFont="1" applyAlignment="1">
      <alignment horizontal="left"/>
    </xf>
    <xf numFmtId="174" fontId="279" fillId="0" borderId="0" xfId="67" applyNumberFormat="1" applyFont="1" applyFill="1" applyBorder="1" applyAlignment="1">
      <alignment horizontal="right"/>
    </xf>
    <xf numFmtId="3" fontId="279" fillId="0" borderId="0" xfId="2" applyNumberFormat="1" applyFont="1"/>
    <xf numFmtId="177" fontId="282" fillId="0" borderId="30" xfId="284" applyNumberFormat="1" applyFont="1" applyFill="1" applyBorder="1" applyAlignment="1">
      <alignment horizontal="right" vertical="center"/>
    </xf>
    <xf numFmtId="0" fontId="282" fillId="0" borderId="30" xfId="2" applyFont="1" applyBorder="1"/>
    <xf numFmtId="176" fontId="279" fillId="0" borderId="0" xfId="284" applyNumberFormat="1" applyFont="1" applyFill="1" applyBorder="1" applyAlignment="1">
      <alignment horizontal="right" vertical="center"/>
    </xf>
    <xf numFmtId="0" fontId="279" fillId="0" borderId="0" xfId="2" applyFont="1" applyAlignment="1">
      <alignment horizontal="right"/>
    </xf>
    <xf numFmtId="176" fontId="282" fillId="0" borderId="0" xfId="67" applyNumberFormat="1" applyFont="1" applyFill="1" applyAlignment="1">
      <alignment horizontal="right" vertical="center"/>
    </xf>
    <xf numFmtId="176" fontId="282" fillId="0" borderId="0" xfId="2" applyNumberFormat="1" applyFont="1" applyAlignment="1">
      <alignment vertical="center"/>
    </xf>
    <xf numFmtId="9" fontId="282" fillId="0" borderId="0" xfId="284" applyFont="1" applyFill="1" applyAlignment="1">
      <alignment horizontal="right" vertical="center"/>
    </xf>
    <xf numFmtId="9" fontId="282" fillId="0" borderId="0" xfId="284" applyFont="1" applyFill="1" applyAlignment="1">
      <alignment vertical="center"/>
    </xf>
    <xf numFmtId="177" fontId="279" fillId="0" borderId="0" xfId="2" applyNumberFormat="1" applyFont="1" applyAlignment="1">
      <alignment vertical="center"/>
    </xf>
    <xf numFmtId="177" fontId="279" fillId="0" borderId="0" xfId="284" applyNumberFormat="1" applyFont="1" applyFill="1" applyAlignment="1">
      <alignment horizontal="right" vertical="center"/>
    </xf>
    <xf numFmtId="2" fontId="279" fillId="0" borderId="0" xfId="2" applyNumberFormat="1" applyFont="1"/>
    <xf numFmtId="177" fontId="279" fillId="0" borderId="0" xfId="0" applyNumberFormat="1" applyFont="1"/>
    <xf numFmtId="177" fontId="279" fillId="0" borderId="0" xfId="2" applyNumberFormat="1" applyFont="1" applyAlignment="1">
      <alignment horizontal="right"/>
    </xf>
    <xf numFmtId="176" fontId="279" fillId="0" borderId="0" xfId="284" applyNumberFormat="1" applyFont="1" applyFill="1"/>
    <xf numFmtId="0" fontId="279" fillId="107" borderId="0" xfId="2" applyFont="1" applyFill="1"/>
    <xf numFmtId="0" fontId="279" fillId="107" borderId="0" xfId="2" applyFont="1" applyFill="1" applyAlignment="1">
      <alignment horizontal="center"/>
    </xf>
    <xf numFmtId="4" fontId="279" fillId="29" borderId="0" xfId="2" applyNumberFormat="1" applyFont="1" applyFill="1" applyAlignment="1">
      <alignment horizontal="center"/>
    </xf>
    <xf numFmtId="0" fontId="279" fillId="0" borderId="0" xfId="2371" applyFont="1" applyFill="1"/>
    <xf numFmtId="3" fontId="279" fillId="0" borderId="0" xfId="2" applyNumberFormat="1" applyFont="1" applyAlignment="1">
      <alignment horizontal="center"/>
    </xf>
    <xf numFmtId="0" fontId="279" fillId="5" borderId="0" xfId="2" applyFont="1" applyFill="1" applyAlignment="1">
      <alignment horizontal="right" wrapText="1"/>
    </xf>
    <xf numFmtId="0" fontId="283" fillId="5" borderId="0" xfId="2" applyFont="1" applyFill="1"/>
    <xf numFmtId="0" fontId="283" fillId="5" borderId="0" xfId="2" applyFont="1" applyFill="1" applyAlignment="1">
      <alignment horizontal="right"/>
    </xf>
    <xf numFmtId="0" fontId="283" fillId="0" borderId="0" xfId="0" applyFont="1"/>
    <xf numFmtId="2" fontId="284" fillId="106" borderId="0" xfId="2" applyNumberFormat="1" applyFont="1" applyFill="1"/>
    <xf numFmtId="2" fontId="283" fillId="106" borderId="0" xfId="2" applyNumberFormat="1" applyFont="1" applyFill="1"/>
    <xf numFmtId="0" fontId="283" fillId="106" borderId="0" xfId="2" applyFont="1" applyFill="1"/>
    <xf numFmtId="0" fontId="283" fillId="106" borderId="0" xfId="2" applyFont="1" applyFill="1" applyAlignment="1">
      <alignment horizontal="right"/>
    </xf>
    <xf numFmtId="175" fontId="283" fillId="0" borderId="0" xfId="67" applyNumberFormat="1" applyFont="1"/>
    <xf numFmtId="175" fontId="283" fillId="5" borderId="0" xfId="67" applyNumberFormat="1" applyFont="1" applyFill="1" applyBorder="1" applyAlignment="1">
      <alignment horizontal="right"/>
    </xf>
    <xf numFmtId="176" fontId="283" fillId="5" borderId="0" xfId="67" applyNumberFormat="1" applyFont="1" applyFill="1" applyBorder="1" applyAlignment="1">
      <alignment horizontal="right"/>
    </xf>
    <xf numFmtId="175" fontId="283" fillId="0" borderId="0" xfId="67" applyNumberFormat="1" applyFont="1" applyFill="1" applyBorder="1"/>
    <xf numFmtId="1" fontId="279" fillId="108" borderId="0" xfId="2" applyNumberFormat="1" applyFont="1" applyFill="1" applyAlignment="1">
      <alignment horizontal="center"/>
    </xf>
    <xf numFmtId="177" fontId="279" fillId="108" borderId="0" xfId="2" applyNumberFormat="1" applyFont="1" applyFill="1" applyAlignment="1">
      <alignment horizontal="center"/>
    </xf>
    <xf numFmtId="2" fontId="279" fillId="108" borderId="0" xfId="2" applyNumberFormat="1" applyFont="1" applyFill="1" applyAlignment="1">
      <alignment horizontal="center"/>
    </xf>
    <xf numFmtId="178" fontId="279" fillId="108" borderId="0" xfId="2" applyNumberFormat="1" applyFont="1" applyFill="1" applyAlignment="1">
      <alignment horizontal="center"/>
    </xf>
    <xf numFmtId="0" fontId="282" fillId="5" borderId="30" xfId="2" applyFont="1" applyFill="1" applyBorder="1"/>
    <xf numFmtId="0" fontId="282" fillId="5" borderId="30" xfId="2" applyFont="1" applyFill="1" applyBorder="1" applyAlignment="1">
      <alignment horizontal="center"/>
    </xf>
    <xf numFmtId="0" fontId="282" fillId="5" borderId="30" xfId="2" applyFont="1" applyFill="1" applyBorder="1" applyAlignment="1">
      <alignment horizontal="right" wrapText="1"/>
    </xf>
    <xf numFmtId="178" fontId="279" fillId="108" borderId="0" xfId="3" applyNumberFormat="1" applyFont="1" applyFill="1" applyAlignment="1">
      <alignment horizontal="center"/>
    </xf>
    <xf numFmtId="3" fontId="279" fillId="108" borderId="0" xfId="2" applyNumberFormat="1" applyFont="1" applyFill="1" applyAlignment="1">
      <alignment horizontal="center"/>
    </xf>
    <xf numFmtId="177" fontId="279" fillId="108" borderId="0" xfId="3" applyNumberFormat="1" applyFont="1" applyFill="1" applyAlignment="1">
      <alignment horizontal="center"/>
    </xf>
    <xf numFmtId="1" fontId="279" fillId="108" borderId="0" xfId="3" applyNumberFormat="1" applyFont="1" applyFill="1" applyAlignment="1">
      <alignment horizontal="center"/>
    </xf>
    <xf numFmtId="177" fontId="279" fillId="108" borderId="0" xfId="438" applyNumberFormat="1" applyFont="1" applyFill="1" applyAlignment="1">
      <alignment horizontal="center"/>
    </xf>
    <xf numFmtId="177" fontId="279" fillId="108" borderId="0" xfId="2" applyNumberFormat="1" applyFont="1" applyFill="1" applyAlignment="1">
      <alignment vertical="center"/>
    </xf>
    <xf numFmtId="177" fontId="279" fillId="108" borderId="0" xfId="2" applyNumberFormat="1" applyFont="1" applyFill="1"/>
    <xf numFmtId="2" fontId="279" fillId="108" borderId="0" xfId="2" applyNumberFormat="1" applyFont="1" applyFill="1" applyAlignment="1">
      <alignment vertical="center"/>
    </xf>
    <xf numFmtId="2" fontId="279" fillId="108" borderId="0" xfId="2" applyNumberFormat="1" applyFont="1" applyFill="1"/>
    <xf numFmtId="2" fontId="281" fillId="108" borderId="0" xfId="2" applyNumberFormat="1" applyFont="1" applyFill="1" applyAlignment="1">
      <alignment vertical="center"/>
    </xf>
    <xf numFmtId="1" fontId="279" fillId="108" borderId="0" xfId="2" applyNumberFormat="1" applyFont="1" applyFill="1" applyAlignment="1">
      <alignment vertical="center"/>
    </xf>
    <xf numFmtId="0" fontId="285" fillId="107" borderId="0" xfId="2" applyFont="1" applyFill="1"/>
    <xf numFmtId="0" fontId="285" fillId="107" borderId="0" xfId="252" applyFont="1" applyFill="1" applyAlignment="1">
      <alignment vertical="top"/>
    </xf>
    <xf numFmtId="0" fontId="285" fillId="107" borderId="0" xfId="2" applyFont="1" applyFill="1" applyAlignment="1">
      <alignment horizontal="center"/>
    </xf>
    <xf numFmtId="0" fontId="286" fillId="107" borderId="0" xfId="2" applyFont="1" applyFill="1"/>
    <xf numFmtId="0" fontId="286" fillId="107" borderId="0" xfId="252" applyFont="1" applyFill="1" applyAlignment="1">
      <alignment vertical="top"/>
    </xf>
    <xf numFmtId="0" fontId="286" fillId="107" borderId="0" xfId="2" applyFont="1" applyFill="1" applyAlignment="1">
      <alignment horizontal="center"/>
    </xf>
    <xf numFmtId="0" fontId="282" fillId="0" borderId="0" xfId="2" applyFont="1" applyAlignment="1">
      <alignment horizontal="left"/>
    </xf>
    <xf numFmtId="0" fontId="282" fillId="0" borderId="0" xfId="2" applyFont="1" applyAlignment="1">
      <alignment horizontal="left" vertical="top"/>
    </xf>
    <xf numFmtId="0" fontId="282" fillId="0" borderId="0" xfId="2" applyFont="1" applyAlignment="1">
      <alignment vertical="top"/>
    </xf>
    <xf numFmtId="0" fontId="282" fillId="0" borderId="0" xfId="253" applyFont="1" applyAlignment="1">
      <alignment horizontal="right"/>
    </xf>
    <xf numFmtId="176" fontId="279" fillId="0" borderId="0" xfId="284" applyNumberFormat="1" applyFont="1" applyFill="1" applyAlignment="1">
      <alignment vertical="center"/>
    </xf>
    <xf numFmtId="174" fontId="279" fillId="0" borderId="0" xfId="67" applyNumberFormat="1" applyFont="1" applyFill="1" applyAlignment="1">
      <alignment vertical="center"/>
    </xf>
    <xf numFmtId="9" fontId="282" fillId="0" borderId="0" xfId="2" applyNumberFormat="1" applyFont="1"/>
    <xf numFmtId="0" fontId="282" fillId="0" borderId="0" xfId="0" applyFont="1"/>
    <xf numFmtId="0" fontId="289" fillId="0" borderId="0" xfId="2" applyFont="1"/>
    <xf numFmtId="0" fontId="283" fillId="107" borderId="0" xfId="2" applyFont="1" applyFill="1"/>
    <xf numFmtId="0" fontId="278" fillId="107" borderId="0" xfId="2" applyFont="1" applyFill="1"/>
    <xf numFmtId="0" fontId="280" fillId="107" borderId="0" xfId="2371" applyFont="1" applyFill="1"/>
    <xf numFmtId="0" fontId="278" fillId="107" borderId="0" xfId="2" applyFont="1" applyFill="1" applyAlignment="1">
      <alignment horizontal="right"/>
    </xf>
    <xf numFmtId="0" fontId="278" fillId="107" borderId="0" xfId="2" applyFont="1" applyFill="1" applyAlignment="1">
      <alignment horizontal="left"/>
    </xf>
    <xf numFmtId="0" fontId="286" fillId="107" borderId="0" xfId="2" applyFont="1" applyFill="1" applyAlignment="1">
      <alignment horizontal="right"/>
    </xf>
    <xf numFmtId="0" fontId="288" fillId="107" borderId="0" xfId="2" applyFont="1" applyFill="1"/>
    <xf numFmtId="0" fontId="285" fillId="107" borderId="0" xfId="252" applyFont="1" applyFill="1"/>
    <xf numFmtId="0" fontId="287" fillId="107" borderId="0" xfId="2" applyFont="1" applyFill="1"/>
    <xf numFmtId="0" fontId="287" fillId="107" borderId="0" xfId="2" applyFont="1" applyFill="1" applyAlignment="1">
      <alignment horizontal="left"/>
    </xf>
    <xf numFmtId="0" fontId="289" fillId="107" borderId="0" xfId="2" applyFont="1" applyFill="1"/>
    <xf numFmtId="0" fontId="286" fillId="107" borderId="0" xfId="2" applyFont="1" applyFill="1" applyAlignment="1">
      <alignment horizontal="right" wrapText="1"/>
    </xf>
    <xf numFmtId="0" fontId="286" fillId="107" borderId="0" xfId="2" applyFont="1" applyFill="1" applyAlignment="1">
      <alignment horizontal="left"/>
    </xf>
    <xf numFmtId="0" fontId="286" fillId="107" borderId="0" xfId="2" applyFont="1" applyFill="1" applyAlignment="1">
      <alignment horizontal="left" vertical="top"/>
    </xf>
    <xf numFmtId="0" fontId="286" fillId="107" borderId="0" xfId="2" applyFont="1" applyFill="1" applyAlignment="1">
      <alignment vertical="top"/>
    </xf>
    <xf numFmtId="0" fontId="286" fillId="107" borderId="0" xfId="253" applyFont="1" applyFill="1" applyAlignment="1">
      <alignment horizontal="right"/>
    </xf>
    <xf numFmtId="0" fontId="282" fillId="109" borderId="30" xfId="2" applyFont="1" applyFill="1" applyBorder="1"/>
    <xf numFmtId="0" fontId="282" fillId="109" borderId="30" xfId="2" applyFont="1" applyFill="1" applyBorder="1" applyAlignment="1">
      <alignment horizontal="right"/>
    </xf>
    <xf numFmtId="0" fontId="282" fillId="109" borderId="30" xfId="2" applyFont="1" applyFill="1" applyBorder="1" applyAlignment="1">
      <alignment horizontal="centerContinuous"/>
    </xf>
    <xf numFmtId="0" fontId="282" fillId="109" borderId="30" xfId="2" applyFont="1" applyFill="1" applyBorder="1" applyAlignment="1">
      <alignment horizontal="left"/>
    </xf>
    <xf numFmtId="0" fontId="290" fillId="0" borderId="0" xfId="2" applyFont="1"/>
    <xf numFmtId="9" fontId="279" fillId="0" borderId="0" xfId="284" applyFont="1" applyFill="1" applyAlignment="1">
      <alignment horizontal="right" vertical="center"/>
    </xf>
    <xf numFmtId="10" fontId="279" fillId="0" borderId="0" xfId="67" applyNumberFormat="1" applyFont="1" applyFill="1" applyAlignment="1">
      <alignment horizontal="right" vertical="center"/>
    </xf>
    <xf numFmtId="176" fontId="279" fillId="0" borderId="0" xfId="0" applyNumberFormat="1" applyFont="1"/>
    <xf numFmtId="0" fontId="294" fillId="107" borderId="0" xfId="2" applyFont="1" applyFill="1"/>
    <xf numFmtId="177" fontId="279" fillId="0" borderId="0" xfId="67" applyNumberFormat="1" applyFont="1" applyFill="1" applyBorder="1" applyAlignment="1">
      <alignment horizontal="right" vertical="center"/>
    </xf>
    <xf numFmtId="174" fontId="279" fillId="0" borderId="0" xfId="67" applyNumberFormat="1" applyFont="1" applyFill="1" applyBorder="1" applyAlignment="1">
      <alignment vertical="center"/>
    </xf>
    <xf numFmtId="0" fontId="279" fillId="0" borderId="0" xfId="0" applyFont="1" applyAlignment="1">
      <alignment horizontal="right"/>
    </xf>
    <xf numFmtId="3" fontId="279" fillId="0" borderId="0" xfId="67" applyNumberFormat="1" applyFont="1" applyFill="1" applyBorder="1" applyAlignment="1">
      <alignment horizontal="center"/>
    </xf>
    <xf numFmtId="0" fontId="279" fillId="0" borderId="0" xfId="3" applyFont="1" applyAlignment="1">
      <alignment horizontal="right" vertical="center"/>
    </xf>
    <xf numFmtId="177" fontId="279" fillId="0" borderId="0" xfId="3" applyNumberFormat="1" applyFont="1" applyAlignment="1">
      <alignment horizontal="right" vertical="center"/>
    </xf>
    <xf numFmtId="177" fontId="279" fillId="0" borderId="0" xfId="0" applyNumberFormat="1" applyFont="1" applyAlignment="1">
      <alignment horizontal="right"/>
    </xf>
    <xf numFmtId="177" fontId="279" fillId="0" borderId="0" xfId="2" applyNumberFormat="1" applyFont="1" applyAlignment="1">
      <alignment horizontal="right" vertical="center"/>
    </xf>
    <xf numFmtId="0" fontId="279" fillId="0" borderId="7" xfId="2" applyFont="1" applyBorder="1" applyAlignment="1">
      <alignment horizontal="right" vertical="center"/>
    </xf>
    <xf numFmtId="176" fontId="279" fillId="0" borderId="7" xfId="284" applyNumberFormat="1" applyFont="1" applyFill="1" applyBorder="1" applyAlignment="1">
      <alignment horizontal="right" vertical="center"/>
    </xf>
    <xf numFmtId="0" fontId="279" fillId="29" borderId="0" xfId="0" applyFont="1" applyFill="1"/>
    <xf numFmtId="178" fontId="279" fillId="0" borderId="0" xfId="67" applyNumberFormat="1" applyFont="1" applyFill="1" applyBorder="1" applyAlignment="1">
      <alignment horizontal="right" vertical="center"/>
    </xf>
    <xf numFmtId="177" fontId="279" fillId="0" borderId="0" xfId="284" applyNumberFormat="1" applyFont="1" applyFill="1" applyBorder="1" applyAlignment="1">
      <alignment horizontal="center" vertical="center"/>
    </xf>
    <xf numFmtId="177" fontId="279" fillId="0" borderId="0" xfId="284" applyNumberFormat="1" applyFont="1" applyFill="1"/>
    <xf numFmtId="0" fontId="279" fillId="0" borderId="0" xfId="3" applyFont="1"/>
    <xf numFmtId="0" fontId="295" fillId="107" borderId="0" xfId="2" applyFont="1" applyFill="1"/>
    <xf numFmtId="0" fontId="283" fillId="0" borderId="0" xfId="3" applyFont="1"/>
    <xf numFmtId="0" fontId="282" fillId="0" borderId="0" xfId="0" applyFont="1" applyAlignment="1">
      <alignment horizontal="right"/>
    </xf>
    <xf numFmtId="3" fontId="282" fillId="0" borderId="0" xfId="67" applyNumberFormat="1" applyFont="1" applyFill="1" applyBorder="1" applyAlignment="1">
      <alignment horizontal="center"/>
    </xf>
    <xf numFmtId="0" fontId="279" fillId="0" borderId="0" xfId="3" applyFont="1" applyAlignment="1">
      <alignment horizontal="left" vertical="center"/>
    </xf>
    <xf numFmtId="0" fontId="279" fillId="0" borderId="7" xfId="2" applyFont="1" applyBorder="1" applyAlignment="1">
      <alignment horizontal="left" vertical="center"/>
    </xf>
    <xf numFmtId="0" fontId="279" fillId="0" borderId="62" xfId="0" applyFont="1" applyBorder="1"/>
    <xf numFmtId="177" fontId="279" fillId="0" borderId="0" xfId="3" applyNumberFormat="1" applyFont="1" applyAlignment="1">
      <alignment horizontal="left" vertical="center"/>
    </xf>
    <xf numFmtId="0" fontId="296" fillId="107" borderId="0" xfId="2371" applyFont="1" applyFill="1"/>
    <xf numFmtId="0" fontId="285" fillId="107" borderId="0" xfId="2" applyFont="1" applyFill="1" applyAlignment="1">
      <alignment horizontal="left"/>
    </xf>
    <xf numFmtId="292" fontId="279" fillId="0" borderId="0" xfId="67" applyNumberFormat="1" applyFont="1" applyFill="1" applyBorder="1" applyAlignment="1">
      <alignment horizontal="right" vertical="center"/>
    </xf>
    <xf numFmtId="292" fontId="279" fillId="0" borderId="0" xfId="67" applyNumberFormat="1" applyFont="1" applyFill="1" applyAlignment="1">
      <alignment horizontal="right" vertical="center"/>
    </xf>
    <xf numFmtId="292" fontId="279" fillId="0" borderId="7" xfId="67" applyNumberFormat="1" applyFont="1" applyFill="1" applyBorder="1" applyAlignment="1">
      <alignment horizontal="right" vertical="center"/>
    </xf>
    <xf numFmtId="178" fontId="282" fillId="0" borderId="4" xfId="67" applyNumberFormat="1" applyFont="1" applyFill="1" applyBorder="1" applyAlignment="1">
      <alignment horizontal="center" vertical="center"/>
    </xf>
    <xf numFmtId="3" fontId="279" fillId="29" borderId="0" xfId="67" applyNumberFormat="1" applyFont="1" applyFill="1" applyBorder="1" applyAlignment="1">
      <alignment horizontal="center" vertical="center"/>
    </xf>
    <xf numFmtId="177" fontId="282" fillId="0" borderId="0" xfId="67" applyNumberFormat="1" applyFont="1" applyFill="1" applyBorder="1" applyAlignment="1">
      <alignment horizontal="left" vertical="center"/>
    </xf>
    <xf numFmtId="3" fontId="282" fillId="0" borderId="0" xfId="67" applyNumberFormat="1" applyFont="1" applyFill="1" applyBorder="1" applyAlignment="1">
      <alignment horizontal="center" vertical="center"/>
    </xf>
    <xf numFmtId="176" fontId="282" fillId="0" borderId="0" xfId="284" applyNumberFormat="1" applyFont="1" applyFill="1" applyBorder="1" applyAlignment="1">
      <alignment horizontal="center" vertical="center"/>
    </xf>
    <xf numFmtId="0" fontId="282" fillId="0" borderId="0" xfId="2" applyFont="1" applyAlignment="1">
      <alignment horizontal="right" wrapText="1"/>
    </xf>
    <xf numFmtId="177" fontId="279" fillId="0" borderId="0" xfId="67" applyNumberFormat="1" applyFont="1" applyFill="1" applyBorder="1" applyAlignment="1">
      <alignment horizontal="left" vertical="center"/>
    </xf>
    <xf numFmtId="178" fontId="279" fillId="0" borderId="0" xfId="67" applyNumberFormat="1" applyFont="1" applyFill="1" applyBorder="1" applyAlignment="1">
      <alignment horizontal="center" vertical="center"/>
    </xf>
    <xf numFmtId="176" fontId="279" fillId="0" borderId="0" xfId="284" applyNumberFormat="1" applyFont="1" applyFill="1" applyBorder="1" applyAlignment="1">
      <alignment horizontal="center" vertical="center"/>
    </xf>
    <xf numFmtId="3" fontId="279" fillId="0" borderId="0" xfId="67" applyNumberFormat="1" applyFont="1" applyFill="1" applyBorder="1" applyAlignment="1">
      <alignment horizontal="center" vertical="center"/>
    </xf>
    <xf numFmtId="2" fontId="279" fillId="0" borderId="0" xfId="284" applyNumberFormat="1" applyFont="1" applyFill="1" applyBorder="1"/>
    <xf numFmtId="0" fontId="279" fillId="0" borderId="0" xfId="0" applyFont="1" applyAlignment="1">
      <alignment horizontal="left"/>
    </xf>
    <xf numFmtId="0" fontId="279" fillId="0" borderId="78" xfId="0" applyFont="1" applyBorder="1"/>
    <xf numFmtId="0" fontId="282" fillId="0" borderId="62" xfId="0" applyFont="1" applyBorder="1" applyAlignment="1">
      <alignment horizontal="centerContinuous"/>
    </xf>
    <xf numFmtId="0" fontId="296" fillId="107" borderId="0" xfId="2371" applyFont="1" applyFill="1" applyAlignment="1">
      <alignment horizontal="right"/>
    </xf>
    <xf numFmtId="0" fontId="285" fillId="107" borderId="0" xfId="2" applyFont="1" applyFill="1" applyAlignment="1">
      <alignment horizontal="right"/>
    </xf>
    <xf numFmtId="0" fontId="286" fillId="107" borderId="0" xfId="2" applyFont="1" applyFill="1" applyAlignment="1">
      <alignment horizontal="right" vertical="top"/>
    </xf>
    <xf numFmtId="0" fontId="282" fillId="0" borderId="0" xfId="252" applyFont="1" applyAlignment="1">
      <alignment horizontal="right" vertical="top"/>
    </xf>
    <xf numFmtId="0" fontId="282" fillId="0" borderId="62" xfId="0" applyFont="1" applyBorder="1" applyAlignment="1">
      <alignment horizontal="right"/>
    </xf>
    <xf numFmtId="0" fontId="282" fillId="0" borderId="78" xfId="0" applyFont="1" applyBorder="1" applyAlignment="1">
      <alignment horizontal="right"/>
    </xf>
    <xf numFmtId="0" fontId="281" fillId="0" borderId="0" xfId="0" applyFont="1" applyAlignment="1">
      <alignment horizontal="right"/>
    </xf>
    <xf numFmtId="3" fontId="279" fillId="0" borderId="0" xfId="67" applyNumberFormat="1" applyFont="1" applyFill="1" applyBorder="1" applyAlignment="1">
      <alignment horizontal="right" vertical="center"/>
    </xf>
    <xf numFmtId="3" fontId="282" fillId="0" borderId="0" xfId="67" applyNumberFormat="1" applyFont="1" applyFill="1" applyBorder="1" applyAlignment="1">
      <alignment horizontal="right" vertical="center"/>
    </xf>
    <xf numFmtId="178" fontId="279" fillId="0" borderId="0" xfId="0" applyNumberFormat="1" applyFont="1" applyAlignment="1">
      <alignment horizontal="right"/>
    </xf>
    <xf numFmtId="0" fontId="282" fillId="0" borderId="0" xfId="0" applyFont="1" applyAlignment="1">
      <alignment horizontal="right" wrapText="1"/>
    </xf>
    <xf numFmtId="0" fontId="281" fillId="0" borderId="78" xfId="0" applyFont="1" applyBorder="1" applyAlignment="1">
      <alignment horizontal="right"/>
    </xf>
    <xf numFmtId="3" fontId="282" fillId="0" borderId="62" xfId="67" applyNumberFormat="1" applyFont="1" applyFill="1" applyBorder="1" applyAlignment="1">
      <alignment horizontal="right" vertical="center"/>
    </xf>
    <xf numFmtId="176" fontId="282" fillId="0" borderId="62" xfId="284" applyNumberFormat="1" applyFont="1" applyFill="1" applyBorder="1" applyAlignment="1">
      <alignment horizontal="right" vertical="center"/>
    </xf>
    <xf numFmtId="178" fontId="282" fillId="0" borderId="62" xfId="67" applyNumberFormat="1" applyFont="1" applyFill="1" applyBorder="1" applyAlignment="1">
      <alignment horizontal="right" vertical="center"/>
    </xf>
    <xf numFmtId="3" fontId="282" fillId="0" borderId="30" xfId="67" applyNumberFormat="1" applyFont="1" applyFill="1" applyBorder="1" applyAlignment="1">
      <alignment horizontal="right" vertical="center"/>
    </xf>
    <xf numFmtId="178" fontId="282" fillId="0" borderId="30" xfId="67" applyNumberFormat="1" applyFont="1" applyFill="1" applyBorder="1" applyAlignment="1">
      <alignment horizontal="right" vertical="center"/>
    </xf>
    <xf numFmtId="177" fontId="282" fillId="0" borderId="78" xfId="67" applyNumberFormat="1" applyFont="1" applyFill="1" applyBorder="1" applyAlignment="1">
      <alignment horizontal="left" vertical="center"/>
    </xf>
    <xf numFmtId="0" fontId="298" fillId="0" borderId="0" xfId="2" applyFont="1"/>
    <xf numFmtId="0" fontId="292" fillId="0" borderId="34" xfId="2" applyFont="1" applyBorder="1"/>
    <xf numFmtId="0" fontId="299" fillId="0" borderId="0" xfId="2" applyFont="1"/>
    <xf numFmtId="0" fontId="292" fillId="0" borderId="0" xfId="2" applyFont="1"/>
    <xf numFmtId="177" fontId="282" fillId="0" borderId="0" xfId="2" applyNumberFormat="1" applyFont="1"/>
    <xf numFmtId="0" fontId="293" fillId="0" borderId="0" xfId="2" applyFont="1"/>
    <xf numFmtId="2" fontId="282" fillId="0" borderId="0" xfId="2" applyNumberFormat="1" applyFont="1"/>
    <xf numFmtId="0" fontId="300" fillId="0" borderId="0" xfId="0" applyFont="1"/>
    <xf numFmtId="175" fontId="279" fillId="0" borderId="0" xfId="67" applyNumberFormat="1" applyFont="1" applyFill="1" applyBorder="1"/>
    <xf numFmtId="176" fontId="279" fillId="0" borderId="0" xfId="284" applyNumberFormat="1" applyFont="1" applyFill="1" applyBorder="1"/>
    <xf numFmtId="175" fontId="282" fillId="0" borderId="0" xfId="67" applyNumberFormat="1" applyFont="1" applyFill="1" applyBorder="1"/>
    <xf numFmtId="176" fontId="282" fillId="0" borderId="0" xfId="284" applyNumberFormat="1" applyFont="1" applyFill="1" applyBorder="1"/>
    <xf numFmtId="176" fontId="282" fillId="0" borderId="0" xfId="284" applyNumberFormat="1" applyFont="1" applyFill="1" applyBorder="1" applyAlignment="1">
      <alignment horizontal="right"/>
    </xf>
    <xf numFmtId="176" fontId="279" fillId="0" borderId="0" xfId="2" applyNumberFormat="1" applyFont="1"/>
    <xf numFmtId="0" fontId="301" fillId="0" borderId="0" xfId="0" applyFont="1"/>
    <xf numFmtId="175" fontId="282" fillId="0" borderId="0" xfId="67" applyNumberFormat="1" applyFont="1" applyFill="1" applyBorder="1" applyAlignment="1">
      <alignment horizontal="right"/>
    </xf>
    <xf numFmtId="1" fontId="282" fillId="0" borderId="0" xfId="2" applyNumberFormat="1" applyFont="1"/>
    <xf numFmtId="174" fontId="279" fillId="0" borderId="0" xfId="67" applyNumberFormat="1" applyFont="1" applyFill="1" applyBorder="1"/>
    <xf numFmtId="175" fontId="279" fillId="0" borderId="0" xfId="67" applyNumberFormat="1" applyFont="1" applyFill="1" applyBorder="1" applyAlignment="1">
      <alignment horizontal="right"/>
    </xf>
    <xf numFmtId="4" fontId="279" fillId="0" borderId="0" xfId="0" applyNumberFormat="1" applyFont="1"/>
    <xf numFmtId="0" fontId="282" fillId="0" borderId="34" xfId="2" applyFont="1" applyBorder="1" applyAlignment="1">
      <alignment horizontal="right"/>
    </xf>
    <xf numFmtId="0" fontId="279" fillId="0" borderId="34" xfId="2" applyFont="1" applyBorder="1"/>
    <xf numFmtId="168" fontId="282" fillId="0" borderId="4" xfId="67" applyFont="1" applyFill="1" applyBorder="1" applyAlignment="1">
      <alignment vertical="center"/>
    </xf>
    <xf numFmtId="177" fontId="282" fillId="0" borderId="0" xfId="67" applyNumberFormat="1" applyFont="1" applyFill="1" applyBorder="1" applyAlignment="1">
      <alignment horizontal="right"/>
    </xf>
    <xf numFmtId="3" fontId="279" fillId="25" borderId="7" xfId="67" applyNumberFormat="1" applyFont="1" applyFill="1" applyBorder="1" applyAlignment="1">
      <alignment horizontal="right" vertical="center"/>
    </xf>
    <xf numFmtId="3" fontId="279" fillId="0" borderId="0" xfId="0" applyNumberFormat="1" applyFont="1"/>
    <xf numFmtId="3" fontId="282" fillId="0" borderId="0" xfId="67" applyNumberFormat="1" applyFont="1" applyFill="1" applyBorder="1" applyAlignment="1">
      <alignment vertical="center"/>
    </xf>
    <xf numFmtId="3" fontId="279" fillId="25" borderId="0" xfId="67" applyNumberFormat="1" applyFont="1" applyFill="1" applyBorder="1" applyAlignment="1">
      <alignment horizontal="right" vertical="center"/>
    </xf>
    <xf numFmtId="3" fontId="279" fillId="28" borderId="0" xfId="67" applyNumberFormat="1" applyFont="1" applyFill="1" applyBorder="1" applyAlignment="1">
      <alignment horizontal="right" vertical="center"/>
    </xf>
    <xf numFmtId="176" fontId="282" fillId="0" borderId="0" xfId="67" applyNumberFormat="1" applyFont="1" applyFill="1" applyBorder="1"/>
    <xf numFmtId="3" fontId="282" fillId="0" borderId="35" xfId="67" applyNumberFormat="1" applyFont="1" applyFill="1" applyBorder="1" applyAlignment="1">
      <alignment horizontal="right" vertical="center"/>
    </xf>
    <xf numFmtId="176" fontId="282" fillId="0" borderId="0" xfId="284" applyNumberFormat="1" applyFont="1" applyAlignment="1">
      <alignment horizontal="right"/>
    </xf>
    <xf numFmtId="176" fontId="282" fillId="0" borderId="0" xfId="67" applyNumberFormat="1" applyFont="1" applyFill="1" applyBorder="1" applyAlignment="1">
      <alignment horizontal="right"/>
    </xf>
    <xf numFmtId="9" fontId="282" fillId="0" borderId="0" xfId="284" applyFont="1" applyFill="1" applyBorder="1" applyAlignment="1">
      <alignment horizontal="right"/>
    </xf>
    <xf numFmtId="176" fontId="279" fillId="0" borderId="0" xfId="284" applyNumberFormat="1" applyFont="1" applyAlignment="1">
      <alignment horizontal="right"/>
    </xf>
    <xf numFmtId="3" fontId="279" fillId="25" borderId="7" xfId="67" applyNumberFormat="1" applyFont="1" applyFill="1" applyBorder="1" applyAlignment="1">
      <alignment horizontal="right"/>
    </xf>
    <xf numFmtId="3" fontId="282" fillId="0" borderId="0" xfId="67" applyNumberFormat="1" applyFont="1" applyFill="1" applyBorder="1"/>
    <xf numFmtId="0" fontId="282" fillId="0" borderId="34" xfId="2" applyFont="1" applyBorder="1" applyAlignment="1">
      <alignment horizontal="right" wrapText="1"/>
    </xf>
    <xf numFmtId="174" fontId="282" fillId="0" borderId="0" xfId="67" applyNumberFormat="1" applyFont="1" applyFill="1" applyBorder="1" applyAlignment="1">
      <alignment horizontal="right"/>
    </xf>
    <xf numFmtId="9" fontId="282" fillId="0" borderId="0" xfId="284" applyFont="1" applyFill="1" applyBorder="1"/>
    <xf numFmtId="175" fontId="282" fillId="0" borderId="4" xfId="67" applyNumberFormat="1" applyFont="1" applyFill="1" applyBorder="1" applyAlignment="1">
      <alignment vertical="center"/>
    </xf>
    <xf numFmtId="176" fontId="279" fillId="0" borderId="0" xfId="284" applyNumberFormat="1" applyFont="1" applyFill="1" applyAlignment="1">
      <alignment horizontal="right"/>
    </xf>
    <xf numFmtId="174" fontId="282" fillId="0" borderId="4" xfId="67" applyNumberFormat="1" applyFont="1" applyFill="1" applyBorder="1" applyAlignment="1">
      <alignment vertical="center"/>
    </xf>
    <xf numFmtId="9" fontId="283" fillId="0" borderId="0" xfId="2" applyNumberFormat="1" applyFont="1"/>
    <xf numFmtId="9" fontId="283" fillId="0" borderId="0" xfId="284" applyFont="1" applyBorder="1"/>
    <xf numFmtId="175" fontId="282" fillId="0" borderId="4" xfId="67" applyNumberFormat="1" applyFont="1" applyFill="1" applyBorder="1" applyAlignment="1">
      <alignment horizontal="center" vertical="center"/>
    </xf>
    <xf numFmtId="174" fontId="282" fillId="0" borderId="0" xfId="67" applyNumberFormat="1" applyFont="1" applyFill="1" applyBorder="1" applyAlignment="1">
      <alignment vertical="center"/>
    </xf>
    <xf numFmtId="3" fontId="279" fillId="0" borderId="0" xfId="67" quotePrefix="1" applyNumberFormat="1" applyFont="1" applyFill="1" applyBorder="1" applyAlignment="1">
      <alignment horizontal="right" vertical="center"/>
    </xf>
    <xf numFmtId="9" fontId="279" fillId="0" borderId="0" xfId="284" applyFont="1"/>
    <xf numFmtId="9" fontId="279" fillId="0" borderId="0" xfId="284" applyFont="1" applyFill="1" applyBorder="1"/>
    <xf numFmtId="0" fontId="282" fillId="0" borderId="34" xfId="2" applyFont="1" applyBorder="1"/>
    <xf numFmtId="3" fontId="279" fillId="108" borderId="7" xfId="67" applyNumberFormat="1" applyFont="1" applyFill="1" applyBorder="1" applyAlignment="1">
      <alignment horizontal="right" vertical="center"/>
    </xf>
    <xf numFmtId="3" fontId="279" fillId="108" borderId="0" xfId="67" applyNumberFormat="1" applyFont="1" applyFill="1" applyBorder="1" applyAlignment="1">
      <alignment horizontal="right" vertical="center"/>
    </xf>
    <xf numFmtId="3" fontId="279" fillId="108" borderId="7" xfId="67" applyNumberFormat="1" applyFont="1" applyFill="1" applyBorder="1" applyAlignment="1">
      <alignment horizontal="right"/>
    </xf>
    <xf numFmtId="3" fontId="279" fillId="108" borderId="0" xfId="67" applyNumberFormat="1" applyFont="1" applyFill="1" applyBorder="1" applyAlignment="1">
      <alignment horizontal="right"/>
    </xf>
    <xf numFmtId="174" fontId="283" fillId="0" borderId="0" xfId="67" applyNumberFormat="1" applyFont="1" applyFill="1" applyBorder="1"/>
    <xf numFmtId="10" fontId="283" fillId="0" borderId="0" xfId="2" applyNumberFormat="1" applyFont="1"/>
    <xf numFmtId="9" fontId="283" fillId="0" borderId="0" xfId="284" applyFont="1"/>
    <xf numFmtId="3" fontId="279" fillId="0" borderId="0" xfId="67" applyNumberFormat="1" applyFont="1" applyFill="1" applyBorder="1" applyAlignment="1">
      <alignment horizontal="right"/>
    </xf>
    <xf numFmtId="3" fontId="279" fillId="0" borderId="7" xfId="67" applyNumberFormat="1" applyFont="1" applyFill="1" applyBorder="1" applyAlignment="1">
      <alignment horizontal="right" vertical="center"/>
    </xf>
    <xf numFmtId="176" fontId="282" fillId="0" borderId="0" xfId="284" applyNumberFormat="1" applyFont="1" applyFill="1" applyAlignment="1">
      <alignment horizontal="right"/>
    </xf>
    <xf numFmtId="0" fontId="289" fillId="0" borderId="34" xfId="2" applyFont="1" applyBorder="1" applyAlignment="1">
      <alignment horizontal="right"/>
    </xf>
    <xf numFmtId="3" fontId="279" fillId="0" borderId="7" xfId="67" applyNumberFormat="1" applyFont="1" applyFill="1" applyBorder="1" applyAlignment="1">
      <alignment horizontal="right"/>
    </xf>
    <xf numFmtId="0" fontId="279" fillId="0" borderId="3" xfId="2" applyFont="1" applyBorder="1"/>
    <xf numFmtId="0" fontId="290" fillId="107" borderId="0" xfId="2" applyFont="1" applyFill="1"/>
    <xf numFmtId="0" fontId="298" fillId="107" borderId="0" xfId="2" applyFont="1" applyFill="1"/>
    <xf numFmtId="0" fontId="291" fillId="107" borderId="0" xfId="2" applyFont="1" applyFill="1" applyAlignment="1">
      <alignment horizontal="right"/>
    </xf>
    <xf numFmtId="0" fontId="302" fillId="107" borderId="0" xfId="252" applyFont="1" applyFill="1"/>
    <xf numFmtId="0" fontId="303" fillId="107" borderId="0" xfId="2" applyFont="1" applyFill="1"/>
    <xf numFmtId="0" fontId="302" fillId="107" borderId="0" xfId="2" applyFont="1" applyFill="1" applyAlignment="1">
      <alignment horizontal="right"/>
    </xf>
    <xf numFmtId="0" fontId="282" fillId="0" borderId="0" xfId="252" applyFont="1" applyAlignment="1">
      <alignment vertical="center"/>
    </xf>
    <xf numFmtId="0" fontId="282" fillId="0" borderId="3" xfId="252" applyFont="1" applyBorder="1" applyAlignment="1">
      <alignment vertical="center"/>
    </xf>
    <xf numFmtId="0" fontId="297" fillId="0" borderId="0" xfId="252" applyFont="1" applyAlignment="1">
      <alignment vertical="center"/>
    </xf>
    <xf numFmtId="176" fontId="279" fillId="0" borderId="0" xfId="284" applyNumberFormat="1" applyFont="1" applyBorder="1" applyAlignment="1">
      <alignment horizontal="right"/>
    </xf>
    <xf numFmtId="3" fontId="279" fillId="0" borderId="0" xfId="67" applyNumberFormat="1" applyFont="1" applyFill="1" applyBorder="1" applyAlignment="1">
      <alignment vertical="center"/>
    </xf>
    <xf numFmtId="3" fontId="282" fillId="0" borderId="0" xfId="67" quotePrefix="1" applyNumberFormat="1" applyFont="1" applyFill="1" applyBorder="1" applyAlignment="1">
      <alignment vertical="center"/>
    </xf>
    <xf numFmtId="3" fontId="282" fillId="0" borderId="0" xfId="67" applyNumberFormat="1" applyFont="1" applyFill="1" applyBorder="1" applyAlignment="1">
      <alignment horizontal="left" vertical="center"/>
    </xf>
    <xf numFmtId="0" fontId="283" fillId="0" borderId="79" xfId="2" applyFont="1" applyBorder="1"/>
    <xf numFmtId="0" fontId="283" fillId="0" borderId="80" xfId="2" applyFont="1" applyBorder="1"/>
    <xf numFmtId="0" fontId="283" fillId="0" borderId="81" xfId="2" applyFont="1" applyBorder="1"/>
    <xf numFmtId="0" fontId="283" fillId="0" borderId="82" xfId="2" applyFont="1" applyBorder="1"/>
    <xf numFmtId="202" fontId="283" fillId="0" borderId="0" xfId="2" applyNumberFormat="1" applyFont="1"/>
    <xf numFmtId="9" fontId="283" fillId="0" borderId="83" xfId="2" applyNumberFormat="1" applyFont="1" applyBorder="1"/>
    <xf numFmtId="0" fontId="283" fillId="0" borderId="84" xfId="2" applyFont="1" applyBorder="1"/>
    <xf numFmtId="9" fontId="283" fillId="0" borderId="85" xfId="2" applyNumberFormat="1" applyFont="1" applyBorder="1"/>
    <xf numFmtId="9" fontId="283" fillId="0" borderId="86" xfId="2" applyNumberFormat="1" applyFont="1" applyBorder="1"/>
    <xf numFmtId="0" fontId="283" fillId="0" borderId="85" xfId="2" applyFont="1" applyBorder="1"/>
    <xf numFmtId="3" fontId="279" fillId="0" borderId="7" xfId="67" applyNumberFormat="1" applyFont="1" applyFill="1" applyBorder="1" applyAlignment="1">
      <alignment vertical="center"/>
    </xf>
    <xf numFmtId="168" fontId="283" fillId="0" borderId="0" xfId="2" applyNumberFormat="1" applyFont="1"/>
    <xf numFmtId="3" fontId="283" fillId="0" borderId="0" xfId="67" applyNumberFormat="1" applyFont="1" applyFill="1" applyBorder="1" applyAlignment="1">
      <alignment horizontal="right" vertical="center"/>
    </xf>
    <xf numFmtId="3" fontId="283" fillId="0" borderId="0" xfId="67" applyNumberFormat="1" applyFont="1" applyFill="1" applyBorder="1" applyAlignment="1">
      <alignment vertical="center"/>
    </xf>
    <xf numFmtId="0" fontId="279" fillId="0" borderId="0" xfId="252" applyFont="1"/>
    <xf numFmtId="0" fontId="279" fillId="0" borderId="34" xfId="252" applyFont="1" applyBorder="1"/>
    <xf numFmtId="176" fontId="282" fillId="0" borderId="0" xfId="284" applyNumberFormat="1" applyFont="1" applyFill="1" applyBorder="1" applyAlignment="1">
      <alignment horizontal="center"/>
    </xf>
    <xf numFmtId="0" fontId="279" fillId="0" borderId="0" xfId="252" applyFont="1" applyAlignment="1">
      <alignment vertical="center"/>
    </xf>
    <xf numFmtId="176" fontId="282" fillId="0" borderId="0" xfId="284" applyNumberFormat="1" applyFont="1" applyBorder="1" applyAlignment="1">
      <alignment horizontal="center" vertical="center"/>
    </xf>
    <xf numFmtId="177" fontId="282" fillId="0" borderId="0" xfId="252" applyNumberFormat="1" applyFont="1" applyAlignment="1">
      <alignment horizontal="center" vertical="center"/>
    </xf>
    <xf numFmtId="177" fontId="279" fillId="0" borderId="0" xfId="252" applyNumberFormat="1" applyFont="1" applyAlignment="1">
      <alignment horizontal="center" vertical="center"/>
    </xf>
    <xf numFmtId="3" fontId="282" fillId="0" borderId="7" xfId="67" applyNumberFormat="1" applyFont="1" applyFill="1" applyBorder="1" applyAlignment="1">
      <alignment horizontal="center" vertical="center"/>
    </xf>
    <xf numFmtId="0" fontId="282" fillId="0" borderId="0" xfId="252" applyFont="1" applyAlignment="1">
      <alignment horizontal="center"/>
    </xf>
    <xf numFmtId="177" fontId="282" fillId="0" borderId="0" xfId="252" applyNumberFormat="1" applyFont="1" applyAlignment="1">
      <alignment horizontal="center"/>
    </xf>
    <xf numFmtId="9" fontId="282" fillId="0" borderId="0" xfId="284" applyFont="1" applyFill="1" applyBorder="1" applyAlignment="1">
      <alignment horizontal="center" vertical="center"/>
    </xf>
    <xf numFmtId="9" fontId="282" fillId="0" borderId="0" xfId="284" applyFont="1" applyFill="1" applyBorder="1" applyAlignment="1">
      <alignment horizontal="center"/>
    </xf>
    <xf numFmtId="0" fontId="279" fillId="0" borderId="7" xfId="252" applyFont="1" applyBorder="1"/>
    <xf numFmtId="3" fontId="279" fillId="0" borderId="0" xfId="252" applyNumberFormat="1" applyFont="1"/>
    <xf numFmtId="0" fontId="282" fillId="0" borderId="0" xfId="252" applyFont="1"/>
    <xf numFmtId="0" fontId="282" fillId="0" borderId="0" xfId="252" applyFont="1" applyAlignment="1">
      <alignment horizontal="left" vertical="center"/>
    </xf>
    <xf numFmtId="3" fontId="279" fillId="0" borderId="0" xfId="252" applyNumberFormat="1" applyFont="1" applyAlignment="1">
      <alignment horizontal="left" vertical="center"/>
    </xf>
    <xf numFmtId="0" fontId="279" fillId="0" borderId="0" xfId="252" applyFont="1" applyAlignment="1">
      <alignment horizontal="left" vertical="center"/>
    </xf>
    <xf numFmtId="3" fontId="279" fillId="0" borderId="7" xfId="67" applyNumberFormat="1" applyFont="1" applyFill="1" applyBorder="1" applyAlignment="1">
      <alignment horizontal="center" vertical="center"/>
    </xf>
    <xf numFmtId="2" fontId="282" fillId="0" borderId="0" xfId="252" applyNumberFormat="1" applyFont="1" applyAlignment="1">
      <alignment horizontal="center"/>
    </xf>
    <xf numFmtId="176" fontId="282" fillId="0" borderId="0" xfId="284" applyNumberFormat="1" applyFont="1" applyAlignment="1">
      <alignment horizontal="center" vertical="center"/>
    </xf>
    <xf numFmtId="176" fontId="279" fillId="0" borderId="0" xfId="67" applyNumberFormat="1" applyFont="1" applyFill="1" applyBorder="1"/>
    <xf numFmtId="176" fontId="279" fillId="0" borderId="0" xfId="284" applyNumberFormat="1" applyFont="1" applyFill="1" applyBorder="1" applyAlignment="1">
      <alignment horizontal="center"/>
    </xf>
    <xf numFmtId="176" fontId="279" fillId="0" borderId="0" xfId="284" applyNumberFormat="1" applyFont="1" applyAlignment="1">
      <alignment horizontal="center" vertical="center"/>
    </xf>
    <xf numFmtId="176" fontId="279" fillId="0" borderId="7" xfId="284" applyNumberFormat="1" applyFont="1" applyBorder="1" applyAlignment="1">
      <alignment horizontal="center" vertical="center"/>
    </xf>
    <xf numFmtId="177" fontId="279" fillId="0" borderId="7" xfId="252" applyNumberFormat="1" applyFont="1" applyBorder="1" applyAlignment="1">
      <alignment horizontal="center" vertical="center"/>
    </xf>
    <xf numFmtId="176" fontId="279" fillId="0" borderId="0" xfId="284" applyNumberFormat="1" applyFont="1" applyBorder="1" applyAlignment="1">
      <alignment horizontal="center" vertical="center"/>
    </xf>
    <xf numFmtId="3" fontId="282" fillId="0" borderId="33" xfId="67" applyNumberFormat="1" applyFont="1" applyFill="1" applyBorder="1" applyAlignment="1">
      <alignment horizontal="center" vertical="center"/>
    </xf>
    <xf numFmtId="3" fontId="282" fillId="0" borderId="0" xfId="252" applyNumberFormat="1" applyFont="1" applyAlignment="1">
      <alignment horizontal="center"/>
    </xf>
    <xf numFmtId="1" fontId="279" fillId="0" borderId="0" xfId="252" applyNumberFormat="1" applyFont="1" applyAlignment="1">
      <alignment horizontal="center" vertical="center"/>
    </xf>
    <xf numFmtId="3" fontId="282" fillId="29" borderId="0" xfId="67" applyNumberFormat="1" applyFont="1" applyFill="1" applyBorder="1" applyAlignment="1">
      <alignment horizontal="center" vertical="center"/>
    </xf>
    <xf numFmtId="177" fontId="279" fillId="0" borderId="0" xfId="252" applyNumberFormat="1" applyFont="1" applyAlignment="1">
      <alignment horizontal="center"/>
    </xf>
    <xf numFmtId="0" fontId="279" fillId="0" borderId="0" xfId="252" applyFont="1" applyAlignment="1">
      <alignment horizontal="center"/>
    </xf>
    <xf numFmtId="177" fontId="282" fillId="0" borderId="33" xfId="252" applyNumberFormat="1" applyFont="1" applyBorder="1" applyAlignment="1">
      <alignment horizontal="center" vertical="center"/>
    </xf>
    <xf numFmtId="2" fontId="279" fillId="0" borderId="0" xfId="252" applyNumberFormat="1" applyFont="1" applyAlignment="1">
      <alignment horizontal="center"/>
    </xf>
    <xf numFmtId="176" fontId="279" fillId="0" borderId="0" xfId="252" applyNumberFormat="1" applyFont="1" applyAlignment="1">
      <alignment horizontal="center"/>
    </xf>
    <xf numFmtId="1" fontId="279" fillId="0" borderId="0" xfId="252" applyNumberFormat="1" applyFont="1"/>
    <xf numFmtId="2" fontId="279" fillId="0" borderId="0" xfId="252" applyNumberFormat="1" applyFont="1" applyAlignment="1">
      <alignment horizontal="center" vertical="center"/>
    </xf>
    <xf numFmtId="1" fontId="282" fillId="0" borderId="0" xfId="252" applyNumberFormat="1" applyFont="1" applyAlignment="1">
      <alignment horizontal="center"/>
    </xf>
    <xf numFmtId="178" fontId="282" fillId="0" borderId="0" xfId="67" applyNumberFormat="1" applyFont="1" applyFill="1" applyBorder="1" applyAlignment="1">
      <alignment horizontal="center"/>
    </xf>
    <xf numFmtId="1" fontId="282" fillId="0" borderId="4" xfId="252" applyNumberFormat="1" applyFont="1" applyBorder="1" applyAlignment="1">
      <alignment horizontal="center" vertical="center"/>
    </xf>
    <xf numFmtId="3" fontId="282" fillId="0" borderId="62" xfId="67" applyNumberFormat="1" applyFont="1" applyFill="1" applyBorder="1" applyAlignment="1">
      <alignment horizontal="center" vertical="center"/>
    </xf>
    <xf numFmtId="177" fontId="282" fillId="0" borderId="62" xfId="252" applyNumberFormat="1" applyFont="1" applyBorder="1" applyAlignment="1">
      <alignment horizontal="center" vertical="center"/>
    </xf>
    <xf numFmtId="176" fontId="282" fillId="0" borderId="33" xfId="284" applyNumberFormat="1" applyFont="1" applyBorder="1" applyAlignment="1">
      <alignment horizontal="center" vertical="center"/>
    </xf>
    <xf numFmtId="1" fontId="282" fillId="0" borderId="0" xfId="252" applyNumberFormat="1" applyFont="1" applyAlignment="1">
      <alignment horizontal="center" vertical="center"/>
    </xf>
    <xf numFmtId="176" fontId="282" fillId="0" borderId="0" xfId="284" applyNumberFormat="1" applyFont="1" applyFill="1" applyAlignment="1">
      <alignment horizontal="center" vertical="center"/>
    </xf>
    <xf numFmtId="176" fontId="282" fillId="0" borderId="33" xfId="284" applyNumberFormat="1" applyFont="1" applyFill="1" applyBorder="1" applyAlignment="1">
      <alignment horizontal="center" vertical="center"/>
    </xf>
    <xf numFmtId="0" fontId="282" fillId="0" borderId="0" xfId="252" applyFont="1" applyAlignment="1">
      <alignment horizontal="right"/>
    </xf>
    <xf numFmtId="3" fontId="282" fillId="0" borderId="0" xfId="67" quotePrefix="1" applyNumberFormat="1" applyFont="1" applyFill="1" applyBorder="1" applyAlignment="1">
      <alignment horizontal="center" vertical="center"/>
    </xf>
    <xf numFmtId="3" fontId="282" fillId="0" borderId="0" xfId="67" applyNumberFormat="1" applyFont="1" applyAlignment="1">
      <alignment horizontal="center"/>
    </xf>
    <xf numFmtId="3" fontId="282" fillId="0" borderId="0" xfId="67" applyNumberFormat="1" applyFont="1" applyAlignment="1">
      <alignment horizontal="center" vertical="center"/>
    </xf>
    <xf numFmtId="2" fontId="279" fillId="0" borderId="0" xfId="252" applyNumberFormat="1" applyFont="1"/>
    <xf numFmtId="3" fontId="279" fillId="29" borderId="7" xfId="67" applyNumberFormat="1" applyFont="1" applyFill="1" applyBorder="1" applyAlignment="1">
      <alignment horizontal="center" vertical="center"/>
    </xf>
    <xf numFmtId="3" fontId="279" fillId="0" borderId="78" xfId="67" applyNumberFormat="1" applyFont="1" applyFill="1" applyBorder="1" applyAlignment="1">
      <alignment horizontal="center" vertical="center"/>
    </xf>
    <xf numFmtId="3" fontId="282" fillId="0" borderId="35" xfId="67" applyNumberFormat="1" applyFont="1" applyFill="1" applyBorder="1" applyAlignment="1">
      <alignment horizontal="center" vertical="center"/>
    </xf>
    <xf numFmtId="0" fontId="279" fillId="0" borderId="7" xfId="252" applyFont="1" applyBorder="1" applyAlignment="1">
      <alignment vertical="center"/>
    </xf>
    <xf numFmtId="176" fontId="282" fillId="0" borderId="62" xfId="284" applyNumberFormat="1" applyFont="1" applyBorder="1" applyAlignment="1">
      <alignment horizontal="center" vertical="center"/>
    </xf>
    <xf numFmtId="176" fontId="279" fillId="0" borderId="0" xfId="284" applyNumberFormat="1" applyFont="1" applyFill="1" applyAlignment="1">
      <alignment horizontal="center" vertical="center"/>
    </xf>
    <xf numFmtId="175" fontId="282" fillId="0" borderId="0" xfId="67" applyNumberFormat="1" applyFont="1" applyFill="1" applyBorder="1" applyAlignment="1">
      <alignment horizontal="center" vertical="center"/>
    </xf>
    <xf numFmtId="177" fontId="279" fillId="0" borderId="0" xfId="284" applyNumberFormat="1" applyFont="1" applyAlignment="1">
      <alignment horizontal="center" vertical="center"/>
    </xf>
    <xf numFmtId="176" fontId="279" fillId="0" borderId="0" xfId="67" applyNumberFormat="1" applyFont="1" applyFill="1" applyBorder="1" applyAlignment="1">
      <alignment horizontal="center" vertical="center"/>
    </xf>
    <xf numFmtId="178" fontId="282" fillId="0" borderId="33" xfId="252" applyNumberFormat="1" applyFont="1" applyBorder="1" applyAlignment="1">
      <alignment horizontal="center" vertical="center"/>
    </xf>
    <xf numFmtId="178" fontId="279" fillId="0" borderId="0" xfId="252" applyNumberFormat="1" applyFont="1" applyAlignment="1">
      <alignment horizontal="center" vertical="center"/>
    </xf>
    <xf numFmtId="0" fontId="282" fillId="0" borderId="0" xfId="252" applyFont="1" applyAlignment="1">
      <alignment vertical="top"/>
    </xf>
    <xf numFmtId="0" fontId="282" fillId="0" borderId="34" xfId="252" applyFont="1" applyBorder="1" applyAlignment="1">
      <alignment vertical="center"/>
    </xf>
    <xf numFmtId="0" fontId="282" fillId="0" borderId="0" xfId="252" applyFont="1" applyAlignment="1">
      <alignment horizontal="center" vertical="center"/>
    </xf>
    <xf numFmtId="0" fontId="282" fillId="0" borderId="0" xfId="252" applyFont="1" applyAlignment="1">
      <alignment horizontal="right" vertical="center"/>
    </xf>
    <xf numFmtId="0" fontId="282" fillId="0" borderId="34" xfId="2" applyFont="1" applyBorder="1" applyAlignment="1">
      <alignment horizontal="left"/>
    </xf>
    <xf numFmtId="177" fontId="282" fillId="0" borderId="15" xfId="252" applyNumberFormat="1" applyFont="1" applyBorder="1" applyAlignment="1">
      <alignment horizontal="center" vertical="center"/>
    </xf>
    <xf numFmtId="1" fontId="282" fillId="0" borderId="15" xfId="252" applyNumberFormat="1" applyFont="1" applyBorder="1" applyAlignment="1">
      <alignment horizontal="center" vertical="center"/>
    </xf>
    <xf numFmtId="0" fontId="282" fillId="0" borderId="0" xfId="252" quotePrefix="1" applyFont="1" applyAlignment="1">
      <alignment vertical="center"/>
    </xf>
    <xf numFmtId="178" fontId="282" fillId="0" borderId="15" xfId="252" applyNumberFormat="1" applyFont="1" applyBorder="1" applyAlignment="1">
      <alignment horizontal="center" vertical="center"/>
    </xf>
    <xf numFmtId="0" fontId="279" fillId="0" borderId="0" xfId="252" applyFont="1" applyAlignment="1">
      <alignment horizontal="center" vertical="center"/>
    </xf>
    <xf numFmtId="177" fontId="282" fillId="0" borderId="15" xfId="252" applyNumberFormat="1" applyFont="1" applyBorder="1" applyAlignment="1">
      <alignment horizontal="center"/>
    </xf>
    <xf numFmtId="178" fontId="282" fillId="0" borderId="4" xfId="252" applyNumberFormat="1" applyFont="1" applyBorder="1" applyAlignment="1">
      <alignment horizontal="center" vertical="center"/>
    </xf>
    <xf numFmtId="0" fontId="278" fillId="107" borderId="0" xfId="252" applyFont="1" applyFill="1"/>
    <xf numFmtId="0" fontId="286" fillId="107" borderId="0" xfId="252" applyFont="1" applyFill="1" applyAlignment="1">
      <alignment horizontal="right"/>
    </xf>
    <xf numFmtId="0" fontId="304" fillId="107" borderId="0" xfId="252" applyFont="1" applyFill="1"/>
    <xf numFmtId="0" fontId="287" fillId="107" borderId="0" xfId="252" applyFont="1" applyFill="1"/>
    <xf numFmtId="3" fontId="282" fillId="108" borderId="0" xfId="67" applyNumberFormat="1" applyFont="1" applyFill="1" applyBorder="1" applyAlignment="1">
      <alignment horizontal="center" vertical="center"/>
    </xf>
    <xf numFmtId="177" fontId="282" fillId="108" borderId="0" xfId="252" applyNumberFormat="1" applyFont="1" applyFill="1" applyAlignment="1">
      <alignment horizontal="center" vertical="center"/>
    </xf>
    <xf numFmtId="3" fontId="282" fillId="108" borderId="78" xfId="67" applyNumberFormat="1" applyFont="1" applyFill="1" applyBorder="1" applyAlignment="1">
      <alignment horizontal="center" vertical="center"/>
    </xf>
    <xf numFmtId="176" fontId="282" fillId="108" borderId="0" xfId="284" applyNumberFormat="1" applyFont="1" applyFill="1" applyBorder="1" applyAlignment="1">
      <alignment horizontal="center" vertical="center"/>
    </xf>
    <xf numFmtId="3" fontId="279" fillId="108" borderId="0" xfId="67" applyNumberFormat="1" applyFont="1" applyFill="1" applyBorder="1" applyAlignment="1">
      <alignment horizontal="center" vertical="center"/>
    </xf>
    <xf numFmtId="4" fontId="279" fillId="108" borderId="0" xfId="67" applyNumberFormat="1" applyFont="1" applyFill="1" applyBorder="1" applyAlignment="1">
      <alignment horizontal="center" vertical="center"/>
    </xf>
    <xf numFmtId="178" fontId="279" fillId="108" borderId="0" xfId="67" applyNumberFormat="1" applyFont="1" applyFill="1" applyBorder="1" applyAlignment="1">
      <alignment horizontal="center" vertical="center"/>
    </xf>
    <xf numFmtId="177" fontId="279" fillId="108" borderId="0" xfId="252" applyNumberFormat="1" applyFont="1" applyFill="1" applyAlignment="1">
      <alignment horizontal="center" vertical="center"/>
    </xf>
    <xf numFmtId="341" fontId="279" fillId="108" borderId="0" xfId="252" applyNumberFormat="1" applyFont="1" applyFill="1" applyAlignment="1">
      <alignment horizontal="center" vertical="center"/>
    </xf>
    <xf numFmtId="340" fontId="279" fillId="108" borderId="0" xfId="252" applyNumberFormat="1" applyFont="1" applyFill="1" applyAlignment="1">
      <alignment horizontal="center" vertical="center"/>
    </xf>
    <xf numFmtId="176" fontId="279" fillId="108" borderId="0" xfId="284" applyNumberFormat="1" applyFont="1" applyFill="1" applyBorder="1" applyAlignment="1">
      <alignment horizontal="center" vertical="center"/>
    </xf>
    <xf numFmtId="338" fontId="279" fillId="108" borderId="0" xfId="67" applyNumberFormat="1" applyFont="1" applyFill="1" applyBorder="1" applyAlignment="1">
      <alignment horizontal="center" vertical="center"/>
    </xf>
    <xf numFmtId="9" fontId="279" fillId="108" borderId="0" xfId="284" applyFont="1" applyFill="1" applyBorder="1" applyAlignment="1">
      <alignment horizontal="center" vertical="center"/>
    </xf>
    <xf numFmtId="9" fontId="279" fillId="0" borderId="0" xfId="284" applyFont="1" applyFill="1" applyBorder="1" applyAlignment="1">
      <alignment horizontal="center" vertical="center"/>
    </xf>
    <xf numFmtId="9" fontId="279" fillId="0" borderId="0" xfId="284" applyFont="1" applyFill="1" applyBorder="1" applyAlignment="1">
      <alignment horizontal="center"/>
    </xf>
    <xf numFmtId="3" fontId="279" fillId="0" borderId="33" xfId="67" applyNumberFormat="1" applyFont="1" applyFill="1" applyBorder="1" applyAlignment="1">
      <alignment horizontal="center" vertical="center"/>
    </xf>
    <xf numFmtId="0" fontId="279" fillId="0" borderId="0" xfId="3" applyFont="1" applyAlignment="1">
      <alignment horizontal="left"/>
    </xf>
    <xf numFmtId="3" fontId="279" fillId="0" borderId="7" xfId="67" applyNumberFormat="1" applyFont="1" applyFill="1" applyBorder="1" applyAlignment="1">
      <alignment horizontal="center"/>
    </xf>
    <xf numFmtId="3" fontId="279" fillId="108" borderId="7" xfId="67" applyNumberFormat="1" applyFont="1" applyFill="1" applyBorder="1" applyAlignment="1">
      <alignment horizontal="center" vertical="center"/>
    </xf>
    <xf numFmtId="177" fontId="279" fillId="29" borderId="0" xfId="252" applyNumberFormat="1" applyFont="1" applyFill="1" applyAlignment="1">
      <alignment horizontal="center" vertical="center"/>
    </xf>
    <xf numFmtId="3" fontId="279" fillId="29" borderId="0" xfId="67" applyNumberFormat="1" applyFont="1" applyFill="1" applyBorder="1" applyAlignment="1">
      <alignment horizontal="center"/>
    </xf>
    <xf numFmtId="0" fontId="279" fillId="0" borderId="0" xfId="252" quotePrefix="1" applyFont="1" applyAlignment="1">
      <alignment vertical="center"/>
    </xf>
    <xf numFmtId="3" fontId="279" fillId="108" borderId="0" xfId="67" applyNumberFormat="1" applyFont="1" applyFill="1" applyBorder="1" applyAlignment="1">
      <alignment horizontal="center"/>
    </xf>
    <xf numFmtId="339" fontId="279" fillId="108" borderId="0" xfId="252" applyNumberFormat="1" applyFont="1" applyFill="1" applyAlignment="1">
      <alignment horizontal="center" vertical="center"/>
    </xf>
    <xf numFmtId="3" fontId="279" fillId="0" borderId="0" xfId="252" applyNumberFormat="1" applyFont="1" applyAlignment="1">
      <alignment horizontal="center" vertical="center"/>
    </xf>
    <xf numFmtId="176" fontId="279" fillId="0" borderId="0" xfId="252" applyNumberFormat="1" applyFont="1" applyAlignment="1">
      <alignment horizontal="center" vertical="center"/>
    </xf>
    <xf numFmtId="3" fontId="279" fillId="0" borderId="7" xfId="252" applyNumberFormat="1" applyFont="1" applyBorder="1" applyAlignment="1">
      <alignment horizontal="center" vertical="center"/>
    </xf>
    <xf numFmtId="0" fontId="279" fillId="0" borderId="0" xfId="252" applyFont="1" applyAlignment="1">
      <alignment horizontal="right" vertical="center"/>
    </xf>
    <xf numFmtId="3" fontId="279" fillId="0" borderId="0" xfId="67" applyNumberFormat="1" applyFont="1" applyFill="1" applyBorder="1" applyAlignment="1"/>
    <xf numFmtId="3" fontId="279" fillId="0" borderId="0" xfId="284" applyNumberFormat="1" applyFont="1" applyFill="1" applyBorder="1" applyAlignment="1">
      <alignment horizontal="center" vertical="center"/>
    </xf>
    <xf numFmtId="176" fontId="279" fillId="108" borderId="15" xfId="284" applyNumberFormat="1" applyFont="1" applyFill="1" applyBorder="1" applyAlignment="1">
      <alignment horizontal="center" vertical="center"/>
    </xf>
    <xf numFmtId="2" fontId="279" fillId="108" borderId="0" xfId="252" applyNumberFormat="1" applyFont="1" applyFill="1" applyAlignment="1">
      <alignment horizontal="center" vertical="center"/>
    </xf>
    <xf numFmtId="0" fontId="282" fillId="0" borderId="34" xfId="252" applyFont="1" applyBorder="1"/>
    <xf numFmtId="3" fontId="279" fillId="108" borderId="78" xfId="67" applyNumberFormat="1" applyFont="1" applyFill="1" applyBorder="1" applyAlignment="1">
      <alignment horizontal="center" vertical="center"/>
    </xf>
    <xf numFmtId="177" fontId="279" fillId="108" borderId="7" xfId="252" applyNumberFormat="1" applyFont="1" applyFill="1" applyBorder="1" applyAlignment="1">
      <alignment horizontal="center" vertical="center"/>
    </xf>
    <xf numFmtId="176" fontId="279" fillId="0" borderId="0" xfId="284" applyNumberFormat="1" applyFont="1" applyAlignment="1">
      <alignment horizontal="right" vertical="center"/>
    </xf>
    <xf numFmtId="3" fontId="279" fillId="108" borderId="0" xfId="67" applyNumberFormat="1" applyFont="1" applyFill="1" applyAlignment="1">
      <alignment horizontal="center" vertical="center"/>
    </xf>
    <xf numFmtId="177" fontId="279" fillId="0" borderId="0" xfId="67" applyNumberFormat="1" applyFont="1" applyFill="1" applyBorder="1" applyAlignment="1">
      <alignment horizontal="right"/>
    </xf>
    <xf numFmtId="338" fontId="279" fillId="0" borderId="0" xfId="67" applyNumberFormat="1" applyFont="1" applyFill="1" applyBorder="1" applyAlignment="1">
      <alignment horizontal="right" vertical="center"/>
    </xf>
    <xf numFmtId="338" fontId="279" fillId="108" borderId="7" xfId="67" applyNumberFormat="1" applyFont="1" applyFill="1" applyBorder="1" applyAlignment="1">
      <alignment horizontal="right" vertical="center"/>
    </xf>
    <xf numFmtId="338" fontId="282" fillId="0" borderId="0" xfId="67" applyNumberFormat="1" applyFont="1" applyFill="1" applyBorder="1" applyAlignment="1">
      <alignment vertical="center"/>
    </xf>
    <xf numFmtId="338" fontId="279" fillId="108" borderId="0" xfId="67" applyNumberFormat="1" applyFont="1" applyFill="1" applyBorder="1" applyAlignment="1">
      <alignment horizontal="right" vertical="center"/>
    </xf>
    <xf numFmtId="338" fontId="282" fillId="0" borderId="35" xfId="67" applyNumberFormat="1" applyFont="1" applyFill="1" applyBorder="1" applyAlignment="1">
      <alignment horizontal="right" vertical="center"/>
    </xf>
    <xf numFmtId="338" fontId="279" fillId="0" borderId="0" xfId="2" applyNumberFormat="1" applyFont="1"/>
    <xf numFmtId="338" fontId="282" fillId="0" borderId="0" xfId="67" applyNumberFormat="1" applyFont="1" applyFill="1" applyBorder="1"/>
    <xf numFmtId="338" fontId="279" fillId="109" borderId="0" xfId="67" applyNumberFormat="1" applyFont="1" applyFill="1" applyBorder="1" applyAlignment="1">
      <alignment horizontal="right" vertical="center"/>
    </xf>
    <xf numFmtId="338" fontId="279" fillId="108" borderId="2" xfId="67" applyNumberFormat="1" applyFont="1" applyFill="1" applyBorder="1" applyAlignment="1">
      <alignment horizontal="right"/>
    </xf>
    <xf numFmtId="338" fontId="279" fillId="108" borderId="0" xfId="67" applyNumberFormat="1" applyFont="1" applyFill="1" applyBorder="1" applyAlignment="1">
      <alignment horizontal="right"/>
    </xf>
    <xf numFmtId="338" fontId="279" fillId="108" borderId="7" xfId="67" applyNumberFormat="1" applyFont="1" applyFill="1" applyBorder="1" applyAlignment="1">
      <alignment horizontal="right"/>
    </xf>
    <xf numFmtId="338" fontId="282" fillId="0" borderId="2" xfId="67" applyNumberFormat="1" applyFont="1" applyFill="1" applyBorder="1" applyAlignment="1">
      <alignment horizontal="right" vertical="center"/>
    </xf>
    <xf numFmtId="338" fontId="282" fillId="0" borderId="0" xfId="67" applyNumberFormat="1" applyFont="1" applyFill="1" applyBorder="1" applyAlignment="1">
      <alignment horizontal="right" vertical="center"/>
    </xf>
    <xf numFmtId="338" fontId="279" fillId="108" borderId="0" xfId="67" quotePrefix="1" applyNumberFormat="1" applyFont="1" applyFill="1" applyBorder="1" applyAlignment="1">
      <alignment horizontal="right" vertical="center"/>
    </xf>
    <xf numFmtId="338" fontId="279" fillId="108" borderId="0" xfId="67" applyNumberFormat="1" applyFont="1" applyFill="1" applyBorder="1"/>
    <xf numFmtId="338" fontId="283" fillId="0" borderId="0" xfId="67" applyNumberFormat="1" applyFont="1" applyFill="1" applyBorder="1"/>
    <xf numFmtId="338" fontId="289" fillId="0" borderId="0" xfId="67" applyNumberFormat="1" applyFont="1" applyFill="1" applyBorder="1"/>
    <xf numFmtId="338" fontId="283" fillId="0" borderId="0" xfId="0" applyNumberFormat="1" applyFont="1"/>
    <xf numFmtId="9" fontId="279" fillId="0" borderId="0" xfId="284" applyFont="1" applyFill="1" applyBorder="1" applyAlignment="1">
      <alignment horizontal="right"/>
    </xf>
    <xf numFmtId="0" fontId="305" fillId="0" borderId="0" xfId="0" applyFont="1"/>
    <xf numFmtId="0" fontId="279" fillId="0" borderId="22" xfId="0" applyFont="1" applyBorder="1"/>
    <xf numFmtId="15" fontId="306" fillId="0" borderId="0" xfId="0" applyNumberFormat="1" applyFont="1" applyAlignment="1">
      <alignment horizontal="left"/>
    </xf>
    <xf numFmtId="0" fontId="306" fillId="0" borderId="0" xfId="0" applyFont="1"/>
    <xf numFmtId="178" fontId="279" fillId="0" borderId="0" xfId="67" applyNumberFormat="1" applyFont="1" applyFill="1" applyBorder="1" applyAlignment="1">
      <alignment horizontal="right"/>
    </xf>
    <xf numFmtId="0" fontId="281" fillId="0" borderId="0" xfId="0" applyFont="1"/>
    <xf numFmtId="0" fontId="281" fillId="0" borderId="0" xfId="0" quotePrefix="1" applyFont="1"/>
    <xf numFmtId="0" fontId="282" fillId="0" borderId="7" xfId="0" applyFont="1" applyBorder="1"/>
    <xf numFmtId="338" fontId="279" fillId="0" borderId="0" xfId="0" applyNumberFormat="1" applyFont="1"/>
    <xf numFmtId="338" fontId="279" fillId="0" borderId="0" xfId="0" applyNumberFormat="1" applyFont="1" applyAlignment="1">
      <alignment horizontal="right"/>
    </xf>
    <xf numFmtId="338" fontId="279" fillId="0" borderId="0" xfId="3" applyNumberFormat="1" applyFont="1" applyAlignment="1">
      <alignment horizontal="right" vertical="center"/>
    </xf>
    <xf numFmtId="338" fontId="279" fillId="0" borderId="0" xfId="67" applyNumberFormat="1" applyFont="1" applyFill="1" applyAlignment="1">
      <alignment horizontal="right" vertical="center"/>
    </xf>
    <xf numFmtId="338" fontId="279" fillId="0" borderId="0" xfId="2" applyNumberFormat="1" applyFont="1" applyAlignment="1">
      <alignment horizontal="right" vertical="center"/>
    </xf>
    <xf numFmtId="338" fontId="279" fillId="0" borderId="7" xfId="67" applyNumberFormat="1" applyFont="1" applyFill="1" applyBorder="1" applyAlignment="1">
      <alignment horizontal="right" vertical="center"/>
    </xf>
    <xf numFmtId="342" fontId="279" fillId="0" borderId="0" xfId="67" applyNumberFormat="1" applyFont="1" applyFill="1" applyBorder="1" applyAlignment="1">
      <alignment horizontal="right" vertical="center"/>
    </xf>
    <xf numFmtId="342" fontId="279" fillId="0" borderId="0" xfId="67" applyNumberFormat="1" applyFont="1" applyFill="1" applyAlignment="1">
      <alignment horizontal="right" vertical="center"/>
    </xf>
    <xf numFmtId="342" fontId="279" fillId="0" borderId="7" xfId="67" applyNumberFormat="1" applyFont="1" applyFill="1" applyBorder="1" applyAlignment="1">
      <alignment horizontal="right" vertical="center"/>
    </xf>
    <xf numFmtId="343" fontId="279" fillId="0" borderId="0" xfId="67" applyNumberFormat="1" applyFont="1" applyFill="1" applyBorder="1" applyAlignment="1">
      <alignment horizontal="right" vertical="center"/>
    </xf>
    <xf numFmtId="343" fontId="279" fillId="0" borderId="0" xfId="0" applyNumberFormat="1" applyFont="1" applyAlignment="1">
      <alignment horizontal="right"/>
    </xf>
    <xf numFmtId="343" fontId="279" fillId="0" borderId="0" xfId="3" applyNumberFormat="1" applyFont="1" applyAlignment="1">
      <alignment horizontal="right" vertical="center"/>
    </xf>
    <xf numFmtId="343" fontId="279" fillId="0" borderId="0" xfId="67" applyNumberFormat="1" applyFont="1" applyFill="1" applyAlignment="1">
      <alignment horizontal="right" vertical="center"/>
    </xf>
    <xf numFmtId="343" fontId="279" fillId="0" borderId="7" xfId="67" applyNumberFormat="1" applyFont="1" applyFill="1" applyBorder="1" applyAlignment="1">
      <alignment horizontal="right" vertical="center"/>
    </xf>
    <xf numFmtId="343" fontId="279" fillId="0" borderId="0" xfId="0" applyNumberFormat="1" applyFont="1"/>
    <xf numFmtId="343" fontId="279" fillId="0" borderId="0" xfId="2" applyNumberFormat="1" applyFont="1" applyAlignment="1">
      <alignment horizontal="right" vertical="center"/>
    </xf>
    <xf numFmtId="342" fontId="279" fillId="0" borderId="0" xfId="0" applyNumberFormat="1" applyFont="1"/>
    <xf numFmtId="342" fontId="279" fillId="0" borderId="0" xfId="0" applyNumberFormat="1" applyFont="1" applyAlignment="1">
      <alignment horizontal="right"/>
    </xf>
    <xf numFmtId="342" fontId="279" fillId="0" borderId="0" xfId="3" applyNumberFormat="1" applyFont="1" applyAlignment="1">
      <alignment horizontal="right" vertical="center"/>
    </xf>
    <xf numFmtId="342" fontId="279" fillId="0" borderId="0" xfId="2" applyNumberFormat="1" applyFont="1" applyAlignment="1">
      <alignment horizontal="right" vertical="center"/>
    </xf>
    <xf numFmtId="3" fontId="282" fillId="0" borderId="0" xfId="252" applyNumberFormat="1" applyFont="1" applyAlignment="1">
      <alignment horizontal="center" vertical="center"/>
    </xf>
    <xf numFmtId="176" fontId="282" fillId="0" borderId="0" xfId="252" applyNumberFormat="1" applyFont="1" applyAlignment="1">
      <alignment horizontal="center" vertical="center"/>
    </xf>
    <xf numFmtId="0" fontId="282" fillId="0" borderId="0" xfId="252" applyFont="1" applyAlignment="1">
      <alignment horizontal="left" vertical="center" indent="1"/>
    </xf>
    <xf numFmtId="3" fontId="282" fillId="0" borderId="33" xfId="252" applyNumberFormat="1" applyFont="1" applyBorder="1" applyAlignment="1">
      <alignment horizontal="center" vertical="center"/>
    </xf>
    <xf numFmtId="3" fontId="282" fillId="108" borderId="0" xfId="67" applyNumberFormat="1" applyFont="1" applyFill="1" applyAlignment="1">
      <alignment horizontal="center" vertical="center"/>
    </xf>
    <xf numFmtId="176" fontId="282" fillId="0" borderId="7" xfId="284" applyNumberFormat="1" applyFont="1" applyBorder="1" applyAlignment="1">
      <alignment horizontal="center" vertical="center"/>
    </xf>
    <xf numFmtId="177" fontId="282" fillId="0" borderId="7" xfId="252" applyNumberFormat="1" applyFont="1" applyBorder="1" applyAlignment="1">
      <alignment horizontal="center" vertical="center"/>
    </xf>
    <xf numFmtId="178" fontId="282" fillId="108" borderId="0" xfId="67" applyNumberFormat="1" applyFont="1" applyFill="1" applyBorder="1" applyAlignment="1">
      <alignment horizontal="center" vertical="center"/>
    </xf>
    <xf numFmtId="3" fontId="282" fillId="0" borderId="4" xfId="67" applyNumberFormat="1" applyFont="1" applyFill="1" applyBorder="1" applyAlignment="1">
      <alignment horizontal="center" vertical="center"/>
    </xf>
    <xf numFmtId="178" fontId="282" fillId="0" borderId="0" xfId="67" applyNumberFormat="1" applyFont="1" applyFill="1" applyBorder="1" applyAlignment="1">
      <alignment horizontal="center" vertical="center"/>
    </xf>
    <xf numFmtId="3" fontId="282" fillId="108" borderId="4" xfId="67" applyNumberFormat="1" applyFont="1" applyFill="1" applyBorder="1" applyAlignment="1">
      <alignment horizontal="center" vertical="center"/>
    </xf>
    <xf numFmtId="0" fontId="289" fillId="0" borderId="0" xfId="0" applyFont="1" applyAlignment="1">
      <alignment horizontal="center"/>
    </xf>
    <xf numFmtId="0" fontId="283" fillId="0" borderId="0" xfId="0" applyFont="1" applyAlignment="1">
      <alignment horizontal="center"/>
    </xf>
    <xf numFmtId="176" fontId="283" fillId="0" borderId="0" xfId="284" applyNumberFormat="1" applyFont="1" applyFill="1" applyBorder="1" applyAlignment="1">
      <alignment horizontal="center" vertical="center"/>
    </xf>
    <xf numFmtId="176" fontId="289" fillId="0" borderId="0" xfId="284" applyNumberFormat="1" applyFont="1" applyFill="1" applyBorder="1" applyAlignment="1">
      <alignment horizontal="center" vertical="center"/>
    </xf>
    <xf numFmtId="3" fontId="279" fillId="0" borderId="0" xfId="67" applyNumberFormat="1" applyFont="1" applyBorder="1" applyAlignment="1">
      <alignment horizontal="center" vertical="center"/>
    </xf>
    <xf numFmtId="176" fontId="279" fillId="108" borderId="7" xfId="284" applyNumberFormat="1" applyFont="1" applyFill="1" applyBorder="1" applyAlignment="1">
      <alignment horizontal="center" vertical="center"/>
    </xf>
    <xf numFmtId="3" fontId="282" fillId="0" borderId="7" xfId="67" applyNumberFormat="1" applyFont="1" applyFill="1" applyBorder="1" applyAlignment="1">
      <alignment horizontal="center"/>
    </xf>
    <xf numFmtId="0" fontId="281" fillId="0" borderId="0" xfId="252" applyFont="1" applyAlignment="1">
      <alignment horizontal="left" vertical="center"/>
    </xf>
    <xf numFmtId="3" fontId="281" fillId="108" borderId="0" xfId="67" applyNumberFormat="1" applyFont="1" applyFill="1" applyBorder="1" applyAlignment="1">
      <alignment horizontal="center" vertical="center"/>
    </xf>
    <xf numFmtId="176" fontId="281" fillId="108" borderId="0" xfId="284" applyNumberFormat="1" applyFont="1" applyFill="1" applyBorder="1" applyAlignment="1">
      <alignment horizontal="center" vertical="center"/>
    </xf>
    <xf numFmtId="3" fontId="281" fillId="0" borderId="0" xfId="67" applyNumberFormat="1" applyFont="1" applyFill="1" applyBorder="1" applyAlignment="1">
      <alignment horizontal="center" vertical="center"/>
    </xf>
    <xf numFmtId="338" fontId="279" fillId="29" borderId="0" xfId="67" applyNumberFormat="1" applyFont="1" applyFill="1" applyBorder="1" applyAlignment="1">
      <alignment horizontal="right" vertical="center"/>
    </xf>
    <xf numFmtId="0" fontId="282" fillId="5" borderId="30" xfId="3" applyFont="1" applyFill="1" applyBorder="1"/>
    <xf numFmtId="0" fontId="282" fillId="5" borderId="30" xfId="3" applyFont="1" applyFill="1" applyBorder="1" applyAlignment="1">
      <alignment horizontal="center"/>
    </xf>
    <xf numFmtId="0" fontId="279" fillId="5" borderId="0" xfId="3" applyFont="1" applyFill="1" applyAlignment="1">
      <alignment vertical="center"/>
    </xf>
    <xf numFmtId="2" fontId="279" fillId="0" borderId="0" xfId="3" applyNumberFormat="1" applyFont="1" applyAlignment="1">
      <alignment vertical="center"/>
    </xf>
    <xf numFmtId="0" fontId="281" fillId="5" borderId="0" xfId="3" applyFont="1" applyFill="1" applyAlignment="1">
      <alignment vertical="center"/>
    </xf>
    <xf numFmtId="2" fontId="281" fillId="0" borderId="0" xfId="3" applyNumberFormat="1" applyFont="1" applyAlignment="1">
      <alignment vertical="center"/>
    </xf>
    <xf numFmtId="343" fontId="279" fillId="0" borderId="0" xfId="284" applyNumberFormat="1" applyFont="1" applyFill="1" applyAlignment="1">
      <alignment horizontal="right" vertical="center"/>
    </xf>
    <xf numFmtId="343" fontId="282" fillId="0" borderId="30" xfId="284" applyNumberFormat="1" applyFont="1" applyFill="1" applyBorder="1" applyAlignment="1">
      <alignment horizontal="right" vertical="center"/>
    </xf>
    <xf numFmtId="343" fontId="282" fillId="0" borderId="0" xfId="284" applyNumberFormat="1" applyFont="1" applyFill="1" applyBorder="1" applyAlignment="1">
      <alignment horizontal="right" vertical="center"/>
    </xf>
    <xf numFmtId="343" fontId="282" fillId="0" borderId="0" xfId="284" applyNumberFormat="1" applyFont="1" applyFill="1" applyAlignment="1">
      <alignment horizontal="right" vertical="center"/>
    </xf>
    <xf numFmtId="3" fontId="282" fillId="0" borderId="0" xfId="67" applyNumberFormat="1" applyFont="1" applyBorder="1" applyAlignment="1">
      <alignment horizontal="center" vertical="center"/>
    </xf>
    <xf numFmtId="0" fontId="307" fillId="107" borderId="62" xfId="2371" applyFont="1" applyFill="1" applyBorder="1"/>
    <xf numFmtId="0" fontId="279" fillId="107" borderId="0" xfId="0" applyFont="1" applyFill="1"/>
    <xf numFmtId="3" fontId="282" fillId="0" borderId="87" xfId="67" applyNumberFormat="1" applyFont="1" applyFill="1" applyBorder="1" applyAlignment="1">
      <alignment horizontal="center" vertical="center"/>
    </xf>
    <xf numFmtId="168" fontId="282" fillId="0" borderId="0" xfId="67" applyFont="1" applyAlignment="1">
      <alignment vertical="center"/>
    </xf>
    <xf numFmtId="0" fontId="279" fillId="0" borderId="88" xfId="0" applyFont="1" applyBorder="1" applyAlignment="1">
      <alignment horizontal="left" indent="1"/>
    </xf>
    <xf numFmtId="338" fontId="279" fillId="108" borderId="0" xfId="67" applyNumberFormat="1" applyFont="1" applyFill="1" applyAlignment="1">
      <alignment horizontal="right" vertical="center"/>
    </xf>
    <xf numFmtId="338" fontId="279" fillId="110" borderId="0" xfId="67" applyNumberFormat="1" applyFont="1" applyFill="1" applyBorder="1" applyAlignment="1">
      <alignment horizontal="right" vertical="center"/>
    </xf>
    <xf numFmtId="338" fontId="279" fillId="110" borderId="0" xfId="67" applyNumberFormat="1" applyFont="1" applyFill="1" applyAlignment="1">
      <alignment horizontal="right" vertical="center"/>
    </xf>
    <xf numFmtId="0" fontId="282" fillId="0" borderId="0" xfId="252" applyFont="1" applyAlignment="1">
      <alignment horizontal="center" vertical="center" wrapText="1"/>
    </xf>
    <xf numFmtId="3" fontId="282" fillId="0" borderId="78" xfId="67" applyNumberFormat="1" applyFont="1" applyFill="1" applyBorder="1" applyAlignment="1">
      <alignment horizontal="center" vertical="center"/>
    </xf>
    <xf numFmtId="3" fontId="282" fillId="0" borderId="78" xfId="67" applyNumberFormat="1" applyFont="1" applyBorder="1" applyAlignment="1">
      <alignment horizontal="center" vertical="center"/>
    </xf>
    <xf numFmtId="178" fontId="282" fillId="108" borderId="0" xfId="67" applyNumberFormat="1" applyFont="1" applyFill="1" applyAlignment="1">
      <alignment horizontal="center" vertical="center"/>
    </xf>
    <xf numFmtId="3" fontId="279" fillId="0" borderId="0" xfId="67" applyNumberFormat="1" applyFont="1" applyAlignment="1">
      <alignment horizontal="center"/>
    </xf>
    <xf numFmtId="3" fontId="279" fillId="0" borderId="0" xfId="67" applyNumberFormat="1" applyFont="1" applyAlignment="1">
      <alignment horizontal="center" vertical="center"/>
    </xf>
    <xf numFmtId="176" fontId="279" fillId="108" borderId="0" xfId="284" applyNumberFormat="1" applyFont="1" applyFill="1" applyAlignment="1">
      <alignment horizontal="center" vertical="center"/>
    </xf>
    <xf numFmtId="176" fontId="279" fillId="0" borderId="0" xfId="284" applyNumberFormat="1" applyFont="1" applyAlignment="1">
      <alignment horizontal="center"/>
    </xf>
    <xf numFmtId="3" fontId="279" fillId="29" borderId="0" xfId="67" applyNumberFormat="1" applyFont="1" applyFill="1" applyAlignment="1">
      <alignment horizontal="center" vertical="center"/>
    </xf>
    <xf numFmtId="3" fontId="279" fillId="29" borderId="0" xfId="67" applyNumberFormat="1" applyFont="1" applyFill="1" applyAlignment="1">
      <alignment horizontal="center"/>
    </xf>
    <xf numFmtId="176" fontId="279" fillId="29" borderId="0" xfId="284" applyNumberFormat="1" applyFont="1" applyFill="1" applyAlignment="1">
      <alignment horizontal="center" vertical="center"/>
    </xf>
    <xf numFmtId="176" fontId="279" fillId="29" borderId="0" xfId="284" applyNumberFormat="1" applyFont="1" applyFill="1" applyAlignment="1">
      <alignment horizontal="center"/>
    </xf>
    <xf numFmtId="0" fontId="279" fillId="29" borderId="0" xfId="252" applyFont="1" applyFill="1" applyAlignment="1">
      <alignment vertical="center"/>
    </xf>
    <xf numFmtId="168" fontId="282" fillId="0" borderId="4" xfId="67" applyFont="1" applyBorder="1" applyAlignment="1">
      <alignment vertical="center"/>
    </xf>
    <xf numFmtId="338" fontId="282" fillId="0" borderId="0" xfId="67" applyNumberFormat="1" applyFont="1"/>
    <xf numFmtId="175" fontId="282" fillId="0" borderId="0" xfId="67" applyNumberFormat="1" applyFont="1"/>
    <xf numFmtId="177" fontId="279" fillId="0" borderId="0" xfId="67" applyNumberFormat="1" applyFont="1" applyAlignment="1">
      <alignment horizontal="right"/>
    </xf>
    <xf numFmtId="175" fontId="279" fillId="0" borderId="0" xfId="67" applyNumberFormat="1" applyFont="1"/>
    <xf numFmtId="338" fontId="282" fillId="0" borderId="0" xfId="67" applyNumberFormat="1" applyFont="1" applyAlignment="1">
      <alignment vertical="center"/>
    </xf>
    <xf numFmtId="174" fontId="279" fillId="0" borderId="0" xfId="67" applyNumberFormat="1" applyFont="1"/>
    <xf numFmtId="176" fontId="282" fillId="0" borderId="0" xfId="67" applyNumberFormat="1" applyFont="1"/>
    <xf numFmtId="176" fontId="279" fillId="0" borderId="0" xfId="284" applyNumberFormat="1" applyFont="1"/>
    <xf numFmtId="338" fontId="282" fillId="0" borderId="35" xfId="67" applyNumberFormat="1" applyFont="1" applyBorder="1" applyAlignment="1">
      <alignment horizontal="right" vertical="center"/>
    </xf>
    <xf numFmtId="175" fontId="282" fillId="0" borderId="0" xfId="67" applyNumberFormat="1" applyFont="1" applyAlignment="1">
      <alignment horizontal="right"/>
    </xf>
    <xf numFmtId="3" fontId="282" fillId="0" borderId="0" xfId="67" applyNumberFormat="1" applyFont="1" applyAlignment="1">
      <alignment horizontal="right" vertical="center"/>
    </xf>
    <xf numFmtId="176" fontId="282" fillId="0" borderId="0" xfId="67" applyNumberFormat="1" applyFont="1" applyAlignment="1">
      <alignment horizontal="right"/>
    </xf>
    <xf numFmtId="176" fontId="279" fillId="0" borderId="0" xfId="67" applyNumberFormat="1" applyFont="1" applyAlignment="1">
      <alignment horizontal="right"/>
    </xf>
    <xf numFmtId="338" fontId="283" fillId="0" borderId="0" xfId="67" applyNumberFormat="1" applyFont="1"/>
    <xf numFmtId="338" fontId="289" fillId="0" borderId="0" xfId="67" applyNumberFormat="1" applyFont="1"/>
    <xf numFmtId="3" fontId="282" fillId="0" borderId="0" xfId="67" applyNumberFormat="1" applyFont="1"/>
    <xf numFmtId="175" fontId="279" fillId="0" borderId="0" xfId="67" applyNumberFormat="1" applyFont="1" applyAlignment="1">
      <alignment horizontal="right"/>
    </xf>
    <xf numFmtId="176" fontId="282" fillId="0" borderId="0" xfId="284" applyNumberFormat="1" applyFont="1"/>
    <xf numFmtId="177" fontId="279" fillId="0" borderId="0" xfId="67" applyNumberFormat="1" applyFont="1" applyAlignment="1">
      <alignment horizontal="right" vertical="center"/>
    </xf>
    <xf numFmtId="343" fontId="279" fillId="0" borderId="0" xfId="284" applyNumberFormat="1" applyFont="1" applyAlignment="1">
      <alignment horizontal="right" vertical="center"/>
    </xf>
    <xf numFmtId="176" fontId="282" fillId="0" borderId="0" xfId="284" applyNumberFormat="1" applyFont="1" applyAlignment="1">
      <alignment horizontal="right" vertical="center"/>
    </xf>
    <xf numFmtId="0" fontId="279" fillId="29" borderId="0" xfId="2" applyFont="1" applyFill="1"/>
    <xf numFmtId="338" fontId="289" fillId="29" borderId="0" xfId="67" applyNumberFormat="1" applyFont="1" applyFill="1" applyBorder="1"/>
    <xf numFmtId="338" fontId="279" fillId="29" borderId="0" xfId="67" applyNumberFormat="1" applyFont="1" applyFill="1" applyBorder="1" applyAlignment="1">
      <alignment horizontal="right"/>
    </xf>
    <xf numFmtId="176" fontId="279" fillId="29" borderId="0" xfId="284" applyNumberFormat="1" applyFont="1" applyFill="1" applyAlignment="1">
      <alignment horizontal="right"/>
    </xf>
    <xf numFmtId="9" fontId="279" fillId="0" borderId="0" xfId="284" applyFont="1" applyAlignment="1">
      <alignment horizontal="right" vertical="center"/>
    </xf>
    <xf numFmtId="9" fontId="279" fillId="56" borderId="0" xfId="284" applyFont="1" applyFill="1"/>
    <xf numFmtId="0" fontId="279" fillId="29" borderId="0" xfId="252" applyFont="1" applyFill="1"/>
    <xf numFmtId="178" fontId="279" fillId="29" borderId="0" xfId="67" applyNumberFormat="1" applyFont="1" applyFill="1" applyBorder="1" applyAlignment="1">
      <alignment horizontal="center" vertical="center"/>
    </xf>
    <xf numFmtId="176" fontId="279" fillId="29" borderId="0" xfId="284" applyNumberFormat="1" applyFont="1" applyFill="1" applyBorder="1" applyAlignment="1">
      <alignment horizontal="center" vertical="center"/>
    </xf>
    <xf numFmtId="176" fontId="279" fillId="29" borderId="0" xfId="284" applyNumberFormat="1" applyFont="1" applyFill="1" applyBorder="1" applyAlignment="1">
      <alignment horizontal="center"/>
    </xf>
    <xf numFmtId="0" fontId="281" fillId="0" borderId="0" xfId="252" applyFont="1" applyAlignment="1">
      <alignment horizontal="left" vertical="center" indent="1"/>
    </xf>
    <xf numFmtId="338" fontId="279" fillId="0" borderId="0" xfId="67" applyNumberFormat="1" applyFont="1" applyFill="1" applyBorder="1" applyAlignment="1">
      <alignment horizontal="center" vertical="center"/>
    </xf>
    <xf numFmtId="0" fontId="281" fillId="0" borderId="0" xfId="252" applyFont="1" applyAlignment="1">
      <alignment vertical="center"/>
    </xf>
    <xf numFmtId="0" fontId="281" fillId="0" borderId="0" xfId="252" applyFont="1"/>
    <xf numFmtId="176" fontId="281" fillId="0" borderId="0" xfId="284" applyNumberFormat="1" applyFont="1" applyBorder="1" applyAlignment="1">
      <alignment horizontal="center" vertical="center"/>
    </xf>
    <xf numFmtId="177" fontId="281" fillId="0" borderId="0" xfId="252" applyNumberFormat="1" applyFont="1" applyAlignment="1">
      <alignment horizontal="center" vertical="center"/>
    </xf>
    <xf numFmtId="176" fontId="281" fillId="0" borderId="0" xfId="284" applyNumberFormat="1" applyFont="1" applyAlignment="1">
      <alignment horizontal="center" vertical="center"/>
    </xf>
    <xf numFmtId="340" fontId="279" fillId="0" borderId="0" xfId="252" applyNumberFormat="1" applyFont="1" applyAlignment="1">
      <alignment horizontal="center" vertical="center"/>
    </xf>
  </cellXfs>
  <cellStyles count="2372">
    <cellStyle name="_x000a_386grabber=M" xfId="1" xr:uid="{00000000-0005-0000-0000-000000000000}"/>
    <cellStyle name="_x000a_386grabber=M 2" xfId="540" xr:uid="{00000000-0005-0000-0000-000001000000}"/>
    <cellStyle name="_x000a_386grabber=M 3" xfId="811" xr:uid="{00000000-0005-0000-0000-000002000000}"/>
    <cellStyle name="_x000a_386grabber=M 4" xfId="539" xr:uid="{00000000-0005-0000-0000-000003000000}"/>
    <cellStyle name="_x000d_386grabber=M" xfId="1243" xr:uid="{00000000-0005-0000-0000-000004000000}"/>
    <cellStyle name="&quot;X&quot; Men" xfId="541" xr:uid="{00000000-0005-0000-0000-000005000000}"/>
    <cellStyle name="%" xfId="2" xr:uid="{00000000-0005-0000-0000-000006000000}"/>
    <cellStyle name="% 2" xfId="3" xr:uid="{00000000-0005-0000-0000-000007000000}"/>
    <cellStyle name="% 2 2" xfId="1499" xr:uid="{00000000-0005-0000-0000-000008000000}"/>
    <cellStyle name="% 2 3" xfId="438" xr:uid="{00000000-0005-0000-0000-000009000000}"/>
    <cellStyle name="% 2 3 2" xfId="1257" xr:uid="{00000000-0005-0000-0000-00000A000000}"/>
    <cellStyle name="% 2 4" xfId="1500" xr:uid="{00000000-0005-0000-0000-00000B000000}"/>
    <cellStyle name="% 2 4 2" xfId="1501" xr:uid="{00000000-0005-0000-0000-00000C000000}"/>
    <cellStyle name="% 3" xfId="542" xr:uid="{00000000-0005-0000-0000-00000D000000}"/>
    <cellStyle name="% 3 2" xfId="1502" xr:uid="{00000000-0005-0000-0000-00000E000000}"/>
    <cellStyle name="% 3 3" xfId="1503" xr:uid="{00000000-0005-0000-0000-00000F000000}"/>
    <cellStyle name="% 3 4" xfId="1504" xr:uid="{00000000-0005-0000-0000-000010000000}"/>
    <cellStyle name="% 4" xfId="1256" xr:uid="{00000000-0005-0000-0000-000011000000}"/>
    <cellStyle name="% 4 2" xfId="1505" xr:uid="{00000000-0005-0000-0000-000012000000}"/>
    <cellStyle name="% 4 3" xfId="1506" xr:uid="{00000000-0005-0000-0000-000013000000}"/>
    <cellStyle name="% 5" xfId="1507" xr:uid="{00000000-0005-0000-0000-000014000000}"/>
    <cellStyle name="% 5 2" xfId="1508" xr:uid="{00000000-0005-0000-0000-000015000000}"/>
    <cellStyle name="% 6" xfId="1509" xr:uid="{00000000-0005-0000-0000-000016000000}"/>
    <cellStyle name="%_BeatriceF" xfId="1510" xr:uid="{00000000-0005-0000-0000-000017000000}"/>
    <cellStyle name="%_LEAP Model New" xfId="543" xr:uid="{00000000-0005-0000-0000-000018000000}"/>
    <cellStyle name="%_LEAP Model New_AT&amp;T Model New New - THESIS" xfId="1244" xr:uid="{00000000-0005-0000-0000-000019000000}"/>
    <cellStyle name="%_LEAP Model New_S Model New 03-30-2012" xfId="816" xr:uid="{00000000-0005-0000-0000-00001A000000}"/>
    <cellStyle name="%_LEAP Model WIP" xfId="544" xr:uid="{00000000-0005-0000-0000-00001B000000}"/>
    <cellStyle name="%_LEAP Model WIP_AT&amp;T Model New New - THESIS" xfId="1245" xr:uid="{00000000-0005-0000-0000-00001C000000}"/>
    <cellStyle name="%_LEAP Model WIP_S Model New 03-30-2012" xfId="817" xr:uid="{00000000-0005-0000-0000-00001D000000}"/>
    <cellStyle name="%_Millicom_rollforward" xfId="4" xr:uid="{00000000-0005-0000-0000-00001E000000}"/>
    <cellStyle name="%_MTN WIP 1" xfId="5" xr:uid="{00000000-0005-0000-0000-00001F000000}"/>
    <cellStyle name="%_multmod" xfId="6" xr:uid="{00000000-0005-0000-0000-000020000000}"/>
    <cellStyle name="%_multmod 2" xfId="1260" xr:uid="{00000000-0005-0000-0000-000021000000}"/>
    <cellStyle name="%_PCS Model New" xfId="545" xr:uid="{00000000-0005-0000-0000-000022000000}"/>
    <cellStyle name="%_Pedro" xfId="1511" xr:uid="{00000000-0005-0000-0000-000023000000}"/>
    <cellStyle name="%_S Model New" xfId="546" xr:uid="{00000000-0005-0000-0000-000024000000}"/>
    <cellStyle name="%_T Model New" xfId="547" xr:uid="{00000000-0005-0000-0000-000025000000}"/>
    <cellStyle name="%_T Model New_AT&amp;T Model New New - THESIS" xfId="1246" xr:uid="{00000000-0005-0000-0000-000026000000}"/>
    <cellStyle name="%_T Model New_S Model New 03-30-2012" xfId="818" xr:uid="{00000000-0005-0000-0000-000027000000}"/>
    <cellStyle name="%_TNOR_current" xfId="1512" xr:uid="{00000000-0005-0000-0000-000028000000}"/>
    <cellStyle name="%_TNOR_preQ410a" xfId="1513" xr:uid="{00000000-0005-0000-0000-000029000000}"/>
    <cellStyle name="%_VIP WIP" xfId="1514" xr:uid="{00000000-0005-0000-0000-00002A000000}"/>
    <cellStyle name="%_VIP WIP 2" xfId="1515" xr:uid="{00000000-0005-0000-0000-00002B000000}"/>
    <cellStyle name="%_VIP WIP 3" xfId="1516" xr:uid="{00000000-0005-0000-0000-00002C000000}"/>
    <cellStyle name="%_VIP WIP 3 2" xfId="1517" xr:uid="{00000000-0005-0000-0000-00002D000000}"/>
    <cellStyle name="%_VIP_WIP" xfId="7" xr:uid="{00000000-0005-0000-0000-00002E000000}"/>
    <cellStyle name="%_VIP_WIP 2" xfId="1518" xr:uid="{00000000-0005-0000-0000-00002F000000}"/>
    <cellStyle name="%_VIP_WIP 2 2" xfId="1519" xr:uid="{00000000-0005-0000-0000-000030000000}"/>
    <cellStyle name="%_VIP_WIP 3" xfId="1520" xr:uid="{00000000-0005-0000-0000-000031000000}"/>
    <cellStyle name="%_VIP_WIP 3 2" xfId="1521" xr:uid="{00000000-0005-0000-0000-000032000000}"/>
    <cellStyle name="%_VIP_WIP 4" xfId="1522" xr:uid="{00000000-0005-0000-0000-000033000000}"/>
    <cellStyle name="%_vod" xfId="1523" xr:uid="{00000000-0005-0000-0000-000034000000}"/>
    <cellStyle name="%_Vodacom WIP" xfId="8" xr:uid="{00000000-0005-0000-0000-000035000000}"/>
    <cellStyle name="%_VZ Model New" xfId="548" xr:uid="{00000000-0005-0000-0000-000036000000}"/>
    <cellStyle name="******************************************" xfId="9" xr:uid="{00000000-0005-0000-0000-000037000000}"/>
    <cellStyle name="****************************************** 2" xfId="549" xr:uid="{00000000-0005-0000-0000-000038000000}"/>
    <cellStyle name="****************************************** 2 2" xfId="1524" xr:uid="{00000000-0005-0000-0000-000039000000}"/>
    <cellStyle name="****************************************** 3" xfId="1525" xr:uid="{00000000-0005-0000-0000-00003A000000}"/>
    <cellStyle name="?Q\?1@" xfId="10" xr:uid="{00000000-0005-0000-0000-00003B000000}"/>
    <cellStyle name="?Q\?1@ 2" xfId="1526" xr:uid="{00000000-0005-0000-0000-00003C000000}"/>
    <cellStyle name="]_x000a__x000a_Extension=conv.dll_x000a__x000a_MS-DOS Tools Extentions=C:\DOS\MSTOOLS.DLL_x000a__x000a__x000a__x000a_[Settings]_x000a__x000a_UNDELETE.DLL=C:\DOS\MSTOOLS.DLL_x000a__x000a_W" xfId="550" xr:uid="{00000000-0005-0000-0000-00003D000000}"/>
    <cellStyle name="]_x000d__x000d_Extension=conv.dll_x000d__x000d_MS-DOS Tools Extentions=C:\DOS\MSTOOLS.DLL_x000d__x000d__x000d__x000d_[Settings]_x000d__x000d_UNDELETE.DLL=C:\DOS\MSTOOLS.DLL_x000d__x000d_W" xfId="1247" xr:uid="{00000000-0005-0000-0000-00003E000000}"/>
    <cellStyle name="_%(SignOnly)" xfId="1527" xr:uid="{00000000-0005-0000-0000-00003F000000}"/>
    <cellStyle name="_%(SignSpaceOnly)" xfId="1528" xr:uid="{00000000-0005-0000-0000-000040000000}"/>
    <cellStyle name="_Comma" xfId="11" xr:uid="{00000000-0005-0000-0000-000041000000}"/>
    <cellStyle name="_Comma 2" xfId="1529" xr:uid="{00000000-0005-0000-0000-000042000000}"/>
    <cellStyle name="_Comma 2 2" xfId="1530" xr:uid="{00000000-0005-0000-0000-000043000000}"/>
    <cellStyle name="_Comma 3" xfId="1531" xr:uid="{00000000-0005-0000-0000-000044000000}"/>
    <cellStyle name="_Currency" xfId="12" xr:uid="{00000000-0005-0000-0000-000045000000}"/>
    <cellStyle name="_Currency 2" xfId="1532" xr:uid="{00000000-0005-0000-0000-000046000000}"/>
    <cellStyle name="_Currency 2 2" xfId="1533" xr:uid="{00000000-0005-0000-0000-000047000000}"/>
    <cellStyle name="_Currency 3" xfId="1534" xr:uid="{00000000-0005-0000-0000-000048000000}"/>
    <cellStyle name="_CurrencySpace" xfId="13" xr:uid="{00000000-0005-0000-0000-000049000000}"/>
    <cellStyle name="_CurrencySpace 2" xfId="1535" xr:uid="{00000000-0005-0000-0000-00004A000000}"/>
    <cellStyle name="_CurrencySpace 2 2" xfId="1536" xr:uid="{00000000-0005-0000-0000-00004B000000}"/>
    <cellStyle name="_CurrencySpace 3" xfId="1537" xr:uid="{00000000-0005-0000-0000-00004C000000}"/>
    <cellStyle name="_ere_KADS_Core_Items" xfId="551" xr:uid="{00000000-0005-0000-0000-00004D000000}"/>
    <cellStyle name="_Euro" xfId="1538" xr:uid="{00000000-0005-0000-0000-00004E000000}"/>
    <cellStyle name="_Heading" xfId="1539" xr:uid="{00000000-0005-0000-0000-00004F000000}"/>
    <cellStyle name="_Highlight" xfId="1540" xr:uid="{00000000-0005-0000-0000-000050000000}"/>
    <cellStyle name="_Innsamling" xfId="14" xr:uid="{00000000-0005-0000-0000-000051000000}"/>
    <cellStyle name="_Innsamling 2" xfId="1541" xr:uid="{00000000-0005-0000-0000-000052000000}"/>
    <cellStyle name="_Innsamling 2 2" xfId="1542" xr:uid="{00000000-0005-0000-0000-000053000000}"/>
    <cellStyle name="_Jazz model 28 Oct 09" xfId="1543" xr:uid="{00000000-0005-0000-0000-000054000000}"/>
    <cellStyle name="_JP Morgan" xfId="15" xr:uid="{00000000-0005-0000-0000-000055000000}"/>
    <cellStyle name="_JP Morgan 2" xfId="1544" xr:uid="{00000000-0005-0000-0000-000056000000}"/>
    <cellStyle name="_JP Morgan 2 2" xfId="1545" xr:uid="{00000000-0005-0000-0000-000057000000}"/>
    <cellStyle name="_JP Morgan_TNOR_preQ410a" xfId="1546" xr:uid="{00000000-0005-0000-0000-000058000000}"/>
    <cellStyle name="_JP Morgan_TNOR_preQ410a 2" xfId="1547" xr:uid="{00000000-0005-0000-0000-000059000000}"/>
    <cellStyle name="_Mal for innhenting av estimater Q4- 2002" xfId="16" xr:uid="{00000000-0005-0000-0000-00005A000000}"/>
    <cellStyle name="_Mal for innhenting av estimater Q4- 2002 2" xfId="1548" xr:uid="{00000000-0005-0000-0000-00005B000000}"/>
    <cellStyle name="_Mal for innhenting av estimater Q4- 2002 2 2" xfId="1549" xr:uid="{00000000-0005-0000-0000-00005C000000}"/>
    <cellStyle name="_Multiple" xfId="17" xr:uid="{00000000-0005-0000-0000-00005D000000}"/>
    <cellStyle name="_Multiple 2" xfId="1550" xr:uid="{00000000-0005-0000-0000-00005E000000}"/>
    <cellStyle name="_Multiple 2 2" xfId="1551" xr:uid="{00000000-0005-0000-0000-00005F000000}"/>
    <cellStyle name="_Multiple 3" xfId="1552" xr:uid="{00000000-0005-0000-0000-000060000000}"/>
    <cellStyle name="_MultipleSpace" xfId="18" xr:uid="{00000000-0005-0000-0000-000061000000}"/>
    <cellStyle name="_MultipleSpace 2" xfId="1553" xr:uid="{00000000-0005-0000-0000-000062000000}"/>
    <cellStyle name="_MultipleSpace 2 2" xfId="1554" xr:uid="{00000000-0005-0000-0000-000063000000}"/>
    <cellStyle name="_MultipleSpace 3" xfId="1555" xr:uid="{00000000-0005-0000-0000-000064000000}"/>
    <cellStyle name="_Percent" xfId="19" xr:uid="{00000000-0005-0000-0000-000065000000}"/>
    <cellStyle name="_Percent 2" xfId="1556" xr:uid="{00000000-0005-0000-0000-000066000000}"/>
    <cellStyle name="_Percent 2 2" xfId="1557" xr:uid="{00000000-0005-0000-0000-000067000000}"/>
    <cellStyle name="_PercentSpace" xfId="20" xr:uid="{00000000-0005-0000-0000-000068000000}"/>
    <cellStyle name="_PercentSpace 2" xfId="1558" xr:uid="{00000000-0005-0000-0000-000069000000}"/>
    <cellStyle name="_PercentSpace 2 2" xfId="1559" xr:uid="{00000000-0005-0000-0000-00006A000000}"/>
    <cellStyle name="_SubHeading" xfId="1560" xr:uid="{00000000-0005-0000-0000-00006B000000}"/>
    <cellStyle name="_Table" xfId="1561" xr:uid="{00000000-0005-0000-0000-00006C000000}"/>
    <cellStyle name="_TableHead" xfId="1562" xr:uid="{00000000-0005-0000-0000-00006D000000}"/>
    <cellStyle name="_TableRowHead" xfId="1563" xr:uid="{00000000-0005-0000-0000-00006E000000}"/>
    <cellStyle name="_TableSuperHead" xfId="1564" xr:uid="{00000000-0005-0000-0000-00006F000000}"/>
    <cellStyle name="_TNOR_current" xfId="1565" xr:uid="{00000000-0005-0000-0000-000070000000}"/>
    <cellStyle name="_TNOR_current 2" xfId="1566" xr:uid="{00000000-0005-0000-0000-000071000000}"/>
    <cellStyle name="_TNOR_current 3" xfId="1567" xr:uid="{00000000-0005-0000-0000-000072000000}"/>
    <cellStyle name="_TNOR_current 3 2" xfId="1568" xr:uid="{00000000-0005-0000-0000-000073000000}"/>
    <cellStyle name="_usr_KADS_Full_Upload_Items" xfId="552" xr:uid="{00000000-0005-0000-0000-000074000000}"/>
    <cellStyle name="_usr_KADS_Full_Upload_Items 2" xfId="1147" xr:uid="{00000000-0005-0000-0000-000075000000}"/>
    <cellStyle name="_VOD NEW STRUCTURE workbook" xfId="1569" xr:uid="{00000000-0005-0000-0000-000076000000}"/>
    <cellStyle name="_Vodacom WIP" xfId="21" xr:uid="{00000000-0005-0000-0000-000077000000}"/>
    <cellStyle name="_XOM model" xfId="553" xr:uid="{00000000-0005-0000-0000-000078000000}"/>
    <cellStyle name="“ü—Í—“" xfId="554" xr:uid="{00000000-0005-0000-0000-000079000000}"/>
    <cellStyle name="£ BP" xfId="556" xr:uid="{00000000-0005-0000-0000-00007A000000}"/>
    <cellStyle name="¤@¯ë_Sheet1 (2)" xfId="22" xr:uid="{00000000-0005-0000-0000-00007B000000}"/>
    <cellStyle name="¥ JY" xfId="557" xr:uid="{00000000-0005-0000-0000-00007C000000}"/>
    <cellStyle name="=C:\WINNT35\SYSTEM32\COMMAND.COM" xfId="555" xr:uid="{00000000-0005-0000-0000-00007D000000}"/>
    <cellStyle name="=C:\WINNT35\SYSTEM32\COMMAND.COM 2" xfId="944" xr:uid="{00000000-0005-0000-0000-00007E000000}"/>
    <cellStyle name="§Q\òm1@À" xfId="23" xr:uid="{00000000-0005-0000-0000-00007F000000}"/>
    <cellStyle name="§Q\òm1@À 2" xfId="1570" xr:uid="{00000000-0005-0000-0000-000080000000}"/>
    <cellStyle name="§Q\òm1@À 3" xfId="1571" xr:uid="{00000000-0005-0000-0000-000081000000}"/>
    <cellStyle name="§Q\òm1@À 3 2" xfId="1572" xr:uid="{00000000-0005-0000-0000-000082000000}"/>
    <cellStyle name="•W€_VALUE" xfId="24" xr:uid="{00000000-0005-0000-0000-000083000000}"/>
    <cellStyle name="‰p•¶" xfId="1573" xr:uid="{00000000-0005-0000-0000-000084000000}"/>
    <cellStyle name="0" xfId="558" xr:uid="{00000000-0005-0000-0000-000085000000}"/>
    <cellStyle name="0 2" xfId="1064" xr:uid="{00000000-0005-0000-0000-000086000000}"/>
    <cellStyle name="0%" xfId="559" xr:uid="{00000000-0005-0000-0000-000087000000}"/>
    <cellStyle name="0% 2" xfId="1023" xr:uid="{00000000-0005-0000-0000-000088000000}"/>
    <cellStyle name="0.0" xfId="560" xr:uid="{00000000-0005-0000-0000-000089000000}"/>
    <cellStyle name="0.0 2" xfId="1095" xr:uid="{00000000-0005-0000-0000-00008A000000}"/>
    <cellStyle name="0.0%" xfId="561" xr:uid="{00000000-0005-0000-0000-00008B000000}"/>
    <cellStyle name="0.0% 2" xfId="1025" xr:uid="{00000000-0005-0000-0000-00008C000000}"/>
    <cellStyle name="0.0_BPCitigroupWIP" xfId="562" xr:uid="{00000000-0005-0000-0000-00008D000000}"/>
    <cellStyle name="0.00" xfId="563" xr:uid="{00000000-0005-0000-0000-00008E000000}"/>
    <cellStyle name="0.00 2" xfId="1026" xr:uid="{00000000-0005-0000-0000-00008F000000}"/>
    <cellStyle name="0.00%" xfId="564" xr:uid="{00000000-0005-0000-0000-000090000000}"/>
    <cellStyle name="0.00% 2" xfId="1148" xr:uid="{00000000-0005-0000-0000-000091000000}"/>
    <cellStyle name="0.00_BPCitigroupWIP" xfId="565" xr:uid="{00000000-0005-0000-0000-000092000000}"/>
    <cellStyle name="0_BPCitigroupWIP" xfId="566" xr:uid="{00000000-0005-0000-0000-000093000000}"/>
    <cellStyle name="0_BPCitigroupWIP 2" xfId="1124" xr:uid="{00000000-0005-0000-0000-000094000000}"/>
    <cellStyle name="0_RDSCitigroupWIP" xfId="567" xr:uid="{00000000-0005-0000-0000-000095000000}"/>
    <cellStyle name="0_RDSCitigroupWIP 2" xfId="1121" xr:uid="{00000000-0005-0000-0000-000096000000}"/>
    <cellStyle name="0_rdshell_E&amp;P_analysis" xfId="568" xr:uid="{00000000-0005-0000-0000-000097000000}"/>
    <cellStyle name="0_rdshell_E&amp;P_analysis 2" xfId="1085" xr:uid="{00000000-0005-0000-0000-000098000000}"/>
    <cellStyle name="0_TotalCitigroupWIP" xfId="569" xr:uid="{00000000-0005-0000-0000-000099000000}"/>
    <cellStyle name="0_TotalCitigroupWIP 2" xfId="1066" xr:uid="{00000000-0005-0000-0000-00009A000000}"/>
    <cellStyle name="0_TotalCitigroupWIP_old" xfId="570" xr:uid="{00000000-0005-0000-0000-00009B000000}"/>
    <cellStyle name="0_TotalCitigroupWIP_old 2" xfId="1117" xr:uid="{00000000-0005-0000-0000-00009C000000}"/>
    <cellStyle name="0_TotalCitigroupWIP_Q104" xfId="571" xr:uid="{00000000-0005-0000-0000-00009D000000}"/>
    <cellStyle name="0_TotalCitigroupWIP_Q104 2" xfId="1027" xr:uid="{00000000-0005-0000-0000-00009E000000}"/>
    <cellStyle name="000 PN" xfId="1574" xr:uid="{00000000-0005-0000-0000-00009F000000}"/>
    <cellStyle name="20% - Accent1 2" xfId="826" xr:uid="{00000000-0005-0000-0000-0000A0000000}"/>
    <cellStyle name="20% - Accent1 3" xfId="917" xr:uid="{00000000-0005-0000-0000-0000A1000000}"/>
    <cellStyle name="20% - Accent1 4" xfId="1575" xr:uid="{00000000-0005-0000-0000-0000A2000000}"/>
    <cellStyle name="20% - Accent1 5" xfId="1576" xr:uid="{00000000-0005-0000-0000-0000A3000000}"/>
    <cellStyle name="20% - Accent2 2" xfId="827" xr:uid="{00000000-0005-0000-0000-0000A4000000}"/>
    <cellStyle name="20% - Accent2 3" xfId="918" xr:uid="{00000000-0005-0000-0000-0000A5000000}"/>
    <cellStyle name="20% - Accent2 4" xfId="1577" xr:uid="{00000000-0005-0000-0000-0000A6000000}"/>
    <cellStyle name="20% - Accent2 5" xfId="1578" xr:uid="{00000000-0005-0000-0000-0000A7000000}"/>
    <cellStyle name="20% - Accent3 2" xfId="828" xr:uid="{00000000-0005-0000-0000-0000A8000000}"/>
    <cellStyle name="20% - Accent3 3" xfId="919" xr:uid="{00000000-0005-0000-0000-0000A9000000}"/>
    <cellStyle name="20% - Accent3 4" xfId="1579" xr:uid="{00000000-0005-0000-0000-0000AA000000}"/>
    <cellStyle name="20% - Accent3 5" xfId="1580" xr:uid="{00000000-0005-0000-0000-0000AB000000}"/>
    <cellStyle name="20% - Accent4 2" xfId="829" xr:uid="{00000000-0005-0000-0000-0000AC000000}"/>
    <cellStyle name="20% - Accent4 3" xfId="920" xr:uid="{00000000-0005-0000-0000-0000AD000000}"/>
    <cellStyle name="20% - Accent4 4" xfId="1581" xr:uid="{00000000-0005-0000-0000-0000AE000000}"/>
    <cellStyle name="20% - Accent4 5" xfId="1582" xr:uid="{00000000-0005-0000-0000-0000AF000000}"/>
    <cellStyle name="20% - Accent5 2" xfId="830" xr:uid="{00000000-0005-0000-0000-0000B0000000}"/>
    <cellStyle name="20% - Accent5 3" xfId="921" xr:uid="{00000000-0005-0000-0000-0000B1000000}"/>
    <cellStyle name="20% - Accent5 4" xfId="1583" xr:uid="{00000000-0005-0000-0000-0000B2000000}"/>
    <cellStyle name="20% - Accent6 2" xfId="831" xr:uid="{00000000-0005-0000-0000-0000B3000000}"/>
    <cellStyle name="20% - Accent6 3" xfId="922" xr:uid="{00000000-0005-0000-0000-0000B4000000}"/>
    <cellStyle name="3f1o [0]_J-Hwang242" xfId="25" xr:uid="{00000000-0005-0000-0000-0000B5000000}"/>
    <cellStyle name="3f1o_J-Hwang2an" xfId="26" xr:uid="{00000000-0005-0000-0000-0000B6000000}"/>
    <cellStyle name="40% - Accent1 2" xfId="832" xr:uid="{00000000-0005-0000-0000-0000B7000000}"/>
    <cellStyle name="40% - Accent1 3" xfId="923" xr:uid="{00000000-0005-0000-0000-0000B8000000}"/>
    <cellStyle name="40% - Accent1 4" xfId="1584" xr:uid="{00000000-0005-0000-0000-0000B9000000}"/>
    <cellStyle name="40% - Accent1 5" xfId="1585" xr:uid="{00000000-0005-0000-0000-0000BA000000}"/>
    <cellStyle name="40% - Accent2 2" xfId="833" xr:uid="{00000000-0005-0000-0000-0000BB000000}"/>
    <cellStyle name="40% - Accent2 3" xfId="924" xr:uid="{00000000-0005-0000-0000-0000BC000000}"/>
    <cellStyle name="40% - Accent2 4" xfId="1586" xr:uid="{00000000-0005-0000-0000-0000BD000000}"/>
    <cellStyle name="40% - Accent3 2" xfId="834" xr:uid="{00000000-0005-0000-0000-0000BE000000}"/>
    <cellStyle name="40% - Accent3 3" xfId="925" xr:uid="{00000000-0005-0000-0000-0000BF000000}"/>
    <cellStyle name="40% - Accent3 4" xfId="1587" xr:uid="{00000000-0005-0000-0000-0000C0000000}"/>
    <cellStyle name="40% - Accent3 5" xfId="1588" xr:uid="{00000000-0005-0000-0000-0000C1000000}"/>
    <cellStyle name="40% - Accent4 2" xfId="835" xr:uid="{00000000-0005-0000-0000-0000C2000000}"/>
    <cellStyle name="40% - Accent4 3" xfId="926" xr:uid="{00000000-0005-0000-0000-0000C3000000}"/>
    <cellStyle name="40% - Accent4 4" xfId="1589" xr:uid="{00000000-0005-0000-0000-0000C4000000}"/>
    <cellStyle name="40% - Accent4 5" xfId="1590" xr:uid="{00000000-0005-0000-0000-0000C5000000}"/>
    <cellStyle name="40% - Accent5 2" xfId="836" xr:uid="{00000000-0005-0000-0000-0000C6000000}"/>
    <cellStyle name="40% - Accent5 3" xfId="927" xr:uid="{00000000-0005-0000-0000-0000C7000000}"/>
    <cellStyle name="40% - Accent5 4" xfId="1591" xr:uid="{00000000-0005-0000-0000-0000C8000000}"/>
    <cellStyle name="40% - Accent6 2" xfId="837" xr:uid="{00000000-0005-0000-0000-0000C9000000}"/>
    <cellStyle name="40% - Accent6 3" xfId="928" xr:uid="{00000000-0005-0000-0000-0000CA000000}"/>
    <cellStyle name="40% - Accent6 4" xfId="1592" xr:uid="{00000000-0005-0000-0000-0000CB000000}"/>
    <cellStyle name="60% - Accent1 2" xfId="838" xr:uid="{00000000-0005-0000-0000-0000CC000000}"/>
    <cellStyle name="60% - Accent1 3" xfId="929" xr:uid="{00000000-0005-0000-0000-0000CD000000}"/>
    <cellStyle name="60% - Accent1 4" xfId="1593" xr:uid="{00000000-0005-0000-0000-0000CE000000}"/>
    <cellStyle name="60% - Accent1 5" xfId="1594" xr:uid="{00000000-0005-0000-0000-0000CF000000}"/>
    <cellStyle name="60% - Accent2 2" xfId="839" xr:uid="{00000000-0005-0000-0000-0000D0000000}"/>
    <cellStyle name="60% - Accent2 3" xfId="930" xr:uid="{00000000-0005-0000-0000-0000D1000000}"/>
    <cellStyle name="60% - Accent2 4" xfId="1595" xr:uid="{00000000-0005-0000-0000-0000D2000000}"/>
    <cellStyle name="60% - Accent3 2" xfId="840" xr:uid="{00000000-0005-0000-0000-0000D3000000}"/>
    <cellStyle name="60% - Accent3 3" xfId="931" xr:uid="{00000000-0005-0000-0000-0000D4000000}"/>
    <cellStyle name="60% - Accent3 4" xfId="1596" xr:uid="{00000000-0005-0000-0000-0000D5000000}"/>
    <cellStyle name="60% - Accent3 5" xfId="1597" xr:uid="{00000000-0005-0000-0000-0000D6000000}"/>
    <cellStyle name="60% - Accent4 2" xfId="841" xr:uid="{00000000-0005-0000-0000-0000D7000000}"/>
    <cellStyle name="60% - Accent4 3" xfId="932" xr:uid="{00000000-0005-0000-0000-0000D8000000}"/>
    <cellStyle name="60% - Accent4 4" xfId="1598" xr:uid="{00000000-0005-0000-0000-0000D9000000}"/>
    <cellStyle name="60% - Accent4 5" xfId="1599" xr:uid="{00000000-0005-0000-0000-0000DA000000}"/>
    <cellStyle name="60% - Accent5 2" xfId="842" xr:uid="{00000000-0005-0000-0000-0000DB000000}"/>
    <cellStyle name="60% - Accent5 3" xfId="933" xr:uid="{00000000-0005-0000-0000-0000DC000000}"/>
    <cellStyle name="60% - Accent5 4" xfId="1600" xr:uid="{00000000-0005-0000-0000-0000DD000000}"/>
    <cellStyle name="60% - Accent6 2" xfId="843" xr:uid="{00000000-0005-0000-0000-0000DE000000}"/>
    <cellStyle name="60% - Accent6 3" xfId="934" xr:uid="{00000000-0005-0000-0000-0000DF000000}"/>
    <cellStyle name="60% - Accent6 4" xfId="1601" xr:uid="{00000000-0005-0000-0000-0000E0000000}"/>
    <cellStyle name="60% - Accent6 5" xfId="1602" xr:uid="{00000000-0005-0000-0000-0000E1000000}"/>
    <cellStyle name="600 PN" xfId="1603" xr:uid="{00000000-0005-0000-0000-0000E2000000}"/>
    <cellStyle name="6mal" xfId="27" xr:uid="{00000000-0005-0000-0000-0000E3000000}"/>
    <cellStyle name="700 PN" xfId="1604" xr:uid="{00000000-0005-0000-0000-0000E4000000}"/>
    <cellStyle name="752131" xfId="572" xr:uid="{00000000-0005-0000-0000-0000E5000000}"/>
    <cellStyle name="aaa" xfId="28" xr:uid="{00000000-0005-0000-0000-0000E6000000}"/>
    <cellStyle name="aaa 2" xfId="1605" xr:uid="{00000000-0005-0000-0000-0000E7000000}"/>
    <cellStyle name="aaa 2 2" xfId="1606" xr:uid="{00000000-0005-0000-0000-0000E8000000}"/>
    <cellStyle name="Accent1 2" xfId="844" xr:uid="{00000000-0005-0000-0000-0000E9000000}"/>
    <cellStyle name="Accent1 3" xfId="935" xr:uid="{00000000-0005-0000-0000-0000EA000000}"/>
    <cellStyle name="Accent1 4" xfId="1607" xr:uid="{00000000-0005-0000-0000-0000EB000000}"/>
    <cellStyle name="Accent1 5" xfId="1608" xr:uid="{00000000-0005-0000-0000-0000EC000000}"/>
    <cellStyle name="Accent2 2" xfId="845" xr:uid="{00000000-0005-0000-0000-0000ED000000}"/>
    <cellStyle name="Accent2 3" xfId="936" xr:uid="{00000000-0005-0000-0000-0000EE000000}"/>
    <cellStyle name="Accent2 4" xfId="1609" xr:uid="{00000000-0005-0000-0000-0000EF000000}"/>
    <cellStyle name="Accent2 5" xfId="1610" xr:uid="{00000000-0005-0000-0000-0000F0000000}"/>
    <cellStyle name="Accent3 2" xfId="846" xr:uid="{00000000-0005-0000-0000-0000F1000000}"/>
    <cellStyle name="Accent3 3" xfId="937" xr:uid="{00000000-0005-0000-0000-0000F2000000}"/>
    <cellStyle name="Accent3 4" xfId="1611" xr:uid="{00000000-0005-0000-0000-0000F3000000}"/>
    <cellStyle name="Accent3 5" xfId="1612" xr:uid="{00000000-0005-0000-0000-0000F4000000}"/>
    <cellStyle name="Accent4 2" xfId="847" xr:uid="{00000000-0005-0000-0000-0000F5000000}"/>
    <cellStyle name="Accent4 3" xfId="938" xr:uid="{00000000-0005-0000-0000-0000F6000000}"/>
    <cellStyle name="Accent4 4" xfId="1613" xr:uid="{00000000-0005-0000-0000-0000F7000000}"/>
    <cellStyle name="Accent4 5" xfId="1614" xr:uid="{00000000-0005-0000-0000-0000F8000000}"/>
    <cellStyle name="Accent5 2" xfId="848" xr:uid="{00000000-0005-0000-0000-0000F9000000}"/>
    <cellStyle name="Accent5 3" xfId="939" xr:uid="{00000000-0005-0000-0000-0000FA000000}"/>
    <cellStyle name="Accent5 4" xfId="1615" xr:uid="{00000000-0005-0000-0000-0000FB000000}"/>
    <cellStyle name="Accent6 2" xfId="849" xr:uid="{00000000-0005-0000-0000-0000FC000000}"/>
    <cellStyle name="Accent6 3" xfId="940" xr:uid="{00000000-0005-0000-0000-0000FD000000}"/>
    <cellStyle name="Accent6 4" xfId="1616" xr:uid="{00000000-0005-0000-0000-0000FE000000}"/>
    <cellStyle name="Acquisition" xfId="29" xr:uid="{00000000-0005-0000-0000-0000FF000000}"/>
    <cellStyle name="Acquisition 2" xfId="1617" xr:uid="{00000000-0005-0000-0000-000000010000}"/>
    <cellStyle name="Acquisition 2 2" xfId="1618" xr:uid="{00000000-0005-0000-0000-000001010000}"/>
    <cellStyle name="Actual" xfId="573" xr:uid="{00000000-0005-0000-0000-000002010000}"/>
    <cellStyle name="Actual data" xfId="574" xr:uid="{00000000-0005-0000-0000-000003010000}"/>
    <cellStyle name="Actual header" xfId="1619" xr:uid="{00000000-0005-0000-0000-000004010000}"/>
    <cellStyle name="Actual year" xfId="575" xr:uid="{00000000-0005-0000-0000-000005010000}"/>
    <cellStyle name="Actual_AMT Model New 11-16-2011" xfId="942" xr:uid="{00000000-0005-0000-0000-000006010000}"/>
    <cellStyle name="adj_share" xfId="576" xr:uid="{00000000-0005-0000-0000-000007010000}"/>
    <cellStyle name="Admin" xfId="1620" xr:uid="{00000000-0005-0000-0000-000008010000}"/>
    <cellStyle name="ÅëÈ­ [0]_TestResults" xfId="30" xr:uid="{00000000-0005-0000-0000-000009010000}"/>
    <cellStyle name="ÅëÈ­_TestResults" xfId="31" xr:uid="{00000000-0005-0000-0000-00000A010000}"/>
    <cellStyle name="AFE" xfId="1621" xr:uid="{00000000-0005-0000-0000-00000B010000}"/>
    <cellStyle name="Afjusted" xfId="577" xr:uid="{00000000-0005-0000-0000-00000C010000}"/>
    <cellStyle name="Afjusted 2" xfId="1030" xr:uid="{00000000-0005-0000-0000-00000D010000}"/>
    <cellStyle name="ales" xfId="578" xr:uid="{00000000-0005-0000-0000-00000E010000}"/>
    <cellStyle name="ANALYST" xfId="32" xr:uid="{00000000-0005-0000-0000-00000F010000}"/>
    <cellStyle name="Année" xfId="33" xr:uid="{00000000-0005-0000-0000-000010010000}"/>
    <cellStyle name="Année (e)" xfId="34" xr:uid="{00000000-0005-0000-0000-000011010000}"/>
    <cellStyle name="Année 2" xfId="1622" xr:uid="{00000000-0005-0000-0000-000012010000}"/>
    <cellStyle name="Année 3" xfId="1623" xr:uid="{00000000-0005-0000-0000-000013010000}"/>
    <cellStyle name="Année 3 2" xfId="1624" xr:uid="{00000000-0005-0000-0000-000014010000}"/>
    <cellStyle name="Année 4" xfId="1625" xr:uid="{00000000-0005-0000-0000-000015010000}"/>
    <cellStyle name="Année 4 2" xfId="1626" xr:uid="{00000000-0005-0000-0000-000016010000}"/>
    <cellStyle name="Année 5" xfId="1627" xr:uid="{00000000-0005-0000-0000-000017010000}"/>
    <cellStyle name="Année 5 2" xfId="1628" xr:uid="{00000000-0005-0000-0000-000018010000}"/>
    <cellStyle name="Année 6" xfId="1629" xr:uid="{00000000-0005-0000-0000-000019010000}"/>
    <cellStyle name="Année 6 2" xfId="1630" xr:uid="{00000000-0005-0000-0000-00001A010000}"/>
    <cellStyle name="Año" xfId="1631" xr:uid="{00000000-0005-0000-0000-00001B010000}"/>
    <cellStyle name="args.style" xfId="35" xr:uid="{00000000-0005-0000-0000-00001C010000}"/>
    <cellStyle name="args.style 2" xfId="1632" xr:uid="{00000000-0005-0000-0000-00001D010000}"/>
    <cellStyle name="args.style 3" xfId="1633" xr:uid="{00000000-0005-0000-0000-00001E010000}"/>
    <cellStyle name="args.style 3 2" xfId="1634" xr:uid="{00000000-0005-0000-0000-00001F010000}"/>
    <cellStyle name="Arial 10" xfId="36" xr:uid="{00000000-0005-0000-0000-000020010000}"/>
    <cellStyle name="Arial 10 2" xfId="1635" xr:uid="{00000000-0005-0000-0000-000021010000}"/>
    <cellStyle name="Arial 12" xfId="37" xr:uid="{00000000-0005-0000-0000-000022010000}"/>
    <cellStyle name="Arial6Bold" xfId="579" xr:uid="{00000000-0005-0000-0000-000023010000}"/>
    <cellStyle name="Arial6Bold 2" xfId="1410" xr:uid="{00000000-0005-0000-0000-000024010000}"/>
    <cellStyle name="Arial8Bold" xfId="580" xr:uid="{00000000-0005-0000-0000-000025010000}"/>
    <cellStyle name="Arial8Bold 2" xfId="1411" xr:uid="{00000000-0005-0000-0000-000026010000}"/>
    <cellStyle name="Arial8Italic" xfId="581" xr:uid="{00000000-0005-0000-0000-000027010000}"/>
    <cellStyle name="Arial8Italic 2" xfId="1412" xr:uid="{00000000-0005-0000-0000-000028010000}"/>
    <cellStyle name="ArialNormal" xfId="582" xr:uid="{00000000-0005-0000-0000-000029010000}"/>
    <cellStyle name="ArialNormal 2" xfId="1413" xr:uid="{00000000-0005-0000-0000-00002A010000}"/>
    <cellStyle name="Array" xfId="583" xr:uid="{00000000-0005-0000-0000-00002B010000}"/>
    <cellStyle name="Array Enter" xfId="584" xr:uid="{00000000-0005-0000-0000-00002C010000}"/>
    <cellStyle name="Array_AMT Model New 11-16-2011" xfId="947" xr:uid="{00000000-0005-0000-0000-00002D010000}"/>
    <cellStyle name="Assumption" xfId="38" xr:uid="{00000000-0005-0000-0000-00002E010000}"/>
    <cellStyle name="Assumption 2" xfId="1636" xr:uid="{00000000-0005-0000-0000-00002F010000}"/>
    <cellStyle name="Assumption 3" xfId="1637" xr:uid="{00000000-0005-0000-0000-000030010000}"/>
    <cellStyle name="Assumption 3 2" xfId="1638" xr:uid="{00000000-0005-0000-0000-000031010000}"/>
    <cellStyle name="Assumptions" xfId="39" xr:uid="{00000000-0005-0000-0000-000032010000}"/>
    <cellStyle name="ÄÞ¸¶ [0]_TestResults" xfId="40" xr:uid="{00000000-0005-0000-0000-000033010000}"/>
    <cellStyle name="ÄÞ¸¶_TestResults" xfId="41" xr:uid="{00000000-0005-0000-0000-000034010000}"/>
    <cellStyle name="auf tausender" xfId="42" xr:uid="{00000000-0005-0000-0000-000035010000}"/>
    <cellStyle name="auf tausender 2" xfId="1639" xr:uid="{00000000-0005-0000-0000-000036010000}"/>
    <cellStyle name="auf tausender 3" xfId="1640" xr:uid="{00000000-0005-0000-0000-000037010000}"/>
    <cellStyle name="auf tausender 3 2" xfId="1641" xr:uid="{00000000-0005-0000-0000-000038010000}"/>
    <cellStyle name="Auto" xfId="585" xr:uid="{00000000-0005-0000-0000-000039010000}"/>
    <cellStyle name="Auto 2" xfId="1032" xr:uid="{00000000-0005-0000-0000-00003A010000}"/>
    <cellStyle name="Availability" xfId="43" xr:uid="{00000000-0005-0000-0000-00003B010000}"/>
    <cellStyle name="Availability 2" xfId="1642" xr:uid="{00000000-0005-0000-0000-00003C010000}"/>
    <cellStyle name="Availability 3" xfId="1643" xr:uid="{00000000-0005-0000-0000-00003D010000}"/>
    <cellStyle name="Availability 3 2" xfId="1644" xr:uid="{00000000-0005-0000-0000-00003E010000}"/>
    <cellStyle name="Availability 4" xfId="1645" xr:uid="{00000000-0005-0000-0000-00003F010000}"/>
    <cellStyle name="Bad 2" xfId="850" xr:uid="{00000000-0005-0000-0000-000040010000}"/>
    <cellStyle name="Bad 3" xfId="948" xr:uid="{00000000-0005-0000-0000-000041010000}"/>
    <cellStyle name="Bad 4" xfId="1646" xr:uid="{00000000-0005-0000-0000-000042010000}"/>
    <cellStyle name="Bad 5" xfId="1647" xr:uid="{00000000-0005-0000-0000-000043010000}"/>
    <cellStyle name="BalanceSheet" xfId="44" xr:uid="{00000000-0005-0000-0000-000044010000}"/>
    <cellStyle name="BalanceSheet 2" xfId="586" xr:uid="{00000000-0005-0000-0000-000045010000}"/>
    <cellStyle name="BalanceSheet 2 2" xfId="1648" xr:uid="{00000000-0005-0000-0000-000046010000}"/>
    <cellStyle name="BlackTitle" xfId="45" xr:uid="{00000000-0005-0000-0000-000047010000}"/>
    <cellStyle name="BlackTitle 2" xfId="1649" xr:uid="{00000000-0005-0000-0000-000048010000}"/>
    <cellStyle name="BlackTitle 2 2" xfId="1650" xr:uid="{00000000-0005-0000-0000-000049010000}"/>
    <cellStyle name="Blank" xfId="46" xr:uid="{00000000-0005-0000-0000-00004A010000}"/>
    <cellStyle name="Blank 2" xfId="908" xr:uid="{00000000-0005-0000-0000-00004B010000}"/>
    <cellStyle name="block" xfId="47" xr:uid="{00000000-0005-0000-0000-00004C010000}"/>
    <cellStyle name="blp_column_header" xfId="1651" xr:uid="{00000000-0005-0000-0000-00004D010000}"/>
    <cellStyle name="Blue" xfId="48" xr:uid="{00000000-0005-0000-0000-00004E010000}"/>
    <cellStyle name="Blue 2" xfId="587" xr:uid="{00000000-0005-0000-0000-00004F010000}"/>
    <cellStyle name="blue shading" xfId="1652" xr:uid="{00000000-0005-0000-0000-000050010000}"/>
    <cellStyle name="Bold/Border" xfId="588" xr:uid="{00000000-0005-0000-0000-000051010000}"/>
    <cellStyle name="British Pound" xfId="49" xr:uid="{00000000-0005-0000-0000-000052010000}"/>
    <cellStyle name="Bullet" xfId="589" xr:uid="{00000000-0005-0000-0000-000053010000}"/>
    <cellStyle name="Ç¥ÁØ_TestResults" xfId="50" xr:uid="{00000000-0005-0000-0000-000054010000}"/>
    <cellStyle name="C10_2001 Figs Black" xfId="590" xr:uid="{00000000-0005-0000-0000-000055010000}"/>
    <cellStyle name="Calcul" xfId="51" xr:uid="{00000000-0005-0000-0000-000056010000}"/>
    <cellStyle name="Calcul 2" xfId="1653" xr:uid="{00000000-0005-0000-0000-000057010000}"/>
    <cellStyle name="Calcul 3" xfId="1654" xr:uid="{00000000-0005-0000-0000-000058010000}"/>
    <cellStyle name="Calcul 3 2" xfId="1655" xr:uid="{00000000-0005-0000-0000-000059010000}"/>
    <cellStyle name="Calculation" xfId="52" builtinId="22" customBuiltin="1"/>
    <cellStyle name="Calculation 2" xfId="851" xr:uid="{00000000-0005-0000-0000-00005B010000}"/>
    <cellStyle name="Calculation 3" xfId="953" xr:uid="{00000000-0005-0000-0000-00005C010000}"/>
    <cellStyle name="Calculation 3 2" xfId="1451" xr:uid="{00000000-0005-0000-0000-00005D010000}"/>
    <cellStyle name="Calculation 4" xfId="1261" xr:uid="{00000000-0005-0000-0000-00005E010000}"/>
    <cellStyle name="CashFlow" xfId="53" xr:uid="{00000000-0005-0000-0000-00005F010000}"/>
    <cellStyle name="CashFlow 2" xfId="591" xr:uid="{00000000-0005-0000-0000-000060010000}"/>
    <cellStyle name="CashFlow 2 2" xfId="1656" xr:uid="{00000000-0005-0000-0000-000061010000}"/>
    <cellStyle name="category" xfId="54" xr:uid="{00000000-0005-0000-0000-000062010000}"/>
    <cellStyle name="Category Title" xfId="592" xr:uid="{00000000-0005-0000-0000-000063010000}"/>
    <cellStyle name="CComma" xfId="593" xr:uid="{00000000-0005-0000-0000-000064010000}"/>
    <cellStyle name="CComma (0)" xfId="594" xr:uid="{00000000-0005-0000-0000-000065010000}"/>
    <cellStyle name="CComma (0) 2" xfId="1087" xr:uid="{00000000-0005-0000-0000-000066010000}"/>
    <cellStyle name="CComma 10" xfId="1216" xr:uid="{00000000-0005-0000-0000-000067010000}"/>
    <cellStyle name="CComma 11" xfId="1185" xr:uid="{00000000-0005-0000-0000-000068010000}"/>
    <cellStyle name="CComma 12" xfId="1218" xr:uid="{00000000-0005-0000-0000-000069010000}"/>
    <cellStyle name="CComma 13" xfId="1186" xr:uid="{00000000-0005-0000-0000-00006A010000}"/>
    <cellStyle name="CComma 14" xfId="1219" xr:uid="{00000000-0005-0000-0000-00006B010000}"/>
    <cellStyle name="CComma 15" xfId="1189" xr:uid="{00000000-0005-0000-0000-00006C010000}"/>
    <cellStyle name="CComma 16" xfId="1221" xr:uid="{00000000-0005-0000-0000-00006D010000}"/>
    <cellStyle name="CComma 17" xfId="1191" xr:uid="{00000000-0005-0000-0000-00006E010000}"/>
    <cellStyle name="CComma 18" xfId="1220" xr:uid="{00000000-0005-0000-0000-00006F010000}"/>
    <cellStyle name="CComma 2" xfId="1149" xr:uid="{00000000-0005-0000-0000-000070010000}"/>
    <cellStyle name="CComma 3" xfId="1172" xr:uid="{00000000-0005-0000-0000-000071010000}"/>
    <cellStyle name="CComma 4" xfId="1205" xr:uid="{00000000-0005-0000-0000-000072010000}"/>
    <cellStyle name="CComma 5" xfId="1176" xr:uid="{00000000-0005-0000-0000-000073010000}"/>
    <cellStyle name="CComma 6" xfId="1207" xr:uid="{00000000-0005-0000-0000-000074010000}"/>
    <cellStyle name="CComma 7" xfId="1180" xr:uid="{00000000-0005-0000-0000-000075010000}"/>
    <cellStyle name="CComma 8" xfId="1209" xr:uid="{00000000-0005-0000-0000-000076010000}"/>
    <cellStyle name="CComma 9" xfId="1182" xr:uid="{00000000-0005-0000-0000-000077010000}"/>
    <cellStyle name="CCurrency (0)" xfId="595" xr:uid="{00000000-0005-0000-0000-000078010000}"/>
    <cellStyle name="CCurrency (0) 2" xfId="1033" xr:uid="{00000000-0005-0000-0000-000079010000}"/>
    <cellStyle name="Changeable" xfId="55" xr:uid="{00000000-0005-0000-0000-00007A010000}"/>
    <cellStyle name="Check Cell 2" xfId="852" xr:uid="{00000000-0005-0000-0000-00007B010000}"/>
    <cellStyle name="Check Cell 3" xfId="956" xr:uid="{00000000-0005-0000-0000-00007C010000}"/>
    <cellStyle name="Check Cell 4" xfId="1657" xr:uid="{00000000-0005-0000-0000-00007D010000}"/>
    <cellStyle name="Checksum" xfId="56" xr:uid="{00000000-0005-0000-0000-00007E010000}"/>
    <cellStyle name="Colhead_left" xfId="596" xr:uid="{00000000-0005-0000-0000-00007F010000}"/>
    <cellStyle name="ColHeading" xfId="57" xr:uid="{00000000-0005-0000-0000-000080010000}"/>
    <cellStyle name="ColHeading 2" xfId="597" xr:uid="{00000000-0005-0000-0000-000081010000}"/>
    <cellStyle name="ColHeading 3" xfId="1658" xr:uid="{00000000-0005-0000-0000-000082010000}"/>
    <cellStyle name="ColHeading 3 2" xfId="1659" xr:uid="{00000000-0005-0000-0000-000083010000}"/>
    <cellStyle name="colheadleft" xfId="598" xr:uid="{00000000-0005-0000-0000-000084010000}"/>
    <cellStyle name="colheadright" xfId="599" xr:uid="{00000000-0005-0000-0000-000085010000}"/>
    <cellStyle name="Column Heading" xfId="58" xr:uid="{00000000-0005-0000-0000-000086010000}"/>
    <cellStyle name="Column Heading (No Wrap)" xfId="59" xr:uid="{00000000-0005-0000-0000-000087010000}"/>
    <cellStyle name="Column Heading (No Wrap) 2" xfId="1660" xr:uid="{00000000-0005-0000-0000-000088010000}"/>
    <cellStyle name="Column Heading (No Wrap) 3" xfId="1661" xr:uid="{00000000-0005-0000-0000-000089010000}"/>
    <cellStyle name="Column Heading (No Wrap) 3 2" xfId="1662" xr:uid="{00000000-0005-0000-0000-00008A010000}"/>
    <cellStyle name="Column Heading 2" xfId="1663" xr:uid="{00000000-0005-0000-0000-00008B010000}"/>
    <cellStyle name="Column Heading 3" xfId="1664" xr:uid="{00000000-0005-0000-0000-00008C010000}"/>
    <cellStyle name="Column Heading 3 2" xfId="1665" xr:uid="{00000000-0005-0000-0000-00008D010000}"/>
    <cellStyle name="Column Heading 4" xfId="1666" xr:uid="{00000000-0005-0000-0000-00008E010000}"/>
    <cellStyle name="Column Heading 4 2" xfId="1667" xr:uid="{00000000-0005-0000-0000-00008F010000}"/>
    <cellStyle name="Column Heading 5" xfId="1668" xr:uid="{00000000-0005-0000-0000-000090010000}"/>
    <cellStyle name="Column Heading 5 2" xfId="1669" xr:uid="{00000000-0005-0000-0000-000091010000}"/>
    <cellStyle name="Column Heading 6" xfId="1670" xr:uid="{00000000-0005-0000-0000-000092010000}"/>
    <cellStyle name="Column Heading 6 2" xfId="1671" xr:uid="{00000000-0005-0000-0000-000093010000}"/>
    <cellStyle name="Column Heading_SHEET" xfId="60" xr:uid="{00000000-0005-0000-0000-000094010000}"/>
    <cellStyle name="Column label" xfId="61" xr:uid="{00000000-0005-0000-0000-000095010000}"/>
    <cellStyle name="Column label (left aligned)" xfId="62" xr:uid="{00000000-0005-0000-0000-000096010000}"/>
    <cellStyle name="Column label (left aligned) 2" xfId="1672" xr:uid="{00000000-0005-0000-0000-000097010000}"/>
    <cellStyle name="Column label (left aligned) 3" xfId="1673" xr:uid="{00000000-0005-0000-0000-000098010000}"/>
    <cellStyle name="Column label (no wrap)" xfId="63" xr:uid="{00000000-0005-0000-0000-000099010000}"/>
    <cellStyle name="Column label (no wrap) 2" xfId="1674" xr:uid="{00000000-0005-0000-0000-00009A010000}"/>
    <cellStyle name="Column label (no wrap) 3" xfId="1675" xr:uid="{00000000-0005-0000-0000-00009B010000}"/>
    <cellStyle name="Column label (not bold)" xfId="64" xr:uid="{00000000-0005-0000-0000-00009C010000}"/>
    <cellStyle name="Column label (not bold) 2" xfId="1262" xr:uid="{00000000-0005-0000-0000-00009D010000}"/>
    <cellStyle name="Column label (not bold) 3" xfId="1676" xr:uid="{00000000-0005-0000-0000-00009E010000}"/>
    <cellStyle name="Column label 10" xfId="1677" xr:uid="{00000000-0005-0000-0000-00009F010000}"/>
    <cellStyle name="Column label 11" xfId="1678" xr:uid="{00000000-0005-0000-0000-0000A0010000}"/>
    <cellStyle name="Column label 2" xfId="1679" xr:uid="{00000000-0005-0000-0000-0000A1010000}"/>
    <cellStyle name="Column label 3" xfId="1680" xr:uid="{00000000-0005-0000-0000-0000A2010000}"/>
    <cellStyle name="Column label 4" xfId="1681" xr:uid="{00000000-0005-0000-0000-0000A3010000}"/>
    <cellStyle name="Column label 5" xfId="1682" xr:uid="{00000000-0005-0000-0000-0000A4010000}"/>
    <cellStyle name="Column label 6" xfId="1683" xr:uid="{00000000-0005-0000-0000-0000A5010000}"/>
    <cellStyle name="Column label 7" xfId="1684" xr:uid="{00000000-0005-0000-0000-0000A6010000}"/>
    <cellStyle name="Column label 8" xfId="1685" xr:uid="{00000000-0005-0000-0000-0000A7010000}"/>
    <cellStyle name="Column label 9" xfId="1686" xr:uid="{00000000-0005-0000-0000-0000A8010000}"/>
    <cellStyle name="Column label_sheet" xfId="65" xr:uid="{00000000-0005-0000-0000-0000A9010000}"/>
    <cellStyle name="Column Total" xfId="66" xr:uid="{00000000-0005-0000-0000-0000AA010000}"/>
    <cellStyle name="Column Total 2" xfId="1687" xr:uid="{00000000-0005-0000-0000-0000AB010000}"/>
    <cellStyle name="Column Total 3" xfId="1688" xr:uid="{00000000-0005-0000-0000-0000AC010000}"/>
    <cellStyle name="Column Total 3 2" xfId="1689" xr:uid="{00000000-0005-0000-0000-0000AD010000}"/>
    <cellStyle name="Comma" xfId="67" builtinId="3"/>
    <cellStyle name="Comma  - Style1" xfId="601" xr:uid="{00000000-0005-0000-0000-0000AF010000}"/>
    <cellStyle name="Comma  - Style2" xfId="602" xr:uid="{00000000-0005-0000-0000-0000B0010000}"/>
    <cellStyle name="Comma  - Style3" xfId="603" xr:uid="{00000000-0005-0000-0000-0000B1010000}"/>
    <cellStyle name="Comma  - Style4" xfId="604" xr:uid="{00000000-0005-0000-0000-0000B2010000}"/>
    <cellStyle name="Comma  - Style5" xfId="605" xr:uid="{00000000-0005-0000-0000-0000B3010000}"/>
    <cellStyle name="Comma  - Style6" xfId="606" xr:uid="{00000000-0005-0000-0000-0000B4010000}"/>
    <cellStyle name="Comma  - Style7" xfId="607" xr:uid="{00000000-0005-0000-0000-0000B5010000}"/>
    <cellStyle name="Comma  - Style8" xfId="608" xr:uid="{00000000-0005-0000-0000-0000B6010000}"/>
    <cellStyle name="comma - number" xfId="68" xr:uid="{00000000-0005-0000-0000-0000B7010000}"/>
    <cellStyle name="comma - number 2" xfId="1690" xr:uid="{00000000-0005-0000-0000-0000B8010000}"/>
    <cellStyle name="Comma (1)" xfId="609" xr:uid="{00000000-0005-0000-0000-0000B9010000}"/>
    <cellStyle name="Comma (1) 2" xfId="1115" xr:uid="{00000000-0005-0000-0000-0000BA010000}"/>
    <cellStyle name="Comma [2]" xfId="69" xr:uid="{00000000-0005-0000-0000-0000BB010000}"/>
    <cellStyle name="Comma [2] 2" xfId="1691" xr:uid="{00000000-0005-0000-0000-0000BC010000}"/>
    <cellStyle name="Comma 0" xfId="70" xr:uid="{00000000-0005-0000-0000-0000BD010000}"/>
    <cellStyle name="Comma 0 2" xfId="610" xr:uid="{00000000-0005-0000-0000-0000BE010000}"/>
    <cellStyle name="Comma 0*" xfId="611" xr:uid="{00000000-0005-0000-0000-0000BF010000}"/>
    <cellStyle name="Comma 0* 2" xfId="1120" xr:uid="{00000000-0005-0000-0000-0000C0010000}"/>
    <cellStyle name="Comma 0_XOM model" xfId="612" xr:uid="{00000000-0005-0000-0000-0000C1010000}"/>
    <cellStyle name="Comma 10" xfId="455" xr:uid="{00000000-0005-0000-0000-0000C2010000}"/>
    <cellStyle name="Comma 10 2" xfId="1174" xr:uid="{00000000-0005-0000-0000-0000C3010000}"/>
    <cellStyle name="Comma 10 3" xfId="1326" xr:uid="{00000000-0005-0000-0000-0000C4010000}"/>
    <cellStyle name="Comma 11" xfId="458" xr:uid="{00000000-0005-0000-0000-0000C5010000}"/>
    <cellStyle name="Comma 11 2" xfId="1211" xr:uid="{00000000-0005-0000-0000-0000C6010000}"/>
    <cellStyle name="Comma 11 3" xfId="1329" xr:uid="{00000000-0005-0000-0000-0000C7010000}"/>
    <cellStyle name="Comma 12" xfId="461" xr:uid="{00000000-0005-0000-0000-0000C8010000}"/>
    <cellStyle name="Comma 12 2" xfId="1178" xr:uid="{00000000-0005-0000-0000-0000C9010000}"/>
    <cellStyle name="Comma 12 3" xfId="1332" xr:uid="{00000000-0005-0000-0000-0000CA010000}"/>
    <cellStyle name="Comma 13" xfId="464" xr:uid="{00000000-0005-0000-0000-0000CB010000}"/>
    <cellStyle name="Comma 13 2" xfId="1214" xr:uid="{00000000-0005-0000-0000-0000CC010000}"/>
    <cellStyle name="Comma 13 3" xfId="1335" xr:uid="{00000000-0005-0000-0000-0000CD010000}"/>
    <cellStyle name="Comma 14" xfId="467" xr:uid="{00000000-0005-0000-0000-0000CE010000}"/>
    <cellStyle name="Comma 14 2" xfId="1179" xr:uid="{00000000-0005-0000-0000-0000CF010000}"/>
    <cellStyle name="Comma 14 3" xfId="1338" xr:uid="{00000000-0005-0000-0000-0000D0010000}"/>
    <cellStyle name="Comma 15" xfId="470" xr:uid="{00000000-0005-0000-0000-0000D1010000}"/>
    <cellStyle name="Comma 15 2" xfId="1215" xr:uid="{00000000-0005-0000-0000-0000D2010000}"/>
    <cellStyle name="Comma 15 3" xfId="1341" xr:uid="{00000000-0005-0000-0000-0000D3010000}"/>
    <cellStyle name="Comma 16" xfId="473" xr:uid="{00000000-0005-0000-0000-0000D4010000}"/>
    <cellStyle name="Comma 16 2" xfId="1184" xr:uid="{00000000-0005-0000-0000-0000D5010000}"/>
    <cellStyle name="Comma 16 3" xfId="1344" xr:uid="{00000000-0005-0000-0000-0000D6010000}"/>
    <cellStyle name="Comma 17" xfId="476" xr:uid="{00000000-0005-0000-0000-0000D7010000}"/>
    <cellStyle name="Comma 17 2" xfId="1217" xr:uid="{00000000-0005-0000-0000-0000D8010000}"/>
    <cellStyle name="Comma 17 3" xfId="1347" xr:uid="{00000000-0005-0000-0000-0000D9010000}"/>
    <cellStyle name="Comma 18" xfId="479" xr:uid="{00000000-0005-0000-0000-0000DA010000}"/>
    <cellStyle name="Comma 18 2" xfId="1188" xr:uid="{00000000-0005-0000-0000-0000DB010000}"/>
    <cellStyle name="Comma 18 3" xfId="1350" xr:uid="{00000000-0005-0000-0000-0000DC010000}"/>
    <cellStyle name="Comma 19" xfId="482" xr:uid="{00000000-0005-0000-0000-0000DD010000}"/>
    <cellStyle name="Comma 19 2" xfId="1213" xr:uid="{00000000-0005-0000-0000-0000DE010000}"/>
    <cellStyle name="Comma 19 3" xfId="1353" xr:uid="{00000000-0005-0000-0000-0000DF010000}"/>
    <cellStyle name="Comma 2" xfId="71" xr:uid="{00000000-0005-0000-0000-0000E0010000}"/>
    <cellStyle name="Comma 2 2" xfId="853" xr:uid="{00000000-0005-0000-0000-0000E1010000}"/>
    <cellStyle name="Comma 2 2 2" xfId="1116" xr:uid="{00000000-0005-0000-0000-0000E2010000}"/>
    <cellStyle name="Comma 2 3" xfId="854" xr:uid="{00000000-0005-0000-0000-0000E3010000}"/>
    <cellStyle name="Comma 2 3 2" xfId="1080" xr:uid="{00000000-0005-0000-0000-0000E4010000}"/>
    <cellStyle name="Comma 2 3 2 2" xfId="1469" xr:uid="{00000000-0005-0000-0000-0000E5010000}"/>
    <cellStyle name="Comma 2 3 3" xfId="1426" xr:uid="{00000000-0005-0000-0000-0000E6010000}"/>
    <cellStyle name="Comma 2 4" xfId="855" xr:uid="{00000000-0005-0000-0000-0000E7010000}"/>
    <cellStyle name="Comma 2 4 2" xfId="1081" xr:uid="{00000000-0005-0000-0000-0000E8010000}"/>
    <cellStyle name="Comma 2 4 2 2" xfId="1470" xr:uid="{00000000-0005-0000-0000-0000E9010000}"/>
    <cellStyle name="Comma 2 4 3" xfId="1427" xr:uid="{00000000-0005-0000-0000-0000EA010000}"/>
    <cellStyle name="Comma 2 5" xfId="856" xr:uid="{00000000-0005-0000-0000-0000EB010000}"/>
    <cellStyle name="Comma 2 5 2" xfId="1122" xr:uid="{00000000-0005-0000-0000-0000EC010000}"/>
    <cellStyle name="Comma 2 5 2 2" xfId="1476" xr:uid="{00000000-0005-0000-0000-0000ED010000}"/>
    <cellStyle name="Comma 2 5 3" xfId="1428" xr:uid="{00000000-0005-0000-0000-0000EE010000}"/>
    <cellStyle name="Comma 2 6" xfId="857" xr:uid="{00000000-0005-0000-0000-0000EF010000}"/>
    <cellStyle name="Comma 2 6 2" xfId="1082" xr:uid="{00000000-0005-0000-0000-0000F0010000}"/>
    <cellStyle name="Comma 2 6 2 2" xfId="1471" xr:uid="{00000000-0005-0000-0000-0000F1010000}"/>
    <cellStyle name="Comma 2 6 3" xfId="1429" xr:uid="{00000000-0005-0000-0000-0000F2010000}"/>
    <cellStyle name="Comma 2 7" xfId="613" xr:uid="{00000000-0005-0000-0000-0000F3010000}"/>
    <cellStyle name="Comma 2 8" xfId="963" xr:uid="{00000000-0005-0000-0000-0000F4010000}"/>
    <cellStyle name="Comma 20" xfId="485" xr:uid="{00000000-0005-0000-0000-0000F5010000}"/>
    <cellStyle name="Comma 20 2" xfId="1356" xr:uid="{00000000-0005-0000-0000-0000F6010000}"/>
    <cellStyle name="Comma 21" xfId="488" xr:uid="{00000000-0005-0000-0000-0000F7010000}"/>
    <cellStyle name="Comma 21 2" xfId="1359" xr:uid="{00000000-0005-0000-0000-0000F8010000}"/>
    <cellStyle name="Comma 22" xfId="491" xr:uid="{00000000-0005-0000-0000-0000F9010000}"/>
    <cellStyle name="Comma 22 2" xfId="1362" xr:uid="{00000000-0005-0000-0000-0000FA010000}"/>
    <cellStyle name="Comma 23" xfId="494" xr:uid="{00000000-0005-0000-0000-0000FB010000}"/>
    <cellStyle name="Comma 23 2" xfId="1365" xr:uid="{00000000-0005-0000-0000-0000FC010000}"/>
    <cellStyle name="Comma 24" xfId="497" xr:uid="{00000000-0005-0000-0000-0000FD010000}"/>
    <cellStyle name="Comma 24 2" xfId="1368" xr:uid="{00000000-0005-0000-0000-0000FE010000}"/>
    <cellStyle name="Comma 25" xfId="500" xr:uid="{00000000-0005-0000-0000-0000FF010000}"/>
    <cellStyle name="Comma 25 2" xfId="1371" xr:uid="{00000000-0005-0000-0000-000000020000}"/>
    <cellStyle name="Comma 26" xfId="503" xr:uid="{00000000-0005-0000-0000-000001020000}"/>
    <cellStyle name="Comma 26 2" xfId="1374" xr:uid="{00000000-0005-0000-0000-000002020000}"/>
    <cellStyle name="Comma 27" xfId="506" xr:uid="{00000000-0005-0000-0000-000003020000}"/>
    <cellStyle name="Comma 27 2" xfId="1377" xr:uid="{00000000-0005-0000-0000-000004020000}"/>
    <cellStyle name="Comma 28" xfId="509" xr:uid="{00000000-0005-0000-0000-000005020000}"/>
    <cellStyle name="Comma 28 2" xfId="1380" xr:uid="{00000000-0005-0000-0000-000006020000}"/>
    <cellStyle name="Comma 29" xfId="512" xr:uid="{00000000-0005-0000-0000-000007020000}"/>
    <cellStyle name="Comma 29 2" xfId="1383" xr:uid="{00000000-0005-0000-0000-000008020000}"/>
    <cellStyle name="Comma 3" xfId="72" xr:uid="{00000000-0005-0000-0000-000009020000}"/>
    <cellStyle name="Comma 3 2" xfId="824" xr:uid="{00000000-0005-0000-0000-00000A020000}"/>
    <cellStyle name="Comma 3 3" xfId="813" xr:uid="{00000000-0005-0000-0000-00000B020000}"/>
    <cellStyle name="Comma 3 3 2" xfId="1242" xr:uid="{00000000-0005-0000-0000-00000C020000}"/>
    <cellStyle name="Comma 3 4" xfId="1113" xr:uid="{00000000-0005-0000-0000-00000D020000}"/>
    <cellStyle name="Comma 30" xfId="515" xr:uid="{00000000-0005-0000-0000-00000E020000}"/>
    <cellStyle name="Comma 30 2" xfId="1386" xr:uid="{00000000-0005-0000-0000-00000F020000}"/>
    <cellStyle name="Comma 31" xfId="518" xr:uid="{00000000-0005-0000-0000-000010020000}"/>
    <cellStyle name="Comma 31 2" xfId="1389" xr:uid="{00000000-0005-0000-0000-000011020000}"/>
    <cellStyle name="Comma 32" xfId="521" xr:uid="{00000000-0005-0000-0000-000012020000}"/>
    <cellStyle name="Comma 32 2" xfId="1392" xr:uid="{00000000-0005-0000-0000-000013020000}"/>
    <cellStyle name="Comma 33" xfId="524" xr:uid="{00000000-0005-0000-0000-000014020000}"/>
    <cellStyle name="Comma 33 2" xfId="1395" xr:uid="{00000000-0005-0000-0000-000015020000}"/>
    <cellStyle name="Comma 34" xfId="527" xr:uid="{00000000-0005-0000-0000-000016020000}"/>
    <cellStyle name="Comma 34 2" xfId="1398" xr:uid="{00000000-0005-0000-0000-000017020000}"/>
    <cellStyle name="Comma 35" xfId="530" xr:uid="{00000000-0005-0000-0000-000018020000}"/>
    <cellStyle name="Comma 35 2" xfId="1401" xr:uid="{00000000-0005-0000-0000-000019020000}"/>
    <cellStyle name="Comma 36" xfId="533" xr:uid="{00000000-0005-0000-0000-00001A020000}"/>
    <cellStyle name="Comma 36 2" xfId="1404" xr:uid="{00000000-0005-0000-0000-00001B020000}"/>
    <cellStyle name="Comma 37" xfId="536" xr:uid="{00000000-0005-0000-0000-00001C020000}"/>
    <cellStyle name="Comma 37 2" xfId="1407" xr:uid="{00000000-0005-0000-0000-00001D020000}"/>
    <cellStyle name="Comma 38" xfId="600" xr:uid="{00000000-0005-0000-0000-00001E020000}"/>
    <cellStyle name="Comma 39" xfId="893" xr:uid="{00000000-0005-0000-0000-00001F020000}"/>
    <cellStyle name="Comma 4" xfId="73" xr:uid="{00000000-0005-0000-0000-000020020000}"/>
    <cellStyle name="Comma 4 2" xfId="821" xr:uid="{00000000-0005-0000-0000-000021020000}"/>
    <cellStyle name="Comma 4 2 2" xfId="1425" xr:uid="{00000000-0005-0000-0000-000022020000}"/>
    <cellStyle name="Comma 4 3" xfId="907" xr:uid="{00000000-0005-0000-0000-000023020000}"/>
    <cellStyle name="Comma 4 3 2" xfId="1447" xr:uid="{00000000-0005-0000-0000-000024020000}"/>
    <cellStyle name="Comma 4 4" xfId="1164" xr:uid="{00000000-0005-0000-0000-000025020000}"/>
    <cellStyle name="Comma 4 5" xfId="1264" xr:uid="{00000000-0005-0000-0000-000026020000}"/>
    <cellStyle name="Comma 40" xfId="904" xr:uid="{00000000-0005-0000-0000-000027020000}"/>
    <cellStyle name="Comma 41" xfId="959" xr:uid="{00000000-0005-0000-0000-000028020000}"/>
    <cellStyle name="Comma 42" xfId="1044" xr:uid="{00000000-0005-0000-0000-000029020000}"/>
    <cellStyle name="Comma 43" xfId="941" xr:uid="{00000000-0005-0000-0000-00002A020000}"/>
    <cellStyle name="Comma 44" xfId="1037" xr:uid="{00000000-0005-0000-0000-00002B020000}"/>
    <cellStyle name="Comma 45" xfId="946" xr:uid="{00000000-0005-0000-0000-00002C020000}"/>
    <cellStyle name="Comma 46" xfId="1073" xr:uid="{00000000-0005-0000-0000-00002D020000}"/>
    <cellStyle name="Comma 47" xfId="952" xr:uid="{00000000-0005-0000-0000-00002E020000}"/>
    <cellStyle name="Comma 48" xfId="1042" xr:uid="{00000000-0005-0000-0000-00002F020000}"/>
    <cellStyle name="Comma 49" xfId="1090" xr:uid="{00000000-0005-0000-0000-000030020000}"/>
    <cellStyle name="Comma 5" xfId="440" xr:uid="{00000000-0005-0000-0000-000031020000}"/>
    <cellStyle name="Comma 5 2" xfId="858" xr:uid="{00000000-0005-0000-0000-000032020000}"/>
    <cellStyle name="Comma 5 2 2" xfId="1430" xr:uid="{00000000-0005-0000-0000-000033020000}"/>
    <cellStyle name="Comma 5 3" xfId="1083" xr:uid="{00000000-0005-0000-0000-000034020000}"/>
    <cellStyle name="Comma 5 3 2" xfId="1472" xr:uid="{00000000-0005-0000-0000-000035020000}"/>
    <cellStyle name="Comma 5 4" xfId="1201" xr:uid="{00000000-0005-0000-0000-000036020000}"/>
    <cellStyle name="Comma 5 5" xfId="1311" xr:uid="{00000000-0005-0000-0000-000037020000}"/>
    <cellStyle name="Comma 50" xfId="1118" xr:uid="{00000000-0005-0000-0000-000038020000}"/>
    <cellStyle name="Comma 51" xfId="962" xr:uid="{00000000-0005-0000-0000-000039020000}"/>
    <cellStyle name="Comma 52" xfId="1055" xr:uid="{00000000-0005-0000-0000-00003A020000}"/>
    <cellStyle name="Comma 53" xfId="1093" xr:uid="{00000000-0005-0000-0000-00003B020000}"/>
    <cellStyle name="Comma 54" xfId="1089" xr:uid="{00000000-0005-0000-0000-00003C020000}"/>
    <cellStyle name="Comma 55" xfId="913" xr:uid="{00000000-0005-0000-0000-00003D020000}"/>
    <cellStyle name="Comma 56" xfId="951" xr:uid="{00000000-0005-0000-0000-00003E020000}"/>
    <cellStyle name="Comma 57" xfId="1254" xr:uid="{00000000-0005-0000-0000-00003F020000}"/>
    <cellStyle name="Comma 58" xfId="1263" xr:uid="{00000000-0005-0000-0000-000040020000}"/>
    <cellStyle name="Comma 6" xfId="443" xr:uid="{00000000-0005-0000-0000-000041020000}"/>
    <cellStyle name="Comma 6 2" xfId="1165" xr:uid="{00000000-0005-0000-0000-000042020000}"/>
    <cellStyle name="Comma 6 3" xfId="1314" xr:uid="{00000000-0005-0000-0000-000043020000}"/>
    <cellStyle name="Comma 6 3 2" xfId="1692" xr:uid="{00000000-0005-0000-0000-000044020000}"/>
    <cellStyle name="Comma 6 4" xfId="1693" xr:uid="{00000000-0005-0000-0000-000045020000}"/>
    <cellStyle name="Comma 64" xfId="859" xr:uid="{00000000-0005-0000-0000-000046020000}"/>
    <cellStyle name="Comma 64 2" xfId="1126" xr:uid="{00000000-0005-0000-0000-000047020000}"/>
    <cellStyle name="Comma 64 2 2" xfId="1478" xr:uid="{00000000-0005-0000-0000-000048020000}"/>
    <cellStyle name="Comma 64 3" xfId="1431" xr:uid="{00000000-0005-0000-0000-000049020000}"/>
    <cellStyle name="Comma 7" xfId="446" xr:uid="{00000000-0005-0000-0000-00004A020000}"/>
    <cellStyle name="Comma 7 2" xfId="1202" xr:uid="{00000000-0005-0000-0000-00004B020000}"/>
    <cellStyle name="Comma 7 3" xfId="1317" xr:uid="{00000000-0005-0000-0000-00004C020000}"/>
    <cellStyle name="Comma 8" xfId="449" xr:uid="{00000000-0005-0000-0000-00004D020000}"/>
    <cellStyle name="Comma 8 2" xfId="1173" xr:uid="{00000000-0005-0000-0000-00004E020000}"/>
    <cellStyle name="Comma 8 3" xfId="1320" xr:uid="{00000000-0005-0000-0000-00004F020000}"/>
    <cellStyle name="Comma 9" xfId="452" xr:uid="{00000000-0005-0000-0000-000050020000}"/>
    <cellStyle name="Comma 9 2" xfId="1203" xr:uid="{00000000-0005-0000-0000-000051020000}"/>
    <cellStyle name="Comma 9 3" xfId="1323" xr:uid="{00000000-0005-0000-0000-000052020000}"/>
    <cellStyle name="Comma 9 4" xfId="1497" xr:uid="{00000000-0005-0000-0000-000053020000}"/>
    <cellStyle name="Comma(1)" xfId="74" xr:uid="{00000000-0005-0000-0000-000054020000}"/>
    <cellStyle name="Comma, 1 dec" xfId="75" xr:uid="{00000000-0005-0000-0000-000055020000}"/>
    <cellStyle name="Comma, 1 dec 2" xfId="1694" xr:uid="{00000000-0005-0000-0000-000056020000}"/>
    <cellStyle name="Comma, 1 dec 2 2" xfId="1695" xr:uid="{00000000-0005-0000-0000-000057020000}"/>
    <cellStyle name="Comma, 1 dec 2 3" xfId="1696" xr:uid="{00000000-0005-0000-0000-000058020000}"/>
    <cellStyle name="Comma, 1 dec 2 3 2" xfId="1697" xr:uid="{00000000-0005-0000-0000-000059020000}"/>
    <cellStyle name="Comma, 1 dec 3" xfId="1698" xr:uid="{00000000-0005-0000-0000-00005A020000}"/>
    <cellStyle name="Comma0" xfId="76" xr:uid="{00000000-0005-0000-0000-00005B020000}"/>
    <cellStyle name="Comma0 - Modelo1" xfId="1699" xr:uid="{00000000-0005-0000-0000-00005C020000}"/>
    <cellStyle name="Comma0 - Style1" xfId="1700" xr:uid="{00000000-0005-0000-0000-00005D020000}"/>
    <cellStyle name="Comma0 2" xfId="1701" xr:uid="{00000000-0005-0000-0000-00005E020000}"/>
    <cellStyle name="Comma0 2 2" xfId="1702" xr:uid="{00000000-0005-0000-0000-00005F020000}"/>
    <cellStyle name="Comma1 - Modelo2" xfId="1703" xr:uid="{00000000-0005-0000-0000-000060020000}"/>
    <cellStyle name="Comma1 - Style2" xfId="1704" xr:uid="{00000000-0005-0000-0000-000061020000}"/>
    <cellStyle name="Company" xfId="77" xr:uid="{00000000-0005-0000-0000-000062020000}"/>
    <cellStyle name="Company 2" xfId="614" xr:uid="{00000000-0005-0000-0000-000063020000}"/>
    <cellStyle name="Company 3" xfId="1705" xr:uid="{00000000-0005-0000-0000-000064020000}"/>
    <cellStyle name="Company 3 2" xfId="1706" xr:uid="{00000000-0005-0000-0000-000065020000}"/>
    <cellStyle name="Company name" xfId="615" xr:uid="{00000000-0005-0000-0000-000066020000}"/>
    <cellStyle name="Company Name 2" xfId="1707" xr:uid="{00000000-0005-0000-0000-000067020000}"/>
    <cellStyle name="Company_XOM model" xfId="616" xr:uid="{00000000-0005-0000-0000-000068020000}"/>
    <cellStyle name="Comps" xfId="617" xr:uid="{00000000-0005-0000-0000-000069020000}"/>
    <cellStyle name="Comps 2" xfId="1034" xr:uid="{00000000-0005-0000-0000-00006A020000}"/>
    <cellStyle name="Cover Date" xfId="78" xr:uid="{00000000-0005-0000-0000-00006B020000}"/>
    <cellStyle name="Cover Date 2" xfId="1708" xr:uid="{00000000-0005-0000-0000-00006C020000}"/>
    <cellStyle name="Cover Date 2 2" xfId="1709" xr:uid="{00000000-0005-0000-0000-00006D020000}"/>
    <cellStyle name="Cover Subtitle" xfId="79" xr:uid="{00000000-0005-0000-0000-00006E020000}"/>
    <cellStyle name="Cover Subtitle 2" xfId="1710" xr:uid="{00000000-0005-0000-0000-00006F020000}"/>
    <cellStyle name="Cover Subtitle 2 2" xfId="1711" xr:uid="{00000000-0005-0000-0000-000070020000}"/>
    <cellStyle name="Cover Title" xfId="80" xr:uid="{00000000-0005-0000-0000-000071020000}"/>
    <cellStyle name="Cover Title 2" xfId="1712" xr:uid="{00000000-0005-0000-0000-000072020000}"/>
    <cellStyle name="Cover Title 2 2" xfId="1713" xr:uid="{00000000-0005-0000-0000-000073020000}"/>
    <cellStyle name="Cuadro 1" xfId="1714" xr:uid="{00000000-0005-0000-0000-000074020000}"/>
    <cellStyle name="CurRatio" xfId="81" xr:uid="{00000000-0005-0000-0000-000075020000}"/>
    <cellStyle name="CurRatio 2" xfId="618" xr:uid="{00000000-0005-0000-0000-000076020000}"/>
    <cellStyle name="CurRatio 3" xfId="1715" xr:uid="{00000000-0005-0000-0000-000077020000}"/>
    <cellStyle name="CurRatio 3 2" xfId="1716" xr:uid="{00000000-0005-0000-0000-000078020000}"/>
    <cellStyle name="CurRatio 4" xfId="1717" xr:uid="{00000000-0005-0000-0000-000079020000}"/>
    <cellStyle name="Currency - Euro" xfId="82" xr:uid="{00000000-0005-0000-0000-00007A020000}"/>
    <cellStyle name="Currency (2dp)" xfId="83" xr:uid="{00000000-0005-0000-0000-00007B020000}"/>
    <cellStyle name="Currency (2dp) 2" xfId="1265" xr:uid="{00000000-0005-0000-0000-00007C020000}"/>
    <cellStyle name="Currency (B)" xfId="620" xr:uid="{00000000-0005-0000-0000-00007D020000}"/>
    <cellStyle name="Currency [0] - Euro" xfId="84" xr:uid="{00000000-0005-0000-0000-00007E020000}"/>
    <cellStyle name="Currency [0] - Euro 2" xfId="1718" xr:uid="{00000000-0005-0000-0000-00007F020000}"/>
    <cellStyle name="Currency [0] - Euro 3" xfId="1719" xr:uid="{00000000-0005-0000-0000-000080020000}"/>
    <cellStyle name="Currency [0] - Euro 3 2" xfId="1720" xr:uid="{00000000-0005-0000-0000-000081020000}"/>
    <cellStyle name="Currency [0] - Euro 3 3" xfId="1721" xr:uid="{00000000-0005-0000-0000-000082020000}"/>
    <cellStyle name="Currency [0] - Euro 3 3 2" xfId="1722" xr:uid="{00000000-0005-0000-0000-000083020000}"/>
    <cellStyle name="Currency [0] - Euro 4" xfId="1723" xr:uid="{00000000-0005-0000-0000-000084020000}"/>
    <cellStyle name="Currency [0] - Euro 4 2" xfId="1724" xr:uid="{00000000-0005-0000-0000-000085020000}"/>
    <cellStyle name="Currency [1]" xfId="85" xr:uid="{00000000-0005-0000-0000-000086020000}"/>
    <cellStyle name="Currency [1] 2" xfId="621" xr:uid="{00000000-0005-0000-0000-000087020000}"/>
    <cellStyle name="Currency [1] 2 2" xfId="1725" xr:uid="{00000000-0005-0000-0000-000088020000}"/>
    <cellStyle name="Currency [2]" xfId="86" xr:uid="{00000000-0005-0000-0000-000089020000}"/>
    <cellStyle name="Currency [2] 2" xfId="622" xr:uid="{00000000-0005-0000-0000-00008A020000}"/>
    <cellStyle name="Currency [2] 2 2" xfId="1726" xr:uid="{00000000-0005-0000-0000-00008B020000}"/>
    <cellStyle name="Currency 0" xfId="87" xr:uid="{00000000-0005-0000-0000-00008C020000}"/>
    <cellStyle name="Currency 0 2" xfId="623" xr:uid="{00000000-0005-0000-0000-00008D020000}"/>
    <cellStyle name="Currency 10" xfId="954" xr:uid="{00000000-0005-0000-0000-00008E020000}"/>
    <cellStyle name="Currency 11" xfId="1028" xr:uid="{00000000-0005-0000-0000-00008F020000}"/>
    <cellStyle name="Currency 12" xfId="1097" xr:uid="{00000000-0005-0000-0000-000090020000}"/>
    <cellStyle name="Currency 13" xfId="1101" xr:uid="{00000000-0005-0000-0000-000091020000}"/>
    <cellStyle name="Currency 14" xfId="1106" xr:uid="{00000000-0005-0000-0000-000092020000}"/>
    <cellStyle name="Currency 15" xfId="1110" xr:uid="{00000000-0005-0000-0000-000093020000}"/>
    <cellStyle name="Currency 15 2" xfId="1050" xr:uid="{00000000-0005-0000-0000-000094020000}"/>
    <cellStyle name="Currency 16" xfId="1105" xr:uid="{00000000-0005-0000-0000-000095020000}"/>
    <cellStyle name="Currency 16 2" xfId="1159" xr:uid="{00000000-0005-0000-0000-000096020000}"/>
    <cellStyle name="Currency 17" xfId="1060" xr:uid="{00000000-0005-0000-0000-000097020000}"/>
    <cellStyle name="Currency 17 2" xfId="1102" xr:uid="{00000000-0005-0000-0000-000098020000}"/>
    <cellStyle name="Currency 18" xfId="909" xr:uid="{00000000-0005-0000-0000-000099020000}"/>
    <cellStyle name="Currency 18 2" xfId="1160" xr:uid="{00000000-0005-0000-0000-00009A020000}"/>
    <cellStyle name="Currency 19" xfId="1020" xr:uid="{00000000-0005-0000-0000-00009B020000}"/>
    <cellStyle name="Currency 19 2" xfId="1065" xr:uid="{00000000-0005-0000-0000-00009C020000}"/>
    <cellStyle name="Currency 2" xfId="88" xr:uid="{00000000-0005-0000-0000-00009D020000}"/>
    <cellStyle name="Currency 2 2" xfId="860" xr:uid="{00000000-0005-0000-0000-00009E020000}"/>
    <cellStyle name="Currency 2 2 2" xfId="1127" xr:uid="{00000000-0005-0000-0000-00009F020000}"/>
    <cellStyle name="Currency 2 2 2 2" xfId="1479" xr:uid="{00000000-0005-0000-0000-0000A0020000}"/>
    <cellStyle name="Currency 2 2 3" xfId="1111" xr:uid="{00000000-0005-0000-0000-0000A1020000}"/>
    <cellStyle name="Currency 2 2 4" xfId="1432" xr:uid="{00000000-0005-0000-0000-0000A2020000}"/>
    <cellStyle name="Currency 2 3" xfId="861" xr:uid="{00000000-0005-0000-0000-0000A3020000}"/>
    <cellStyle name="Currency 2 3 2" xfId="1128" xr:uid="{00000000-0005-0000-0000-0000A4020000}"/>
    <cellStyle name="Currency 2 3 2 2" xfId="1480" xr:uid="{00000000-0005-0000-0000-0000A5020000}"/>
    <cellStyle name="Currency 2 3 3" xfId="1433" xr:uid="{00000000-0005-0000-0000-0000A6020000}"/>
    <cellStyle name="Currency 2 4" xfId="862" xr:uid="{00000000-0005-0000-0000-0000A7020000}"/>
    <cellStyle name="Currency 2 4 2" xfId="1129" xr:uid="{00000000-0005-0000-0000-0000A8020000}"/>
    <cellStyle name="Currency 2 4 2 2" xfId="1481" xr:uid="{00000000-0005-0000-0000-0000A9020000}"/>
    <cellStyle name="Currency 2 4 3" xfId="1434" xr:uid="{00000000-0005-0000-0000-0000AA020000}"/>
    <cellStyle name="Currency 2 5" xfId="863" xr:uid="{00000000-0005-0000-0000-0000AB020000}"/>
    <cellStyle name="Currency 2 5 2" xfId="1130" xr:uid="{00000000-0005-0000-0000-0000AC020000}"/>
    <cellStyle name="Currency 2 5 2 2" xfId="1482" xr:uid="{00000000-0005-0000-0000-0000AD020000}"/>
    <cellStyle name="Currency 2 5 3" xfId="1435" xr:uid="{00000000-0005-0000-0000-0000AE020000}"/>
    <cellStyle name="Currency 2 6" xfId="624" xr:uid="{00000000-0005-0000-0000-0000AF020000}"/>
    <cellStyle name="Currency 2 7" xfId="965" xr:uid="{00000000-0005-0000-0000-0000B0020000}"/>
    <cellStyle name="Currency 20" xfId="1237" xr:uid="{00000000-0005-0000-0000-0000B1020000}"/>
    <cellStyle name="Currency 21" xfId="915" xr:uid="{00000000-0005-0000-0000-0000B2020000}"/>
    <cellStyle name="Currency 22" xfId="1144" xr:uid="{00000000-0005-0000-0000-0000B3020000}"/>
    <cellStyle name="Currency 23" xfId="1251" xr:uid="{00000000-0005-0000-0000-0000B4020000}"/>
    <cellStyle name="Currency 24" xfId="1109" xr:uid="{00000000-0005-0000-0000-0000B5020000}"/>
    <cellStyle name="Currency 25" xfId="968" xr:uid="{00000000-0005-0000-0000-0000B6020000}"/>
    <cellStyle name="Currency 3" xfId="815" xr:uid="{00000000-0005-0000-0000-0000B7020000}"/>
    <cellStyle name="Currency 3 2" xfId="1071" xr:uid="{00000000-0005-0000-0000-0000B8020000}"/>
    <cellStyle name="Currency 3 3" xfId="1068" xr:uid="{00000000-0005-0000-0000-0000B9020000}"/>
    <cellStyle name="Currency 3 4" xfId="1079" xr:uid="{00000000-0005-0000-0000-0000BA020000}"/>
    <cellStyle name="Currency 4" xfId="864" xr:uid="{00000000-0005-0000-0000-0000BB020000}"/>
    <cellStyle name="Currency 4 2" xfId="1131" xr:uid="{00000000-0005-0000-0000-0000BC020000}"/>
    <cellStyle name="Currency 4 2 2" xfId="1483" xr:uid="{00000000-0005-0000-0000-0000BD020000}"/>
    <cellStyle name="Currency 4 3" xfId="1156" xr:uid="{00000000-0005-0000-0000-0000BE020000}"/>
    <cellStyle name="Currency 4 4" xfId="1436" xr:uid="{00000000-0005-0000-0000-0000BF020000}"/>
    <cellStyle name="Currency 5" xfId="619" xr:uid="{00000000-0005-0000-0000-0000C0020000}"/>
    <cellStyle name="Currency 5 2" xfId="1141" xr:uid="{00000000-0005-0000-0000-0000C1020000}"/>
    <cellStyle name="Currency 6" xfId="894" xr:uid="{00000000-0005-0000-0000-0000C2020000}"/>
    <cellStyle name="Currency 6 2" xfId="1157" xr:uid="{00000000-0005-0000-0000-0000C3020000}"/>
    <cellStyle name="Currency 7" xfId="903" xr:uid="{00000000-0005-0000-0000-0000C4020000}"/>
    <cellStyle name="Currency 7 2" xfId="943" xr:uid="{00000000-0005-0000-0000-0000C5020000}"/>
    <cellStyle name="Currency 8" xfId="964" xr:uid="{00000000-0005-0000-0000-0000C6020000}"/>
    <cellStyle name="Currency 9" xfId="1035" xr:uid="{00000000-0005-0000-0000-0000C7020000}"/>
    <cellStyle name="Currency Dollar" xfId="89" xr:uid="{00000000-0005-0000-0000-0000C8020000}"/>
    <cellStyle name="Currency Dollar (2dp)" xfId="90" xr:uid="{00000000-0005-0000-0000-0000C9020000}"/>
    <cellStyle name="Currency Dollar (2dp) 2" xfId="1267" xr:uid="{00000000-0005-0000-0000-0000CA020000}"/>
    <cellStyle name="Currency Dollar 2" xfId="1266" xr:uid="{00000000-0005-0000-0000-0000CB020000}"/>
    <cellStyle name="Currency EUR" xfId="91" xr:uid="{00000000-0005-0000-0000-0000CC020000}"/>
    <cellStyle name="Currency EUR (2dp)" xfId="92" xr:uid="{00000000-0005-0000-0000-0000CD020000}"/>
    <cellStyle name="Currency EUR (2dp) 2" xfId="1269" xr:uid="{00000000-0005-0000-0000-0000CE020000}"/>
    <cellStyle name="Currency EUR 2" xfId="1268" xr:uid="{00000000-0005-0000-0000-0000CF020000}"/>
    <cellStyle name="Currency Euro" xfId="93" xr:uid="{00000000-0005-0000-0000-0000D0020000}"/>
    <cellStyle name="Currency Euro (2dp)" xfId="94" xr:uid="{00000000-0005-0000-0000-0000D1020000}"/>
    <cellStyle name="Currency Euro (2dp) 2" xfId="1271" xr:uid="{00000000-0005-0000-0000-0000D2020000}"/>
    <cellStyle name="Currency Euro 2" xfId="1270" xr:uid="{00000000-0005-0000-0000-0000D3020000}"/>
    <cellStyle name="Currency GBP" xfId="95" xr:uid="{00000000-0005-0000-0000-0000D4020000}"/>
    <cellStyle name="Currency GBP (2dp)" xfId="96" xr:uid="{00000000-0005-0000-0000-0000D5020000}"/>
    <cellStyle name="Currency GBP (2dp) 2" xfId="1273" xr:uid="{00000000-0005-0000-0000-0000D6020000}"/>
    <cellStyle name="Currency GBP 2" xfId="1272" xr:uid="{00000000-0005-0000-0000-0000D7020000}"/>
    <cellStyle name="Currency Pound" xfId="97" xr:uid="{00000000-0005-0000-0000-0000D8020000}"/>
    <cellStyle name="Currency Pound (2dp)" xfId="98" xr:uid="{00000000-0005-0000-0000-0000D9020000}"/>
    <cellStyle name="Currency Pound (2dp) 2" xfId="1275" xr:uid="{00000000-0005-0000-0000-0000DA020000}"/>
    <cellStyle name="Currency Pound 2" xfId="1274" xr:uid="{00000000-0005-0000-0000-0000DB020000}"/>
    <cellStyle name="Currency USD" xfId="99" xr:uid="{00000000-0005-0000-0000-0000DC020000}"/>
    <cellStyle name="Currency USD (2dp)" xfId="100" xr:uid="{00000000-0005-0000-0000-0000DD020000}"/>
    <cellStyle name="Currency USD (2dp) 2" xfId="1277" xr:uid="{00000000-0005-0000-0000-0000DE020000}"/>
    <cellStyle name="Currency USD 2" xfId="1276" xr:uid="{00000000-0005-0000-0000-0000DF020000}"/>
    <cellStyle name="Currency0" xfId="101" xr:uid="{00000000-0005-0000-0000-0000E0020000}"/>
    <cellStyle name="Currency0 2" xfId="1727" xr:uid="{00000000-0005-0000-0000-0000E1020000}"/>
    <cellStyle name="Currency0 2 2" xfId="1728" xr:uid="{00000000-0005-0000-0000-0000E2020000}"/>
    <cellStyle name="Dash" xfId="625" xr:uid="{00000000-0005-0000-0000-0000E3020000}"/>
    <cellStyle name="Data" xfId="1729" xr:uid="{00000000-0005-0000-0000-0000E4020000}"/>
    <cellStyle name="Date" xfId="102" xr:uid="{00000000-0005-0000-0000-0000E5020000}"/>
    <cellStyle name="Date (Month)" xfId="103" xr:uid="{00000000-0005-0000-0000-0000E6020000}"/>
    <cellStyle name="Date (Month) 2" xfId="1278" xr:uid="{00000000-0005-0000-0000-0000E7020000}"/>
    <cellStyle name="Date (Year)" xfId="104" xr:uid="{00000000-0005-0000-0000-0000E8020000}"/>
    <cellStyle name="Date (Year) 2" xfId="1279" xr:uid="{00000000-0005-0000-0000-0000E9020000}"/>
    <cellStyle name="Date [d-mmm-yy]" xfId="105" xr:uid="{00000000-0005-0000-0000-0000EA020000}"/>
    <cellStyle name="Date [mm-d-yy]" xfId="106" xr:uid="{00000000-0005-0000-0000-0000EB020000}"/>
    <cellStyle name="Date [mm-d-yy] 2" xfId="627" xr:uid="{00000000-0005-0000-0000-0000EC020000}"/>
    <cellStyle name="Date [mm-d-yyyy]" xfId="107" xr:uid="{00000000-0005-0000-0000-0000ED020000}"/>
    <cellStyle name="Date [mm-d-yyyy] 2" xfId="628" xr:uid="{00000000-0005-0000-0000-0000EE020000}"/>
    <cellStyle name="Date [mm-d-yyyy] 2 2" xfId="1730" xr:uid="{00000000-0005-0000-0000-0000EF020000}"/>
    <cellStyle name="Date [mmm-d-yyyy]" xfId="108" xr:uid="{00000000-0005-0000-0000-0000F0020000}"/>
    <cellStyle name="Date [mmm-d-yyyy] 2" xfId="629" xr:uid="{00000000-0005-0000-0000-0000F1020000}"/>
    <cellStyle name="Date [mmm-d-yyyy] 2 2" xfId="1731" xr:uid="{00000000-0005-0000-0000-0000F2020000}"/>
    <cellStyle name="Date [mmm-yy]" xfId="109" xr:uid="{00000000-0005-0000-0000-0000F3020000}"/>
    <cellStyle name="Date [mmm-yyyy]" xfId="110" xr:uid="{00000000-0005-0000-0000-0000F4020000}"/>
    <cellStyle name="Date [mmm-yyyy] 2" xfId="1732" xr:uid="{00000000-0005-0000-0000-0000F5020000}"/>
    <cellStyle name="Date [mmm-yyyy] 2 2" xfId="1733" xr:uid="{00000000-0005-0000-0000-0000F6020000}"/>
    <cellStyle name="Date 10" xfId="1059" xr:uid="{00000000-0005-0000-0000-0000F7020000}"/>
    <cellStyle name="Date 11" xfId="1088" xr:uid="{00000000-0005-0000-0000-0000F8020000}"/>
    <cellStyle name="Date 12" xfId="1100" xr:uid="{00000000-0005-0000-0000-0000F9020000}"/>
    <cellStyle name="Date 13" xfId="1112" xr:uid="{00000000-0005-0000-0000-0000FA020000}"/>
    <cellStyle name="Date 14" xfId="1119" xr:uid="{00000000-0005-0000-0000-0000FB020000}"/>
    <cellStyle name="Date 15" xfId="966" xr:uid="{00000000-0005-0000-0000-0000FC020000}"/>
    <cellStyle name="Date 16" xfId="1019" xr:uid="{00000000-0005-0000-0000-0000FD020000}"/>
    <cellStyle name="Date 17" xfId="916" xr:uid="{00000000-0005-0000-0000-0000FE020000}"/>
    <cellStyle name="Date 18" xfId="1143" xr:uid="{00000000-0005-0000-0000-0000FF020000}"/>
    <cellStyle name="Date 19" xfId="1253" xr:uid="{00000000-0005-0000-0000-000000030000}"/>
    <cellStyle name="Date 2" xfId="626" xr:uid="{00000000-0005-0000-0000-000001030000}"/>
    <cellStyle name="Date 20" xfId="960" xr:uid="{00000000-0005-0000-0000-000002030000}"/>
    <cellStyle name="Date 21" xfId="1107" xr:uid="{00000000-0005-0000-0000-000003030000}"/>
    <cellStyle name="Date 3" xfId="895" xr:uid="{00000000-0005-0000-0000-000004030000}"/>
    <cellStyle name="Date 4" xfId="902" xr:uid="{00000000-0005-0000-0000-000005030000}"/>
    <cellStyle name="Date 5" xfId="967" xr:uid="{00000000-0005-0000-0000-000006030000}"/>
    <cellStyle name="Date 6" xfId="1029" xr:uid="{00000000-0005-0000-0000-000007030000}"/>
    <cellStyle name="Date 7" xfId="1099" xr:uid="{00000000-0005-0000-0000-000008030000}"/>
    <cellStyle name="Date 8" xfId="1063" xr:uid="{00000000-0005-0000-0000-000009030000}"/>
    <cellStyle name="Date 9" xfId="1094" xr:uid="{00000000-0005-0000-0000-00000A030000}"/>
    <cellStyle name="Date Aligned" xfId="111" xr:uid="{00000000-0005-0000-0000-00000B030000}"/>
    <cellStyle name="Date Aligned 2" xfId="630" xr:uid="{00000000-0005-0000-0000-00000C030000}"/>
    <cellStyle name="Date_AMT Model New 11-16-2011" xfId="970" xr:uid="{00000000-0005-0000-0000-00000D030000}"/>
    <cellStyle name="Date2" xfId="112" xr:uid="{00000000-0005-0000-0000-00000E030000}"/>
    <cellStyle name="Date2 2" xfId="631" xr:uid="{00000000-0005-0000-0000-00000F030000}"/>
    <cellStyle name="Date2 2 2" xfId="1734" xr:uid="{00000000-0005-0000-0000-000010030000}"/>
    <cellStyle name="Dates" xfId="113" xr:uid="{00000000-0005-0000-0000-000011030000}"/>
    <cellStyle name="Dates 2" xfId="1735" xr:uid="{00000000-0005-0000-0000-000012030000}"/>
    <cellStyle name="Dates 2 2" xfId="1736" xr:uid="{00000000-0005-0000-0000-000013030000}"/>
    <cellStyle name="DateYear" xfId="114" xr:uid="{00000000-0005-0000-0000-000014030000}"/>
    <cellStyle name="DateYear 2" xfId="1737" xr:uid="{00000000-0005-0000-0000-000015030000}"/>
    <cellStyle name="DateYear 2 2" xfId="1738" xr:uid="{00000000-0005-0000-0000-000016030000}"/>
    <cellStyle name="Dec_0" xfId="632" xr:uid="{00000000-0005-0000-0000-000017030000}"/>
    <cellStyle name="Definition" xfId="1739" xr:uid="{00000000-0005-0000-0000-000018030000}"/>
    <cellStyle name="Déprotégée" xfId="115" xr:uid="{00000000-0005-0000-0000-000019030000}"/>
    <cellStyle name="Déprotégée 2" xfId="1740" xr:uid="{00000000-0005-0000-0000-00001A030000}"/>
    <cellStyle name="Déprotégée 3" xfId="1741" xr:uid="{00000000-0005-0000-0000-00001B030000}"/>
    <cellStyle name="Déprotégée 3 2" xfId="1742" xr:uid="{00000000-0005-0000-0000-00001C030000}"/>
    <cellStyle name="Devise" xfId="116" xr:uid="{00000000-0005-0000-0000-00001D030000}"/>
    <cellStyle name="Devise 2" xfId="1743" xr:uid="{00000000-0005-0000-0000-00001E030000}"/>
    <cellStyle name="Devise 3" xfId="1744" xr:uid="{00000000-0005-0000-0000-00001F030000}"/>
    <cellStyle name="Devise 3 2" xfId="1745" xr:uid="{00000000-0005-0000-0000-000020030000}"/>
    <cellStyle name="Dezimal (0.0)" xfId="117" xr:uid="{00000000-0005-0000-0000-000021030000}"/>
    <cellStyle name="Dezimal (0.0) 2" xfId="1746" xr:uid="{00000000-0005-0000-0000-000022030000}"/>
    <cellStyle name="Dezimal (0.0) 3" xfId="1747" xr:uid="{00000000-0005-0000-0000-000023030000}"/>
    <cellStyle name="Dezimal (0.0) 3 2" xfId="1748" xr:uid="{00000000-0005-0000-0000-000024030000}"/>
    <cellStyle name="Dezimal (0.0) 4" xfId="1749" xr:uid="{00000000-0005-0000-0000-000025030000}"/>
    <cellStyle name="Dezimal (0.0) 5" xfId="1750" xr:uid="{00000000-0005-0000-0000-000026030000}"/>
    <cellStyle name="Dia" xfId="1751" xr:uid="{00000000-0005-0000-0000-000027030000}"/>
    <cellStyle name="Diseño" xfId="1752" xr:uid="{00000000-0005-0000-0000-000028030000}"/>
    <cellStyle name="DOH" xfId="633" xr:uid="{00000000-0005-0000-0000-000029030000}"/>
    <cellStyle name="Dollar" xfId="118" xr:uid="{00000000-0005-0000-0000-00002A030000}"/>
    <cellStyle name="Dollar 2" xfId="1753" xr:uid="{00000000-0005-0000-0000-00002B030000}"/>
    <cellStyle name="Dollar 2 2" xfId="1754" xr:uid="{00000000-0005-0000-0000-00002C030000}"/>
    <cellStyle name="dollars" xfId="119" xr:uid="{00000000-0005-0000-0000-00002D030000}"/>
    <cellStyle name="dollars 2" xfId="634" xr:uid="{00000000-0005-0000-0000-00002E030000}"/>
    <cellStyle name="DollarWhole" xfId="120" xr:uid="{00000000-0005-0000-0000-00002F030000}"/>
    <cellStyle name="DollarWhole 2" xfId="1755" xr:uid="{00000000-0005-0000-0000-000030030000}"/>
    <cellStyle name="DollarWhole 2 2" xfId="1756" xr:uid="{00000000-0005-0000-0000-000031030000}"/>
    <cellStyle name="Dotted Line" xfId="121" xr:uid="{00000000-0005-0000-0000-000032030000}"/>
    <cellStyle name="Dotted Line 2" xfId="635" xr:uid="{00000000-0005-0000-0000-000033030000}"/>
    <cellStyle name="Double Accounting" xfId="122" xr:uid="{00000000-0005-0000-0000-000034030000}"/>
    <cellStyle name="Download" xfId="636" xr:uid="{00000000-0005-0000-0000-000035030000}"/>
    <cellStyle name="Download 2" xfId="1414" xr:uid="{00000000-0005-0000-0000-000036030000}"/>
    <cellStyle name="Driver" xfId="123" xr:uid="{00000000-0005-0000-0000-000037030000}"/>
    <cellStyle name="Driver 10" xfId="638" xr:uid="{00000000-0005-0000-0000-000038030000}"/>
    <cellStyle name="Driver 11" xfId="639" xr:uid="{00000000-0005-0000-0000-000039030000}"/>
    <cellStyle name="Driver 12" xfId="640" xr:uid="{00000000-0005-0000-0000-00003A030000}"/>
    <cellStyle name="Driver 13" xfId="641" xr:uid="{00000000-0005-0000-0000-00003B030000}"/>
    <cellStyle name="Driver 14" xfId="642" xr:uid="{00000000-0005-0000-0000-00003C030000}"/>
    <cellStyle name="Driver 15" xfId="643" xr:uid="{00000000-0005-0000-0000-00003D030000}"/>
    <cellStyle name="Driver 16" xfId="644" xr:uid="{00000000-0005-0000-0000-00003E030000}"/>
    <cellStyle name="Driver 17" xfId="645" xr:uid="{00000000-0005-0000-0000-00003F030000}"/>
    <cellStyle name="Driver 18" xfId="646" xr:uid="{00000000-0005-0000-0000-000040030000}"/>
    <cellStyle name="Driver 19" xfId="647" xr:uid="{00000000-0005-0000-0000-000041030000}"/>
    <cellStyle name="Driver 2" xfId="648" xr:uid="{00000000-0005-0000-0000-000042030000}"/>
    <cellStyle name="Driver 20" xfId="649" xr:uid="{00000000-0005-0000-0000-000043030000}"/>
    <cellStyle name="Driver 21" xfId="650" xr:uid="{00000000-0005-0000-0000-000044030000}"/>
    <cellStyle name="Driver 22" xfId="637" xr:uid="{00000000-0005-0000-0000-000045030000}"/>
    <cellStyle name="Driver 23" xfId="973" xr:uid="{00000000-0005-0000-0000-000046030000}"/>
    <cellStyle name="Driver 3" xfId="651" xr:uid="{00000000-0005-0000-0000-000047030000}"/>
    <cellStyle name="Driver 4" xfId="652" xr:uid="{00000000-0005-0000-0000-000048030000}"/>
    <cellStyle name="Driver 5" xfId="653" xr:uid="{00000000-0005-0000-0000-000049030000}"/>
    <cellStyle name="Driver 6" xfId="654" xr:uid="{00000000-0005-0000-0000-00004A030000}"/>
    <cellStyle name="Driver 7" xfId="655" xr:uid="{00000000-0005-0000-0000-00004B030000}"/>
    <cellStyle name="Driver 8" xfId="656" xr:uid="{00000000-0005-0000-0000-00004C030000}"/>
    <cellStyle name="Driver 9" xfId="657" xr:uid="{00000000-0005-0000-0000-00004D030000}"/>
    <cellStyle name="Driver Lable" xfId="124" xr:uid="{00000000-0005-0000-0000-00004E030000}"/>
    <cellStyle name="Driver_AMT Model New 11-16-2011" xfId="989" xr:uid="{00000000-0005-0000-0000-00004F030000}"/>
    <cellStyle name="drivers" xfId="125" xr:uid="{00000000-0005-0000-0000-000050030000}"/>
    <cellStyle name="Encabez1" xfId="1757" xr:uid="{00000000-0005-0000-0000-000051030000}"/>
    <cellStyle name="Encabez2" xfId="1758" xr:uid="{00000000-0005-0000-0000-000052030000}"/>
    <cellStyle name="Entités" xfId="126" xr:uid="{00000000-0005-0000-0000-000053030000}"/>
    <cellStyle name="Entités 2" xfId="1759" xr:uid="{00000000-0005-0000-0000-000054030000}"/>
    <cellStyle name="Entités 3" xfId="1760" xr:uid="{00000000-0005-0000-0000-000055030000}"/>
    <cellStyle name="Entités 3 2" xfId="1761" xr:uid="{00000000-0005-0000-0000-000056030000}"/>
    <cellStyle name="Entries" xfId="658" xr:uid="{00000000-0005-0000-0000-000057030000}"/>
    <cellStyle name="Entry" xfId="659" xr:uid="{00000000-0005-0000-0000-000058030000}"/>
    <cellStyle name="Entry 2" xfId="1150" xr:uid="{00000000-0005-0000-0000-000059030000}"/>
    <cellStyle name="EPS" xfId="127" xr:uid="{00000000-0005-0000-0000-00005A030000}"/>
    <cellStyle name="EPS 2" xfId="1762" xr:uid="{00000000-0005-0000-0000-00005B030000}"/>
    <cellStyle name="EPS 2 2" xfId="1763" xr:uid="{00000000-0005-0000-0000-00005C030000}"/>
    <cellStyle name="EPSActual" xfId="128" xr:uid="{00000000-0005-0000-0000-00005D030000}"/>
    <cellStyle name="EPSActual 2" xfId="1764" xr:uid="{00000000-0005-0000-0000-00005E030000}"/>
    <cellStyle name="EPSEstimate" xfId="129" xr:uid="{00000000-0005-0000-0000-00005F030000}"/>
    <cellStyle name="EPSEstimate 2" xfId="1765" xr:uid="{00000000-0005-0000-0000-000060030000}"/>
    <cellStyle name="Est - $" xfId="130" xr:uid="{00000000-0005-0000-0000-000061030000}"/>
    <cellStyle name="Est - $ 2" xfId="1766" xr:uid="{00000000-0005-0000-0000-000062030000}"/>
    <cellStyle name="Est - $ 2 2" xfId="1767" xr:uid="{00000000-0005-0000-0000-000063030000}"/>
    <cellStyle name="Est - $ 3" xfId="1768" xr:uid="{00000000-0005-0000-0000-000064030000}"/>
    <cellStyle name="Est - $ 4" xfId="1769" xr:uid="{00000000-0005-0000-0000-000065030000}"/>
    <cellStyle name="Est - %" xfId="131" xr:uid="{00000000-0005-0000-0000-000066030000}"/>
    <cellStyle name="Est - % 2" xfId="1770" xr:uid="{00000000-0005-0000-0000-000067030000}"/>
    <cellStyle name="Est - % 2 2" xfId="1771" xr:uid="{00000000-0005-0000-0000-000068030000}"/>
    <cellStyle name="Est - % 3" xfId="1772" xr:uid="{00000000-0005-0000-0000-000069030000}"/>
    <cellStyle name="Est - % 4" xfId="1773" xr:uid="{00000000-0005-0000-0000-00006A030000}"/>
    <cellStyle name="Est 0,000.0" xfId="132" xr:uid="{00000000-0005-0000-0000-00006B030000}"/>
    <cellStyle name="Est 0,000.0 2" xfId="1774" xr:uid="{00000000-0005-0000-0000-00006C030000}"/>
    <cellStyle name="Est 0,000.0 2 2" xfId="1775" xr:uid="{00000000-0005-0000-0000-00006D030000}"/>
    <cellStyle name="Est 0,000.0 3" xfId="1776" xr:uid="{00000000-0005-0000-0000-00006E030000}"/>
    <cellStyle name="Est 0,000.0 4" xfId="1777" xr:uid="{00000000-0005-0000-0000-00006F030000}"/>
    <cellStyle name="estimate" xfId="1778" xr:uid="{00000000-0005-0000-0000-000070030000}"/>
    <cellStyle name="Euro" xfId="133" xr:uid="{00000000-0005-0000-0000-000071030000}"/>
    <cellStyle name="Euro 2" xfId="660" xr:uid="{00000000-0005-0000-0000-000072030000}"/>
    <cellStyle name="Euro 2 2" xfId="1779" xr:uid="{00000000-0005-0000-0000-000073030000}"/>
    <cellStyle name="Euro 3" xfId="1780" xr:uid="{00000000-0005-0000-0000-000074030000}"/>
    <cellStyle name="ExchRate" xfId="661" xr:uid="{00000000-0005-0000-0000-000075030000}"/>
    <cellStyle name="ExchRate 2" xfId="1151" xr:uid="{00000000-0005-0000-0000-000076030000}"/>
    <cellStyle name="Explanatory Text 2" xfId="865" xr:uid="{00000000-0005-0000-0000-000077030000}"/>
    <cellStyle name="Explanatory Text 3" xfId="992" xr:uid="{00000000-0005-0000-0000-000078030000}"/>
    <cellStyle name="Explanatory Text 4" xfId="1781" xr:uid="{00000000-0005-0000-0000-000079030000}"/>
    <cellStyle name="f" xfId="1782" xr:uid="{00000000-0005-0000-0000-00007A030000}"/>
    <cellStyle name="f_BASE VIVO 311203 - Val II" xfId="1783" xr:uid="{00000000-0005-0000-0000-00007B030000}"/>
    <cellStyle name="f_Brasilcel mar05 FINAL v0904" xfId="1784" xr:uid="{00000000-0005-0000-0000-00007C030000}"/>
    <cellStyle name="f_Concessão Licença" xfId="1785" xr:uid="{00000000-0005-0000-0000-00007D030000}"/>
    <cellStyle name="f_leasing TCO dez.03 a set.04 V.T-gestiona FEV.05 (ESTIMATIVA)" xfId="1786" xr:uid="{00000000-0005-0000-0000-00007E030000}"/>
    <cellStyle name="f_Minoritários 0604 da v. ALEJANDRO final II" xfId="1787" xr:uid="{00000000-0005-0000-0000-00007F030000}"/>
    <cellStyle name="f_Minoritários 0604 da v. ALEJANDRO final III" xfId="1788" xr:uid="{00000000-0005-0000-0000-000080030000}"/>
    <cellStyle name="f_Minoritários Brasilcel mar 05" xfId="1789" xr:uid="{00000000-0005-0000-0000-000081030000}"/>
    <cellStyle name="f_Mod.proposto Espanha Brasilcel dez.03 IV" xfId="1790" xr:uid="{00000000-0005-0000-0000-000082030000}"/>
    <cellStyle name="f_Planilha TCP Holding IAS set.04 - após revisão espanha" xfId="1791" xr:uid="{00000000-0005-0000-0000-000083030000}"/>
    <cellStyle name="f_Planilha TCP Holding IAS set.04 - após revisão espanha I" xfId="1792" xr:uid="{00000000-0005-0000-0000-000084030000}"/>
    <cellStyle name="f_Recon. GT  set.04 após revisão Espanha" xfId="1793" xr:uid="{00000000-0005-0000-0000-000085030000}"/>
    <cellStyle name="f_Recon. GT  set.04 após revisão Espanha I" xfId="1794" xr:uid="{00000000-0005-0000-0000-000086030000}"/>
    <cellStyle name="f_Recon. set.04 TCO após revisão Spanish I" xfId="1795" xr:uid="{00000000-0005-0000-0000-000087030000}"/>
    <cellStyle name="f_Template IAS TCP - março.04 após rev.Esp." xfId="1796" xr:uid="{00000000-0005-0000-0000-000088030000}"/>
    <cellStyle name="f_Template IAS TCP - março.04 após rev.Esp.1" xfId="1797" xr:uid="{00000000-0005-0000-0000-000089030000}"/>
    <cellStyle name="f_Template IAS TCP Consol. set.04" xfId="1798" xr:uid="{00000000-0005-0000-0000-00008A030000}"/>
    <cellStyle name="f_Template IAS TCP Consol. set.04 após rev.Esp." xfId="1799" xr:uid="{00000000-0005-0000-0000-00008B030000}"/>
    <cellStyle name="f_Template IAS TCP Consol. set.041" xfId="1800" xr:uid="{00000000-0005-0000-0000-00008C030000}"/>
    <cellStyle name="f_Template IAS TCP Consol. set.042" xfId="1801" xr:uid="{00000000-0005-0000-0000-00008D030000}"/>
    <cellStyle name="f_Template TC set.04 após revisão espanha" xfId="1802" xr:uid="{00000000-0005-0000-0000-00008E030000}"/>
    <cellStyle name="f_Template TC set.04 após revisão espanha I" xfId="1803" xr:uid="{00000000-0005-0000-0000-00008F030000}"/>
    <cellStyle name="f_Template TCP MAR 05" xfId="1804" xr:uid="{00000000-0005-0000-0000-000090030000}"/>
    <cellStyle name="f_Templates IAS TCP - junho.04 c. e_sif" xfId="1805" xr:uid="{00000000-0005-0000-0000-000091030000}"/>
    <cellStyle name="f_Templates IAS TCP - junho.04 c. e_sif reclassif. 14.09" xfId="1806" xr:uid="{00000000-0005-0000-0000-000092030000}"/>
    <cellStyle name="f_Templates IAS TCP jun.04 Consol.após rev.espanha" xfId="1807" xr:uid="{00000000-0005-0000-0000-000093030000}"/>
    <cellStyle name="f_Templates IAS TCP jun.04 Consol.após rev.espanha1" xfId="1808" xr:uid="{00000000-0005-0000-0000-000094030000}"/>
    <cellStyle name="f_Worksheet in (C)   IAS Dezembro_03" xfId="1809" xr:uid="{00000000-0005-0000-0000-000095030000}"/>
    <cellStyle name="f_Worksheet in (C) 2241 IAS Dezembro_03" xfId="1810" xr:uid="{00000000-0005-0000-0000-000096030000}"/>
    <cellStyle name="f_Worksheet in (C) 2441-1 Resumo Ajustes" xfId="1811" xr:uid="{00000000-0005-0000-0000-000097030000}"/>
    <cellStyle name="f_Worksheet in 2241 IAS Dezembro_03" xfId="1812" xr:uid="{00000000-0005-0000-0000-000098030000}"/>
    <cellStyle name="f_Worksheet in 2242 IAS JUNHO 2004" xfId="1813" xr:uid="{00000000-0005-0000-0000-000099030000}"/>
    <cellStyle name="F2" xfId="1814" xr:uid="{00000000-0005-0000-0000-00009A030000}"/>
    <cellStyle name="F3" xfId="1815" xr:uid="{00000000-0005-0000-0000-00009B030000}"/>
    <cellStyle name="F4" xfId="1816" xr:uid="{00000000-0005-0000-0000-00009C030000}"/>
    <cellStyle name="F5" xfId="1817" xr:uid="{00000000-0005-0000-0000-00009D030000}"/>
    <cellStyle name="F6" xfId="1818" xr:uid="{00000000-0005-0000-0000-00009E030000}"/>
    <cellStyle name="F7" xfId="1819" xr:uid="{00000000-0005-0000-0000-00009F030000}"/>
    <cellStyle name="F8" xfId="1820" xr:uid="{00000000-0005-0000-0000-0000A0030000}"/>
    <cellStyle name="fact_Feuil1 (8)" xfId="134" xr:uid="{00000000-0005-0000-0000-0000A1030000}"/>
    <cellStyle name="Fail" xfId="135" xr:uid="{00000000-0005-0000-0000-0000A2030000}"/>
    <cellStyle name="Fail 2" xfId="1821" xr:uid="{00000000-0005-0000-0000-0000A3030000}"/>
    <cellStyle name="Fail 3" xfId="1822" xr:uid="{00000000-0005-0000-0000-0000A4030000}"/>
    <cellStyle name="Fail 3 2" xfId="1823" xr:uid="{00000000-0005-0000-0000-0000A5030000}"/>
    <cellStyle name="FAS Number" xfId="662" xr:uid="{00000000-0005-0000-0000-0000A6030000}"/>
    <cellStyle name="FAS Number 2" xfId="1152" xr:uid="{00000000-0005-0000-0000-0000A7030000}"/>
    <cellStyle name="FF_EURO" xfId="136" xr:uid="{00000000-0005-0000-0000-0000A8030000}"/>
    <cellStyle name="Fijo" xfId="1824" xr:uid="{00000000-0005-0000-0000-0000A9030000}"/>
    <cellStyle name="Financial" xfId="663" xr:uid="{00000000-0005-0000-0000-0000AA030000}"/>
    <cellStyle name="Financial 2" xfId="1153" xr:uid="{00000000-0005-0000-0000-0000AB030000}"/>
    <cellStyle name="Financiero" xfId="1825" xr:uid="{00000000-0005-0000-0000-0000AC030000}"/>
    <cellStyle name="FiscalPeriod" xfId="137" xr:uid="{00000000-0005-0000-0000-0000AD030000}"/>
    <cellStyle name="FiscalPeriod 2" xfId="1826" xr:uid="{00000000-0005-0000-0000-0000AE030000}"/>
    <cellStyle name="FiscalPeriod 3" xfId="1827" xr:uid="{00000000-0005-0000-0000-0000AF030000}"/>
    <cellStyle name="FiscalPeriod 3 2" xfId="1828" xr:uid="{00000000-0005-0000-0000-0000B0030000}"/>
    <cellStyle name="Fixed" xfId="138" xr:uid="{00000000-0005-0000-0000-0000B1030000}"/>
    <cellStyle name="Fixed [0]" xfId="139" xr:uid="{00000000-0005-0000-0000-0000B2030000}"/>
    <cellStyle name="Fixed [0] 2" xfId="664" xr:uid="{00000000-0005-0000-0000-0000B3030000}"/>
    <cellStyle name="Fixed [0] 2 2" xfId="1829" xr:uid="{00000000-0005-0000-0000-0000B4030000}"/>
    <cellStyle name="Fixed 2" xfId="1830" xr:uid="{00000000-0005-0000-0000-0000B5030000}"/>
    <cellStyle name="Fixed 2 2" xfId="1831" xr:uid="{00000000-0005-0000-0000-0000B6030000}"/>
    <cellStyle name="Fixed 3" xfId="1832" xr:uid="{00000000-0005-0000-0000-0000B7030000}"/>
    <cellStyle name="Fixed 3 2" xfId="1833" xr:uid="{00000000-0005-0000-0000-0000B8030000}"/>
    <cellStyle name="Fixo" xfId="1834" xr:uid="{00000000-0005-0000-0000-0000B9030000}"/>
    <cellStyle name="fo]_x000d__x000a_UserName=Murat Zelef_x000d__x000a_UserCompany=Bumerang_x000d__x000a__x000d__x000a_[File Paths]_x000d__x000a_WorkingDirectory=C:\EQUIS\DLWIN_x000d__x000a_DownLoader=C" xfId="140" xr:uid="{00000000-0005-0000-0000-0000BA030000}"/>
    <cellStyle name="Följde hyperlänken" xfId="141" xr:uid="{00000000-0005-0000-0000-0000BB030000}"/>
    <cellStyle name="Följde hyperlänken 2" xfId="1835" xr:uid="{00000000-0005-0000-0000-0000BC030000}"/>
    <cellStyle name="Följde hyperlänken 2 2" xfId="1836" xr:uid="{00000000-0005-0000-0000-0000BD030000}"/>
    <cellStyle name="Footer SBILogo1" xfId="142" xr:uid="{00000000-0005-0000-0000-0000BE030000}"/>
    <cellStyle name="Footer SBILogo1 2" xfId="1837" xr:uid="{00000000-0005-0000-0000-0000BF030000}"/>
    <cellStyle name="Footer SBILogo1 2 2" xfId="1838" xr:uid="{00000000-0005-0000-0000-0000C0030000}"/>
    <cellStyle name="Footer SBILogo2" xfId="143" xr:uid="{00000000-0005-0000-0000-0000C1030000}"/>
    <cellStyle name="Footer SBILogo2 2" xfId="1839" xr:uid="{00000000-0005-0000-0000-0000C2030000}"/>
    <cellStyle name="Footer SBILogo2 2 2" xfId="1840" xr:uid="{00000000-0005-0000-0000-0000C3030000}"/>
    <cellStyle name="Footnote" xfId="144" xr:uid="{00000000-0005-0000-0000-0000C4030000}"/>
    <cellStyle name="Footnote 2" xfId="665" xr:uid="{00000000-0005-0000-0000-0000C5030000}"/>
    <cellStyle name="Footnote 3" xfId="1841" xr:uid="{00000000-0005-0000-0000-0000C6030000}"/>
    <cellStyle name="Footnote 3 2" xfId="1842" xr:uid="{00000000-0005-0000-0000-0000C7030000}"/>
    <cellStyle name="Footnote 4" xfId="1843" xr:uid="{00000000-0005-0000-0000-0000C8030000}"/>
    <cellStyle name="Footnote Reference" xfId="145" xr:uid="{00000000-0005-0000-0000-0000C9030000}"/>
    <cellStyle name="Footnote Reference 2" xfId="1844" xr:uid="{00000000-0005-0000-0000-0000CA030000}"/>
    <cellStyle name="Footnote Reference 2 2" xfId="1845" xr:uid="{00000000-0005-0000-0000-0000CB030000}"/>
    <cellStyle name="Footnote_Innsamling" xfId="146" xr:uid="{00000000-0005-0000-0000-0000CC030000}"/>
    <cellStyle name="Forecast" xfId="666" xr:uid="{00000000-0005-0000-0000-0000CD030000}"/>
    <cellStyle name="ForecastData" xfId="667" xr:uid="{00000000-0005-0000-0000-0000CE030000}"/>
    <cellStyle name="fourdecplace" xfId="668" xr:uid="{00000000-0005-0000-0000-0000CF030000}"/>
    <cellStyle name="front page small" xfId="147" xr:uid="{00000000-0005-0000-0000-0000D0030000}"/>
    <cellStyle name="General" xfId="148" xr:uid="{00000000-0005-0000-0000-0000D1030000}"/>
    <cellStyle name="General 2" xfId="669" xr:uid="{00000000-0005-0000-0000-0000D2030000}"/>
    <cellStyle name="General 2 2" xfId="1846" xr:uid="{00000000-0005-0000-0000-0000D3030000}"/>
    <cellStyle name="Good 2" xfId="866" xr:uid="{00000000-0005-0000-0000-0000D4030000}"/>
    <cellStyle name="Good 3" xfId="997" xr:uid="{00000000-0005-0000-0000-0000D5030000}"/>
    <cellStyle name="Good 4" xfId="1847" xr:uid="{00000000-0005-0000-0000-0000D6030000}"/>
    <cellStyle name="Green" xfId="670" xr:uid="{00000000-0005-0000-0000-0000D7030000}"/>
    <cellStyle name="Grey" xfId="149" xr:uid="{00000000-0005-0000-0000-0000D8030000}"/>
    <cellStyle name="Grey 2" xfId="999" xr:uid="{00000000-0005-0000-0000-0000D9030000}"/>
    <cellStyle name="Grey 3" xfId="1848" xr:uid="{00000000-0005-0000-0000-0000DA030000}"/>
    <cellStyle name="GrowthRate" xfId="150" xr:uid="{00000000-0005-0000-0000-0000DB030000}"/>
    <cellStyle name="GrowthRate 2" xfId="671" xr:uid="{00000000-0005-0000-0000-0000DC030000}"/>
    <cellStyle name="GrowthRate 2 2" xfId="1849" xr:uid="{00000000-0005-0000-0000-0000DD030000}"/>
    <cellStyle name="GrowthSeq" xfId="151" xr:uid="{00000000-0005-0000-0000-0000DE030000}"/>
    <cellStyle name="GrowthSeq 2" xfId="1850" xr:uid="{00000000-0005-0000-0000-0000DF030000}"/>
    <cellStyle name="GrowthSeq 2 2" xfId="1851" xr:uid="{00000000-0005-0000-0000-0000E0030000}"/>
    <cellStyle name="GWN Table Body" xfId="152" xr:uid="{00000000-0005-0000-0000-0000E1030000}"/>
    <cellStyle name="GWN Table Header" xfId="153" xr:uid="{00000000-0005-0000-0000-0000E2030000}"/>
    <cellStyle name="GWN Table Left Header" xfId="154" xr:uid="{00000000-0005-0000-0000-0000E3030000}"/>
    <cellStyle name="GWN Table Note" xfId="155" xr:uid="{00000000-0005-0000-0000-0000E4030000}"/>
    <cellStyle name="GWN Table Title" xfId="156" xr:uid="{00000000-0005-0000-0000-0000E5030000}"/>
    <cellStyle name="H0" xfId="157" xr:uid="{00000000-0005-0000-0000-0000E6030000}"/>
    <cellStyle name="H1" xfId="158" xr:uid="{00000000-0005-0000-0000-0000E7030000}"/>
    <cellStyle name="H2" xfId="159" xr:uid="{00000000-0005-0000-0000-0000E8030000}"/>
    <cellStyle name="H3" xfId="160" xr:uid="{00000000-0005-0000-0000-0000E9030000}"/>
    <cellStyle name="H4" xfId="161" xr:uid="{00000000-0005-0000-0000-0000EA030000}"/>
    <cellStyle name="haeding 2" xfId="162" xr:uid="{00000000-0005-0000-0000-0000EB030000}"/>
    <cellStyle name="haeding 2 2" xfId="1852" xr:uid="{00000000-0005-0000-0000-0000EC030000}"/>
    <cellStyle name="haeding 2 2 2" xfId="1853" xr:uid="{00000000-0005-0000-0000-0000ED030000}"/>
    <cellStyle name="haeding 2 3" xfId="1854" xr:uid="{00000000-0005-0000-0000-0000EE030000}"/>
    <cellStyle name="Hard" xfId="163" xr:uid="{00000000-0005-0000-0000-0000EF030000}"/>
    <cellStyle name="Hard input" xfId="164" xr:uid="{00000000-0005-0000-0000-0000F0030000}"/>
    <cellStyle name="hard no." xfId="165" xr:uid="{00000000-0005-0000-0000-0000F1030000}"/>
    <cellStyle name="Hard Percent" xfId="166" xr:uid="{00000000-0005-0000-0000-0000F2030000}"/>
    <cellStyle name="Hard Percent 2" xfId="672" xr:uid="{00000000-0005-0000-0000-0000F3030000}"/>
    <cellStyle name="head1" xfId="673" xr:uid="{00000000-0005-0000-0000-0000F4030000}"/>
    <cellStyle name="head2" xfId="167" xr:uid="{00000000-0005-0000-0000-0000F5030000}"/>
    <cellStyle name="head2 2" xfId="674" xr:uid="{00000000-0005-0000-0000-0000F6030000}"/>
    <cellStyle name="head2 2 2" xfId="1855" xr:uid="{00000000-0005-0000-0000-0000F7030000}"/>
    <cellStyle name="Header" xfId="168" xr:uid="{00000000-0005-0000-0000-0000F8030000}"/>
    <cellStyle name="Header 2" xfId="675" xr:uid="{00000000-0005-0000-0000-0000F9030000}"/>
    <cellStyle name="Header 3" xfId="1856" xr:uid="{00000000-0005-0000-0000-0000FA030000}"/>
    <cellStyle name="Header 3 2" xfId="1857" xr:uid="{00000000-0005-0000-0000-0000FB030000}"/>
    <cellStyle name="Header 4" xfId="1858" xr:uid="{00000000-0005-0000-0000-0000FC030000}"/>
    <cellStyle name="Header Draft Stamp" xfId="169" xr:uid="{00000000-0005-0000-0000-0000FD030000}"/>
    <cellStyle name="Header Draft Stamp 2" xfId="1859" xr:uid="{00000000-0005-0000-0000-0000FE030000}"/>
    <cellStyle name="Header Draft Stamp 2 2" xfId="1860" xr:uid="{00000000-0005-0000-0000-0000FF030000}"/>
    <cellStyle name="Header_Innsamling" xfId="170" xr:uid="{00000000-0005-0000-0000-000000040000}"/>
    <cellStyle name="Header1" xfId="676" xr:uid="{00000000-0005-0000-0000-000001040000}"/>
    <cellStyle name="Header2" xfId="677" xr:uid="{00000000-0005-0000-0000-000002040000}"/>
    <cellStyle name="Heading" xfId="171" xr:uid="{00000000-0005-0000-0000-000003040000}"/>
    <cellStyle name="heading 1 10" xfId="1015" xr:uid="{00000000-0005-0000-0000-000004040000}"/>
    <cellStyle name="Heading 1 2" xfId="867" xr:uid="{00000000-0005-0000-0000-000005040000}"/>
    <cellStyle name="heading 1 3" xfId="1005" xr:uid="{00000000-0005-0000-0000-000006040000}"/>
    <cellStyle name="heading 1 4" xfId="985" xr:uid="{00000000-0005-0000-0000-000007040000}"/>
    <cellStyle name="heading 1 5" xfId="982" xr:uid="{00000000-0005-0000-0000-000008040000}"/>
    <cellStyle name="heading 1 6" xfId="987" xr:uid="{00000000-0005-0000-0000-000009040000}"/>
    <cellStyle name="heading 1 7" xfId="980" xr:uid="{00000000-0005-0000-0000-00000A040000}"/>
    <cellStyle name="heading 1 8" xfId="990" xr:uid="{00000000-0005-0000-0000-00000B040000}"/>
    <cellStyle name="heading 1 9" xfId="978" xr:uid="{00000000-0005-0000-0000-00000C040000}"/>
    <cellStyle name="Heading 1 Above" xfId="172" xr:uid="{00000000-0005-0000-0000-00000D040000}"/>
    <cellStyle name="Heading 1 Above 2" xfId="1861" xr:uid="{00000000-0005-0000-0000-00000E040000}"/>
    <cellStyle name="Heading 1 Above 2 2" xfId="1862" xr:uid="{00000000-0005-0000-0000-00000F040000}"/>
    <cellStyle name="Heading 1+" xfId="173" xr:uid="{00000000-0005-0000-0000-000010040000}"/>
    <cellStyle name="Heading 1+ 2" xfId="1863" xr:uid="{00000000-0005-0000-0000-000011040000}"/>
    <cellStyle name="Heading 1+ 2 2" xfId="1864" xr:uid="{00000000-0005-0000-0000-000012040000}"/>
    <cellStyle name="Heading 2" xfId="174" builtinId="17" customBuiltin="1"/>
    <cellStyle name="heading 2 10" xfId="1016" xr:uid="{00000000-0005-0000-0000-000014040000}"/>
    <cellStyle name="Heading 2 11" xfId="1280" xr:uid="{00000000-0005-0000-0000-000015040000}"/>
    <cellStyle name="Heading 2 2" xfId="868" xr:uid="{00000000-0005-0000-0000-000016040000}"/>
    <cellStyle name="Heading 2 2 2" xfId="1865" xr:uid="{00000000-0005-0000-0000-000017040000}"/>
    <cellStyle name="heading 2 3" xfId="1006" xr:uid="{00000000-0005-0000-0000-000018040000}"/>
    <cellStyle name="Heading 2 3 2" xfId="1866" xr:uid="{00000000-0005-0000-0000-000019040000}"/>
    <cellStyle name="heading 2 4" xfId="984" xr:uid="{00000000-0005-0000-0000-00001A040000}"/>
    <cellStyle name="heading 2 5" xfId="983" xr:uid="{00000000-0005-0000-0000-00001B040000}"/>
    <cellStyle name="heading 2 6" xfId="986" xr:uid="{00000000-0005-0000-0000-00001C040000}"/>
    <cellStyle name="heading 2 7" xfId="981" xr:uid="{00000000-0005-0000-0000-00001D040000}"/>
    <cellStyle name="heading 2 8" xfId="988" xr:uid="{00000000-0005-0000-0000-00001E040000}"/>
    <cellStyle name="heading 2 9" xfId="979" xr:uid="{00000000-0005-0000-0000-00001F040000}"/>
    <cellStyle name="Heading 2 Below" xfId="175" xr:uid="{00000000-0005-0000-0000-000020040000}"/>
    <cellStyle name="Heading 2 Below 2" xfId="1867" xr:uid="{00000000-0005-0000-0000-000021040000}"/>
    <cellStyle name="Heading 2 Below 2 2" xfId="1868" xr:uid="{00000000-0005-0000-0000-000022040000}"/>
    <cellStyle name="Heading 2+" xfId="176" xr:uid="{00000000-0005-0000-0000-000023040000}"/>
    <cellStyle name="Heading 2+ 2" xfId="1869" xr:uid="{00000000-0005-0000-0000-000024040000}"/>
    <cellStyle name="Heading 2+ 2 2" xfId="1870" xr:uid="{00000000-0005-0000-0000-000025040000}"/>
    <cellStyle name="Heading 3" xfId="177" builtinId="18" customBuiltin="1"/>
    <cellStyle name="Heading 3 2" xfId="869" xr:uid="{00000000-0005-0000-0000-000027040000}"/>
    <cellStyle name="Heading 3 2 2" xfId="1871" xr:uid="{00000000-0005-0000-0000-000028040000}"/>
    <cellStyle name="Heading 3 3" xfId="1007" xr:uid="{00000000-0005-0000-0000-000029040000}"/>
    <cellStyle name="Heading 3 3 2" xfId="1872" xr:uid="{00000000-0005-0000-0000-00002A040000}"/>
    <cellStyle name="Heading 3 4" xfId="1281" xr:uid="{00000000-0005-0000-0000-00002B040000}"/>
    <cellStyle name="Heading 3+" xfId="178" xr:uid="{00000000-0005-0000-0000-00002C040000}"/>
    <cellStyle name="Heading 3+ 2" xfId="1873" xr:uid="{00000000-0005-0000-0000-00002D040000}"/>
    <cellStyle name="Heading 3+ 2 2" xfId="1874" xr:uid="{00000000-0005-0000-0000-00002E040000}"/>
    <cellStyle name="Heading 4 2" xfId="870" xr:uid="{00000000-0005-0000-0000-00002F040000}"/>
    <cellStyle name="Heading 4 3" xfId="1008" xr:uid="{00000000-0005-0000-0000-000030040000}"/>
    <cellStyle name="Heading 4 4" xfId="1875" xr:uid="{00000000-0005-0000-0000-000031040000}"/>
    <cellStyle name="Heading 4 5" xfId="1876" xr:uid="{00000000-0005-0000-0000-000032040000}"/>
    <cellStyle name="Heading 4 6" xfId="1877" xr:uid="{00000000-0005-0000-0000-000033040000}"/>
    <cellStyle name="Heading 5" xfId="179" xr:uid="{00000000-0005-0000-0000-000034040000}"/>
    <cellStyle name="Heading 5 2" xfId="1878" xr:uid="{00000000-0005-0000-0000-000035040000}"/>
    <cellStyle name="Heading 5 2 2" xfId="1879" xr:uid="{00000000-0005-0000-0000-000036040000}"/>
    <cellStyle name="Heading 6" xfId="1880" xr:uid="{00000000-0005-0000-0000-000037040000}"/>
    <cellStyle name="Heading 6 2" xfId="1881" xr:uid="{00000000-0005-0000-0000-000038040000}"/>
    <cellStyle name="Heading 7" xfId="1882" xr:uid="{00000000-0005-0000-0000-000039040000}"/>
    <cellStyle name="Heading 7 2" xfId="1883" xr:uid="{00000000-0005-0000-0000-00003A040000}"/>
    <cellStyle name="Heading1" xfId="678" xr:uid="{00000000-0005-0000-0000-00003B040000}"/>
    <cellStyle name="Hidden" xfId="180" xr:uid="{00000000-0005-0000-0000-00003C040000}"/>
    <cellStyle name="Hidden 2" xfId="679" xr:uid="{00000000-0005-0000-0000-00003D040000}"/>
    <cellStyle name="Hidden 3" xfId="1884" xr:uid="{00000000-0005-0000-0000-00003E040000}"/>
    <cellStyle name="Hidden 3 2" xfId="1885" xr:uid="{00000000-0005-0000-0000-00003F040000}"/>
    <cellStyle name="Highlight" xfId="181" xr:uid="{00000000-0005-0000-0000-000040040000}"/>
    <cellStyle name="Highlight 2" xfId="1282" xr:uid="{00000000-0005-0000-0000-000041040000}"/>
    <cellStyle name="Hipervínculo" xfId="1886" xr:uid="{00000000-0005-0000-0000-000042040000}"/>
    <cellStyle name="Hipervínculo visitado" xfId="1887" xr:uid="{00000000-0005-0000-0000-000043040000}"/>
    <cellStyle name="Hist inmatning" xfId="182" xr:uid="{00000000-0005-0000-0000-000044040000}"/>
    <cellStyle name="Historic" xfId="680" xr:uid="{00000000-0005-0000-0000-000045040000}"/>
    <cellStyle name="HistoricData" xfId="681" xr:uid="{00000000-0005-0000-0000-000046040000}"/>
    <cellStyle name="Hyperlänk" xfId="183" xr:uid="{00000000-0005-0000-0000-000047040000}"/>
    <cellStyle name="Hyperlänk 2" xfId="1888" xr:uid="{00000000-0005-0000-0000-000048040000}"/>
    <cellStyle name="Hyperlänk 2 2" xfId="1889" xr:uid="{00000000-0005-0000-0000-000049040000}"/>
    <cellStyle name="Hyperlink" xfId="2371" builtinId="8"/>
    <cellStyle name="Hyperlink 2" xfId="682" xr:uid="{00000000-0005-0000-0000-00004B040000}"/>
    <cellStyle name="Hyperlink 2 2" xfId="1248" xr:uid="{00000000-0005-0000-0000-00004C040000}"/>
    <cellStyle name="Hyperlink 3" xfId="1890" xr:uid="{00000000-0005-0000-0000-00004D040000}"/>
    <cellStyle name="Hyperlink 4" xfId="1891" xr:uid="{00000000-0005-0000-0000-00004E040000}"/>
    <cellStyle name="Hyperlink black" xfId="1892" xr:uid="{00000000-0005-0000-0000-00004F040000}"/>
    <cellStyle name="Hyperlink seguido" xfId="1893" xr:uid="{00000000-0005-0000-0000-000050040000}"/>
    <cellStyle name="IncomeStatement" xfId="184" xr:uid="{00000000-0005-0000-0000-000052040000}"/>
    <cellStyle name="IncomeStatement 2" xfId="683" xr:uid="{00000000-0005-0000-0000-000053040000}"/>
    <cellStyle name="IncomeStatement 2 2" xfId="1894" xr:uid="{00000000-0005-0000-0000-000054040000}"/>
    <cellStyle name="InLink" xfId="185" xr:uid="{00000000-0005-0000-0000-000055040000}"/>
    <cellStyle name="InLink 2" xfId="1895" xr:uid="{00000000-0005-0000-0000-000056040000}"/>
    <cellStyle name="input" xfId="186" xr:uid="{00000000-0005-0000-0000-000057040000}"/>
    <cellStyle name="Input %" xfId="1896" xr:uid="{00000000-0005-0000-0000-000058040000}"/>
    <cellStyle name="Input (%)" xfId="684" xr:uid="{00000000-0005-0000-0000-000059040000}"/>
    <cellStyle name="Input (%) 2" xfId="1155" xr:uid="{00000000-0005-0000-0000-00005A040000}"/>
    <cellStyle name="Input [yellow]" xfId="187" xr:uid="{00000000-0005-0000-0000-00005B040000}"/>
    <cellStyle name="Input 0" xfId="1897" xr:uid="{00000000-0005-0000-0000-00005C040000}"/>
    <cellStyle name="Input 0,0" xfId="1898" xr:uid="{00000000-0005-0000-0000-00005D040000}"/>
    <cellStyle name="Input 0_Analise PDD 2003 " xfId="1899" xr:uid="{00000000-0005-0000-0000-00005E040000}"/>
    <cellStyle name="iNPUT 10" xfId="1133" xr:uid="{00000000-0005-0000-0000-00005F040000}"/>
    <cellStyle name="iNPUT 11" xfId="1154" xr:uid="{00000000-0005-0000-0000-000060040000}"/>
    <cellStyle name="iNPUT 12" xfId="1249" xr:uid="{00000000-0005-0000-0000-000061040000}"/>
    <cellStyle name="iNPUT 13" xfId="1114" xr:uid="{00000000-0005-0000-0000-000062040000}"/>
    <cellStyle name="iNPUT 14" xfId="1077" xr:uid="{00000000-0005-0000-0000-000063040000}"/>
    <cellStyle name="input 15" xfId="1283" xr:uid="{00000000-0005-0000-0000-000064040000}"/>
    <cellStyle name="Input 2" xfId="871" xr:uid="{00000000-0005-0000-0000-000065040000}"/>
    <cellStyle name="Input 2 2" xfId="1900" xr:uid="{00000000-0005-0000-0000-000066040000}"/>
    <cellStyle name="iNPUT 3" xfId="1011" xr:uid="{00000000-0005-0000-0000-000067040000}"/>
    <cellStyle name="iNPUT 4" xfId="977" xr:uid="{00000000-0005-0000-0000-000068040000}"/>
    <cellStyle name="iNPUT 5" xfId="993" xr:uid="{00000000-0005-0000-0000-000069040000}"/>
    <cellStyle name="iNPUT 6" xfId="976" xr:uid="{00000000-0005-0000-0000-00006A040000}"/>
    <cellStyle name="iNPUT 7" xfId="995" xr:uid="{00000000-0005-0000-0000-00006B040000}"/>
    <cellStyle name="iNPUT 8" xfId="975" xr:uid="{00000000-0005-0000-0000-00006C040000}"/>
    <cellStyle name="iNPUT 9" xfId="996" xr:uid="{00000000-0005-0000-0000-00006D040000}"/>
    <cellStyle name="Input calculation" xfId="188" xr:uid="{00000000-0005-0000-0000-00006E040000}"/>
    <cellStyle name="Input calculation 2" xfId="1284" xr:uid="{00000000-0005-0000-0000-00006F040000}"/>
    <cellStyle name="Input Cell" xfId="1901" xr:uid="{00000000-0005-0000-0000-000070040000}"/>
    <cellStyle name="Input Cells" xfId="189" xr:uid="{00000000-0005-0000-0000-000071040000}"/>
    <cellStyle name="Input Currency" xfId="190" xr:uid="{00000000-0005-0000-0000-000072040000}"/>
    <cellStyle name="Input Currency 2" xfId="685" xr:uid="{00000000-0005-0000-0000-000073040000}"/>
    <cellStyle name="Input data" xfId="191" xr:uid="{00000000-0005-0000-0000-000074040000}"/>
    <cellStyle name="Input data 2" xfId="1285" xr:uid="{00000000-0005-0000-0000-000075040000}"/>
    <cellStyle name="Input Date" xfId="192" xr:uid="{00000000-0005-0000-0000-000076040000}"/>
    <cellStyle name="Input Date 2" xfId="686" xr:uid="{00000000-0005-0000-0000-000077040000}"/>
    <cellStyle name="Input Date 2 2" xfId="1902" xr:uid="{00000000-0005-0000-0000-000078040000}"/>
    <cellStyle name="Input estimate" xfId="193" xr:uid="{00000000-0005-0000-0000-000079040000}"/>
    <cellStyle name="Input estimate 2" xfId="1286" xr:uid="{00000000-0005-0000-0000-00007A040000}"/>
    <cellStyle name="Input Fixed [0]" xfId="194" xr:uid="{00000000-0005-0000-0000-00007B040000}"/>
    <cellStyle name="Input Fixed [0] 2" xfId="687" xr:uid="{00000000-0005-0000-0000-00007C040000}"/>
    <cellStyle name="Input link" xfId="195" xr:uid="{00000000-0005-0000-0000-00007D040000}"/>
    <cellStyle name="Input link (different workbook)" xfId="196" xr:uid="{00000000-0005-0000-0000-00007E040000}"/>
    <cellStyle name="Input link (different workbook) 2" xfId="1288" xr:uid="{00000000-0005-0000-0000-00007F040000}"/>
    <cellStyle name="Input link 2" xfId="1287" xr:uid="{00000000-0005-0000-0000-000080040000}"/>
    <cellStyle name="Input Link_Copy of ESA5 ForecastScaling" xfId="197" xr:uid="{00000000-0005-0000-0000-000081040000}"/>
    <cellStyle name="Input Normal" xfId="198" xr:uid="{00000000-0005-0000-0000-000082040000}"/>
    <cellStyle name="Input parameter" xfId="199" xr:uid="{00000000-0005-0000-0000-000083040000}"/>
    <cellStyle name="Input parameter 2" xfId="1289" xr:uid="{00000000-0005-0000-0000-000084040000}"/>
    <cellStyle name="Input Percent" xfId="200" xr:uid="{00000000-0005-0000-0000-000085040000}"/>
    <cellStyle name="Input Percent [2]" xfId="201" xr:uid="{00000000-0005-0000-0000-000086040000}"/>
    <cellStyle name="Input Percent 10" xfId="971" xr:uid="{00000000-0005-0000-0000-000087040000}"/>
    <cellStyle name="Input Percent 11" xfId="1003" xr:uid="{00000000-0005-0000-0000-000088040000}"/>
    <cellStyle name="Input Percent 12" xfId="1010" xr:uid="{00000000-0005-0000-0000-000089040000}"/>
    <cellStyle name="Input Percent 13" xfId="1000" xr:uid="{00000000-0005-0000-0000-00008A040000}"/>
    <cellStyle name="Input Percent 14" xfId="1013" xr:uid="{00000000-0005-0000-0000-00008B040000}"/>
    <cellStyle name="Input Percent 15" xfId="1001" xr:uid="{00000000-0005-0000-0000-00008C040000}"/>
    <cellStyle name="Input Percent 16" xfId="1012" xr:uid="{00000000-0005-0000-0000-00008D040000}"/>
    <cellStyle name="Input Percent 17" xfId="1132" xr:uid="{00000000-0005-0000-0000-00008E040000}"/>
    <cellStyle name="Input Percent 18" xfId="1009" xr:uid="{00000000-0005-0000-0000-00008F040000}"/>
    <cellStyle name="Input Percent 19" xfId="991" xr:uid="{00000000-0005-0000-0000-000090040000}"/>
    <cellStyle name="Input Percent 2" xfId="688" xr:uid="{00000000-0005-0000-0000-000091040000}"/>
    <cellStyle name="Input Percent 2 2" xfId="1903" xr:uid="{00000000-0005-0000-0000-000092040000}"/>
    <cellStyle name="Input Percent 20" xfId="1004" xr:uid="{00000000-0005-0000-0000-000093040000}"/>
    <cellStyle name="Input Percent 21" xfId="994" xr:uid="{00000000-0005-0000-0000-000094040000}"/>
    <cellStyle name="Input Percent 3" xfId="898" xr:uid="{00000000-0005-0000-0000-000095040000}"/>
    <cellStyle name="Input Percent 3 2" xfId="1904" xr:uid="{00000000-0005-0000-0000-000096040000}"/>
    <cellStyle name="Input Percent 4" xfId="899" xr:uid="{00000000-0005-0000-0000-000097040000}"/>
    <cellStyle name="Input Percent 5" xfId="1014" xr:uid="{00000000-0005-0000-0000-000098040000}"/>
    <cellStyle name="Input Percent 6" xfId="974" xr:uid="{00000000-0005-0000-0000-000099040000}"/>
    <cellStyle name="Input Percent 7" xfId="998" xr:uid="{00000000-0005-0000-0000-00009A040000}"/>
    <cellStyle name="Input Percent 8" xfId="972" xr:uid="{00000000-0005-0000-0000-00009B040000}"/>
    <cellStyle name="Input Percent 9" xfId="1002" xr:uid="{00000000-0005-0000-0000-00009C040000}"/>
    <cellStyle name="Input Percent_Book1" xfId="202" xr:uid="{00000000-0005-0000-0000-00009D040000}"/>
    <cellStyle name="Input Titles" xfId="203" xr:uid="{00000000-0005-0000-0000-00009E040000}"/>
    <cellStyle name="Input%" xfId="204" xr:uid="{00000000-0005-0000-0000-00009F040000}"/>
    <cellStyle name="Input% 2" xfId="689" xr:uid="{00000000-0005-0000-0000-0000A0040000}"/>
    <cellStyle name="Input% 3" xfId="1905" xr:uid="{00000000-0005-0000-0000-0000A1040000}"/>
    <cellStyle name="Input% 3 2" xfId="1906" xr:uid="{00000000-0005-0000-0000-0000A2040000}"/>
    <cellStyle name="Input_AMT Model New 11-16-2011" xfId="1017" xr:uid="{00000000-0005-0000-0000-0000A3040000}"/>
    <cellStyle name="Input0dec" xfId="205" xr:uid="{00000000-0005-0000-0000-0000A4040000}"/>
    <cellStyle name="Input0dec 2" xfId="690" xr:uid="{00000000-0005-0000-0000-0000A5040000}"/>
    <cellStyle name="Input0dec 2 2" xfId="1907" xr:uid="{00000000-0005-0000-0000-0000A6040000}"/>
    <cellStyle name="Input2" xfId="1908" xr:uid="{00000000-0005-0000-0000-0000A7040000}"/>
    <cellStyle name="Input2dec" xfId="206" xr:uid="{00000000-0005-0000-0000-0000A8040000}"/>
    <cellStyle name="Input2dec 2" xfId="691" xr:uid="{00000000-0005-0000-0000-0000A9040000}"/>
    <cellStyle name="Input2dec 2 2" xfId="1909" xr:uid="{00000000-0005-0000-0000-0000AA040000}"/>
    <cellStyle name="InputBlueFont" xfId="207" xr:uid="{00000000-0005-0000-0000-0000AB040000}"/>
    <cellStyle name="InputBlueFont 2" xfId="1910" xr:uid="{00000000-0005-0000-0000-0000AC040000}"/>
    <cellStyle name="InputBlueFont 3" xfId="1911" xr:uid="{00000000-0005-0000-0000-0000AD040000}"/>
    <cellStyle name="InputBlueFont 3 2" xfId="1912" xr:uid="{00000000-0005-0000-0000-0000AE040000}"/>
    <cellStyle name="InputBlueFont 4" xfId="1913" xr:uid="{00000000-0005-0000-0000-0000AF040000}"/>
    <cellStyle name="InputBlueFont 5" xfId="1914" xr:uid="{00000000-0005-0000-0000-0000B0040000}"/>
    <cellStyle name="InputDate" xfId="208" xr:uid="{00000000-0005-0000-0000-0000B1040000}"/>
    <cellStyle name="InputDate 2" xfId="1915" xr:uid="{00000000-0005-0000-0000-0000B2040000}"/>
    <cellStyle name="InputDate 3" xfId="1916" xr:uid="{00000000-0005-0000-0000-0000B3040000}"/>
    <cellStyle name="InputDate 3 2" xfId="1917" xr:uid="{00000000-0005-0000-0000-0000B4040000}"/>
    <cellStyle name="InputDecimal" xfId="209" xr:uid="{00000000-0005-0000-0000-0000B5040000}"/>
    <cellStyle name="InputDecimal 2" xfId="1918" xr:uid="{00000000-0005-0000-0000-0000B6040000}"/>
    <cellStyle name="InputDecimal 3" xfId="1919" xr:uid="{00000000-0005-0000-0000-0000B7040000}"/>
    <cellStyle name="InputDecimal 3 2" xfId="1920" xr:uid="{00000000-0005-0000-0000-0000B8040000}"/>
    <cellStyle name="InputValue" xfId="210" xr:uid="{00000000-0005-0000-0000-0000B9040000}"/>
    <cellStyle name="InputValue 2" xfId="1921" xr:uid="{00000000-0005-0000-0000-0000BA040000}"/>
    <cellStyle name="InputValue 3" xfId="1922" xr:uid="{00000000-0005-0000-0000-0000BB040000}"/>
    <cellStyle name="InputValue 3 2" xfId="1923" xr:uid="{00000000-0005-0000-0000-0000BC040000}"/>
    <cellStyle name="Integer" xfId="211" xr:uid="{00000000-0005-0000-0000-0000BD040000}"/>
    <cellStyle name="Integer 2" xfId="692" xr:uid="{00000000-0005-0000-0000-0000BE040000}"/>
    <cellStyle name="Integer 3" xfId="1924" xr:uid="{00000000-0005-0000-0000-0000BF040000}"/>
    <cellStyle name="Integer 3 2" xfId="1925" xr:uid="{00000000-0005-0000-0000-0000C0040000}"/>
    <cellStyle name="Item" xfId="212" xr:uid="{00000000-0005-0000-0000-0000C1040000}"/>
    <cellStyle name="Item 2" xfId="693" xr:uid="{00000000-0005-0000-0000-0000C2040000}"/>
    <cellStyle name="Item 3" xfId="1926" xr:uid="{00000000-0005-0000-0000-0000C3040000}"/>
    <cellStyle name="Item 3 2" xfId="1927" xr:uid="{00000000-0005-0000-0000-0000C4040000}"/>
    <cellStyle name="Item 4" xfId="1928" xr:uid="{00000000-0005-0000-0000-0000C5040000}"/>
    <cellStyle name="Items_Optional" xfId="213" xr:uid="{00000000-0005-0000-0000-0000C6040000}"/>
    <cellStyle name="ItemTypeClass" xfId="214" xr:uid="{00000000-0005-0000-0000-0000C7040000}"/>
    <cellStyle name="ItemTypeClass 2" xfId="694" xr:uid="{00000000-0005-0000-0000-0000C8040000}"/>
    <cellStyle name="ItemTypeClass 2 2" xfId="1415" xr:uid="{00000000-0005-0000-0000-0000C9040000}"/>
    <cellStyle name="ItemTypeClass 3" xfId="1290" xr:uid="{00000000-0005-0000-0000-0000CA040000}"/>
    <cellStyle name="ItemTypeClass 3 2" xfId="1929" xr:uid="{00000000-0005-0000-0000-0000CB040000}"/>
    <cellStyle name="James" xfId="215" xr:uid="{00000000-0005-0000-0000-0000CC040000}"/>
    <cellStyle name="kopregel" xfId="216" xr:uid="{00000000-0005-0000-0000-0000CD040000}"/>
    <cellStyle name="KP_Normal" xfId="695" xr:uid="{00000000-0005-0000-0000-0000CE040000}"/>
    <cellStyle name="KPMG Heading 1" xfId="1930" xr:uid="{00000000-0005-0000-0000-0000CF040000}"/>
    <cellStyle name="KPMG Heading 2" xfId="1931" xr:uid="{00000000-0005-0000-0000-0000D0040000}"/>
    <cellStyle name="KPMG Heading 3" xfId="1932" xr:uid="{00000000-0005-0000-0000-0000D1040000}"/>
    <cellStyle name="KPMG Heading 4" xfId="1933" xr:uid="{00000000-0005-0000-0000-0000D2040000}"/>
    <cellStyle name="KPMG Normal" xfId="1934" xr:uid="{00000000-0005-0000-0000-0000D3040000}"/>
    <cellStyle name="KPMG Normal Text" xfId="1935" xr:uid="{00000000-0005-0000-0000-0000D4040000}"/>
    <cellStyle name="LEVERS69" xfId="696" xr:uid="{00000000-0005-0000-0000-0000D5040000}"/>
    <cellStyle name="LEVERS69 2" xfId="1161" xr:uid="{00000000-0005-0000-0000-0000D6040000}"/>
    <cellStyle name="Libellés" xfId="217" xr:uid="{00000000-0005-0000-0000-0000D7040000}"/>
    <cellStyle name="Link" xfId="1936" xr:uid="{00000000-0005-0000-0000-0000D8040000}"/>
    <cellStyle name="Linked" xfId="218" xr:uid="{00000000-0005-0000-0000-0000D9040000}"/>
    <cellStyle name="Linked 2" xfId="1937" xr:uid="{00000000-0005-0000-0000-0000DA040000}"/>
    <cellStyle name="Linked 2 2" xfId="1938" xr:uid="{00000000-0005-0000-0000-0000DB040000}"/>
    <cellStyle name="Linked 3" xfId="1939" xr:uid="{00000000-0005-0000-0000-0000DC040000}"/>
    <cellStyle name="Linked 4" xfId="1940" xr:uid="{00000000-0005-0000-0000-0000DD040000}"/>
    <cellStyle name="Linked Cell 2" xfId="872" xr:uid="{00000000-0005-0000-0000-0000DE040000}"/>
    <cellStyle name="Linked Cell 3" xfId="1018" xr:uid="{00000000-0005-0000-0000-0000DF040000}"/>
    <cellStyle name="Linked Cells" xfId="219" xr:uid="{00000000-0005-0000-0000-0000E0040000}"/>
    <cellStyle name="Linked Cells 2" xfId="1941" xr:uid="{00000000-0005-0000-0000-0000E1040000}"/>
    <cellStyle name="Linked Cells 3" xfId="1942" xr:uid="{00000000-0005-0000-0000-0000E2040000}"/>
    <cellStyle name="Linked Cells 3 2" xfId="1943" xr:uid="{00000000-0005-0000-0000-0000E3040000}"/>
    <cellStyle name="Locked" xfId="220" xr:uid="{00000000-0005-0000-0000-0000E4040000}"/>
    <cellStyle name="Lookup_target" xfId="1944" xr:uid="{00000000-0005-0000-0000-0000E5040000}"/>
    <cellStyle name="MacroCode" xfId="697" xr:uid="{00000000-0005-0000-0000-0000E6040000}"/>
    <cellStyle name="Main Title" xfId="221" xr:uid="{00000000-0005-0000-0000-0000E7040000}"/>
    <cellStyle name="Main Title 2" xfId="1945" xr:uid="{00000000-0005-0000-0000-0000E8040000}"/>
    <cellStyle name="Main Title 3" xfId="1946" xr:uid="{00000000-0005-0000-0000-0000E9040000}"/>
    <cellStyle name="Main Title 3 2" xfId="1947" xr:uid="{00000000-0005-0000-0000-0000EA040000}"/>
    <cellStyle name="Mainhead" xfId="698" xr:uid="{00000000-0005-0000-0000-0000EB040000}"/>
    <cellStyle name="margenta-f" xfId="222" xr:uid="{00000000-0005-0000-0000-0000EC040000}"/>
    <cellStyle name="margenta-f 2" xfId="1948" xr:uid="{00000000-0005-0000-0000-0000ED040000}"/>
    <cellStyle name="margenta-f 2 2" xfId="1949" xr:uid="{00000000-0005-0000-0000-0000EE040000}"/>
    <cellStyle name="Margin" xfId="223" xr:uid="{00000000-0005-0000-0000-0000EF040000}"/>
    <cellStyle name="Margin 2" xfId="1950" xr:uid="{00000000-0005-0000-0000-0000F0040000}"/>
    <cellStyle name="Margin 3" xfId="1951" xr:uid="{00000000-0005-0000-0000-0000F1040000}"/>
    <cellStyle name="Margins" xfId="224" xr:uid="{00000000-0005-0000-0000-0000F2040000}"/>
    <cellStyle name="Margins 2" xfId="699" xr:uid="{00000000-0005-0000-0000-0000F3040000}"/>
    <cellStyle name="Margins 2 2" xfId="1952" xr:uid="{00000000-0005-0000-0000-0000F4040000}"/>
    <cellStyle name="MetricLabel" xfId="225" xr:uid="{00000000-0005-0000-0000-0000F5040000}"/>
    <cellStyle name="MetricLabel 2" xfId="1953" xr:uid="{00000000-0005-0000-0000-0000F6040000}"/>
    <cellStyle name="MetricLabel 3" xfId="1954" xr:uid="{00000000-0005-0000-0000-0000F7040000}"/>
    <cellStyle name="MetricLabel 3 2" xfId="1955" xr:uid="{00000000-0005-0000-0000-0000F8040000}"/>
    <cellStyle name="MetricLabelBlue" xfId="226" xr:uid="{00000000-0005-0000-0000-0000F9040000}"/>
    <cellStyle name="MetricLabelBlue 2" xfId="1956" xr:uid="{00000000-0005-0000-0000-0000FA040000}"/>
    <cellStyle name="MetricLabelBlue 3" xfId="1957" xr:uid="{00000000-0005-0000-0000-0000FB040000}"/>
    <cellStyle name="MetricLabelBlue 3 2" xfId="1958" xr:uid="{00000000-0005-0000-0000-0000FC040000}"/>
    <cellStyle name="MetricValue" xfId="227" xr:uid="{00000000-0005-0000-0000-0000FD040000}"/>
    <cellStyle name="MetricValue 2" xfId="1959" xr:uid="{00000000-0005-0000-0000-0000FE040000}"/>
    <cellStyle name="MetricValue 3" xfId="1960" xr:uid="{00000000-0005-0000-0000-0000FF040000}"/>
    <cellStyle name="MetricValue 3 2" xfId="1961" xr:uid="{00000000-0005-0000-0000-000000050000}"/>
    <cellStyle name="Migliaia (0)" xfId="1962" xr:uid="{00000000-0005-0000-0000-000001050000}"/>
    <cellStyle name="Migliaia_Foglio1" xfId="228" xr:uid="{00000000-0005-0000-0000-000002050000}"/>
    <cellStyle name="Mike" xfId="700" xr:uid="{00000000-0005-0000-0000-000003050000}"/>
    <cellStyle name="Millares [0]_10 AVERIAS MASIVAS + ANT" xfId="1963" xr:uid="{00000000-0005-0000-0000-000004050000}"/>
    <cellStyle name="Millares_10 AVERIAS MASIVAS + ANT" xfId="1964" xr:uid="{00000000-0005-0000-0000-000005050000}"/>
    <cellStyle name="Milliers [0]_Aimants permanents" xfId="229" xr:uid="{00000000-0005-0000-0000-000006050000}"/>
    <cellStyle name="Milliers [00]" xfId="230" xr:uid="{00000000-0005-0000-0000-000007050000}"/>
    <cellStyle name="Milliers [00] 2" xfId="1965" xr:uid="{00000000-0005-0000-0000-000008050000}"/>
    <cellStyle name="Milliers [00] 3" xfId="1966" xr:uid="{00000000-0005-0000-0000-000009050000}"/>
    <cellStyle name="Milliers [00] 3 2" xfId="1967" xr:uid="{00000000-0005-0000-0000-00000A050000}"/>
    <cellStyle name="Milliers_Aimants permanents" xfId="231" xr:uid="{00000000-0005-0000-0000-00000B050000}"/>
    <cellStyle name="Millions" xfId="701" xr:uid="{00000000-0005-0000-0000-00000C050000}"/>
    <cellStyle name="mine" xfId="232" xr:uid="{00000000-0005-0000-0000-00000D050000}"/>
    <cellStyle name="mine 2" xfId="1968" xr:uid="{00000000-0005-0000-0000-00000E050000}"/>
    <cellStyle name="mine 3" xfId="1969" xr:uid="{00000000-0005-0000-0000-00000F050000}"/>
    <cellStyle name="mine 3 2" xfId="1970" xr:uid="{00000000-0005-0000-0000-000010050000}"/>
    <cellStyle name="Model" xfId="233" xr:uid="{00000000-0005-0000-0000-000011050000}"/>
    <cellStyle name="Model 2" xfId="702" xr:uid="{00000000-0005-0000-0000-000012050000}"/>
    <cellStyle name="Model 3" xfId="1971" xr:uid="{00000000-0005-0000-0000-000013050000}"/>
    <cellStyle name="Model 3 2" xfId="1972" xr:uid="{00000000-0005-0000-0000-000014050000}"/>
    <cellStyle name="Models" xfId="703" xr:uid="{00000000-0005-0000-0000-000015050000}"/>
    <cellStyle name="Moneda [0]_10 AVERIAS MASIVAS + ANT" xfId="1973" xr:uid="{00000000-0005-0000-0000-000016050000}"/>
    <cellStyle name="Moneda_10 AVERIAS MASIVAS + ANT" xfId="1974" xr:uid="{00000000-0005-0000-0000-000017050000}"/>
    <cellStyle name="Monétaire [0]_Aimants permanents" xfId="234" xr:uid="{00000000-0005-0000-0000-000018050000}"/>
    <cellStyle name="Monetaire [0]_laroux" xfId="1975" xr:uid="{00000000-0005-0000-0000-000019050000}"/>
    <cellStyle name="Monétaire [0]_laroux" xfId="1976" xr:uid="{00000000-0005-0000-0000-00001A050000}"/>
    <cellStyle name="Monetaire [0]_laroux_1" xfId="1977" xr:uid="{00000000-0005-0000-0000-00001B050000}"/>
    <cellStyle name="Monétaire [0]_laroux_1" xfId="1978" xr:uid="{00000000-0005-0000-0000-00001C050000}"/>
    <cellStyle name="Monetaire [0]_laroux_2" xfId="1979" xr:uid="{00000000-0005-0000-0000-00001D050000}"/>
    <cellStyle name="Monétaire [0]_laroux_2" xfId="1980" xr:uid="{00000000-0005-0000-0000-00001E050000}"/>
    <cellStyle name="Monétaire [00]" xfId="235" xr:uid="{00000000-0005-0000-0000-00001F050000}"/>
    <cellStyle name="Monétaire [00] 2" xfId="1981" xr:uid="{00000000-0005-0000-0000-000020050000}"/>
    <cellStyle name="Monétaire [00] 3" xfId="1982" xr:uid="{00000000-0005-0000-0000-000021050000}"/>
    <cellStyle name="Monétaire [00] 3 2" xfId="1983" xr:uid="{00000000-0005-0000-0000-000022050000}"/>
    <cellStyle name="Monétaire_Aimants permanents" xfId="236" xr:uid="{00000000-0005-0000-0000-000023050000}"/>
    <cellStyle name="Monetaire_laroux" xfId="1984" xr:uid="{00000000-0005-0000-0000-000024050000}"/>
    <cellStyle name="Monétaire_laroux" xfId="1985" xr:uid="{00000000-0005-0000-0000-000025050000}"/>
    <cellStyle name="Monetaire_laroux_1" xfId="1986" xr:uid="{00000000-0005-0000-0000-000026050000}"/>
    <cellStyle name="Monétaire_laroux_1" xfId="1987" xr:uid="{00000000-0005-0000-0000-000027050000}"/>
    <cellStyle name="Monetaire_laroux_2" xfId="1988" xr:uid="{00000000-0005-0000-0000-000028050000}"/>
    <cellStyle name="Monétaire_laroux_2" xfId="1989" xr:uid="{00000000-0005-0000-0000-000029050000}"/>
    <cellStyle name="Monetario" xfId="1990" xr:uid="{00000000-0005-0000-0000-00002A050000}"/>
    <cellStyle name="Multiple" xfId="237" xr:uid="{00000000-0005-0000-0000-00002B050000}"/>
    <cellStyle name="Multiple 2" xfId="704" xr:uid="{00000000-0005-0000-0000-00002C050000}"/>
    <cellStyle name="MultipleBelow" xfId="705" xr:uid="{00000000-0005-0000-0000-00002D050000}"/>
    <cellStyle name="MultipleBelow 2" xfId="1166" xr:uid="{00000000-0005-0000-0000-00002E050000}"/>
    <cellStyle name="NA is zero" xfId="238" xr:uid="{00000000-0005-0000-0000-00002F050000}"/>
    <cellStyle name="NA is zero 2" xfId="706" xr:uid="{00000000-0005-0000-0000-000030050000}"/>
    <cellStyle name="NA is zero 2 2" xfId="1991" xr:uid="{00000000-0005-0000-0000-000031050000}"/>
    <cellStyle name="Name" xfId="239" xr:uid="{00000000-0005-0000-0000-000032050000}"/>
    <cellStyle name="neg0.0" xfId="240" xr:uid="{00000000-0005-0000-0000-000033050000}"/>
    <cellStyle name="neg0.0 2" xfId="1992" xr:uid="{00000000-0005-0000-0000-000034050000}"/>
    <cellStyle name="neg0.0 3" xfId="1993" xr:uid="{00000000-0005-0000-0000-000035050000}"/>
    <cellStyle name="neg0.0 3 2" xfId="1994" xr:uid="{00000000-0005-0000-0000-000036050000}"/>
    <cellStyle name="neg0.0 4" xfId="1995" xr:uid="{00000000-0005-0000-0000-000037050000}"/>
    <cellStyle name="neg0.0 5" xfId="1996" xr:uid="{00000000-0005-0000-0000-000038050000}"/>
    <cellStyle name="neg0.0 6" xfId="1997" xr:uid="{00000000-0005-0000-0000-000039050000}"/>
    <cellStyle name="Neutral 2" xfId="873" xr:uid="{00000000-0005-0000-0000-00003A050000}"/>
    <cellStyle name="Neutral 3" xfId="874" xr:uid="{00000000-0005-0000-0000-00003B050000}"/>
    <cellStyle name="Neutral 4" xfId="1022" xr:uid="{00000000-0005-0000-0000-00003C050000}"/>
    <cellStyle name="no dec" xfId="241" xr:uid="{00000000-0005-0000-0000-00003D050000}"/>
    <cellStyle name="no dec 2" xfId="1998" xr:uid="{00000000-0005-0000-0000-00003E050000}"/>
    <cellStyle name="no dec 2 2" xfId="1999" xr:uid="{00000000-0005-0000-0000-00003F050000}"/>
    <cellStyle name="No zero - 1dp" xfId="707" xr:uid="{00000000-0005-0000-0000-000040050000}"/>
    <cellStyle name="No zero - 1dp 2" xfId="1169" xr:uid="{00000000-0005-0000-0000-000041050000}"/>
    <cellStyle name="No zero - percent" xfId="708" xr:uid="{00000000-0005-0000-0000-000042050000}"/>
    <cellStyle name="No zero - percent 2" xfId="1170" xr:uid="{00000000-0005-0000-0000-000043050000}"/>
    <cellStyle name="No zero - percent 2 2" xfId="1493" xr:uid="{00000000-0005-0000-0000-000044050000}"/>
    <cellStyle name="No zero - percent 3" xfId="1416" xr:uid="{00000000-0005-0000-0000-000045050000}"/>
    <cellStyle name="Normal" xfId="0" builtinId="0"/>
    <cellStyle name="Normal - Style1" xfId="242" xr:uid="{00000000-0005-0000-0000-000047050000}"/>
    <cellStyle name="Normal - Style1 2" xfId="709" xr:uid="{00000000-0005-0000-0000-000048050000}"/>
    <cellStyle name="Normal - Style1 3" xfId="2000" xr:uid="{00000000-0005-0000-0000-000049050000}"/>
    <cellStyle name="Normal - Style1 3 2" xfId="2001" xr:uid="{00000000-0005-0000-0000-00004A050000}"/>
    <cellStyle name="Normal - Style1 4" xfId="2002" xr:uid="{00000000-0005-0000-0000-00004B050000}"/>
    <cellStyle name="Normal (%)" xfId="710" xr:uid="{00000000-0005-0000-0000-00004C050000}"/>
    <cellStyle name="Normal (%) 2" xfId="1171" xr:uid="{00000000-0005-0000-0000-00004D050000}"/>
    <cellStyle name="Normal (£m)" xfId="711" xr:uid="{00000000-0005-0000-0000-00004E050000}"/>
    <cellStyle name="Normal (B)" xfId="712" xr:uid="{00000000-0005-0000-0000-00004F050000}"/>
    <cellStyle name="Normal (G)" xfId="713" xr:uid="{00000000-0005-0000-0000-000050050000}"/>
    <cellStyle name="Normal (No)" xfId="714" xr:uid="{00000000-0005-0000-0000-000051050000}"/>
    <cellStyle name="Normal (no,)" xfId="243" xr:uid="{00000000-0005-0000-0000-000052050000}"/>
    <cellStyle name="Normal (x)" xfId="715" xr:uid="{00000000-0005-0000-0000-000053050000}"/>
    <cellStyle name="Normal (x) 2" xfId="1175" xr:uid="{00000000-0005-0000-0000-000054050000}"/>
    <cellStyle name="Normal [0]" xfId="244" xr:uid="{00000000-0005-0000-0000-000055050000}"/>
    <cellStyle name="Normal [1]" xfId="245" xr:uid="{00000000-0005-0000-0000-000056050000}"/>
    <cellStyle name="Normal [1] 2" xfId="2003" xr:uid="{00000000-0005-0000-0000-000057050000}"/>
    <cellStyle name="Normal [1] 2 2" xfId="2004" xr:uid="{00000000-0005-0000-0000-000058050000}"/>
    <cellStyle name="Normal [2]" xfId="246" xr:uid="{00000000-0005-0000-0000-000059050000}"/>
    <cellStyle name="Normal [3]" xfId="247" xr:uid="{00000000-0005-0000-0000-00005A050000}"/>
    <cellStyle name="Normal [3] 2" xfId="716" xr:uid="{00000000-0005-0000-0000-00005B050000}"/>
    <cellStyle name="Normal [3] 2 2" xfId="2005" xr:uid="{00000000-0005-0000-0000-00005C050000}"/>
    <cellStyle name="Normal 1" xfId="248" xr:uid="{00000000-0005-0000-0000-00005D050000}"/>
    <cellStyle name="Normal 1 2" xfId="2006" xr:uid="{00000000-0005-0000-0000-00005E050000}"/>
    <cellStyle name="Normal 1 3" xfId="2007" xr:uid="{00000000-0005-0000-0000-00005F050000}"/>
    <cellStyle name="Normal 1 3 2" xfId="2008" xr:uid="{00000000-0005-0000-0000-000060050000}"/>
    <cellStyle name="Normal 10" xfId="460" xr:uid="{00000000-0005-0000-0000-000061050000}"/>
    <cellStyle name="Normal 10 2" xfId="1226" xr:uid="{00000000-0005-0000-0000-000062050000}"/>
    <cellStyle name="Normal 10 3" xfId="1331" xr:uid="{00000000-0005-0000-0000-000063050000}"/>
    <cellStyle name="Normal 11" xfId="463" xr:uid="{00000000-0005-0000-0000-000064050000}"/>
    <cellStyle name="Normal 11 2" xfId="1227" xr:uid="{00000000-0005-0000-0000-000065050000}"/>
    <cellStyle name="Normal 11 3" xfId="1334" xr:uid="{00000000-0005-0000-0000-000066050000}"/>
    <cellStyle name="Normal 12" xfId="466" xr:uid="{00000000-0005-0000-0000-000067050000}"/>
    <cellStyle name="Normal 12 2" xfId="1228" xr:uid="{00000000-0005-0000-0000-000068050000}"/>
    <cellStyle name="Normal 12 3" xfId="1337" xr:uid="{00000000-0005-0000-0000-000069050000}"/>
    <cellStyle name="Normal 13" xfId="469" xr:uid="{00000000-0005-0000-0000-00006A050000}"/>
    <cellStyle name="Normal 13 2" xfId="1229" xr:uid="{00000000-0005-0000-0000-00006B050000}"/>
    <cellStyle name="Normal 13 3" xfId="1340" xr:uid="{00000000-0005-0000-0000-00006C050000}"/>
    <cellStyle name="Normal 14" xfId="472" xr:uid="{00000000-0005-0000-0000-00006D050000}"/>
    <cellStyle name="Normal 14 2" xfId="1230" xr:uid="{00000000-0005-0000-0000-00006E050000}"/>
    <cellStyle name="Normal 14 3" xfId="1343" xr:uid="{00000000-0005-0000-0000-00006F050000}"/>
    <cellStyle name="Normal 144" xfId="875" xr:uid="{00000000-0005-0000-0000-000070050000}"/>
    <cellStyle name="Normal 15" xfId="475" xr:uid="{00000000-0005-0000-0000-000071050000}"/>
    <cellStyle name="Normal 15 2" xfId="1231" xr:uid="{00000000-0005-0000-0000-000072050000}"/>
    <cellStyle name="Normal 15 3" xfId="1346" xr:uid="{00000000-0005-0000-0000-000073050000}"/>
    <cellStyle name="Normal 16" xfId="478" xr:uid="{00000000-0005-0000-0000-000074050000}"/>
    <cellStyle name="Normal 16 2" xfId="1232" xr:uid="{00000000-0005-0000-0000-000075050000}"/>
    <cellStyle name="Normal 16 3" xfId="1349" xr:uid="{00000000-0005-0000-0000-000076050000}"/>
    <cellStyle name="Normal 17" xfId="481" xr:uid="{00000000-0005-0000-0000-000077050000}"/>
    <cellStyle name="Normal 17 2" xfId="1233" xr:uid="{00000000-0005-0000-0000-000078050000}"/>
    <cellStyle name="Normal 17 3" xfId="1352" xr:uid="{00000000-0005-0000-0000-000079050000}"/>
    <cellStyle name="Normal 18" xfId="484" xr:uid="{00000000-0005-0000-0000-00007A050000}"/>
    <cellStyle name="Normal 18 2" xfId="1234" xr:uid="{00000000-0005-0000-0000-00007B050000}"/>
    <cellStyle name="Normal 18 3" xfId="1355" xr:uid="{00000000-0005-0000-0000-00007C050000}"/>
    <cellStyle name="Normal 19" xfId="487" xr:uid="{00000000-0005-0000-0000-00007D050000}"/>
    <cellStyle name="Normal 19 2" xfId="822" xr:uid="{00000000-0005-0000-0000-00007E050000}"/>
    <cellStyle name="Normal 19 3" xfId="1235" xr:uid="{00000000-0005-0000-0000-00007F050000}"/>
    <cellStyle name="Normal 19 4" xfId="1358" xr:uid="{00000000-0005-0000-0000-000080050000}"/>
    <cellStyle name="Normal 2" xfId="249" xr:uid="{00000000-0005-0000-0000-000081050000}"/>
    <cellStyle name="Normal 2 2" xfId="812" xr:uid="{00000000-0005-0000-0000-000082050000}"/>
    <cellStyle name="Normal 2 3" xfId="876" xr:uid="{00000000-0005-0000-0000-000083050000}"/>
    <cellStyle name="Normal 2 3 2" xfId="1135" xr:uid="{00000000-0005-0000-0000-000084050000}"/>
    <cellStyle name="Normal 2 3 2 2" xfId="1485" xr:uid="{00000000-0005-0000-0000-000085050000}"/>
    <cellStyle name="Normal 2 3 3" xfId="1437" xr:uid="{00000000-0005-0000-0000-000086050000}"/>
    <cellStyle name="Normal 2 4" xfId="877" xr:uid="{00000000-0005-0000-0000-000087050000}"/>
    <cellStyle name="Normal 2 4 2" xfId="1136" xr:uid="{00000000-0005-0000-0000-000088050000}"/>
    <cellStyle name="Normal 2 4 2 2" xfId="1486" xr:uid="{00000000-0005-0000-0000-000089050000}"/>
    <cellStyle name="Normal 2 4 3" xfId="1438" xr:uid="{00000000-0005-0000-0000-00008A050000}"/>
    <cellStyle name="Normal 2 5" xfId="878" xr:uid="{00000000-0005-0000-0000-00008B050000}"/>
    <cellStyle name="Normal 2 5 2" xfId="1137" xr:uid="{00000000-0005-0000-0000-00008C050000}"/>
    <cellStyle name="Normal 2 5 2 2" xfId="1487" xr:uid="{00000000-0005-0000-0000-00008D050000}"/>
    <cellStyle name="Normal 2 5 3" xfId="1439" xr:uid="{00000000-0005-0000-0000-00008E050000}"/>
    <cellStyle name="Normal 2 6" xfId="879" xr:uid="{00000000-0005-0000-0000-00008F050000}"/>
    <cellStyle name="Normal 2 6 2" xfId="1138" xr:uid="{00000000-0005-0000-0000-000090050000}"/>
    <cellStyle name="Normal 2 6 2 2" xfId="1488" xr:uid="{00000000-0005-0000-0000-000091050000}"/>
    <cellStyle name="Normal 2 6 3" xfId="1440" xr:uid="{00000000-0005-0000-0000-000092050000}"/>
    <cellStyle name="Normal 2 7" xfId="880" xr:uid="{00000000-0005-0000-0000-000093050000}"/>
    <cellStyle name="Normal 2 7 2" xfId="1139" xr:uid="{00000000-0005-0000-0000-000094050000}"/>
    <cellStyle name="Normal 2 7 2 2" xfId="1489" xr:uid="{00000000-0005-0000-0000-000095050000}"/>
    <cellStyle name="Normal 2 7 3" xfId="1441" xr:uid="{00000000-0005-0000-0000-000096050000}"/>
    <cellStyle name="Normal 2 8" xfId="881" xr:uid="{00000000-0005-0000-0000-000097050000}"/>
    <cellStyle name="Normal 2 8 2" xfId="1140" xr:uid="{00000000-0005-0000-0000-000098050000}"/>
    <cellStyle name="Normal 2 8 2 2" xfId="1490" xr:uid="{00000000-0005-0000-0000-000099050000}"/>
    <cellStyle name="Normal 2 8 3" xfId="1442" xr:uid="{00000000-0005-0000-0000-00009A050000}"/>
    <cellStyle name="Normal 2 9" xfId="717" xr:uid="{00000000-0005-0000-0000-00009B050000}"/>
    <cellStyle name="Normal 20" xfId="490" xr:uid="{00000000-0005-0000-0000-00009C050000}"/>
    <cellStyle name="Normal 20 2" xfId="1236" xr:uid="{00000000-0005-0000-0000-00009D050000}"/>
    <cellStyle name="Normal 20 3" xfId="1361" xr:uid="{00000000-0005-0000-0000-00009E050000}"/>
    <cellStyle name="Normal 21" xfId="493" xr:uid="{00000000-0005-0000-0000-00009F050000}"/>
    <cellStyle name="Normal 21 2" xfId="1238" xr:uid="{00000000-0005-0000-0000-0000A0050000}"/>
    <cellStyle name="Normal 21 2 2" xfId="1494" xr:uid="{00000000-0005-0000-0000-0000A1050000}"/>
    <cellStyle name="Normal 21 3" xfId="1364" xr:uid="{00000000-0005-0000-0000-0000A2050000}"/>
    <cellStyle name="Normal 22" xfId="496" xr:uid="{00000000-0005-0000-0000-0000A3050000}"/>
    <cellStyle name="Normal 22 2" xfId="1240" xr:uid="{00000000-0005-0000-0000-0000A4050000}"/>
    <cellStyle name="Normal 22 2 2" xfId="1495" xr:uid="{00000000-0005-0000-0000-0000A5050000}"/>
    <cellStyle name="Normal 22 3" xfId="1367" xr:uid="{00000000-0005-0000-0000-0000A6050000}"/>
    <cellStyle name="Normal 23" xfId="499" xr:uid="{00000000-0005-0000-0000-0000A7050000}"/>
    <cellStyle name="Normal 23 2" xfId="1370" xr:uid="{00000000-0005-0000-0000-0000A8050000}"/>
    <cellStyle name="Normal 24" xfId="502" xr:uid="{00000000-0005-0000-0000-0000A9050000}"/>
    <cellStyle name="Normal 24 2" xfId="1373" xr:uid="{00000000-0005-0000-0000-0000AA050000}"/>
    <cellStyle name="Normal 25" xfId="505" xr:uid="{00000000-0005-0000-0000-0000AB050000}"/>
    <cellStyle name="Normal 25 2" xfId="1376" xr:uid="{00000000-0005-0000-0000-0000AC050000}"/>
    <cellStyle name="Normal 26" xfId="508" xr:uid="{00000000-0005-0000-0000-0000AD050000}"/>
    <cellStyle name="Normal 26 2" xfId="1379" xr:uid="{00000000-0005-0000-0000-0000AE050000}"/>
    <cellStyle name="Normal 27" xfId="511" xr:uid="{00000000-0005-0000-0000-0000AF050000}"/>
    <cellStyle name="Normal 27 2" xfId="1382" xr:uid="{00000000-0005-0000-0000-0000B0050000}"/>
    <cellStyle name="Normal 28" xfId="514" xr:uid="{00000000-0005-0000-0000-0000B1050000}"/>
    <cellStyle name="Normal 28 2" xfId="1385" xr:uid="{00000000-0005-0000-0000-0000B2050000}"/>
    <cellStyle name="Normal 29" xfId="517" xr:uid="{00000000-0005-0000-0000-0000B3050000}"/>
    <cellStyle name="Normal 29 2" xfId="1388" xr:uid="{00000000-0005-0000-0000-0000B4050000}"/>
    <cellStyle name="Normal 3" xfId="439" xr:uid="{00000000-0005-0000-0000-0000B5050000}"/>
    <cellStyle name="Normal 3 2" xfId="819" xr:uid="{00000000-0005-0000-0000-0000B6050000}"/>
    <cellStyle name="Normal 3 2 2" xfId="2009" xr:uid="{00000000-0005-0000-0000-0000B7050000}"/>
    <cellStyle name="Normal 3 3" xfId="718" xr:uid="{00000000-0005-0000-0000-0000B8050000}"/>
    <cellStyle name="Normal 3 4" xfId="1310" xr:uid="{00000000-0005-0000-0000-0000B9050000}"/>
    <cellStyle name="Normal 30" xfId="520" xr:uid="{00000000-0005-0000-0000-0000BA050000}"/>
    <cellStyle name="Normal 30 2" xfId="1391" xr:uid="{00000000-0005-0000-0000-0000BB050000}"/>
    <cellStyle name="Normal 31" xfId="523" xr:uid="{00000000-0005-0000-0000-0000BC050000}"/>
    <cellStyle name="Normal 31 2" xfId="1394" xr:uid="{00000000-0005-0000-0000-0000BD050000}"/>
    <cellStyle name="Normal 32" xfId="526" xr:uid="{00000000-0005-0000-0000-0000BE050000}"/>
    <cellStyle name="Normal 32 2" xfId="1397" xr:uid="{00000000-0005-0000-0000-0000BF050000}"/>
    <cellStyle name="Normal 33" xfId="529" xr:uid="{00000000-0005-0000-0000-0000C0050000}"/>
    <cellStyle name="Normal 33 2" xfId="1400" xr:uid="{00000000-0005-0000-0000-0000C1050000}"/>
    <cellStyle name="Normal 34" xfId="532" xr:uid="{00000000-0005-0000-0000-0000C2050000}"/>
    <cellStyle name="Normal 34 2" xfId="1403" xr:uid="{00000000-0005-0000-0000-0000C3050000}"/>
    <cellStyle name="Normal 35" xfId="535" xr:uid="{00000000-0005-0000-0000-0000C4050000}"/>
    <cellStyle name="Normal 35 2" xfId="1406" xr:uid="{00000000-0005-0000-0000-0000C5050000}"/>
    <cellStyle name="Normal 36" xfId="538" xr:uid="{00000000-0005-0000-0000-0000C6050000}"/>
    <cellStyle name="Normal 36 2" xfId="1409" xr:uid="{00000000-0005-0000-0000-0000C7050000}"/>
    <cellStyle name="Normal 37" xfId="802" xr:uid="{00000000-0005-0000-0000-0000C8050000}"/>
    <cellStyle name="Normal 37 2" xfId="1420" xr:uid="{00000000-0005-0000-0000-0000C9050000}"/>
    <cellStyle name="Normal 38" xfId="905" xr:uid="{00000000-0005-0000-0000-0000CA050000}"/>
    <cellStyle name="Normal 38 2" xfId="1446" xr:uid="{00000000-0005-0000-0000-0000CB050000}"/>
    <cellStyle name="Normal 39" xfId="906" xr:uid="{00000000-0005-0000-0000-0000CC050000}"/>
    <cellStyle name="Normal 4" xfId="442" xr:uid="{00000000-0005-0000-0000-0000CD050000}"/>
    <cellStyle name="Normal 4 2" xfId="814" xr:uid="{00000000-0005-0000-0000-0000CE050000}"/>
    <cellStyle name="Normal 4 2 2" xfId="2010" xr:uid="{00000000-0005-0000-0000-0000CF050000}"/>
    <cellStyle name="Normal 4 3" xfId="1049" xr:uid="{00000000-0005-0000-0000-0000D0050000}"/>
    <cellStyle name="Normal 4 4" xfId="1313" xr:uid="{00000000-0005-0000-0000-0000D1050000}"/>
    <cellStyle name="Normal 40" xfId="1067" xr:uid="{00000000-0005-0000-0000-0000D2050000}"/>
    <cellStyle name="Normal 41" xfId="1096" xr:uid="{00000000-0005-0000-0000-0000D3050000}"/>
    <cellStyle name="Normal 42" xfId="1061" xr:uid="{00000000-0005-0000-0000-0000D4050000}"/>
    <cellStyle name="Normal 43" xfId="1091" xr:uid="{00000000-0005-0000-0000-0000D5050000}"/>
    <cellStyle name="Normal 44" xfId="1056" xr:uid="{00000000-0005-0000-0000-0000D6050000}"/>
    <cellStyle name="Normal 45" xfId="1084" xr:uid="{00000000-0005-0000-0000-0000D7050000}"/>
    <cellStyle name="Normal 46" xfId="1053" xr:uid="{00000000-0005-0000-0000-0000D8050000}"/>
    <cellStyle name="Normal 46 2" xfId="1461" xr:uid="{00000000-0005-0000-0000-0000D9050000}"/>
    <cellStyle name="Normal 47" xfId="912" xr:uid="{00000000-0005-0000-0000-0000DA050000}"/>
    <cellStyle name="Normal 47 2" xfId="1448" xr:uid="{00000000-0005-0000-0000-0000DB050000}"/>
    <cellStyle name="Normal 48" xfId="1047" xr:uid="{00000000-0005-0000-0000-0000DC050000}"/>
    <cellStyle name="Normal 48 2" xfId="1459" xr:uid="{00000000-0005-0000-0000-0000DD050000}"/>
    <cellStyle name="Normal 49" xfId="957" xr:uid="{00000000-0005-0000-0000-0000DE050000}"/>
    <cellStyle name="Normal 49 2" xfId="1452" xr:uid="{00000000-0005-0000-0000-0000DF050000}"/>
    <cellStyle name="Normal 5" xfId="445" xr:uid="{00000000-0005-0000-0000-0000E0050000}"/>
    <cellStyle name="Normal 5 2" xfId="825" xr:uid="{00000000-0005-0000-0000-0000E1050000}"/>
    <cellStyle name="Normal 5 3" xfId="1069" xr:uid="{00000000-0005-0000-0000-0000E2050000}"/>
    <cellStyle name="Normal 5 3 2" xfId="1465" xr:uid="{00000000-0005-0000-0000-0000E3050000}"/>
    <cellStyle name="Normal 5 4" xfId="1194" xr:uid="{00000000-0005-0000-0000-0000E4050000}"/>
    <cellStyle name="Normal 5 5" xfId="1316" xr:uid="{00000000-0005-0000-0000-0000E5050000}"/>
    <cellStyle name="Normal 50" xfId="1036" xr:uid="{00000000-0005-0000-0000-0000E6050000}"/>
    <cellStyle name="Normal 50 2" xfId="1455" xr:uid="{00000000-0005-0000-0000-0000E7050000}"/>
    <cellStyle name="Normal 51" xfId="911" xr:uid="{00000000-0005-0000-0000-0000E8050000}"/>
    <cellStyle name="Normal 52" xfId="1104" xr:uid="{00000000-0005-0000-0000-0000E9050000}"/>
    <cellStyle name="Normal 53" xfId="1252" xr:uid="{00000000-0005-0000-0000-0000EA050000}"/>
    <cellStyle name="Normal 54" xfId="1021" xr:uid="{00000000-0005-0000-0000-0000EB050000}"/>
    <cellStyle name="Normal 55" xfId="1103" xr:uid="{00000000-0005-0000-0000-0000EC050000}"/>
    <cellStyle name="Normal 56" xfId="1259" xr:uid="{00000000-0005-0000-0000-0000ED050000}"/>
    <cellStyle name="Normal 57" xfId="1258" xr:uid="{00000000-0005-0000-0000-0000EE050000}"/>
    <cellStyle name="Normal 6" xfId="448" xr:uid="{00000000-0005-0000-0000-0000EF050000}"/>
    <cellStyle name="Normal 6 2" xfId="882" xr:uid="{00000000-0005-0000-0000-0000F0050000}"/>
    <cellStyle name="Normal 6 2 2" xfId="1076" xr:uid="{00000000-0005-0000-0000-0000F1050000}"/>
    <cellStyle name="Normal 6 2 2 2" xfId="1468" xr:uid="{00000000-0005-0000-0000-0000F2050000}"/>
    <cellStyle name="Normal 6 2 3" xfId="1443" xr:uid="{00000000-0005-0000-0000-0000F3050000}"/>
    <cellStyle name="Normal 6 3" xfId="1222" xr:uid="{00000000-0005-0000-0000-0000F4050000}"/>
    <cellStyle name="Normal 6 4" xfId="1319" xr:uid="{00000000-0005-0000-0000-0000F5050000}"/>
    <cellStyle name="Normal 7" xfId="451" xr:uid="{00000000-0005-0000-0000-0000F6050000}"/>
    <cellStyle name="Normal 7 2" xfId="1223" xr:uid="{00000000-0005-0000-0000-0000F7050000}"/>
    <cellStyle name="Normal 7 3" xfId="1322" xr:uid="{00000000-0005-0000-0000-0000F8050000}"/>
    <cellStyle name="Normal 8" xfId="454" xr:uid="{00000000-0005-0000-0000-0000F9050000}"/>
    <cellStyle name="Normal 8 2" xfId="1224" xr:uid="{00000000-0005-0000-0000-0000FA050000}"/>
    <cellStyle name="Normal 8 3" xfId="1325" xr:uid="{00000000-0005-0000-0000-0000FB050000}"/>
    <cellStyle name="Normal 9" xfId="457" xr:uid="{00000000-0005-0000-0000-0000FC050000}"/>
    <cellStyle name="Normal 9 2" xfId="1225" xr:uid="{00000000-0005-0000-0000-0000FD050000}"/>
    <cellStyle name="Normal 9 3" xfId="1328" xr:uid="{00000000-0005-0000-0000-0000FE050000}"/>
    <cellStyle name="Normal Bold" xfId="250" xr:uid="{00000000-0005-0000-0000-0000FF050000}"/>
    <cellStyle name="Normal bold 2" xfId="2011" xr:uid="{00000000-0005-0000-0000-000000060000}"/>
    <cellStyle name="Normal Cells" xfId="2012" xr:uid="{00000000-0005-0000-0000-000001060000}"/>
    <cellStyle name="Normal Italic" xfId="2013" xr:uid="{00000000-0005-0000-0000-000002060000}"/>
    <cellStyle name="Normal Italics" xfId="2014" xr:uid="{00000000-0005-0000-0000-000003060000}"/>
    <cellStyle name="Normal Pct" xfId="251" xr:uid="{00000000-0005-0000-0000-000004060000}"/>
    <cellStyle name="Normal Pct 2" xfId="719" xr:uid="{00000000-0005-0000-0000-000005060000}"/>
    <cellStyle name="Normal_FTsummod1" xfId="252" xr:uid="{00000000-0005-0000-0000-000006060000}"/>
    <cellStyle name="Normal_Thegeorge" xfId="253" xr:uid="{00000000-0005-0000-0000-000007060000}"/>
    <cellStyle name="NormalE" xfId="254" xr:uid="{00000000-0005-0000-0000-000008060000}"/>
    <cellStyle name="NormalE 2" xfId="1183" xr:uid="{00000000-0005-0000-0000-000009060000}"/>
    <cellStyle name="Normale_Astelit bp fix" xfId="2015" xr:uid="{00000000-0005-0000-0000-00000A060000}"/>
    <cellStyle name="NormalGB" xfId="255" xr:uid="{00000000-0005-0000-0000-00000B060000}"/>
    <cellStyle name="NormalGB 2" xfId="2016" xr:uid="{00000000-0005-0000-0000-00000C060000}"/>
    <cellStyle name="NormalGB 2 2" xfId="2017" xr:uid="{00000000-0005-0000-0000-00000D060000}"/>
    <cellStyle name="NormalMultiple" xfId="256" xr:uid="{00000000-0005-0000-0000-00000E060000}"/>
    <cellStyle name="NormalMultiple 2" xfId="2018" xr:uid="{00000000-0005-0000-0000-00000F060000}"/>
    <cellStyle name="NormalMultiple 2 2" xfId="2019" xr:uid="{00000000-0005-0000-0000-000010060000}"/>
    <cellStyle name="NOT" xfId="257" xr:uid="{00000000-0005-0000-0000-000011060000}"/>
    <cellStyle name="Note" xfId="258" builtinId="10" customBuiltin="1"/>
    <cellStyle name="Note 2" xfId="883" xr:uid="{00000000-0005-0000-0000-000013060000}"/>
    <cellStyle name="Note 3" xfId="1038" xr:uid="{00000000-0005-0000-0000-000014060000}"/>
    <cellStyle name="Note 3 2" xfId="1456" xr:uid="{00000000-0005-0000-0000-000015060000}"/>
    <cellStyle name="Note 4" xfId="1291" xr:uid="{00000000-0005-0000-0000-000016060000}"/>
    <cellStyle name="Notes" xfId="259" xr:uid="{00000000-0005-0000-0000-000017060000}"/>
    <cellStyle name="NPPESalesPct" xfId="260" xr:uid="{00000000-0005-0000-0000-000018060000}"/>
    <cellStyle name="NPPESalesPct 2" xfId="720" xr:uid="{00000000-0005-0000-0000-000019060000}"/>
    <cellStyle name="NPPESalesPct 2 2" xfId="2020" xr:uid="{00000000-0005-0000-0000-00001A060000}"/>
    <cellStyle name="Number" xfId="261" xr:uid="{00000000-0005-0000-0000-00001B060000}"/>
    <cellStyle name="Number (2dp)" xfId="262" xr:uid="{00000000-0005-0000-0000-00001C060000}"/>
    <cellStyle name="Number (2dp) 2" xfId="1293" xr:uid="{00000000-0005-0000-0000-00001D060000}"/>
    <cellStyle name="Number 10" xfId="1058" xr:uid="{00000000-0005-0000-0000-00001E060000}"/>
    <cellStyle name="Number 10 2" xfId="1463" xr:uid="{00000000-0005-0000-0000-00001F060000}"/>
    <cellStyle name="Number 11" xfId="1086" xr:uid="{00000000-0005-0000-0000-000020060000}"/>
    <cellStyle name="Number 11 2" xfId="1473" xr:uid="{00000000-0005-0000-0000-000021060000}"/>
    <cellStyle name="Number 12" xfId="1075" xr:uid="{00000000-0005-0000-0000-000022060000}"/>
    <cellStyle name="Number 12 2" xfId="1467" xr:uid="{00000000-0005-0000-0000-000023060000}"/>
    <cellStyle name="Number 13" xfId="1123" xr:uid="{00000000-0005-0000-0000-000024060000}"/>
    <cellStyle name="Number 13 2" xfId="1477" xr:uid="{00000000-0005-0000-0000-000025060000}"/>
    <cellStyle name="Number 14" xfId="969" xr:uid="{00000000-0005-0000-0000-000026060000}"/>
    <cellStyle name="Number 14 2" xfId="1454" xr:uid="{00000000-0005-0000-0000-000027060000}"/>
    <cellStyle name="Number 15" xfId="1142" xr:uid="{00000000-0005-0000-0000-000028060000}"/>
    <cellStyle name="Number 15 2" xfId="1491" xr:uid="{00000000-0005-0000-0000-000029060000}"/>
    <cellStyle name="Number 16" xfId="914" xr:uid="{00000000-0005-0000-0000-00002A060000}"/>
    <cellStyle name="Number 16 2" xfId="1449" xr:uid="{00000000-0005-0000-0000-00002B060000}"/>
    <cellStyle name="Number 17" xfId="1146" xr:uid="{00000000-0005-0000-0000-00002C060000}"/>
    <cellStyle name="Number 17 2" xfId="1492" xr:uid="{00000000-0005-0000-0000-00002D060000}"/>
    <cellStyle name="Number 18" xfId="1134" xr:uid="{00000000-0005-0000-0000-00002E060000}"/>
    <cellStyle name="Number 18 2" xfId="1484" xr:uid="{00000000-0005-0000-0000-00002F060000}"/>
    <cellStyle name="Number 19" xfId="958" xr:uid="{00000000-0005-0000-0000-000030060000}"/>
    <cellStyle name="Number 19 2" xfId="1453" xr:uid="{00000000-0005-0000-0000-000031060000}"/>
    <cellStyle name="Number 2" xfId="721" xr:uid="{00000000-0005-0000-0000-000032060000}"/>
    <cellStyle name="Number 2 2" xfId="1417" xr:uid="{00000000-0005-0000-0000-000033060000}"/>
    <cellStyle name="Number 20" xfId="1255" xr:uid="{00000000-0005-0000-0000-000034060000}"/>
    <cellStyle name="Number 20 2" xfId="1496" xr:uid="{00000000-0005-0000-0000-000035060000}"/>
    <cellStyle name="Number 21" xfId="1048" xr:uid="{00000000-0005-0000-0000-000036060000}"/>
    <cellStyle name="Number 21 2" xfId="1460" xr:uid="{00000000-0005-0000-0000-000037060000}"/>
    <cellStyle name="Number 22" xfId="1292" xr:uid="{00000000-0005-0000-0000-000038060000}"/>
    <cellStyle name="Number 3" xfId="900" xr:uid="{00000000-0005-0000-0000-000039060000}"/>
    <cellStyle name="Number 3 2" xfId="1445" xr:uid="{00000000-0005-0000-0000-00003A060000}"/>
    <cellStyle name="Number 4" xfId="897" xr:uid="{00000000-0005-0000-0000-00003B060000}"/>
    <cellStyle name="Number 4 2" xfId="1444" xr:uid="{00000000-0005-0000-0000-00003C060000}"/>
    <cellStyle name="Number 5" xfId="1039" xr:uid="{00000000-0005-0000-0000-00003D060000}"/>
    <cellStyle name="Number 5 2" xfId="1457" xr:uid="{00000000-0005-0000-0000-00003E060000}"/>
    <cellStyle name="Number 6" xfId="950" xr:uid="{00000000-0005-0000-0000-00003F060000}"/>
    <cellStyle name="Number 6 2" xfId="1450" xr:uid="{00000000-0005-0000-0000-000040060000}"/>
    <cellStyle name="Number 7" xfId="1098" xr:uid="{00000000-0005-0000-0000-000041060000}"/>
    <cellStyle name="Number 7 2" xfId="1475" xr:uid="{00000000-0005-0000-0000-000042060000}"/>
    <cellStyle name="Number 8" xfId="1062" xr:uid="{00000000-0005-0000-0000-000043060000}"/>
    <cellStyle name="Number 8 2" xfId="1464" xr:uid="{00000000-0005-0000-0000-000044060000}"/>
    <cellStyle name="Number 9" xfId="1092" xr:uid="{00000000-0005-0000-0000-000045060000}"/>
    <cellStyle name="Number 9 2" xfId="1474" xr:uid="{00000000-0005-0000-0000-000046060000}"/>
    <cellStyle name="Number_Copy of ESA5 ForecastScaling" xfId="263" xr:uid="{00000000-0005-0000-0000-000047060000}"/>
    <cellStyle name="NWI%S" xfId="264" xr:uid="{00000000-0005-0000-0000-000048060000}"/>
    <cellStyle name="NWI%S 2" xfId="722" xr:uid="{00000000-0005-0000-0000-000049060000}"/>
    <cellStyle name="NWI%S 2 2" xfId="2021" xr:uid="{00000000-0005-0000-0000-00004A060000}"/>
    <cellStyle name="Œ…‹æØ‚è [0.00]_GE 3 MINIMUM" xfId="265" xr:uid="{00000000-0005-0000-0000-00004B060000}"/>
    <cellStyle name="Œ…‹æØ‚è_GE 3 MINIMUM" xfId="266" xr:uid="{00000000-0005-0000-0000-00004C060000}"/>
    <cellStyle name="Ombrée" xfId="267" xr:uid="{00000000-0005-0000-0000-00004D060000}"/>
    <cellStyle name="Ombrée 2" xfId="2022" xr:uid="{00000000-0005-0000-0000-00004E060000}"/>
    <cellStyle name="Ombrée 3" xfId="2023" xr:uid="{00000000-0005-0000-0000-00004F060000}"/>
    <cellStyle name="Ombrée 3 2" xfId="2024" xr:uid="{00000000-0005-0000-0000-000050060000}"/>
    <cellStyle name="Onedec" xfId="268" xr:uid="{00000000-0005-0000-0000-000051060000}"/>
    <cellStyle name="Onedec 2" xfId="723" xr:uid="{00000000-0005-0000-0000-000052060000}"/>
    <cellStyle name="Option" xfId="269" xr:uid="{00000000-0005-0000-0000-000053060000}"/>
    <cellStyle name="Option 2" xfId="2025" xr:uid="{00000000-0005-0000-0000-000054060000}"/>
    <cellStyle name="Option 2 2" xfId="2026" xr:uid="{00000000-0005-0000-0000-000055060000}"/>
    <cellStyle name="outh America" xfId="724" xr:uid="{00000000-0005-0000-0000-000056060000}"/>
    <cellStyle name="Output" xfId="270" builtinId="21" customBuiltin="1"/>
    <cellStyle name="Output 2" xfId="884" xr:uid="{00000000-0005-0000-0000-000058060000}"/>
    <cellStyle name="Output 3" xfId="1040" xr:uid="{00000000-0005-0000-0000-000059060000}"/>
    <cellStyle name="Output 3 2" xfId="1458" xr:uid="{00000000-0005-0000-0000-00005A060000}"/>
    <cellStyle name="Output 4" xfId="1294" xr:uid="{00000000-0005-0000-0000-00005B060000}"/>
    <cellStyle name="Output Amounts" xfId="885" xr:uid="{00000000-0005-0000-0000-00005C060000}"/>
    <cellStyle name="Output Column Headings" xfId="886" xr:uid="{00000000-0005-0000-0000-00005D060000}"/>
    <cellStyle name="Output Line Items" xfId="887" xr:uid="{00000000-0005-0000-0000-00005E060000}"/>
    <cellStyle name="Output Report Heading" xfId="888" xr:uid="{00000000-0005-0000-0000-00005F060000}"/>
    <cellStyle name="Output Report Title" xfId="889" xr:uid="{00000000-0005-0000-0000-000060060000}"/>
    <cellStyle name="Page header" xfId="725" xr:uid="{00000000-0005-0000-0000-000061060000}"/>
    <cellStyle name="Page Number" xfId="271" xr:uid="{00000000-0005-0000-0000-000062060000}"/>
    <cellStyle name="Page Number 2" xfId="726" xr:uid="{00000000-0005-0000-0000-000063060000}"/>
    <cellStyle name="Page Number 2 2" xfId="2027" xr:uid="{00000000-0005-0000-0000-000064060000}"/>
    <cellStyle name="Page Number 3" xfId="2028" xr:uid="{00000000-0005-0000-0000-000065060000}"/>
    <cellStyle name="Page Number 4" xfId="2029" xr:uid="{00000000-0005-0000-0000-000066060000}"/>
    <cellStyle name="Page Number 5" xfId="2030" xr:uid="{00000000-0005-0000-0000-000067060000}"/>
    <cellStyle name="Pass" xfId="272" xr:uid="{00000000-0005-0000-0000-000068060000}"/>
    <cellStyle name="Pass 2" xfId="2031" xr:uid="{00000000-0005-0000-0000-000069060000}"/>
    <cellStyle name="Pass 3" xfId="2032" xr:uid="{00000000-0005-0000-0000-00006A060000}"/>
    <cellStyle name="Pass 3 2" xfId="2033" xr:uid="{00000000-0005-0000-0000-00006B060000}"/>
    <cellStyle name="PB Table Heading" xfId="273" xr:uid="{00000000-0005-0000-0000-00006C060000}"/>
    <cellStyle name="PB Table Heading 2" xfId="2034" xr:uid="{00000000-0005-0000-0000-00006D060000}"/>
    <cellStyle name="PB Table Highlight1" xfId="274" xr:uid="{00000000-0005-0000-0000-00006E060000}"/>
    <cellStyle name="PB Table Highlight1 2" xfId="2035" xr:uid="{00000000-0005-0000-0000-00006F060000}"/>
    <cellStyle name="PB Table Highlight2" xfId="275" xr:uid="{00000000-0005-0000-0000-000070060000}"/>
    <cellStyle name="PB Table Highlight3" xfId="276" xr:uid="{00000000-0005-0000-0000-000071060000}"/>
    <cellStyle name="PB Table Standard Row" xfId="277" xr:uid="{00000000-0005-0000-0000-000072060000}"/>
    <cellStyle name="PB Table Standard Row 2" xfId="2036" xr:uid="{00000000-0005-0000-0000-000073060000}"/>
    <cellStyle name="PB Table Subtotal Row" xfId="278" xr:uid="{00000000-0005-0000-0000-000074060000}"/>
    <cellStyle name="PB Table Subtotal Row 2" xfId="2037" xr:uid="{00000000-0005-0000-0000-000075060000}"/>
    <cellStyle name="PB Table Total Row" xfId="279" xr:uid="{00000000-0005-0000-0000-000076060000}"/>
    <cellStyle name="PB Table Total Row 2" xfId="2038" xr:uid="{00000000-0005-0000-0000-000077060000}"/>
    <cellStyle name="pb_page_heading_LS" xfId="280" xr:uid="{00000000-0005-0000-0000-000078060000}"/>
    <cellStyle name="pc1" xfId="281" xr:uid="{00000000-0005-0000-0000-000079060000}"/>
    <cellStyle name="pc1 2" xfId="727" xr:uid="{00000000-0005-0000-0000-00007A060000}"/>
    <cellStyle name="PctLine" xfId="282" xr:uid="{00000000-0005-0000-0000-00007B060000}"/>
    <cellStyle name="per.style" xfId="283" xr:uid="{00000000-0005-0000-0000-00007C060000}"/>
    <cellStyle name="per.style 2" xfId="2039" xr:uid="{00000000-0005-0000-0000-00007D060000}"/>
    <cellStyle name="per.style 3" xfId="2040" xr:uid="{00000000-0005-0000-0000-00007E060000}"/>
    <cellStyle name="per.style 3 2" xfId="2041" xr:uid="{00000000-0005-0000-0000-00007F060000}"/>
    <cellStyle name="Percent" xfId="284" builtinId="5"/>
    <cellStyle name="Percent (0)" xfId="285" xr:uid="{00000000-0005-0000-0000-000081060000}"/>
    <cellStyle name="Percent (0) 2" xfId="2042" xr:uid="{00000000-0005-0000-0000-000082060000}"/>
    <cellStyle name="Percent (0) 3" xfId="2043" xr:uid="{00000000-0005-0000-0000-000083060000}"/>
    <cellStyle name="Percent (0) 3 2" xfId="2044" xr:uid="{00000000-0005-0000-0000-000084060000}"/>
    <cellStyle name="Percent (0.0)" xfId="286" xr:uid="{00000000-0005-0000-0000-000085060000}"/>
    <cellStyle name="Percent (0.00)" xfId="287" xr:uid="{00000000-0005-0000-0000-000086060000}"/>
    <cellStyle name="Percent (M)" xfId="729" xr:uid="{00000000-0005-0000-0000-000087060000}"/>
    <cellStyle name="Percent [0]" xfId="288" xr:uid="{00000000-0005-0000-0000-000088060000}"/>
    <cellStyle name="Percent [0] 2" xfId="730" xr:uid="{00000000-0005-0000-0000-000089060000}"/>
    <cellStyle name="Percent [0] 2 2" xfId="2045" xr:uid="{00000000-0005-0000-0000-00008A060000}"/>
    <cellStyle name="Percent [1]" xfId="289" xr:uid="{00000000-0005-0000-0000-00008B060000}"/>
    <cellStyle name="Percent [1] 2" xfId="731" xr:uid="{00000000-0005-0000-0000-00008C060000}"/>
    <cellStyle name="Percent [1] 2 2" xfId="2046" xr:uid="{00000000-0005-0000-0000-00008D060000}"/>
    <cellStyle name="Percent [2]" xfId="290" xr:uid="{00000000-0005-0000-0000-00008E060000}"/>
    <cellStyle name="Percent [2] 2" xfId="732" xr:uid="{00000000-0005-0000-0000-00008F060000}"/>
    <cellStyle name="Percent [2] 2 2" xfId="2047" xr:uid="{00000000-0005-0000-0000-000090060000}"/>
    <cellStyle name="Percent [2] 3" xfId="1045" xr:uid="{00000000-0005-0000-0000-000091060000}"/>
    <cellStyle name="Percent [2] 4" xfId="2048" xr:uid="{00000000-0005-0000-0000-000092060000}"/>
    <cellStyle name="Percent 0" xfId="291" xr:uid="{00000000-0005-0000-0000-000093060000}"/>
    <cellStyle name="Percent 0 2" xfId="2049" xr:uid="{00000000-0005-0000-0000-000094060000}"/>
    <cellStyle name="Percent 0 2 2" xfId="2050" xr:uid="{00000000-0005-0000-0000-000095060000}"/>
    <cellStyle name="Percent 0 3" xfId="2051" xr:uid="{00000000-0005-0000-0000-000096060000}"/>
    <cellStyle name="Percent 0.00" xfId="292" xr:uid="{00000000-0005-0000-0000-000097060000}"/>
    <cellStyle name="Percent 0.00 2" xfId="2052" xr:uid="{00000000-0005-0000-0000-000098060000}"/>
    <cellStyle name="Percent 0.00 2 2" xfId="2053" xr:uid="{00000000-0005-0000-0000-000099060000}"/>
    <cellStyle name="Percent 0.00 3" xfId="2054" xr:uid="{00000000-0005-0000-0000-00009A060000}"/>
    <cellStyle name="Percent 0_3q" xfId="293" xr:uid="{00000000-0005-0000-0000-00009B060000}"/>
    <cellStyle name="Percent 10" xfId="459" xr:uid="{00000000-0005-0000-0000-00009C060000}"/>
    <cellStyle name="Percent 10 2" xfId="823" xr:uid="{00000000-0005-0000-0000-00009D060000}"/>
    <cellStyle name="Percent 10 3" xfId="1330" xr:uid="{00000000-0005-0000-0000-00009E060000}"/>
    <cellStyle name="Percent 11" xfId="462" xr:uid="{00000000-0005-0000-0000-00009F060000}"/>
    <cellStyle name="Percent 11 2" xfId="1204" xr:uid="{00000000-0005-0000-0000-0000A0060000}"/>
    <cellStyle name="Percent 11 3" xfId="1333" xr:uid="{00000000-0005-0000-0000-0000A1060000}"/>
    <cellStyle name="Percent 12" xfId="465" xr:uid="{00000000-0005-0000-0000-0000A2060000}"/>
    <cellStyle name="Percent 12 2" xfId="1167" xr:uid="{00000000-0005-0000-0000-0000A3060000}"/>
    <cellStyle name="Percent 12 3" xfId="1336" xr:uid="{00000000-0005-0000-0000-0000A4060000}"/>
    <cellStyle name="Percent 13" xfId="468" xr:uid="{00000000-0005-0000-0000-0000A5060000}"/>
    <cellStyle name="Percent 13 2" xfId="1206" xr:uid="{00000000-0005-0000-0000-0000A6060000}"/>
    <cellStyle name="Percent 13 3" xfId="1339" xr:uid="{00000000-0005-0000-0000-0000A7060000}"/>
    <cellStyle name="Percent 14" xfId="471" xr:uid="{00000000-0005-0000-0000-0000A8060000}"/>
    <cellStyle name="Percent 14 2" xfId="1168" xr:uid="{00000000-0005-0000-0000-0000A9060000}"/>
    <cellStyle name="Percent 14 3" xfId="1342" xr:uid="{00000000-0005-0000-0000-0000AA060000}"/>
    <cellStyle name="Percent 15" xfId="474" xr:uid="{00000000-0005-0000-0000-0000AB060000}"/>
    <cellStyle name="Percent 15 2" xfId="1212" xr:uid="{00000000-0005-0000-0000-0000AC060000}"/>
    <cellStyle name="Percent 15 3" xfId="1345" xr:uid="{00000000-0005-0000-0000-0000AD060000}"/>
    <cellStyle name="Percent 16" xfId="477" xr:uid="{00000000-0005-0000-0000-0000AE060000}"/>
    <cellStyle name="Percent 16 2" xfId="1177" xr:uid="{00000000-0005-0000-0000-0000AF060000}"/>
    <cellStyle name="Percent 16 3" xfId="1348" xr:uid="{00000000-0005-0000-0000-0000B0060000}"/>
    <cellStyle name="Percent 17" xfId="480" xr:uid="{00000000-0005-0000-0000-0000B1060000}"/>
    <cellStyle name="Percent 17 2" xfId="1210" xr:uid="{00000000-0005-0000-0000-0000B2060000}"/>
    <cellStyle name="Percent 17 3" xfId="1351" xr:uid="{00000000-0005-0000-0000-0000B3060000}"/>
    <cellStyle name="Percent 18" xfId="483" xr:uid="{00000000-0005-0000-0000-0000B4060000}"/>
    <cellStyle name="Percent 18 2" xfId="1181" xr:uid="{00000000-0005-0000-0000-0000B5060000}"/>
    <cellStyle name="Percent 18 3" xfId="1354" xr:uid="{00000000-0005-0000-0000-0000B6060000}"/>
    <cellStyle name="Percent 19" xfId="486" xr:uid="{00000000-0005-0000-0000-0000B7060000}"/>
    <cellStyle name="Percent 19 2" xfId="1208" xr:uid="{00000000-0005-0000-0000-0000B8060000}"/>
    <cellStyle name="Percent 19 3" xfId="1357" xr:uid="{00000000-0005-0000-0000-0000B9060000}"/>
    <cellStyle name="Percent 2" xfId="294" xr:uid="{00000000-0005-0000-0000-0000BA060000}"/>
    <cellStyle name="Percent 2 2" xfId="733" xr:uid="{00000000-0005-0000-0000-0000BB060000}"/>
    <cellStyle name="Percent 2 3" xfId="2055" xr:uid="{00000000-0005-0000-0000-0000BC060000}"/>
    <cellStyle name="Percent 2 3 2" xfId="2056" xr:uid="{00000000-0005-0000-0000-0000BD060000}"/>
    <cellStyle name="Percent 20" xfId="489" xr:uid="{00000000-0005-0000-0000-0000BE060000}"/>
    <cellStyle name="Percent 20 2" xfId="1187" xr:uid="{00000000-0005-0000-0000-0000BF060000}"/>
    <cellStyle name="Percent 20 3" xfId="1360" xr:uid="{00000000-0005-0000-0000-0000C0060000}"/>
    <cellStyle name="Percent 21" xfId="492" xr:uid="{00000000-0005-0000-0000-0000C1060000}"/>
    <cellStyle name="Percent 21 2" xfId="1239" xr:uid="{00000000-0005-0000-0000-0000C2060000}"/>
    <cellStyle name="Percent 21 3" xfId="1363" xr:uid="{00000000-0005-0000-0000-0000C3060000}"/>
    <cellStyle name="Percent 22" xfId="495" xr:uid="{00000000-0005-0000-0000-0000C4060000}"/>
    <cellStyle name="Percent 22 2" xfId="1366" xr:uid="{00000000-0005-0000-0000-0000C5060000}"/>
    <cellStyle name="Percent 23" xfId="498" xr:uid="{00000000-0005-0000-0000-0000C6060000}"/>
    <cellStyle name="Percent 23 2" xfId="1369" xr:uid="{00000000-0005-0000-0000-0000C7060000}"/>
    <cellStyle name="Percent 24" xfId="501" xr:uid="{00000000-0005-0000-0000-0000C8060000}"/>
    <cellStyle name="Percent 24 2" xfId="1372" xr:uid="{00000000-0005-0000-0000-0000C9060000}"/>
    <cellStyle name="Percent 25" xfId="504" xr:uid="{00000000-0005-0000-0000-0000CA060000}"/>
    <cellStyle name="Percent 25 2" xfId="1375" xr:uid="{00000000-0005-0000-0000-0000CB060000}"/>
    <cellStyle name="Percent 26" xfId="507" xr:uid="{00000000-0005-0000-0000-0000CC060000}"/>
    <cellStyle name="Percent 26 2" xfId="1378" xr:uid="{00000000-0005-0000-0000-0000CD060000}"/>
    <cellStyle name="Percent 27" xfId="510" xr:uid="{00000000-0005-0000-0000-0000CE060000}"/>
    <cellStyle name="Percent 27 2" xfId="1381" xr:uid="{00000000-0005-0000-0000-0000CF060000}"/>
    <cellStyle name="Percent 28" xfId="513" xr:uid="{00000000-0005-0000-0000-0000D0060000}"/>
    <cellStyle name="Percent 28 2" xfId="1384" xr:uid="{00000000-0005-0000-0000-0000D1060000}"/>
    <cellStyle name="Percent 29" xfId="516" xr:uid="{00000000-0005-0000-0000-0000D2060000}"/>
    <cellStyle name="Percent 29 2" xfId="1387" xr:uid="{00000000-0005-0000-0000-0000D3060000}"/>
    <cellStyle name="Percent 3" xfId="295" xr:uid="{00000000-0005-0000-0000-0000D4060000}"/>
    <cellStyle name="Percent 3 2" xfId="734" xr:uid="{00000000-0005-0000-0000-0000D5060000}"/>
    <cellStyle name="Percent 3 3" xfId="1296" xr:uid="{00000000-0005-0000-0000-0000D6060000}"/>
    <cellStyle name="Percent 30" xfId="519" xr:uid="{00000000-0005-0000-0000-0000D7060000}"/>
    <cellStyle name="Percent 30 2" xfId="1390" xr:uid="{00000000-0005-0000-0000-0000D8060000}"/>
    <cellStyle name="Percent 31" xfId="522" xr:uid="{00000000-0005-0000-0000-0000D9060000}"/>
    <cellStyle name="Percent 31 2" xfId="1393" xr:uid="{00000000-0005-0000-0000-0000DA060000}"/>
    <cellStyle name="Percent 32" xfId="525" xr:uid="{00000000-0005-0000-0000-0000DB060000}"/>
    <cellStyle name="Percent 32 2" xfId="1396" xr:uid="{00000000-0005-0000-0000-0000DC060000}"/>
    <cellStyle name="Percent 33" xfId="528" xr:uid="{00000000-0005-0000-0000-0000DD060000}"/>
    <cellStyle name="Percent 33 2" xfId="1399" xr:uid="{00000000-0005-0000-0000-0000DE060000}"/>
    <cellStyle name="Percent 34" xfId="531" xr:uid="{00000000-0005-0000-0000-0000DF060000}"/>
    <cellStyle name="Percent 34 2" xfId="1402" xr:uid="{00000000-0005-0000-0000-0000E0060000}"/>
    <cellStyle name="Percent 35" xfId="534" xr:uid="{00000000-0005-0000-0000-0000E1060000}"/>
    <cellStyle name="Percent 35 2" xfId="1405" xr:uid="{00000000-0005-0000-0000-0000E2060000}"/>
    <cellStyle name="Percent 36" xfId="537" xr:uid="{00000000-0005-0000-0000-0000E3060000}"/>
    <cellStyle name="Percent 36 2" xfId="1408" xr:uid="{00000000-0005-0000-0000-0000E4060000}"/>
    <cellStyle name="Percent 37" xfId="728" xr:uid="{00000000-0005-0000-0000-0000E5060000}"/>
    <cellStyle name="Percent 38" xfId="901" xr:uid="{00000000-0005-0000-0000-0000E6060000}"/>
    <cellStyle name="Percent 39" xfId="896" xr:uid="{00000000-0005-0000-0000-0000E7060000}"/>
    <cellStyle name="Percent 4" xfId="441" xr:uid="{00000000-0005-0000-0000-0000E8060000}"/>
    <cellStyle name="Percent 4 2" xfId="820" xr:uid="{00000000-0005-0000-0000-0000E9060000}"/>
    <cellStyle name="Percent 4 2 2" xfId="1241" xr:uid="{00000000-0005-0000-0000-0000EA060000}"/>
    <cellStyle name="Percent 4 2 3" xfId="1424" xr:uid="{00000000-0005-0000-0000-0000EB060000}"/>
    <cellStyle name="Percent 4 3" xfId="1070" xr:uid="{00000000-0005-0000-0000-0000EC060000}"/>
    <cellStyle name="Percent 4 3 2" xfId="2057" xr:uid="{00000000-0005-0000-0000-0000ED060000}"/>
    <cellStyle name="Percent 4 4" xfId="1072" xr:uid="{00000000-0005-0000-0000-0000EE060000}"/>
    <cellStyle name="Percent 4 4 2" xfId="1466" xr:uid="{00000000-0005-0000-0000-0000EF060000}"/>
    <cellStyle name="Percent 4 5" xfId="1190" xr:uid="{00000000-0005-0000-0000-0000F0060000}"/>
    <cellStyle name="Percent 4 6" xfId="1312" xr:uid="{00000000-0005-0000-0000-0000F1060000}"/>
    <cellStyle name="Percent 40" xfId="1043" xr:uid="{00000000-0005-0000-0000-0000F2060000}"/>
    <cellStyle name="Percent 41" xfId="945" xr:uid="{00000000-0005-0000-0000-0000F3060000}"/>
    <cellStyle name="Percent 42" xfId="1074" xr:uid="{00000000-0005-0000-0000-0000F4060000}"/>
    <cellStyle name="Percent 43" xfId="949" xr:uid="{00000000-0005-0000-0000-0000F5060000}"/>
    <cellStyle name="Percent 44" xfId="1031" xr:uid="{00000000-0005-0000-0000-0000F6060000}"/>
    <cellStyle name="Percent 45" xfId="955" xr:uid="{00000000-0005-0000-0000-0000F7060000}"/>
    <cellStyle name="Percent 46" xfId="1024" xr:uid="{00000000-0005-0000-0000-0000F8060000}"/>
    <cellStyle name="Percent 47" xfId="961" xr:uid="{00000000-0005-0000-0000-0000F9060000}"/>
    <cellStyle name="Percent 48" xfId="1125" xr:uid="{00000000-0005-0000-0000-0000FA060000}"/>
    <cellStyle name="Percent 49" xfId="910" xr:uid="{00000000-0005-0000-0000-0000FB060000}"/>
    <cellStyle name="Percent 5" xfId="444" xr:uid="{00000000-0005-0000-0000-0000FC060000}"/>
    <cellStyle name="Percent 5 2" xfId="1198" xr:uid="{00000000-0005-0000-0000-0000FD060000}"/>
    <cellStyle name="Percent 5 3" xfId="1315" xr:uid="{00000000-0005-0000-0000-0000FE060000}"/>
    <cellStyle name="Percent 5 3 2" xfId="2058" xr:uid="{00000000-0005-0000-0000-0000FF060000}"/>
    <cellStyle name="Percent 5 4" xfId="2059" xr:uid="{00000000-0005-0000-0000-000000070000}"/>
    <cellStyle name="Percent 50" xfId="1078" xr:uid="{00000000-0005-0000-0000-000001070000}"/>
    <cellStyle name="Percent 51" xfId="1108" xr:uid="{00000000-0005-0000-0000-000002070000}"/>
    <cellStyle name="Percent 52" xfId="1041" xr:uid="{00000000-0005-0000-0000-000003070000}"/>
    <cellStyle name="Percent 53" xfId="1158" xr:uid="{00000000-0005-0000-0000-000004070000}"/>
    <cellStyle name="Percent 54" xfId="1046" xr:uid="{00000000-0005-0000-0000-000005070000}"/>
    <cellStyle name="Percent 55" xfId="1250" xr:uid="{00000000-0005-0000-0000-000006070000}"/>
    <cellStyle name="Percent 56" xfId="1145" xr:uid="{00000000-0005-0000-0000-000007070000}"/>
    <cellStyle name="Percent 57" xfId="1295" xr:uid="{00000000-0005-0000-0000-000008070000}"/>
    <cellStyle name="Percent 6" xfId="447" xr:uid="{00000000-0005-0000-0000-000009070000}"/>
    <cellStyle name="Percent 6 2" xfId="1162" xr:uid="{00000000-0005-0000-0000-00000A070000}"/>
    <cellStyle name="Percent 6 3" xfId="1318" xr:uid="{00000000-0005-0000-0000-00000B070000}"/>
    <cellStyle name="Percent 7" xfId="450" xr:uid="{00000000-0005-0000-0000-00000C070000}"/>
    <cellStyle name="Percent 7 2" xfId="1199" xr:uid="{00000000-0005-0000-0000-00000D070000}"/>
    <cellStyle name="Percent 7 3" xfId="1321" xr:uid="{00000000-0005-0000-0000-00000E070000}"/>
    <cellStyle name="Percent 8" xfId="453" xr:uid="{00000000-0005-0000-0000-00000F070000}"/>
    <cellStyle name="Percent 8 2" xfId="1163" xr:uid="{00000000-0005-0000-0000-000010070000}"/>
    <cellStyle name="Percent 8 3" xfId="1324" xr:uid="{00000000-0005-0000-0000-000011070000}"/>
    <cellStyle name="Percent 8 4" xfId="1498" xr:uid="{00000000-0005-0000-0000-000012070000}"/>
    <cellStyle name="Percent 9" xfId="456" xr:uid="{00000000-0005-0000-0000-000013070000}"/>
    <cellStyle name="Percent 9 2" xfId="1200" xr:uid="{00000000-0005-0000-0000-000014070000}"/>
    <cellStyle name="Percent 9 3" xfId="1327" xr:uid="{00000000-0005-0000-0000-000015070000}"/>
    <cellStyle name="Percent1" xfId="735" xr:uid="{00000000-0005-0000-0000-000016070000}"/>
    <cellStyle name="Percentage" xfId="296" xr:uid="{00000000-0005-0000-0000-000017070000}"/>
    <cellStyle name="Percentage (2dp)" xfId="297" xr:uid="{00000000-0005-0000-0000-000018070000}"/>
    <cellStyle name="Percentage (2dp) 2" xfId="1298" xr:uid="{00000000-0005-0000-0000-000019070000}"/>
    <cellStyle name="Percentage 2" xfId="1297" xr:uid="{00000000-0005-0000-0000-00001A070000}"/>
    <cellStyle name="Percentage_Copy of ESA5 ForecastScaling" xfId="298" xr:uid="{00000000-0005-0000-0000-00001B070000}"/>
    <cellStyle name="PercentChange" xfId="299" xr:uid="{00000000-0005-0000-0000-00001C070000}"/>
    <cellStyle name="PercentChange 2" xfId="736" xr:uid="{00000000-0005-0000-0000-00001D070000}"/>
    <cellStyle name="PercentChange 3" xfId="2060" xr:uid="{00000000-0005-0000-0000-00001E070000}"/>
    <cellStyle name="PercentChange 3 2" xfId="2061" xr:uid="{00000000-0005-0000-0000-00001F070000}"/>
    <cellStyle name="PercentChange 4" xfId="2062" xr:uid="{00000000-0005-0000-0000-000020070000}"/>
    <cellStyle name="PercentPresentation" xfId="300" xr:uid="{00000000-0005-0000-0000-000021070000}"/>
    <cellStyle name="PercentPresentation 2" xfId="2063" xr:uid="{00000000-0005-0000-0000-000022070000}"/>
    <cellStyle name="PercentPresentation 2 2" xfId="2064" xr:uid="{00000000-0005-0000-0000-000023070000}"/>
    <cellStyle name="PercentSales" xfId="301" xr:uid="{00000000-0005-0000-0000-000024070000}"/>
    <cellStyle name="PercentSales 2" xfId="737" xr:uid="{00000000-0005-0000-0000-000025070000}"/>
    <cellStyle name="PercentSales 2 2" xfId="2065" xr:uid="{00000000-0005-0000-0000-000026070000}"/>
    <cellStyle name="Percentual" xfId="2066" xr:uid="{00000000-0005-0000-0000-000027070000}"/>
    <cellStyle name="PerShare" xfId="302" xr:uid="{00000000-0005-0000-0000-000028070000}"/>
    <cellStyle name="PerShare 2" xfId="2067" xr:uid="{00000000-0005-0000-0000-000029070000}"/>
    <cellStyle name="PerShare 2 2" xfId="2068" xr:uid="{00000000-0005-0000-0000-00002A070000}"/>
    <cellStyle name="Ponto" xfId="2069" xr:uid="{00000000-0005-0000-0000-00002B070000}"/>
    <cellStyle name="POPS" xfId="303" xr:uid="{00000000-0005-0000-0000-00002C070000}"/>
    <cellStyle name="POPS 2" xfId="2070" xr:uid="{00000000-0005-0000-0000-00002D070000}"/>
    <cellStyle name="POPS 2 2" xfId="2071" xr:uid="{00000000-0005-0000-0000-00002E070000}"/>
    <cellStyle name="Porcentaje" xfId="2072" xr:uid="{00000000-0005-0000-0000-00002F070000}"/>
    <cellStyle name="Porcentual_Modelo_19-06" xfId="2073" xr:uid="{00000000-0005-0000-0000-000030070000}"/>
    <cellStyle name="Pourcentage [0]" xfId="304" xr:uid="{00000000-0005-0000-0000-000031070000}"/>
    <cellStyle name="Pourcentage [00]" xfId="305" xr:uid="{00000000-0005-0000-0000-000032070000}"/>
    <cellStyle name="Pourcentage [00] 2" xfId="2074" xr:uid="{00000000-0005-0000-0000-000033070000}"/>
    <cellStyle name="Pourcentage [00] 3" xfId="2075" xr:uid="{00000000-0005-0000-0000-000034070000}"/>
    <cellStyle name="Pourcentage [00] 3 2" xfId="2076" xr:uid="{00000000-0005-0000-0000-000035070000}"/>
    <cellStyle name="Pourcentage_BASCULER" xfId="306" xr:uid="{00000000-0005-0000-0000-000036070000}"/>
    <cellStyle name="Presentation" xfId="307" xr:uid="{00000000-0005-0000-0000-000037070000}"/>
    <cellStyle name="Presentation 2" xfId="2077" xr:uid="{00000000-0005-0000-0000-000038070000}"/>
    <cellStyle name="Presentation 2 2" xfId="2078" xr:uid="{00000000-0005-0000-0000-000039070000}"/>
    <cellStyle name="PresentationZero" xfId="308" xr:uid="{00000000-0005-0000-0000-00003A070000}"/>
    <cellStyle name="PresentationZero 2" xfId="2079" xr:uid="{00000000-0005-0000-0000-00003B070000}"/>
    <cellStyle name="PresentationZero 2 2" xfId="2080" xr:uid="{00000000-0005-0000-0000-00003C070000}"/>
    <cellStyle name="Price" xfId="309" xr:uid="{00000000-0005-0000-0000-00003D070000}"/>
    <cellStyle name="Price 2" xfId="2081" xr:uid="{00000000-0005-0000-0000-00003E070000}"/>
    <cellStyle name="Price 2 2" xfId="2082" xr:uid="{00000000-0005-0000-0000-00003F070000}"/>
    <cellStyle name="PROJECT" xfId="738" xr:uid="{00000000-0005-0000-0000-000040070000}"/>
    <cellStyle name="PROJECT R" xfId="739" xr:uid="{00000000-0005-0000-0000-000041070000}"/>
    <cellStyle name="Protected" xfId="2083" xr:uid="{00000000-0005-0000-0000-000042070000}"/>
    <cellStyle name="PSChar" xfId="2084" xr:uid="{00000000-0005-0000-0000-000043070000}"/>
    <cellStyle name="Pub percent" xfId="310" xr:uid="{00000000-0005-0000-0000-000044070000}"/>
    <cellStyle name="Pub percent 2" xfId="2085" xr:uid="{00000000-0005-0000-0000-000045070000}"/>
    <cellStyle name="Pub percent 3" xfId="2086" xr:uid="{00000000-0005-0000-0000-000046070000}"/>
    <cellStyle name="Pub percent 3 2" xfId="2087" xr:uid="{00000000-0005-0000-0000-000047070000}"/>
    <cellStyle name="Purple" xfId="740" xr:uid="{00000000-0005-0000-0000-000048070000}"/>
    <cellStyle name="r" xfId="311" xr:uid="{00000000-0005-0000-0000-000049070000}"/>
    <cellStyle name="r 2" xfId="2088" xr:uid="{00000000-0005-0000-0000-00004A070000}"/>
    <cellStyle name="r 2 2" xfId="2089" xr:uid="{00000000-0005-0000-0000-00004B070000}"/>
    <cellStyle name="r_Canal Digital" xfId="312" xr:uid="{00000000-0005-0000-0000-00004C070000}"/>
    <cellStyle name="r_Canal Digital 2" xfId="2090" xr:uid="{00000000-0005-0000-0000-00004D070000}"/>
    <cellStyle name="r_Canal Digital 2 2" xfId="2091" xr:uid="{00000000-0005-0000-0000-00004E070000}"/>
    <cellStyle name="r_Canal Digital_Deutsche" xfId="313" xr:uid="{00000000-0005-0000-0000-00004F070000}"/>
    <cellStyle name="r_Canal Digital_Fixed" xfId="314" xr:uid="{00000000-0005-0000-0000-000050070000}"/>
    <cellStyle name="r_Canal Digital_Fixed 2" xfId="2092" xr:uid="{00000000-0005-0000-0000-000051070000}"/>
    <cellStyle name="r_Canal Digital_Fixed 2 2" xfId="2093" xr:uid="{00000000-0005-0000-0000-000052070000}"/>
    <cellStyle name="r_Canal Digital_Fixed_Deutsche" xfId="315" xr:uid="{00000000-0005-0000-0000-000053070000}"/>
    <cellStyle name="r_Canal Digital_Fixed_Innsamling" xfId="316" xr:uid="{00000000-0005-0000-0000-000054070000}"/>
    <cellStyle name="r_Canal Digital_Fixed_TNOR_preQ410a" xfId="2094" xr:uid="{00000000-0005-0000-0000-000055070000}"/>
    <cellStyle name="r_Canal Digital_Fixed_TNOR_preQ410a 2" xfId="2095" xr:uid="{00000000-0005-0000-0000-000056070000}"/>
    <cellStyle name="r_Canal Digital_Group" xfId="317" xr:uid="{00000000-0005-0000-0000-000057070000}"/>
    <cellStyle name="r_Canal Digital_Group 2" xfId="2096" xr:uid="{00000000-0005-0000-0000-000058070000}"/>
    <cellStyle name="r_Canal Digital_Group 2 2" xfId="2097" xr:uid="{00000000-0005-0000-0000-000059070000}"/>
    <cellStyle name="r_Canal Digital_Group_Deutsche" xfId="318" xr:uid="{00000000-0005-0000-0000-00005A070000}"/>
    <cellStyle name="r_Canal Digital_Group_Innsamling" xfId="319" xr:uid="{00000000-0005-0000-0000-00005B070000}"/>
    <cellStyle name="r_Canal Digital_Group_TNOR_preQ410a" xfId="2098" xr:uid="{00000000-0005-0000-0000-00005C070000}"/>
    <cellStyle name="r_Canal Digital_Group_TNOR_preQ410a 2" xfId="2099" xr:uid="{00000000-0005-0000-0000-00005D070000}"/>
    <cellStyle name="r_Canal Digital_Innsamling" xfId="320" xr:uid="{00000000-0005-0000-0000-00005E070000}"/>
    <cellStyle name="r_Canal Digital_Mobile" xfId="321" xr:uid="{00000000-0005-0000-0000-00005F070000}"/>
    <cellStyle name="r_Canal Digital_Mobile 2" xfId="2100" xr:uid="{00000000-0005-0000-0000-000060070000}"/>
    <cellStyle name="r_Canal Digital_Mobile 2 2" xfId="2101" xr:uid="{00000000-0005-0000-0000-000061070000}"/>
    <cellStyle name="r_Canal Digital_Mobile_Deutsche" xfId="322" xr:uid="{00000000-0005-0000-0000-000062070000}"/>
    <cellStyle name="r_Canal Digital_Mobile_Innsamling" xfId="323" xr:uid="{00000000-0005-0000-0000-000063070000}"/>
    <cellStyle name="r_Canal Digital_Mobile_TNOR_preQ410a" xfId="2102" xr:uid="{00000000-0005-0000-0000-000064070000}"/>
    <cellStyle name="r_Canal Digital_Mobile_TNOR_preQ410a 2" xfId="2103" xr:uid="{00000000-0005-0000-0000-000065070000}"/>
    <cellStyle name="r_Canal Digital_Special items" xfId="324" xr:uid="{00000000-0005-0000-0000-000066070000}"/>
    <cellStyle name="r_Canal Digital_Special items 2" xfId="2104" xr:uid="{00000000-0005-0000-0000-000067070000}"/>
    <cellStyle name="r_Canal Digital_Special items 2 2" xfId="2105" xr:uid="{00000000-0005-0000-0000-000068070000}"/>
    <cellStyle name="r_Canal Digital_Special items_Deutsche" xfId="325" xr:uid="{00000000-0005-0000-0000-000069070000}"/>
    <cellStyle name="r_Canal Digital_Special items_Innsamling" xfId="326" xr:uid="{00000000-0005-0000-0000-00006A070000}"/>
    <cellStyle name="r_Canal Digital_Special items_TNOR_preQ410a" xfId="2106" xr:uid="{00000000-0005-0000-0000-00006B070000}"/>
    <cellStyle name="r_Canal Digital_Special items_TNOR_preQ410a 2" xfId="2107" xr:uid="{00000000-0005-0000-0000-00006C070000}"/>
    <cellStyle name="r_Canal Digital_TNOR_preQ410a" xfId="2108" xr:uid="{00000000-0005-0000-0000-00006D070000}"/>
    <cellStyle name="r_Canal Digital_TNOR_preQ410a 2" xfId="2109" xr:uid="{00000000-0005-0000-0000-00006E070000}"/>
    <cellStyle name="r_tel" xfId="327" xr:uid="{00000000-0005-0000-0000-00006F070000}"/>
    <cellStyle name="r_tel 2" xfId="2110" xr:uid="{00000000-0005-0000-0000-000070070000}"/>
    <cellStyle name="r_tel 2 2" xfId="2111" xr:uid="{00000000-0005-0000-0000-000071070000}"/>
    <cellStyle name="r_tel.xls Chart 680" xfId="328" xr:uid="{00000000-0005-0000-0000-000072070000}"/>
    <cellStyle name="r_tel.xls Chart 680 2" xfId="2112" xr:uid="{00000000-0005-0000-0000-000073070000}"/>
    <cellStyle name="r_tel.xls Chart 680 2 2" xfId="2113" xr:uid="{00000000-0005-0000-0000-000074070000}"/>
    <cellStyle name="r_tel.xls Chart 680_TNOR_preQ410a" xfId="2114" xr:uid="{00000000-0005-0000-0000-000075070000}"/>
    <cellStyle name="r_tel.xls Chart 680_TNOR_preQ410a 2" xfId="2115" xr:uid="{00000000-0005-0000-0000-000076070000}"/>
    <cellStyle name="r_tel_TNOR_preQ410a" xfId="2116" xr:uid="{00000000-0005-0000-0000-000077070000}"/>
    <cellStyle name="r_tel_TNOR_preQ410a 2" xfId="2117" xr:uid="{00000000-0005-0000-0000-000078070000}"/>
    <cellStyle name="r_Telenor" xfId="329" xr:uid="{00000000-0005-0000-0000-000079070000}"/>
    <cellStyle name="r_Telenor 2" xfId="2118" xr:uid="{00000000-0005-0000-0000-00007A070000}"/>
    <cellStyle name="r_Telenor 2 2" xfId="2119" xr:uid="{00000000-0005-0000-0000-00007B070000}"/>
    <cellStyle name="r_Telenor_TNOR_preQ410a" xfId="2120" xr:uid="{00000000-0005-0000-0000-00007C070000}"/>
    <cellStyle name="r_Telenor_TNOR_preQ410a 2" xfId="2121" xr:uid="{00000000-0005-0000-0000-00007D070000}"/>
    <cellStyle name="r_TNOR_preQ410a" xfId="2122" xr:uid="{00000000-0005-0000-0000-00007E070000}"/>
    <cellStyle name="r_TNOR_preQ410a 2" xfId="2123" xr:uid="{00000000-0005-0000-0000-00007F070000}"/>
    <cellStyle name="Rating header" xfId="2124" xr:uid="{00000000-0005-0000-0000-000080070000}"/>
    <cellStyle name="RatioX" xfId="330" xr:uid="{00000000-0005-0000-0000-000081070000}"/>
    <cellStyle name="RatioX 2" xfId="741" xr:uid="{00000000-0005-0000-0000-000082070000}"/>
    <cellStyle name="RatioX 3" xfId="2125" xr:uid="{00000000-0005-0000-0000-000083070000}"/>
    <cellStyle name="RatioX 3 2" xfId="2126" xr:uid="{00000000-0005-0000-0000-000084070000}"/>
    <cellStyle name="RatioX 4" xfId="2127" xr:uid="{00000000-0005-0000-0000-000085070000}"/>
    <cellStyle name="RED" xfId="742" xr:uid="{00000000-0005-0000-0000-000086070000}"/>
    <cellStyle name="Red font" xfId="331" xr:uid="{00000000-0005-0000-0000-000087070000}"/>
    <cellStyle name="Red Text" xfId="743" xr:uid="{00000000-0005-0000-0000-000088070000}"/>
    <cellStyle name="Ref Numbers" xfId="744" xr:uid="{00000000-0005-0000-0000-000089070000}"/>
    <cellStyle name="Reference" xfId="745" xr:uid="{00000000-0005-0000-0000-00008A070000}"/>
    <cellStyle name="Report" xfId="332" xr:uid="{00000000-0005-0000-0000-00008B070000}"/>
    <cellStyle name="Report 2" xfId="2128" xr:uid="{00000000-0005-0000-0000-00008C070000}"/>
    <cellStyle name="Report 2 2" xfId="2129" xr:uid="{00000000-0005-0000-0000-00008D070000}"/>
    <cellStyle name="Restruct" xfId="746" xr:uid="{00000000-0005-0000-0000-00008E070000}"/>
    <cellStyle name="results" xfId="747" xr:uid="{00000000-0005-0000-0000-00008F070000}"/>
    <cellStyle name="results 2" xfId="1192" xr:uid="{00000000-0005-0000-0000-000090070000}"/>
    <cellStyle name="Right" xfId="333" xr:uid="{00000000-0005-0000-0000-000091070000}"/>
    <cellStyle name="Right 2" xfId="748" xr:uid="{00000000-0005-0000-0000-000092070000}"/>
    <cellStyle name="RM" xfId="2130" xr:uid="{00000000-0005-0000-0000-000093070000}"/>
    <cellStyle name="Rmess" xfId="334" xr:uid="{00000000-0005-0000-0000-000094070000}"/>
    <cellStyle name="Rmess 2" xfId="2131" xr:uid="{00000000-0005-0000-0000-000095070000}"/>
    <cellStyle name="Rmess 3" xfId="2132" xr:uid="{00000000-0005-0000-0000-000096070000}"/>
    <cellStyle name="Rmess 3 2" xfId="2133" xr:uid="{00000000-0005-0000-0000-000097070000}"/>
    <cellStyle name="Rnumber" xfId="335" xr:uid="{00000000-0005-0000-0000-000098070000}"/>
    <cellStyle name="Rnumber 0d" xfId="336" xr:uid="{00000000-0005-0000-0000-000099070000}"/>
    <cellStyle name="Rnumber 0d 2" xfId="2134" xr:uid="{00000000-0005-0000-0000-00009A070000}"/>
    <cellStyle name="Rnumber 0d 3" xfId="2135" xr:uid="{00000000-0005-0000-0000-00009B070000}"/>
    <cellStyle name="Rnumber 0d 3 2" xfId="2136" xr:uid="{00000000-0005-0000-0000-00009C070000}"/>
    <cellStyle name="Rnumber 2" xfId="2137" xr:uid="{00000000-0005-0000-0000-00009D070000}"/>
    <cellStyle name="Rnumber 3" xfId="2138" xr:uid="{00000000-0005-0000-0000-00009E070000}"/>
    <cellStyle name="Rnumber 3 2" xfId="2139" xr:uid="{00000000-0005-0000-0000-00009F070000}"/>
    <cellStyle name="Rnumber 4" xfId="2140" xr:uid="{00000000-0005-0000-0000-0000A0070000}"/>
    <cellStyle name="Rnumber 4 2" xfId="2141" xr:uid="{00000000-0005-0000-0000-0000A1070000}"/>
    <cellStyle name="Rnumber_eurosubs10" xfId="337" xr:uid="{00000000-0005-0000-0000-0000A2070000}"/>
    <cellStyle name="robs" xfId="2142" xr:uid="{00000000-0005-0000-0000-0000A3070000}"/>
    <cellStyle name="Row and Column Total" xfId="338" xr:uid="{00000000-0005-0000-0000-0000A4070000}"/>
    <cellStyle name="Row and Column Total 2" xfId="2143" xr:uid="{00000000-0005-0000-0000-0000A5070000}"/>
    <cellStyle name="Row and Column Total 3" xfId="2144" xr:uid="{00000000-0005-0000-0000-0000A6070000}"/>
    <cellStyle name="Row and Column Total 3 2" xfId="2145" xr:uid="{00000000-0005-0000-0000-0000A7070000}"/>
    <cellStyle name="Row Heading" xfId="339" xr:uid="{00000000-0005-0000-0000-0000A8070000}"/>
    <cellStyle name="Row Heading (No Wrap)" xfId="340" xr:uid="{00000000-0005-0000-0000-0000A9070000}"/>
    <cellStyle name="Row Heading (No Wrap) 2" xfId="2146" xr:uid="{00000000-0005-0000-0000-0000AA070000}"/>
    <cellStyle name="Row Heading (No Wrap) 3" xfId="2147" xr:uid="{00000000-0005-0000-0000-0000AB070000}"/>
    <cellStyle name="Row Heading (No Wrap) 3 2" xfId="2148" xr:uid="{00000000-0005-0000-0000-0000AC070000}"/>
    <cellStyle name="Row Heading 2" xfId="2149" xr:uid="{00000000-0005-0000-0000-0000AD070000}"/>
    <cellStyle name="Row Heading 3" xfId="2150" xr:uid="{00000000-0005-0000-0000-0000AE070000}"/>
    <cellStyle name="Row Heading 3 2" xfId="2151" xr:uid="{00000000-0005-0000-0000-0000AF070000}"/>
    <cellStyle name="Row Heading 4" xfId="2152" xr:uid="{00000000-0005-0000-0000-0000B0070000}"/>
    <cellStyle name="Row Heading 4 2" xfId="2153" xr:uid="{00000000-0005-0000-0000-0000B1070000}"/>
    <cellStyle name="Row Heading 5" xfId="2154" xr:uid="{00000000-0005-0000-0000-0000B2070000}"/>
    <cellStyle name="Row Heading 5 2" xfId="2155" xr:uid="{00000000-0005-0000-0000-0000B3070000}"/>
    <cellStyle name="Row Heading 6" xfId="2156" xr:uid="{00000000-0005-0000-0000-0000B4070000}"/>
    <cellStyle name="Row Heading 6 2" xfId="2157" xr:uid="{00000000-0005-0000-0000-0000B5070000}"/>
    <cellStyle name="Row Ignore" xfId="341" xr:uid="{00000000-0005-0000-0000-0000B6070000}"/>
    <cellStyle name="row ignroe" xfId="2158" xr:uid="{00000000-0005-0000-0000-0000B7070000}"/>
    <cellStyle name="Row label" xfId="342" xr:uid="{00000000-0005-0000-0000-0000B8070000}"/>
    <cellStyle name="Row label (indent)" xfId="343" xr:uid="{00000000-0005-0000-0000-0000B9070000}"/>
    <cellStyle name="Row label (indent) 2" xfId="1299" xr:uid="{00000000-0005-0000-0000-0000BA070000}"/>
    <cellStyle name="Row Normal Indent" xfId="2159" xr:uid="{00000000-0005-0000-0000-0000BB070000}"/>
    <cellStyle name="Row Sub total" xfId="344" xr:uid="{00000000-0005-0000-0000-0000BC070000}"/>
    <cellStyle name="Row Title 1" xfId="345" xr:uid="{00000000-0005-0000-0000-0000BD070000}"/>
    <cellStyle name="Row Title 1 2" xfId="2160" xr:uid="{00000000-0005-0000-0000-0000BE070000}"/>
    <cellStyle name="Row Title 1 2 2" xfId="2161" xr:uid="{00000000-0005-0000-0000-0000BF070000}"/>
    <cellStyle name="Row Title 1 3" xfId="2162" xr:uid="{00000000-0005-0000-0000-0000C0070000}"/>
    <cellStyle name="Row Title 1 4" xfId="2163" xr:uid="{00000000-0005-0000-0000-0000C1070000}"/>
    <cellStyle name="Row Title 2" xfId="346" xr:uid="{00000000-0005-0000-0000-0000C2070000}"/>
    <cellStyle name="Row Title 2 2" xfId="2164" xr:uid="{00000000-0005-0000-0000-0000C3070000}"/>
    <cellStyle name="Row Title 2 2 2" xfId="2165" xr:uid="{00000000-0005-0000-0000-0000C4070000}"/>
    <cellStyle name="Row Title 2 3" xfId="2166" xr:uid="{00000000-0005-0000-0000-0000C5070000}"/>
    <cellStyle name="Row Title 2 4" xfId="2167" xr:uid="{00000000-0005-0000-0000-0000C6070000}"/>
    <cellStyle name="Row Title 3" xfId="347" xr:uid="{00000000-0005-0000-0000-0000C7070000}"/>
    <cellStyle name="Row Title 3 2" xfId="2168" xr:uid="{00000000-0005-0000-0000-0000C8070000}"/>
    <cellStyle name="Row Title 3 2 2" xfId="2169" xr:uid="{00000000-0005-0000-0000-0000C9070000}"/>
    <cellStyle name="Row Title 3 3" xfId="2170" xr:uid="{00000000-0005-0000-0000-0000CA070000}"/>
    <cellStyle name="Row Title 3 4" xfId="2171" xr:uid="{00000000-0005-0000-0000-0000CB070000}"/>
    <cellStyle name="Row Title 4" xfId="2172" xr:uid="{00000000-0005-0000-0000-0000CC070000}"/>
    <cellStyle name="Row Title 4 Indent" xfId="2173" xr:uid="{00000000-0005-0000-0000-0000CD070000}"/>
    <cellStyle name="Row Total" xfId="348" xr:uid="{00000000-0005-0000-0000-0000CE070000}"/>
    <cellStyle name="Row Total 2" xfId="2174" xr:uid="{00000000-0005-0000-0000-0000CF070000}"/>
    <cellStyle name="Row Total 3" xfId="2175" xr:uid="{00000000-0005-0000-0000-0000D0070000}"/>
    <cellStyle name="Row Total 3 2" xfId="2176" xr:uid="{00000000-0005-0000-0000-0000D1070000}"/>
    <cellStyle name="Row Total 4" xfId="2177" xr:uid="{00000000-0005-0000-0000-0000D2070000}"/>
    <cellStyle name="Saisie" xfId="349" xr:uid="{00000000-0005-0000-0000-0000D3070000}"/>
    <cellStyle name="Saisie 2" xfId="2178" xr:uid="{00000000-0005-0000-0000-0000D4070000}"/>
    <cellStyle name="Saisie 3" xfId="2179" xr:uid="{00000000-0005-0000-0000-0000D5070000}"/>
    <cellStyle name="Saisie 3 2" xfId="2180" xr:uid="{00000000-0005-0000-0000-0000D6070000}"/>
    <cellStyle name="Salomon Logo" xfId="350" xr:uid="{00000000-0005-0000-0000-0000D7070000}"/>
    <cellStyle name="Salomon Logo 2" xfId="2181" xr:uid="{00000000-0005-0000-0000-0000D8070000}"/>
    <cellStyle name="Salomon Logo 2 2" xfId="2182" xr:uid="{00000000-0005-0000-0000-0000D9070000}"/>
    <cellStyle name="SAPBEXaggData" xfId="2183" xr:uid="{00000000-0005-0000-0000-0000DA070000}"/>
    <cellStyle name="SAPBEXaggDataEmph" xfId="2184" xr:uid="{00000000-0005-0000-0000-0000DB070000}"/>
    <cellStyle name="SAPBEXaggItem" xfId="2185" xr:uid="{00000000-0005-0000-0000-0000DC070000}"/>
    <cellStyle name="SAPBEXaggItemX" xfId="2186" xr:uid="{00000000-0005-0000-0000-0000DD070000}"/>
    <cellStyle name="SAPBEXchaText" xfId="2187" xr:uid="{00000000-0005-0000-0000-0000DE070000}"/>
    <cellStyle name="SAPBEXexcBad7" xfId="2188" xr:uid="{00000000-0005-0000-0000-0000DF070000}"/>
    <cellStyle name="SAPBEXexcBad8" xfId="2189" xr:uid="{00000000-0005-0000-0000-0000E0070000}"/>
    <cellStyle name="SAPBEXexcBad9" xfId="2190" xr:uid="{00000000-0005-0000-0000-0000E1070000}"/>
    <cellStyle name="SAPBEXexcCritical4" xfId="2191" xr:uid="{00000000-0005-0000-0000-0000E2070000}"/>
    <cellStyle name="SAPBEXexcCritical5" xfId="2192" xr:uid="{00000000-0005-0000-0000-0000E3070000}"/>
    <cellStyle name="SAPBEXexcCritical6" xfId="2193" xr:uid="{00000000-0005-0000-0000-0000E4070000}"/>
    <cellStyle name="SAPBEXexcGood1" xfId="2194" xr:uid="{00000000-0005-0000-0000-0000E5070000}"/>
    <cellStyle name="SAPBEXexcGood2" xfId="2195" xr:uid="{00000000-0005-0000-0000-0000E6070000}"/>
    <cellStyle name="SAPBEXexcGood3" xfId="2196" xr:uid="{00000000-0005-0000-0000-0000E7070000}"/>
    <cellStyle name="SAPBEXfilterDrill" xfId="2197" xr:uid="{00000000-0005-0000-0000-0000E8070000}"/>
    <cellStyle name="SAPBEXfilterItem" xfId="2198" xr:uid="{00000000-0005-0000-0000-0000E9070000}"/>
    <cellStyle name="SAPBEXfilterText" xfId="2199" xr:uid="{00000000-0005-0000-0000-0000EA070000}"/>
    <cellStyle name="SAPBEXformats" xfId="2200" xr:uid="{00000000-0005-0000-0000-0000EB070000}"/>
    <cellStyle name="SAPBEXheaderItem" xfId="2201" xr:uid="{00000000-0005-0000-0000-0000EC070000}"/>
    <cellStyle name="SAPBEXheaderText" xfId="2202" xr:uid="{00000000-0005-0000-0000-0000ED070000}"/>
    <cellStyle name="SAPBEXHLevel0" xfId="2203" xr:uid="{00000000-0005-0000-0000-0000EE070000}"/>
    <cellStyle name="SAPBEXHLevel0X" xfId="2204" xr:uid="{00000000-0005-0000-0000-0000EF070000}"/>
    <cellStyle name="SAPBEXHLevel1" xfId="2205" xr:uid="{00000000-0005-0000-0000-0000F0070000}"/>
    <cellStyle name="SAPBEXHLevel1X" xfId="2206" xr:uid="{00000000-0005-0000-0000-0000F1070000}"/>
    <cellStyle name="SAPBEXHLevel2" xfId="2207" xr:uid="{00000000-0005-0000-0000-0000F2070000}"/>
    <cellStyle name="SAPBEXHLevel2X" xfId="2208" xr:uid="{00000000-0005-0000-0000-0000F3070000}"/>
    <cellStyle name="SAPBEXHLevel3" xfId="2209" xr:uid="{00000000-0005-0000-0000-0000F4070000}"/>
    <cellStyle name="SAPBEXHLevel3X" xfId="2210" xr:uid="{00000000-0005-0000-0000-0000F5070000}"/>
    <cellStyle name="SAPBEXresData" xfId="2211" xr:uid="{00000000-0005-0000-0000-0000F6070000}"/>
    <cellStyle name="SAPBEXresDataEmph" xfId="2212" xr:uid="{00000000-0005-0000-0000-0000F7070000}"/>
    <cellStyle name="SAPBEXresItem" xfId="2213" xr:uid="{00000000-0005-0000-0000-0000F8070000}"/>
    <cellStyle name="SAPBEXresItemX" xfId="2214" xr:uid="{00000000-0005-0000-0000-0000F9070000}"/>
    <cellStyle name="SAPBEXstdData" xfId="2215" xr:uid="{00000000-0005-0000-0000-0000FA070000}"/>
    <cellStyle name="SAPBEXstdDataEmph" xfId="2216" xr:uid="{00000000-0005-0000-0000-0000FB070000}"/>
    <cellStyle name="SAPBEXstdItem" xfId="2217" xr:uid="{00000000-0005-0000-0000-0000FC070000}"/>
    <cellStyle name="SAPBEXstdItemX" xfId="2218" xr:uid="{00000000-0005-0000-0000-0000FD070000}"/>
    <cellStyle name="SAPBEXtitle" xfId="2219" xr:uid="{00000000-0005-0000-0000-0000FE070000}"/>
    <cellStyle name="SAPBEXundefined" xfId="2220" xr:uid="{00000000-0005-0000-0000-0000FF070000}"/>
    <cellStyle name="SB_Normal" xfId="749" xr:uid="{00000000-0005-0000-0000-000000080000}"/>
    <cellStyle name="ScripFactor" xfId="351" xr:uid="{00000000-0005-0000-0000-000001080000}"/>
    <cellStyle name="ScripFactor 2" xfId="750" xr:uid="{00000000-0005-0000-0000-000002080000}"/>
    <cellStyle name="ScripFactor 3" xfId="2221" xr:uid="{00000000-0005-0000-0000-000003080000}"/>
    <cellStyle name="ScripFactor 3 2" xfId="2222" xr:uid="{00000000-0005-0000-0000-000004080000}"/>
    <cellStyle name="ScripFactor 4" xfId="2223" xr:uid="{00000000-0005-0000-0000-000005080000}"/>
    <cellStyle name="ScripFactor 5" xfId="2224" xr:uid="{00000000-0005-0000-0000-000006080000}"/>
    <cellStyle name="Section name" xfId="2225" xr:uid="{00000000-0005-0000-0000-000007080000}"/>
    <cellStyle name="Section Title" xfId="352" xr:uid="{00000000-0005-0000-0000-000008080000}"/>
    <cellStyle name="Section Title 2" xfId="2226" xr:uid="{00000000-0005-0000-0000-000009080000}"/>
    <cellStyle name="Section Title 3" xfId="2227" xr:uid="{00000000-0005-0000-0000-00000A080000}"/>
    <cellStyle name="Section Title 3 2" xfId="2228" xr:uid="{00000000-0005-0000-0000-00000B080000}"/>
    <cellStyle name="SectionHeading" xfId="353" xr:uid="{00000000-0005-0000-0000-00000C080000}"/>
    <cellStyle name="SectionHeading 2" xfId="751" xr:uid="{00000000-0005-0000-0000-00000D080000}"/>
    <cellStyle name="SectionHeading 3" xfId="2229" xr:uid="{00000000-0005-0000-0000-00000E080000}"/>
    <cellStyle name="SectionHeading 3 2" xfId="2230" xr:uid="{00000000-0005-0000-0000-00000F080000}"/>
    <cellStyle name="Separador de milhares_Balancete_TSD_2003" xfId="2231" xr:uid="{00000000-0005-0000-0000-000010080000}"/>
    <cellStyle name="Separador de milhar㳥s_gerencial 99 Telesp Celular.xls Gráfico 1" xfId="2232" xr:uid="{00000000-0005-0000-0000-000011080000}"/>
    <cellStyle name="ShadedCells_Database" xfId="752" xr:uid="{00000000-0005-0000-0000-000012080000}"/>
    <cellStyle name="Share" xfId="753" xr:uid="{00000000-0005-0000-0000-000013080000}"/>
    <cellStyle name="Share 2" xfId="1193" xr:uid="{00000000-0005-0000-0000-000014080000}"/>
    <cellStyle name="Shares" xfId="354" xr:uid="{00000000-0005-0000-0000-000015080000}"/>
    <cellStyle name="Shares 2" xfId="754" xr:uid="{00000000-0005-0000-0000-000016080000}"/>
    <cellStyle name="Shares 2 2" xfId="2233" xr:uid="{00000000-0005-0000-0000-000017080000}"/>
    <cellStyle name="Sheet Title" xfId="755" xr:uid="{00000000-0005-0000-0000-000018080000}"/>
    <cellStyle name="Single Accounting" xfId="355" xr:uid="{00000000-0005-0000-0000-000019080000}"/>
    <cellStyle name="Small Number" xfId="356" xr:uid="{00000000-0005-0000-0000-00001A080000}"/>
    <cellStyle name="Small Number 2" xfId="2234" xr:uid="{00000000-0005-0000-0000-00001B080000}"/>
    <cellStyle name="Small Number 3" xfId="2235" xr:uid="{00000000-0005-0000-0000-00001C080000}"/>
    <cellStyle name="Small Number 3 2" xfId="2236" xr:uid="{00000000-0005-0000-0000-00001D080000}"/>
    <cellStyle name="Small Percentage" xfId="357" xr:uid="{00000000-0005-0000-0000-00001E080000}"/>
    <cellStyle name="Small Percentage 2" xfId="2237" xr:uid="{00000000-0005-0000-0000-00001F080000}"/>
    <cellStyle name="Small Percentage 3" xfId="2238" xr:uid="{00000000-0005-0000-0000-000020080000}"/>
    <cellStyle name="Small Percentage 3 2" xfId="2239" xr:uid="{00000000-0005-0000-0000-000021080000}"/>
    <cellStyle name="Source" xfId="756" xr:uid="{00000000-0005-0000-0000-000022080000}"/>
    <cellStyle name="Source Line" xfId="757" xr:uid="{00000000-0005-0000-0000-000023080000}"/>
    <cellStyle name="Sous titre" xfId="358" xr:uid="{00000000-0005-0000-0000-000024080000}"/>
    <cellStyle name="Spreadsheet title" xfId="2240" xr:uid="{00000000-0005-0000-0000-000025080000}"/>
    <cellStyle name="SS1000" xfId="758" xr:uid="{00000000-0005-0000-0000-000026080000}"/>
    <cellStyle name="Standaard_KPN" xfId="359" xr:uid="{00000000-0005-0000-0000-000027080000}"/>
    <cellStyle name="Standard" xfId="360" xr:uid="{00000000-0005-0000-0000-000028080000}"/>
    <cellStyle name="Standard 2" xfId="2241" xr:uid="{00000000-0005-0000-0000-000029080000}"/>
    <cellStyle name="Standard 3" xfId="2242" xr:uid="{00000000-0005-0000-0000-00002A080000}"/>
    <cellStyle name="Standard 3 2" xfId="2243" xr:uid="{00000000-0005-0000-0000-00002B080000}"/>
    <cellStyle name="Strange" xfId="361" xr:uid="{00000000-0005-0000-0000-00002C080000}"/>
    <cellStyle name="Strange 2" xfId="759" xr:uid="{00000000-0005-0000-0000-00002D080000}"/>
    <cellStyle name="STYL1 - Style1" xfId="362" xr:uid="{00000000-0005-0000-0000-00002E080000}"/>
    <cellStyle name="Style 1" xfId="363" xr:uid="{00000000-0005-0000-0000-00002F080000}"/>
    <cellStyle name="Style 1 2" xfId="760" xr:uid="{00000000-0005-0000-0000-000030080000}"/>
    <cellStyle name="Style 1 3" xfId="2244" xr:uid="{00000000-0005-0000-0000-000031080000}"/>
    <cellStyle name="Style 1 3 2" xfId="2245" xr:uid="{00000000-0005-0000-0000-000032080000}"/>
    <cellStyle name="Style 1 4" xfId="2246" xr:uid="{00000000-0005-0000-0000-000033080000}"/>
    <cellStyle name="Style 1 5" xfId="2247" xr:uid="{00000000-0005-0000-0000-000034080000}"/>
    <cellStyle name="Style 2" xfId="2248" xr:uid="{00000000-0005-0000-0000-000035080000}"/>
    <cellStyle name="Style D" xfId="761" xr:uid="{00000000-0005-0000-0000-000036080000}"/>
    <cellStyle name="Style D green" xfId="762" xr:uid="{00000000-0005-0000-0000-000037080000}"/>
    <cellStyle name="Style D_BPCitigroupWIP" xfId="763" xr:uid="{00000000-0005-0000-0000-000038080000}"/>
    <cellStyle name="Style E" xfId="764" xr:uid="{00000000-0005-0000-0000-000039080000}"/>
    <cellStyle name="Style G" xfId="765" xr:uid="{00000000-0005-0000-0000-00003A080000}"/>
    <cellStyle name="Sub Category Title" xfId="766" xr:uid="{00000000-0005-0000-0000-00003B080000}"/>
    <cellStyle name="Sub total" xfId="767" xr:uid="{00000000-0005-0000-0000-00003C080000}"/>
    <cellStyle name="Sub total 2" xfId="1418" xr:uid="{00000000-0005-0000-0000-00003D080000}"/>
    <cellStyle name="Subhead" xfId="364" xr:uid="{00000000-0005-0000-0000-00003E080000}"/>
    <cellStyle name="Subhead 2" xfId="768" xr:uid="{00000000-0005-0000-0000-00003F080000}"/>
    <cellStyle name="subhead 2 2" xfId="2249" xr:uid="{00000000-0005-0000-0000-000040080000}"/>
    <cellStyle name="subhead 3" xfId="2250" xr:uid="{00000000-0005-0000-0000-000041080000}"/>
    <cellStyle name="Subhead 4" xfId="2251" xr:uid="{00000000-0005-0000-0000-000042080000}"/>
    <cellStyle name="Subhead 5" xfId="2252" xr:uid="{00000000-0005-0000-0000-000043080000}"/>
    <cellStyle name="Subtitle" xfId="769" xr:uid="{00000000-0005-0000-0000-000044080000}"/>
    <cellStyle name="Sub-titulo" xfId="2253" xr:uid="{00000000-0005-0000-0000-000045080000}"/>
    <cellStyle name="Sub-titulo 2" xfId="2254" xr:uid="{00000000-0005-0000-0000-000046080000}"/>
    <cellStyle name="Sub-titulo_Analise PDD 2003 " xfId="2255" xr:uid="{00000000-0005-0000-0000-000047080000}"/>
    <cellStyle name="Subtotal" xfId="2256" xr:uid="{00000000-0005-0000-0000-000048080000}"/>
    <cellStyle name="Sub-total" xfId="2257" xr:uid="{00000000-0005-0000-0000-000049080000}"/>
    <cellStyle name="Sub-total row" xfId="365" xr:uid="{00000000-0005-0000-0000-00004A080000}"/>
    <cellStyle name="Subtotal_Informe Orcamento 2002" xfId="2258" xr:uid="{00000000-0005-0000-0000-00004B080000}"/>
    <cellStyle name="subtots" xfId="770" xr:uid="{00000000-0005-0000-0000-00004C080000}"/>
    <cellStyle name="SymbolBlue" xfId="771" xr:uid="{00000000-0005-0000-0000-00004D080000}"/>
    <cellStyle name="SymbolBlue 2" xfId="1419" xr:uid="{00000000-0005-0000-0000-00004E080000}"/>
    <cellStyle name="Table" xfId="366" xr:uid="{00000000-0005-0000-0000-00004F080000}"/>
    <cellStyle name="Table - ColumnHeading Number" xfId="2259" xr:uid="{00000000-0005-0000-0000-000050080000}"/>
    <cellStyle name="Table - ColumnHeading Text" xfId="2260" xr:uid="{00000000-0005-0000-0000-000051080000}"/>
    <cellStyle name="Table - Heading Left" xfId="2261" xr:uid="{00000000-0005-0000-0000-000052080000}"/>
    <cellStyle name="Table - Number" xfId="2262" xr:uid="{00000000-0005-0000-0000-000053080000}"/>
    <cellStyle name="Table - Number Subtotal" xfId="2263" xr:uid="{00000000-0005-0000-0000-000054080000}"/>
    <cellStyle name="Table - Number Total" xfId="2264" xr:uid="{00000000-0005-0000-0000-000055080000}"/>
    <cellStyle name="Table - Text" xfId="2265" xr:uid="{00000000-0005-0000-0000-000056080000}"/>
    <cellStyle name="Table - Text Bold" xfId="2266" xr:uid="{00000000-0005-0000-0000-000057080000}"/>
    <cellStyle name="Table - Text Subtotal" xfId="2267" xr:uid="{00000000-0005-0000-0000-000058080000}"/>
    <cellStyle name="Table - Text Total" xfId="2268" xr:uid="{00000000-0005-0000-0000-000059080000}"/>
    <cellStyle name="Table 2" xfId="2269" xr:uid="{00000000-0005-0000-0000-00005A080000}"/>
    <cellStyle name="Table 2 2" xfId="2270" xr:uid="{00000000-0005-0000-0000-00005B080000}"/>
    <cellStyle name="Table end" xfId="772" xr:uid="{00000000-0005-0000-0000-00005C080000}"/>
    <cellStyle name="Table finish row" xfId="367" xr:uid="{00000000-0005-0000-0000-00005D080000}"/>
    <cellStyle name="Table finish row 2" xfId="1300" xr:uid="{00000000-0005-0000-0000-00005E080000}"/>
    <cellStyle name="Table Head" xfId="368" xr:uid="{00000000-0005-0000-0000-00005F080000}"/>
    <cellStyle name="Table head 2" xfId="773" xr:uid="{00000000-0005-0000-0000-000060080000}"/>
    <cellStyle name="Table Head 2 2" xfId="2271" xr:uid="{00000000-0005-0000-0000-000061080000}"/>
    <cellStyle name="Table Head 3" xfId="2272" xr:uid="{00000000-0005-0000-0000-000062080000}"/>
    <cellStyle name="Table Head 4" xfId="2273" xr:uid="{00000000-0005-0000-0000-000063080000}"/>
    <cellStyle name="Table Head 5" xfId="2274" xr:uid="{00000000-0005-0000-0000-000064080000}"/>
    <cellStyle name="Table Head Aligned" xfId="369" xr:uid="{00000000-0005-0000-0000-000065080000}"/>
    <cellStyle name="Table Head Aligned 2" xfId="774" xr:uid="{00000000-0005-0000-0000-000066080000}"/>
    <cellStyle name="Table Head Blue" xfId="370" xr:uid="{00000000-0005-0000-0000-000067080000}"/>
    <cellStyle name="Table Head Blue 2" xfId="775" xr:uid="{00000000-0005-0000-0000-000068080000}"/>
    <cellStyle name="Table Head Blue 3" xfId="2275" xr:uid="{00000000-0005-0000-0000-000069080000}"/>
    <cellStyle name="Table Head Blue 3 2" xfId="2276" xr:uid="{00000000-0005-0000-0000-00006A080000}"/>
    <cellStyle name="Table Head Blue 4" xfId="2277" xr:uid="{00000000-0005-0000-0000-00006B080000}"/>
    <cellStyle name="Table Head Green" xfId="371" xr:uid="{00000000-0005-0000-0000-00006C080000}"/>
    <cellStyle name="Table Head Green 2" xfId="776" xr:uid="{00000000-0005-0000-0000-00006D080000}"/>
    <cellStyle name="Table Head Green 3" xfId="2278" xr:uid="{00000000-0005-0000-0000-00006E080000}"/>
    <cellStyle name="Table Head Green 3 2" xfId="2279" xr:uid="{00000000-0005-0000-0000-00006F080000}"/>
    <cellStyle name="Table Head Green 4" xfId="2280" xr:uid="{00000000-0005-0000-0000-000070080000}"/>
    <cellStyle name="Table head_AMT Model New 11-16-2011" xfId="1051" xr:uid="{00000000-0005-0000-0000-000071080000}"/>
    <cellStyle name="Table Heading" xfId="777" xr:uid="{00000000-0005-0000-0000-000072080000}"/>
    <cellStyle name="table numbers 1" xfId="372" xr:uid="{00000000-0005-0000-0000-000073080000}"/>
    <cellStyle name="Table numbers 2" xfId="373" xr:uid="{00000000-0005-0000-0000-000074080000}"/>
    <cellStyle name="Table shading" xfId="374" xr:uid="{00000000-0005-0000-0000-000075080000}"/>
    <cellStyle name="Table shading 2" xfId="1301" xr:uid="{00000000-0005-0000-0000-000076080000}"/>
    <cellStyle name="Table Source" xfId="375" xr:uid="{00000000-0005-0000-0000-000077080000}"/>
    <cellStyle name="Table Source 2" xfId="2281" xr:uid="{00000000-0005-0000-0000-000078080000}"/>
    <cellStyle name="Table Source 2 2" xfId="2282" xr:uid="{00000000-0005-0000-0000-000079080000}"/>
    <cellStyle name="Table sub head" xfId="2283" xr:uid="{00000000-0005-0000-0000-00007A080000}"/>
    <cellStyle name="Table Text" xfId="376" xr:uid="{00000000-0005-0000-0000-00007B080000}"/>
    <cellStyle name="Table Text 2" xfId="2284" xr:uid="{00000000-0005-0000-0000-00007C080000}"/>
    <cellStyle name="Table Text 2 2" xfId="2285" xr:uid="{00000000-0005-0000-0000-00007D080000}"/>
    <cellStyle name="Table Title" xfId="377" xr:uid="{00000000-0005-0000-0000-00007E080000}"/>
    <cellStyle name="Table Title 2" xfId="778" xr:uid="{00000000-0005-0000-0000-00007F080000}"/>
    <cellStyle name="Table Title 2 2" xfId="2286" xr:uid="{00000000-0005-0000-0000-000080080000}"/>
    <cellStyle name="Table Title 3" xfId="2287" xr:uid="{00000000-0005-0000-0000-000081080000}"/>
    <cellStyle name="Table Title 4" xfId="2288" xr:uid="{00000000-0005-0000-0000-000082080000}"/>
    <cellStyle name="Table Title 5" xfId="2289" xr:uid="{00000000-0005-0000-0000-000083080000}"/>
    <cellStyle name="Table unfinish row" xfId="378" xr:uid="{00000000-0005-0000-0000-000084080000}"/>
    <cellStyle name="Table unfinish row 2" xfId="1302" xr:uid="{00000000-0005-0000-0000-000085080000}"/>
    <cellStyle name="Table Units" xfId="379" xr:uid="{00000000-0005-0000-0000-000086080000}"/>
    <cellStyle name="Table Units 2" xfId="779" xr:uid="{00000000-0005-0000-0000-000087080000}"/>
    <cellStyle name="Table Units 2 2" xfId="2290" xr:uid="{00000000-0005-0000-0000-000088080000}"/>
    <cellStyle name="Table Units 3" xfId="2291" xr:uid="{00000000-0005-0000-0000-000089080000}"/>
    <cellStyle name="Table Units 4" xfId="2292" xr:uid="{00000000-0005-0000-0000-00008A080000}"/>
    <cellStyle name="Table Units 5" xfId="2293" xr:uid="{00000000-0005-0000-0000-00008B080000}"/>
    <cellStyle name="Table unshading" xfId="380" xr:uid="{00000000-0005-0000-0000-00008C080000}"/>
    <cellStyle name="Table unshading 2" xfId="1303" xr:uid="{00000000-0005-0000-0000-00008D080000}"/>
    <cellStyle name="Table_AMT Model New 11-16-2011" xfId="1052" xr:uid="{00000000-0005-0000-0000-00008E080000}"/>
    <cellStyle name="TableBody" xfId="780" xr:uid="{00000000-0005-0000-0000-00008F080000}"/>
    <cellStyle name="TableBodyR" xfId="781" xr:uid="{00000000-0005-0000-0000-000090080000}"/>
    <cellStyle name="TableBorder" xfId="381" xr:uid="{00000000-0005-0000-0000-000091080000}"/>
    <cellStyle name="TableBorder 2" xfId="2294" xr:uid="{00000000-0005-0000-0000-000092080000}"/>
    <cellStyle name="TableBorder 3" xfId="2295" xr:uid="{00000000-0005-0000-0000-000093080000}"/>
    <cellStyle name="TableBorder 3 2" xfId="2296" xr:uid="{00000000-0005-0000-0000-000094080000}"/>
    <cellStyle name="TableColHeads" xfId="782" xr:uid="{00000000-0005-0000-0000-000095080000}"/>
    <cellStyle name="TableFootnotes" xfId="382" xr:uid="{00000000-0005-0000-0000-000096080000}"/>
    <cellStyle name="TableFootnotes 2" xfId="2297" xr:uid="{00000000-0005-0000-0000-000097080000}"/>
    <cellStyle name="TableFootnotes 2 2" xfId="2298" xr:uid="{00000000-0005-0000-0000-000098080000}"/>
    <cellStyle name="TableTitleFormat" xfId="383" xr:uid="{00000000-0005-0000-0000-000099080000}"/>
    <cellStyle name="TableTitleFormat 2" xfId="2299" xr:uid="{00000000-0005-0000-0000-00009A080000}"/>
    <cellStyle name="TableTitleFormat 2 2" xfId="2300" xr:uid="{00000000-0005-0000-0000-00009B080000}"/>
    <cellStyle name="TableTitleFormat 3" xfId="2301" xr:uid="{00000000-0005-0000-0000-00009C080000}"/>
    <cellStyle name="Test [green]" xfId="384" xr:uid="{00000000-0005-0000-0000-00009D080000}"/>
    <cellStyle name="Test [green] 2" xfId="783" xr:uid="{00000000-0005-0000-0000-00009E080000}"/>
    <cellStyle name="Test [green] 2 2" xfId="2302" xr:uid="{00000000-0005-0000-0000-00009F080000}"/>
    <cellStyle name="test a style" xfId="385" xr:uid="{00000000-0005-0000-0000-0000A0080000}"/>
    <cellStyle name="Text" xfId="386" xr:uid="{00000000-0005-0000-0000-0000A1080000}"/>
    <cellStyle name="Text 1" xfId="387" xr:uid="{00000000-0005-0000-0000-0000A2080000}"/>
    <cellStyle name="Text 1 2" xfId="2303" xr:uid="{00000000-0005-0000-0000-0000A3080000}"/>
    <cellStyle name="Text 1 2 2" xfId="2304" xr:uid="{00000000-0005-0000-0000-0000A4080000}"/>
    <cellStyle name="Text 2" xfId="388" xr:uid="{00000000-0005-0000-0000-0000A5080000}"/>
    <cellStyle name="Text 2 2" xfId="2305" xr:uid="{00000000-0005-0000-0000-0000A6080000}"/>
    <cellStyle name="Text 2 2 2" xfId="2306" xr:uid="{00000000-0005-0000-0000-0000A7080000}"/>
    <cellStyle name="Text 3" xfId="1304" xr:uid="{00000000-0005-0000-0000-0000A8080000}"/>
    <cellStyle name="Text Head 1" xfId="389" xr:uid="{00000000-0005-0000-0000-0000A9080000}"/>
    <cellStyle name="Text Head 1 2" xfId="2307" xr:uid="{00000000-0005-0000-0000-0000AA080000}"/>
    <cellStyle name="Text Head 1 2 2" xfId="2308" xr:uid="{00000000-0005-0000-0000-0000AB080000}"/>
    <cellStyle name="Text Head 2" xfId="390" xr:uid="{00000000-0005-0000-0000-0000AC080000}"/>
    <cellStyle name="Text Head 2 2" xfId="2309" xr:uid="{00000000-0005-0000-0000-0000AD080000}"/>
    <cellStyle name="Text Head 2 2 2" xfId="2310" xr:uid="{00000000-0005-0000-0000-0000AE080000}"/>
    <cellStyle name="Text Indent 1" xfId="391" xr:uid="{00000000-0005-0000-0000-0000AF080000}"/>
    <cellStyle name="Text Indent 1 2" xfId="2311" xr:uid="{00000000-0005-0000-0000-0000B0080000}"/>
    <cellStyle name="Text Indent 1 2 2" xfId="2312" xr:uid="{00000000-0005-0000-0000-0000B1080000}"/>
    <cellStyle name="Text Indent 2" xfId="392" xr:uid="{00000000-0005-0000-0000-0000B2080000}"/>
    <cellStyle name="Text Indent 2 2" xfId="2313" xr:uid="{00000000-0005-0000-0000-0000B3080000}"/>
    <cellStyle name="Text Indent 2 2 2" xfId="2314" xr:uid="{00000000-0005-0000-0000-0000B4080000}"/>
    <cellStyle name="TFCF" xfId="393" xr:uid="{00000000-0005-0000-0000-0000B5080000}"/>
    <cellStyle name="TFCF 2" xfId="784" xr:uid="{00000000-0005-0000-0000-0000B6080000}"/>
    <cellStyle name="TFCF 2 2" xfId="2315" xr:uid="{00000000-0005-0000-0000-0000B7080000}"/>
    <cellStyle name="threedecplace" xfId="785" xr:uid="{00000000-0005-0000-0000-0000B8080000}"/>
    <cellStyle name="Time Strip" xfId="394" xr:uid="{00000000-0005-0000-0000-0000B9080000}"/>
    <cellStyle name="Time Strip 2" xfId="2316" xr:uid="{00000000-0005-0000-0000-0000BA080000}"/>
    <cellStyle name="Time Strip 2 2" xfId="2317" xr:uid="{00000000-0005-0000-0000-0000BB080000}"/>
    <cellStyle name="times" xfId="395" xr:uid="{00000000-0005-0000-0000-0000BC080000}"/>
    <cellStyle name="Times 10" xfId="396" xr:uid="{00000000-0005-0000-0000-0000BD080000}"/>
    <cellStyle name="Times 10 2" xfId="2318" xr:uid="{00000000-0005-0000-0000-0000BE080000}"/>
    <cellStyle name="Times 12" xfId="397" xr:uid="{00000000-0005-0000-0000-0000BF080000}"/>
    <cellStyle name="times 2" xfId="2319" xr:uid="{00000000-0005-0000-0000-0000C0080000}"/>
    <cellStyle name="times 2 2" xfId="2320" xr:uid="{00000000-0005-0000-0000-0000C1080000}"/>
    <cellStyle name="times 3" xfId="2321" xr:uid="{00000000-0005-0000-0000-0000C2080000}"/>
    <cellStyle name="times 3 2" xfId="2322" xr:uid="{00000000-0005-0000-0000-0000C3080000}"/>
    <cellStyle name="times_Deutsche" xfId="398" xr:uid="{00000000-0005-0000-0000-0000C4080000}"/>
    <cellStyle name="Title" xfId="399" builtinId="15" customBuiltin="1"/>
    <cellStyle name="Title 2" xfId="890" xr:uid="{00000000-0005-0000-0000-0000C6080000}"/>
    <cellStyle name="Title 2 2" xfId="2323" xr:uid="{00000000-0005-0000-0000-0000C7080000}"/>
    <cellStyle name="Title 2 3" xfId="2324" xr:uid="{00000000-0005-0000-0000-0000C8080000}"/>
    <cellStyle name="Title 2 3 2" xfId="2325" xr:uid="{00000000-0005-0000-0000-0000C9080000}"/>
    <cellStyle name="Title 3" xfId="1054" xr:uid="{00000000-0005-0000-0000-0000CA080000}"/>
    <cellStyle name="Title 4" xfId="1305" xr:uid="{00000000-0005-0000-0000-0000CB080000}"/>
    <cellStyle name="Title 5" xfId="2326" xr:uid="{00000000-0005-0000-0000-0000CC080000}"/>
    <cellStyle name="Title 6" xfId="2327" xr:uid="{00000000-0005-0000-0000-0000CD080000}"/>
    <cellStyle name="Title 7" xfId="2328" xr:uid="{00000000-0005-0000-0000-0000CE080000}"/>
    <cellStyle name="Title Heading" xfId="400" xr:uid="{00000000-0005-0000-0000-0000CF080000}"/>
    <cellStyle name="Title Heading 2" xfId="2329" xr:uid="{00000000-0005-0000-0000-0000D0080000}"/>
    <cellStyle name="Title Heading 3" xfId="2330" xr:uid="{00000000-0005-0000-0000-0000D1080000}"/>
    <cellStyle name="Title Heading 3 2" xfId="2331" xr:uid="{00000000-0005-0000-0000-0000D2080000}"/>
    <cellStyle name="Title II" xfId="401" xr:uid="{00000000-0005-0000-0000-0000D3080000}"/>
    <cellStyle name="Title II 2" xfId="2332" xr:uid="{00000000-0005-0000-0000-0000D4080000}"/>
    <cellStyle name="Title II 2 2" xfId="2333" xr:uid="{00000000-0005-0000-0000-0000D5080000}"/>
    <cellStyle name="Title Line" xfId="786" xr:uid="{00000000-0005-0000-0000-0000D6080000}"/>
    <cellStyle name="title1" xfId="402" xr:uid="{00000000-0005-0000-0000-0000D7080000}"/>
    <cellStyle name="Title1 2" xfId="787" xr:uid="{00000000-0005-0000-0000-0000D8080000}"/>
    <cellStyle name="title1 2 2" xfId="2334" xr:uid="{00000000-0005-0000-0000-0000D9080000}"/>
    <cellStyle name="Title2" xfId="403" xr:uid="{00000000-0005-0000-0000-0000DA080000}"/>
    <cellStyle name="Title2 2" xfId="788" xr:uid="{00000000-0005-0000-0000-0000DB080000}"/>
    <cellStyle name="Title2 2 2" xfId="2335" xr:uid="{00000000-0005-0000-0000-0000DC080000}"/>
    <cellStyle name="TitleII" xfId="404" xr:uid="{00000000-0005-0000-0000-0000DD080000}"/>
    <cellStyle name="TitleII 2" xfId="2336" xr:uid="{00000000-0005-0000-0000-0000DE080000}"/>
    <cellStyle name="TitleII 2 2" xfId="2337" xr:uid="{00000000-0005-0000-0000-0000DF080000}"/>
    <cellStyle name="Titles" xfId="405" xr:uid="{00000000-0005-0000-0000-0000E0080000}"/>
    <cellStyle name="Titles 2" xfId="789" xr:uid="{00000000-0005-0000-0000-0000E1080000}"/>
    <cellStyle name="Titles 3" xfId="2338" xr:uid="{00000000-0005-0000-0000-0000E2080000}"/>
    <cellStyle name="Titles 3 2" xfId="2339" xr:uid="{00000000-0005-0000-0000-0000E3080000}"/>
    <cellStyle name="Titre" xfId="406" xr:uid="{00000000-0005-0000-0000-0000E4080000}"/>
    <cellStyle name="Título 1" xfId="2340" xr:uid="{00000000-0005-0000-0000-0000E5080000}"/>
    <cellStyle name="Título 2" xfId="2341" xr:uid="{00000000-0005-0000-0000-0000E6080000}"/>
    <cellStyle name="Titulo1" xfId="2342" xr:uid="{00000000-0005-0000-0000-0000E7080000}"/>
    <cellStyle name="Titulo2" xfId="2343" xr:uid="{00000000-0005-0000-0000-0000E8080000}"/>
    <cellStyle name="Titulo-Seccion" xfId="2344" xr:uid="{00000000-0005-0000-0000-0000E9080000}"/>
    <cellStyle name="TOC 1" xfId="407" xr:uid="{00000000-0005-0000-0000-0000EA080000}"/>
    <cellStyle name="TOC 1 2" xfId="2345" xr:uid="{00000000-0005-0000-0000-0000EB080000}"/>
    <cellStyle name="TOC 1 2 2" xfId="2346" xr:uid="{00000000-0005-0000-0000-0000EC080000}"/>
    <cellStyle name="TOC 2" xfId="408" xr:uid="{00000000-0005-0000-0000-0000ED080000}"/>
    <cellStyle name="TOC 2 2" xfId="2347" xr:uid="{00000000-0005-0000-0000-0000EE080000}"/>
    <cellStyle name="TOC 2 2 2" xfId="2348" xr:uid="{00000000-0005-0000-0000-0000EF080000}"/>
    <cellStyle name="tom" xfId="409" xr:uid="{00000000-0005-0000-0000-0000F0080000}"/>
    <cellStyle name="tom 2" xfId="790" xr:uid="{00000000-0005-0000-0000-0000F1080000}"/>
    <cellStyle name="tom 2 2" xfId="2349" xr:uid="{00000000-0005-0000-0000-0000F2080000}"/>
    <cellStyle name="Top Row" xfId="791" xr:uid="{00000000-0005-0000-0000-0000F3080000}"/>
    <cellStyle name="TopGrey" xfId="792" xr:uid="{00000000-0005-0000-0000-0000F4080000}"/>
    <cellStyle name="Topline" xfId="410" xr:uid="{00000000-0005-0000-0000-0000F5080000}"/>
    <cellStyle name="Topline 2" xfId="1306" xr:uid="{00000000-0005-0000-0000-0000F6080000}"/>
    <cellStyle name="Total" xfId="411" builtinId="25" customBuiltin="1"/>
    <cellStyle name="Total 2" xfId="891" xr:uid="{00000000-0005-0000-0000-0000F8080000}"/>
    <cellStyle name="Total 3" xfId="1057" xr:uid="{00000000-0005-0000-0000-0000F9080000}"/>
    <cellStyle name="Total 3 2" xfId="1462" xr:uid="{00000000-0005-0000-0000-0000FA080000}"/>
    <cellStyle name="Total 4" xfId="1307" xr:uid="{00000000-0005-0000-0000-0000FB080000}"/>
    <cellStyle name="Total row" xfId="412" xr:uid="{00000000-0005-0000-0000-0000FC080000}"/>
    <cellStyle name="Total Row 2" xfId="793" xr:uid="{00000000-0005-0000-0000-0000FD080000}"/>
    <cellStyle name="Total row 3" xfId="2350" xr:uid="{00000000-0005-0000-0000-0000FE080000}"/>
    <cellStyle name="Tusenskille_Korrigeringer for å nettoføre VØT" xfId="413" xr:uid="{00000000-0005-0000-0000-0000FF080000}"/>
    <cellStyle name="Tusental (0)_1998-Q2" xfId="414" xr:uid="{00000000-0005-0000-0000-000000090000}"/>
    <cellStyle name="Tusental_1998-Q4-NORGE" xfId="415" xr:uid="{00000000-0005-0000-0000-000001090000}"/>
    <cellStyle name="twodecplace" xfId="794" xr:uid="{00000000-0005-0000-0000-000002090000}"/>
    <cellStyle name="Twodig" xfId="795" xr:uid="{00000000-0005-0000-0000-000003090000}"/>
    <cellStyle name="Ugly" xfId="796" xr:uid="{00000000-0005-0000-0000-000004090000}"/>
    <cellStyle name="Ugly 2" xfId="1195" xr:uid="{00000000-0005-0000-0000-000005090000}"/>
    <cellStyle name="ul" xfId="416" xr:uid="{00000000-0005-0000-0000-000006090000}"/>
    <cellStyle name="ul 2" xfId="2351" xr:uid="{00000000-0005-0000-0000-000007090000}"/>
    <cellStyle name="ul 2 2" xfId="2352" xr:uid="{00000000-0005-0000-0000-000008090000}"/>
    <cellStyle name="Underline" xfId="797" xr:uid="{00000000-0005-0000-0000-000009090000}"/>
    <cellStyle name="Unhighlight" xfId="417" xr:uid="{00000000-0005-0000-0000-00000A090000}"/>
    <cellStyle name="Unhighlight 2" xfId="1308" xr:uid="{00000000-0005-0000-0000-00000B090000}"/>
    <cellStyle name="Unit" xfId="418" xr:uid="{00000000-0005-0000-0000-00000C090000}"/>
    <cellStyle name="Unit 2" xfId="2353" xr:uid="{00000000-0005-0000-0000-00000D090000}"/>
    <cellStyle name="Unit 2 2" xfId="2354" xr:uid="{00000000-0005-0000-0000-00000E090000}"/>
    <cellStyle name="units" xfId="419" xr:uid="{00000000-0005-0000-0000-00000F090000}"/>
    <cellStyle name="units 2" xfId="2355" xr:uid="{00000000-0005-0000-0000-000010090000}"/>
    <cellStyle name="units 2 2" xfId="2356" xr:uid="{00000000-0005-0000-0000-000011090000}"/>
    <cellStyle name="Untotal row" xfId="420" xr:uid="{00000000-0005-0000-0000-000012090000}"/>
    <cellStyle name="Untotal row 2" xfId="1309" xr:uid="{00000000-0005-0000-0000-000013090000}"/>
    <cellStyle name="Update" xfId="798" xr:uid="{00000000-0005-0000-0000-000014090000}"/>
    <cellStyle name="Upload Only" xfId="421" xr:uid="{00000000-0005-0000-0000-000015090000}"/>
    <cellStyle name="Upload Only 2" xfId="799" xr:uid="{00000000-0005-0000-0000-000016090000}"/>
    <cellStyle name="Upload Only 3" xfId="2357" xr:uid="{00000000-0005-0000-0000-000017090000}"/>
    <cellStyle name="Upload Only 3 2" xfId="2358" xr:uid="{00000000-0005-0000-0000-000018090000}"/>
    <cellStyle name="Validation" xfId="800" xr:uid="{00000000-0005-0000-0000-000019090000}"/>
    <cellStyle name="Valuta (0)" xfId="2359" xr:uid="{00000000-0005-0000-0000-00001A090000}"/>
    <cellStyle name="Warning Text 2" xfId="892" xr:uid="{00000000-0005-0000-0000-00001B090000}"/>
    <cellStyle name="Warning Text 3" xfId="2360" xr:uid="{00000000-0005-0000-0000-00001C090000}"/>
    <cellStyle name="web_ normal" xfId="422" xr:uid="{00000000-0005-0000-0000-00001D090000}"/>
    <cellStyle name="White" xfId="423" xr:uid="{00000000-0005-0000-0000-00001E090000}"/>
    <cellStyle name="White 2" xfId="801" xr:uid="{00000000-0005-0000-0000-00001F090000}"/>
    <cellStyle name="WhitePattern1" xfId="2361" xr:uid="{00000000-0005-0000-0000-000020090000}"/>
    <cellStyle name="WholeNumber" xfId="424" xr:uid="{00000000-0005-0000-0000-000021090000}"/>
    <cellStyle name="WholeNumber 2" xfId="2362" xr:uid="{00000000-0005-0000-0000-000022090000}"/>
    <cellStyle name="WholeNumber 2 2" xfId="2363" xr:uid="{00000000-0005-0000-0000-000023090000}"/>
    <cellStyle name="WingdingsBlack" xfId="803" xr:uid="{00000000-0005-0000-0000-000024090000}"/>
    <cellStyle name="WingdingsBlack 2" xfId="1421" xr:uid="{00000000-0005-0000-0000-000025090000}"/>
    <cellStyle name="WingdingsRed" xfId="804" xr:uid="{00000000-0005-0000-0000-000026090000}"/>
    <cellStyle name="WingdingsRed 2" xfId="1422" xr:uid="{00000000-0005-0000-0000-000027090000}"/>
    <cellStyle name="WingdingsWhite" xfId="805" xr:uid="{00000000-0005-0000-0000-000028090000}"/>
    <cellStyle name="WingdingsWhite 2" xfId="1423" xr:uid="{00000000-0005-0000-0000-000029090000}"/>
    <cellStyle name="WP" xfId="806" xr:uid="{00000000-0005-0000-0000-00002A090000}"/>
    <cellStyle name="WP Header" xfId="425" xr:uid="{00000000-0005-0000-0000-00002B090000}"/>
    <cellStyle name="WP Header 2" xfId="2364" xr:uid="{00000000-0005-0000-0000-00002C090000}"/>
    <cellStyle name="WP Header 3" xfId="2365" xr:uid="{00000000-0005-0000-0000-00002D090000}"/>
    <cellStyle name="WP Header 3 2" xfId="2366" xr:uid="{00000000-0005-0000-0000-00002E090000}"/>
    <cellStyle name="x Men" xfId="807" xr:uid="{00000000-0005-0000-0000-00002F090000}"/>
    <cellStyle name="x Men 2" xfId="1196" xr:uid="{00000000-0005-0000-0000-000030090000}"/>
    <cellStyle name="Year" xfId="426" xr:uid="{00000000-0005-0000-0000-000031090000}"/>
    <cellStyle name="Year 2" xfId="808" xr:uid="{00000000-0005-0000-0000-000032090000}"/>
    <cellStyle name="Year 3" xfId="2367" xr:uid="{00000000-0005-0000-0000-000033090000}"/>
    <cellStyle name="Year 4" xfId="2368" xr:uid="{00000000-0005-0000-0000-000034090000}"/>
    <cellStyle name="years" xfId="809" xr:uid="{00000000-0005-0000-0000-000035090000}"/>
    <cellStyle name="Yen" xfId="427" xr:uid="{00000000-0005-0000-0000-000036090000}"/>
    <cellStyle name="Zero" xfId="810" xr:uid="{00000000-0005-0000-0000-000037090000}"/>
    <cellStyle name="Zero 2" xfId="1197" xr:uid="{00000000-0005-0000-0000-000038090000}"/>
    <cellStyle name="Βασικό_cosmote us gaap 30.12.2000TEST1" xfId="2369" xr:uid="{00000000-0005-0000-0000-000039090000}"/>
    <cellStyle name="똿뗦먛귟 [0.00]_PRODUCT DETAIL Q1_x0013_" xfId="428" xr:uid="{00000000-0005-0000-0000-00003A090000}"/>
    <cellStyle name="똿뗦먛귟_PRODUCT DETAIL Q1TAIL" xfId="429" xr:uid="{00000000-0005-0000-0000-00003B090000}"/>
    <cellStyle name="믅됞 [0.00]_PRODUCT DETAIL Q1Q3" xfId="430" xr:uid="{00000000-0005-0000-0000-00003C090000}"/>
    <cellStyle name="믅됞_PRODUCT DETAIL Q1TA" xfId="431" xr:uid="{00000000-0005-0000-0000-00003D090000}"/>
    <cellStyle name="뷭?_BOOKSHIP_상세일정 (2) (2) " xfId="432" xr:uid="{00000000-0005-0000-0000-00003E090000}"/>
    <cellStyle name="콤마 [0]_97년도 프로젝트 현황 (2)OMMENTS_총무" xfId="433" xr:uid="{00000000-0005-0000-0000-00003F090000}"/>
    <cellStyle name="콤마_97년도 프로젝트 현황 (2) (2)OMMENT" xfId="434" xr:uid="{00000000-0005-0000-0000-000040090000}"/>
    <cellStyle name="통화 [0]_97년도 프로젝트 현황 (2)OMMENT" xfId="435" xr:uid="{00000000-0005-0000-0000-000041090000}"/>
    <cellStyle name="통화_97년도 프로젝트 현황 (2) (2)OMMENT" xfId="436" xr:uid="{00000000-0005-0000-0000-000042090000}"/>
    <cellStyle name="표준_97년 프로젝트 현황) (2) (2)" xfId="437" xr:uid="{00000000-0005-0000-0000-000043090000}"/>
    <cellStyle name="標準_Financial Analysis_BP-Monthly(Final)_BP-ver.2.0_991204(Heavy_PP)" xfId="2370" xr:uid="{00000000-0005-0000-0000-000044090000}"/>
  </cellStyles>
  <dxfs count="4">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1F5395"/>
      <rgbColor rgb="00969696"/>
      <rgbColor rgb="00003366"/>
      <rgbColor rgb="00339966"/>
      <rgbColor rgb="00003300"/>
      <rgbColor rgb="00333300"/>
      <rgbColor rgb="00993300"/>
      <rgbColor rgb="00993366"/>
      <rgbColor rgb="00333399"/>
      <rgbColor rgb="00333333"/>
    </indexedColors>
    <mruColors>
      <color rgb="FFFFFFCC"/>
      <color rgb="FF99CCFF"/>
      <color rgb="FF666699"/>
      <color rgb="FFCCECFF"/>
      <color rgb="FF0000FF"/>
      <color rgb="FFFF9966"/>
      <color rgb="FF88A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eetMetadata" Target="metadata.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microsoft.com/office/2017/10/relationships/person" Target="persons/person.xml"/><Relationship Id="rId14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charts/_rels/chart10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AAF!$W$24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AAF!$W$25:$W$34</c:f>
              <c:numCache>
                <c:formatCode>0%</c:formatCode>
                <c:ptCount val="10"/>
                <c:pt idx="0">
                  <c:v>1.5503390579526259</c:v>
                </c:pt>
                <c:pt idx="1">
                  <c:v>1.529242629637205</c:v>
                </c:pt>
                <c:pt idx="2">
                  <c:v>1.5229797902526419</c:v>
                </c:pt>
                <c:pt idx="3">
                  <c:v>1.5298599397323607</c:v>
                </c:pt>
                <c:pt idx="4">
                  <c:v>1.9150306126037047</c:v>
                </c:pt>
                <c:pt idx="5">
                  <c:v>1.2387404527779848</c:v>
                </c:pt>
                <c:pt idx="6">
                  <c:v>1.5511405514407024</c:v>
                </c:pt>
                <c:pt idx="7">
                  <c:v>1.2348660934220543</c:v>
                </c:pt>
                <c:pt idx="8">
                  <c:v>0.4704683570768135</c:v>
                </c:pt>
                <c:pt idx="9">
                  <c:v>0.64468690414366259</c:v>
                </c:pt>
              </c:numCache>
            </c:numRef>
          </c:val>
          <c:extLst>
            <c:ext xmlns:c16="http://schemas.microsoft.com/office/drawing/2014/chart" uri="{C3380CC4-5D6E-409C-BE32-E72D297353CC}">
              <c16:uniqueId val="{00000000-CD3C-4E1F-8917-599838078678}"/>
            </c:ext>
          </c:extLst>
        </c:ser>
        <c:ser>
          <c:idx val="1"/>
          <c:order val="1"/>
          <c:tx>
            <c:strRef>
              <c:f>AAF!$X$24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D3C-4E1F-8917-599838078678}"/>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2024539877300623E-2"/>
          <c:w val="0.47379078899830385"/>
          <c:h val="0.72085889570552164"/>
        </c:manualLayout>
      </c:layout>
      <c:radarChart>
        <c:radarStyle val="marker"/>
        <c:varyColors val="0"/>
        <c:ser>
          <c:idx val="0"/>
          <c:order val="0"/>
          <c:tx>
            <c:strRef>
              <c:f>BOUY!$W$24</c:f>
              <c:strCache>
                <c:ptCount val="1"/>
                <c:pt idx="0">
                  <c:v>BOUY</c:v>
                </c:pt>
              </c:strCache>
            </c:strRef>
          </c:tx>
          <c:spPr>
            <a:ln w="25400">
              <a:solidFill>
                <a:srgbClr val="263238"/>
              </a:solidFill>
              <a:prstDash val="solid"/>
            </a:ln>
            <a:effectLst/>
          </c:spPr>
          <c:marker>
            <c:symbol val="diamond"/>
            <c:size val="6"/>
            <c:spPr>
              <a:solidFill>
                <a:srgbClr val="263238"/>
              </a:solidFill>
              <a:ln w="6350">
                <a:noFill/>
              </a:ln>
            </c:spPr>
          </c:marker>
          <c:cat>
            <c:strRef>
              <c:f>BOUY!$V$25:$V$34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BOUY!$W$25:$W$34</c:f>
              <c:numCache>
                <c:formatCode>0%</c:formatCode>
                <c:ptCount val="10"/>
                <c:pt idx="0">
                  <c:v>0.37091302897538386</c:v>
                </c:pt>
                <c:pt idx="1">
                  <c:v>0.83150349729670858</c:v>
                </c:pt>
                <c:pt idx="2">
                  <c:v>0.6264052739547693</c:v>
                </c:pt>
                <c:pt idx="3">
                  <c:v>0.64721974926623405</c:v>
                </c:pt>
                <c:pt idx="4">
                  <c:v>5.5748711888675997</c:v>
                </c:pt>
                <c:pt idx="5">
                  <c:v>0</c:v>
                </c:pt>
                <c:pt idx="6">
                  <c:v>0.78988050180406721</c:v>
                </c:pt>
                <c:pt idx="7">
                  <c:v>0.57849331034593976</c:v>
                </c:pt>
                <c:pt idx="8">
                  <c:v>1.0509449133562334</c:v>
                </c:pt>
                <c:pt idx="9">
                  <c:v>1.2660142866117408</c:v>
                </c:pt>
              </c:numCache>
            </c:numRef>
          </c:val>
          <c:extLst>
            <c:ext xmlns:c16="http://schemas.microsoft.com/office/drawing/2014/chart" uri="{C3380CC4-5D6E-409C-BE32-E72D297353CC}">
              <c16:uniqueId val="{00000000-D666-4AEB-B9DC-BBFDAFF8B79C}"/>
            </c:ext>
          </c:extLst>
        </c:ser>
        <c:ser>
          <c:idx val="1"/>
          <c:order val="1"/>
          <c:tx>
            <c:strRef>
              <c:f>BOUY!$X$24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BOUY!$V$25:$V$34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BOUY!$X$25:$X$34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666-4AEB-B9DC-BBFDAFF8B79C}"/>
            </c:ext>
          </c:extLst>
        </c:ser>
        <c:dLbls>
          <c:showLegendKey val="0"/>
          <c:showVal val="0"/>
          <c:showCatName val="0"/>
          <c:showSerName val="0"/>
          <c:showPercent val="0"/>
          <c:showBubbleSize val="0"/>
        </c:dLbls>
        <c:axId val="358813056"/>
        <c:axId val="358815232"/>
      </c:radarChart>
      <c:catAx>
        <c:axId val="35881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15232"/>
        <c:crosses val="autoZero"/>
        <c:auto val="0"/>
        <c:lblAlgn val="ctr"/>
        <c:lblOffset val="100"/>
        <c:noMultiLvlLbl val="0"/>
      </c:catAx>
      <c:valAx>
        <c:axId val="3588152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1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99726843725038"/>
          <c:y val="9.0625000000000289E-2"/>
          <c:w val="0.48422921707620592"/>
          <c:h val="0.72747167547007274"/>
        </c:manualLayout>
      </c:layout>
      <c:radarChart>
        <c:radarStyle val="marker"/>
        <c:varyColors val="0"/>
        <c:ser>
          <c:idx val="0"/>
          <c:order val="0"/>
          <c:tx>
            <c:strRef>
              <c:f>'AGG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CELLULAR'!$W$24:$W$33</c:f>
              <c:numCache>
                <c:formatCode>0%</c:formatCode>
                <c:ptCount val="10"/>
                <c:pt idx="0">
                  <c:v>0.93764235793975481</c:v>
                </c:pt>
                <c:pt idx="1">
                  <c:v>1.014509047227258</c:v>
                </c:pt>
                <c:pt idx="2">
                  <c:v>0.98117096208825194</c:v>
                </c:pt>
                <c:pt idx="3">
                  <c:v>0.99366184812078096</c:v>
                </c:pt>
                <c:pt idx="4">
                  <c:v>1.0040126963428961</c:v>
                </c:pt>
                <c:pt idx="5">
                  <c:v>1.1753762076006196</c:v>
                </c:pt>
                <c:pt idx="6">
                  <c:v>0.90286327755551798</c:v>
                </c:pt>
                <c:pt idx="7">
                  <c:v>1.077715222036598</c:v>
                </c:pt>
                <c:pt idx="8">
                  <c:v>1.0846449677877978</c:v>
                </c:pt>
                <c:pt idx="9">
                  <c:v>0.91232937770401268</c:v>
                </c:pt>
              </c:numCache>
            </c:numRef>
          </c:val>
          <c:extLst>
            <c:ext xmlns:c16="http://schemas.microsoft.com/office/drawing/2014/chart" uri="{C3380CC4-5D6E-409C-BE32-E72D297353CC}">
              <c16:uniqueId val="{00000000-5C27-441B-A309-09DFD0DA1126}"/>
            </c:ext>
          </c:extLst>
        </c:ser>
        <c:ser>
          <c:idx val="1"/>
          <c:order val="1"/>
          <c:tx>
            <c:strRef>
              <c:f>'AGG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C27-441B-A309-09DFD0DA1126}"/>
            </c:ext>
          </c:extLst>
        </c:ser>
        <c:dLbls>
          <c:showLegendKey val="0"/>
          <c:showVal val="0"/>
          <c:showCatName val="0"/>
          <c:showSerName val="0"/>
          <c:showPercent val="0"/>
          <c:showBubbleSize val="0"/>
        </c:dLbls>
        <c:axId val="357916672"/>
        <c:axId val="357918592"/>
      </c:radarChart>
      <c:catAx>
        <c:axId val="357916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918592"/>
        <c:crosses val="autoZero"/>
        <c:auto val="0"/>
        <c:lblAlgn val="ctr"/>
        <c:lblOffset val="100"/>
        <c:noMultiLvlLbl val="0"/>
      </c:catAx>
      <c:valAx>
        <c:axId val="357918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916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71849255207434"/>
          <c:y val="8.1250000000000003E-2"/>
          <c:w val="0.46055340226466407"/>
          <c:h val="0.69190280836810791"/>
        </c:manualLayout>
      </c:layout>
      <c:radarChart>
        <c:radarStyle val="marker"/>
        <c:varyColors val="0"/>
        <c:ser>
          <c:idx val="0"/>
          <c:order val="0"/>
          <c:tx>
            <c:strRef>
              <c:f>'AGG ASIA'!$W$23</c:f>
              <c:strCache>
                <c:ptCount val="1"/>
                <c:pt idx="0">
                  <c:v>Asia sector</c:v>
                </c:pt>
              </c:strCache>
            </c:strRef>
          </c:tx>
          <c:spPr>
            <a:ln w="25400">
              <a:solidFill>
                <a:srgbClr val="263238"/>
              </a:solidFill>
              <a:prstDash val="solid"/>
            </a:ln>
            <a:effectLst/>
          </c:spPr>
          <c:marker>
            <c:symbol val="diamond"/>
            <c:size val="6"/>
            <c:spPr>
              <a:solidFill>
                <a:srgbClr val="26323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ASIA'!$W$24:$W$33</c:f>
              <c:numCache>
                <c:formatCode>0%</c:formatCode>
                <c:ptCount val="10"/>
                <c:pt idx="0">
                  <c:v>0.99568840483246202</c:v>
                </c:pt>
                <c:pt idx="1">
                  <c:v>1.1105625350519432</c:v>
                </c:pt>
                <c:pt idx="2">
                  <c:v>1.1560143997589489</c:v>
                </c:pt>
                <c:pt idx="3">
                  <c:v>1.1561673181237559</c:v>
                </c:pt>
                <c:pt idx="4">
                  <c:v>0.99101378820233166</c:v>
                </c:pt>
                <c:pt idx="5">
                  <c:v>1.057473669283219</c:v>
                </c:pt>
                <c:pt idx="6">
                  <c:v>1.3937806848267411</c:v>
                </c:pt>
                <c:pt idx="7">
                  <c:v>1.0481048040399992</c:v>
                </c:pt>
                <c:pt idx="8">
                  <c:v>1.0479642335386437</c:v>
                </c:pt>
                <c:pt idx="9">
                  <c:v>1.3937806848267409</c:v>
                </c:pt>
              </c:numCache>
            </c:numRef>
          </c:val>
          <c:extLst>
            <c:ext xmlns:c16="http://schemas.microsoft.com/office/drawing/2014/chart" uri="{C3380CC4-5D6E-409C-BE32-E72D297353CC}">
              <c16:uniqueId val="{00000000-B610-4339-A4A6-278FC9F82A99}"/>
            </c:ext>
          </c:extLst>
        </c:ser>
        <c:ser>
          <c:idx val="1"/>
          <c:order val="1"/>
          <c:tx>
            <c:strRef>
              <c:f>'AGG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610-4339-A4A6-278FC9F82A99}"/>
            </c:ext>
          </c:extLst>
        </c:ser>
        <c:dLbls>
          <c:showLegendKey val="0"/>
          <c:showVal val="0"/>
          <c:showCatName val="0"/>
          <c:showSerName val="0"/>
          <c:showPercent val="0"/>
          <c:showBubbleSize val="0"/>
        </c:dLbls>
        <c:axId val="358558720"/>
        <c:axId val="358560896"/>
      </c:radarChart>
      <c:catAx>
        <c:axId val="35855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560896"/>
        <c:crosses val="autoZero"/>
        <c:auto val="0"/>
        <c:lblAlgn val="ctr"/>
        <c:lblOffset val="100"/>
        <c:noMultiLvlLbl val="0"/>
      </c:catAx>
      <c:valAx>
        <c:axId val="358560896"/>
        <c:scaling>
          <c:orientation val="minMax"/>
          <c:max val="1.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55872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INCUMB'!$W$23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INCUMB'!$W$24:$W$33</c:f>
              <c:numCache>
                <c:formatCode>_(* #,##0.00_);_(* \(#,##0.00\);_(* "-"??_);_(@_)</c:formatCode>
                <c:ptCount val="10"/>
                <c:pt idx="0">
                  <c:v>1.1059155741533655</c:v>
                </c:pt>
                <c:pt idx="1">
                  <c:v>1.0068818183797166</c:v>
                </c:pt>
                <c:pt idx="2">
                  <c:v>1.0081328445013424</c:v>
                </c:pt>
                <c:pt idx="3">
                  <c:v>1.0090977321190846</c:v>
                </c:pt>
                <c:pt idx="4">
                  <c:v>1.0771039158949349</c:v>
                </c:pt>
                <c:pt idx="5">
                  <c:v>0.96416176615234972</c:v>
                </c:pt>
                <c:pt idx="6">
                  <c:v>1.4134742728819865</c:v>
                </c:pt>
                <c:pt idx="7">
                  <c:v>0.98298890801548644</c:v>
                </c:pt>
                <c:pt idx="8" formatCode="0%">
                  <c:v>0.93549931571508693</c:v>
                </c:pt>
                <c:pt idx="9" formatCode="0%">
                  <c:v>1.4134742728819865</c:v>
                </c:pt>
              </c:numCache>
            </c:numRef>
          </c:val>
          <c:extLst>
            <c:ext xmlns:c16="http://schemas.microsoft.com/office/drawing/2014/chart" uri="{C3380CC4-5D6E-409C-BE32-E72D297353CC}">
              <c16:uniqueId val="{00000000-EA9A-422B-B570-6E09230B3BB9}"/>
            </c:ext>
          </c:extLst>
        </c:ser>
        <c:ser>
          <c:idx val="1"/>
          <c:order val="1"/>
          <c:tx>
            <c:strRef>
              <c:f>'AGG DM INCUMB'!$X$23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A9A-422B-B570-6E09230B3BB9}"/>
            </c:ext>
          </c:extLst>
        </c:ser>
        <c:dLbls>
          <c:showLegendKey val="0"/>
          <c:showVal val="0"/>
          <c:showCatName val="0"/>
          <c:showSerName val="0"/>
          <c:showPercent val="0"/>
          <c:showBubbleSize val="0"/>
        </c:dLbls>
        <c:axId val="358800000"/>
        <c:axId val="358945536"/>
      </c:radarChart>
      <c:catAx>
        <c:axId val="358800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945536"/>
        <c:crosses val="autoZero"/>
        <c:auto val="0"/>
        <c:lblAlgn val="ctr"/>
        <c:lblOffset val="100"/>
        <c:noMultiLvlLbl val="0"/>
      </c:catAx>
      <c:valAx>
        <c:axId val="35894553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800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CELLULAR'!$W$23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CELLULAR'!$W$24:$W$33</c:f>
              <c:numCache>
                <c:formatCode>_(* #,##0.00_);_(* \(#,##0.00\);_(* "-"??_);_(@_)</c:formatCode>
                <c:ptCount val="10"/>
                <c:pt idx="0">
                  <c:v>0.59907244740798637</c:v>
                </c:pt>
                <c:pt idx="1">
                  <c:v>0.88553797810791413</c:v>
                </c:pt>
                <c:pt idx="2">
                  <c:v>0.93446108444688591</c:v>
                </c:pt>
                <c:pt idx="3">
                  <c:v>0.91606587947523166</c:v>
                </c:pt>
                <c:pt idx="4">
                  <c:v>0.94438784324006153</c:v>
                </c:pt>
                <c:pt idx="5">
                  <c:v>1.0283711970593499</c:v>
                </c:pt>
                <c:pt idx="6">
                  <c:v>0.86000400550136502</c:v>
                </c:pt>
                <c:pt idx="7">
                  <c:v>1.255703419171508</c:v>
                </c:pt>
                <c:pt idx="8" formatCode="0%">
                  <c:v>1.0728299415038951</c:v>
                </c:pt>
                <c:pt idx="9" formatCode="0%">
                  <c:v>0.86000400550136491</c:v>
                </c:pt>
              </c:numCache>
            </c:numRef>
          </c:val>
          <c:extLst>
            <c:ext xmlns:c16="http://schemas.microsoft.com/office/drawing/2014/chart" uri="{C3380CC4-5D6E-409C-BE32-E72D297353CC}">
              <c16:uniqueId val="{00000000-D475-484F-B09A-61EACEBFD39E}"/>
            </c:ext>
          </c:extLst>
        </c:ser>
        <c:ser>
          <c:idx val="1"/>
          <c:order val="1"/>
          <c:tx>
            <c:strRef>
              <c:f>'AGG DM CELLULAR'!$X$23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475-484F-B09A-61EACEBFD39E}"/>
            </c:ext>
          </c:extLst>
        </c:ser>
        <c:dLbls>
          <c:showLegendKey val="0"/>
          <c:showVal val="0"/>
          <c:showCatName val="0"/>
          <c:showSerName val="0"/>
          <c:showPercent val="0"/>
          <c:showBubbleSize val="0"/>
        </c:dLbls>
        <c:axId val="358996224"/>
        <c:axId val="360001920"/>
      </c:radarChart>
      <c:catAx>
        <c:axId val="3589962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01920"/>
        <c:crosses val="autoZero"/>
        <c:auto val="0"/>
        <c:lblAlgn val="ctr"/>
        <c:lblOffset val="100"/>
        <c:noMultiLvlLbl val="0"/>
      </c:catAx>
      <c:valAx>
        <c:axId val="360001920"/>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9962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DM'!$W$24:$W$33</c:f>
              <c:numCache>
                <c:formatCode>_-* #,##0.0_-;\-* #,##0.0_-;_-* "-"?_-;_-@_-</c:formatCode>
                <c:ptCount val="10"/>
                <c:pt idx="0">
                  <c:v>1.5789768291881698</c:v>
                </c:pt>
                <c:pt idx="1">
                  <c:v>1.5715475974744737</c:v>
                </c:pt>
                <c:pt idx="2">
                  <c:v>1.5869856457192502</c:v>
                </c:pt>
                <c:pt idx="3">
                  <c:v>1.7141430848962438</c:v>
                </c:pt>
                <c:pt idx="4">
                  <c:v>1.1009240336493915</c:v>
                </c:pt>
                <c:pt idx="5">
                  <c:v>1.5962324705518947</c:v>
                </c:pt>
                <c:pt idx="6">
                  <c:v>1.0666385818350086</c:v>
                </c:pt>
                <c:pt idx="7">
                  <c:v>0.97263992274049182</c:v>
                </c:pt>
                <c:pt idx="8" formatCode="0%">
                  <c:v>1.3461210734846598</c:v>
                </c:pt>
                <c:pt idx="9" formatCode="0%">
                  <c:v>1.0666385818350086</c:v>
                </c:pt>
              </c:numCache>
            </c:numRef>
          </c:val>
          <c:extLst>
            <c:ext xmlns:c16="http://schemas.microsoft.com/office/drawing/2014/chart" uri="{C3380CC4-5D6E-409C-BE32-E72D297353CC}">
              <c16:uniqueId val="{00000000-F963-4EFE-82CA-4557A353CA68}"/>
            </c:ext>
          </c:extLst>
        </c:ser>
        <c:ser>
          <c:idx val="1"/>
          <c:order val="1"/>
          <c:tx>
            <c:strRef>
              <c:f>'AGG DM'!$X$23</c:f>
              <c:strCache>
                <c:ptCount val="1"/>
                <c:pt idx="0">
                  <c:v>W.European telecoms sector</c:v>
                </c:pt>
              </c:strCache>
            </c:strRef>
          </c:tx>
          <c:spPr>
            <a:ln w="25400">
              <a:solidFill>
                <a:srgbClr val="799098"/>
              </a:solidFill>
              <a:prstDash val="solid"/>
            </a:ln>
            <a:effectLst/>
          </c:spPr>
          <c:marker>
            <c:symbol val="diamond"/>
            <c:size val="6"/>
            <c:spPr>
              <a:solidFill>
                <a:srgbClr val="79909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63-4EFE-82CA-4557A353CA68}"/>
            </c:ext>
          </c:extLst>
        </c:ser>
        <c:dLbls>
          <c:showLegendKey val="0"/>
          <c:showVal val="0"/>
          <c:showCatName val="0"/>
          <c:showSerName val="0"/>
          <c:showPercent val="0"/>
          <c:showBubbleSize val="0"/>
        </c:dLbls>
        <c:axId val="359774080"/>
        <c:axId val="359776256"/>
      </c:radarChart>
      <c:catAx>
        <c:axId val="3597740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776256"/>
        <c:crosses val="autoZero"/>
        <c:auto val="0"/>
        <c:lblAlgn val="ctr"/>
        <c:lblOffset val="100"/>
        <c:noMultiLvlLbl val="0"/>
      </c:catAx>
      <c:valAx>
        <c:axId val="35977625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97740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14743809528477"/>
          <c:y val="6.8750000000000019E-2"/>
          <c:w val="0.42495797300427557"/>
          <c:h val="0.66300519133812996"/>
        </c:manualLayout>
      </c:layout>
      <c:radarChart>
        <c:radarStyle val="marker"/>
        <c:varyColors val="0"/>
        <c:ser>
          <c:idx val="0"/>
          <c:order val="0"/>
          <c:tx>
            <c:strRef>
              <c:f>'EM INCUMB'!$W$23</c:f>
              <c:strCache>
                <c:ptCount val="1"/>
                <c:pt idx="0">
                  <c:v>EM incumbents</c:v>
                </c:pt>
              </c:strCache>
            </c:strRef>
          </c:tx>
          <c:spPr>
            <a:ln w="25400">
              <a:solidFill>
                <a:srgbClr val="263238"/>
              </a:solidFill>
              <a:prstDash val="solid"/>
            </a:ln>
            <a:effectLst/>
          </c:spPr>
          <c:marker>
            <c:symbol val="diamond"/>
            <c:size val="6"/>
            <c:spPr>
              <a:solidFill>
                <a:srgbClr val="26323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INCUMB'!$W$24:$W$33</c:f>
              <c:numCache>
                <c:formatCode>0%</c:formatCode>
                <c:ptCount val="10"/>
                <c:pt idx="0">
                  <c:v>0.58871308435903669</c:v>
                </c:pt>
                <c:pt idx="1">
                  <c:v>0.65226242217831976</c:v>
                </c:pt>
                <c:pt idx="2">
                  <c:v>0.68997309350408487</c:v>
                </c:pt>
                <c:pt idx="3">
                  <c:v>0.70129301976760905</c:v>
                </c:pt>
                <c:pt idx="4">
                  <c:v>0.69067836396934168</c:v>
                </c:pt>
                <c:pt idx="5">
                  <c:v>0.62276545758871171</c:v>
                </c:pt>
                <c:pt idx="6">
                  <c:v>0.69997691432206</c:v>
                </c:pt>
                <c:pt idx="7">
                  <c:v>0.83640696725384078</c:v>
                </c:pt>
                <c:pt idx="8">
                  <c:v>0.94046767820562827</c:v>
                </c:pt>
                <c:pt idx="9">
                  <c:v>0.69997691432206</c:v>
                </c:pt>
              </c:numCache>
            </c:numRef>
          </c:val>
          <c:extLst>
            <c:ext xmlns:c16="http://schemas.microsoft.com/office/drawing/2014/chart" uri="{C3380CC4-5D6E-409C-BE32-E72D297353CC}">
              <c16:uniqueId val="{00000000-2209-42CD-AE70-3D20949BDEE8}"/>
            </c:ext>
          </c:extLst>
        </c:ser>
        <c:ser>
          <c:idx val="1"/>
          <c:order val="1"/>
          <c:tx>
            <c:strRef>
              <c:f>'EM INCUMB'!$X$23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9-42CD-AE70-3D20949BDEE8}"/>
            </c:ext>
          </c:extLst>
        </c:ser>
        <c:dLbls>
          <c:showLegendKey val="0"/>
          <c:showVal val="0"/>
          <c:showCatName val="0"/>
          <c:showSerName val="0"/>
          <c:showPercent val="0"/>
          <c:showBubbleSize val="0"/>
        </c:dLbls>
        <c:axId val="359261696"/>
        <c:axId val="359263616"/>
      </c:radarChart>
      <c:catAx>
        <c:axId val="3592616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263616"/>
        <c:crosses val="autoZero"/>
        <c:auto val="0"/>
        <c:lblAlgn val="ctr"/>
        <c:lblOffset val="100"/>
        <c:noMultiLvlLbl val="0"/>
      </c:catAx>
      <c:valAx>
        <c:axId val="359263616"/>
        <c:scaling>
          <c:orientation val="minMax"/>
          <c:max val="1.2"/>
          <c:min val="0.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261696"/>
        <c:crosses val="autoZero"/>
        <c:crossBetween val="between"/>
        <c:majorUnit val="0.2"/>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53256967120791"/>
          <c:y val="8.4375000000000006E-2"/>
          <c:w val="0.44556495476010699"/>
          <c:h val="0.69062500000000127"/>
        </c:manualLayout>
      </c:layout>
      <c:radarChart>
        <c:radarStyle val="marker"/>
        <c:varyColors val="0"/>
        <c:ser>
          <c:idx val="0"/>
          <c:order val="0"/>
          <c:tx>
            <c:strRef>
              <c:f>'EM CELLULAR'!$W$23</c:f>
              <c:strCache>
                <c:ptCount val="1"/>
                <c:pt idx="0">
                  <c:v>EM cellular</c:v>
                </c:pt>
              </c:strCache>
            </c:strRef>
          </c:tx>
          <c:spPr>
            <a:ln w="25400">
              <a:solidFill>
                <a:srgbClr val="263238"/>
              </a:solidFill>
              <a:prstDash val="solid"/>
            </a:ln>
            <a:effectLst/>
          </c:spPr>
          <c:marker>
            <c:symbol val="diamond"/>
            <c:size val="6"/>
            <c:spPr>
              <a:solidFill>
                <a:srgbClr val="26323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CELLULAR'!$W$24:$W$33</c:f>
              <c:numCache>
                <c:formatCode>0%</c:formatCode>
                <c:ptCount val="10"/>
                <c:pt idx="0">
                  <c:v>1.3215865888956713</c:v>
                </c:pt>
                <c:pt idx="1">
                  <c:v>1.228034743175529</c:v>
                </c:pt>
                <c:pt idx="2">
                  <c:v>1.1855435414691788</c:v>
                </c:pt>
                <c:pt idx="3">
                  <c:v>1.1742004152104257</c:v>
                </c:pt>
                <c:pt idx="4">
                  <c:v>1.184819474919393</c:v>
                </c:pt>
                <c:pt idx="5">
                  <c:v>1.2674002638597825</c:v>
                </c:pt>
                <c:pt idx="6">
                  <c:v>1.1724397290507402</c:v>
                </c:pt>
                <c:pt idx="7">
                  <c:v>1.0803728718346819</c:v>
                </c:pt>
                <c:pt idx="8">
                  <c:v>1.0246707259717411</c:v>
                </c:pt>
                <c:pt idx="9">
                  <c:v>1.1724397290507402</c:v>
                </c:pt>
              </c:numCache>
            </c:numRef>
          </c:val>
          <c:extLst>
            <c:ext xmlns:c16="http://schemas.microsoft.com/office/drawing/2014/chart" uri="{C3380CC4-5D6E-409C-BE32-E72D297353CC}">
              <c16:uniqueId val="{00000000-F1D4-4B51-AAA9-D97E24E8B2C6}"/>
            </c:ext>
          </c:extLst>
        </c:ser>
        <c:ser>
          <c:idx val="1"/>
          <c:order val="1"/>
          <c:tx>
            <c:strRef>
              <c:f>'EM CELLULAR'!$X$23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4-4B51-AAA9-D97E24E8B2C6}"/>
            </c:ext>
          </c:extLst>
        </c:ser>
        <c:dLbls>
          <c:showLegendKey val="0"/>
          <c:showVal val="0"/>
          <c:showCatName val="0"/>
          <c:showSerName val="0"/>
          <c:showPercent val="0"/>
          <c:showBubbleSize val="0"/>
        </c:dLbls>
        <c:axId val="359441536"/>
        <c:axId val="359443456"/>
      </c:radarChart>
      <c:catAx>
        <c:axId val="3594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443456"/>
        <c:crosses val="autoZero"/>
        <c:auto val="0"/>
        <c:lblAlgn val="ctr"/>
        <c:lblOffset val="100"/>
        <c:noMultiLvlLbl val="0"/>
      </c:catAx>
      <c:valAx>
        <c:axId val="3594434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4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'EM TOWERS'!$W$23</c:f>
              <c:strCache>
                <c:ptCount val="1"/>
                <c:pt idx="0">
                  <c:v>EM Towers</c:v>
                </c:pt>
              </c:strCache>
            </c:strRef>
          </c:tx>
          <c:spPr>
            <a:ln w="25400">
              <a:solidFill>
                <a:srgbClr val="263238"/>
              </a:solidFill>
              <a:prstDash val="solid"/>
            </a:ln>
            <a:effectLst/>
          </c:spPr>
          <c:marker>
            <c:symbol val="diamond"/>
            <c:size val="6"/>
            <c:spPr>
              <a:solidFill>
                <a:srgbClr val="26323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TOWERS'!$W$24:$W$33</c:f>
              <c:numCache>
                <c:formatCode>0%</c:formatCode>
                <c:ptCount val="10"/>
                <c:pt idx="0">
                  <c:v>1.6976841708965353</c:v>
                </c:pt>
                <c:pt idx="1">
                  <c:v>0.90127168846025718</c:v>
                </c:pt>
                <c:pt idx="2">
                  <c:v>0.75693216795704432</c:v>
                </c:pt>
                <c:pt idx="3">
                  <c:v>0.63496525080009014</c:v>
                </c:pt>
                <c:pt idx="4">
                  <c:v>0</c:v>
                </c:pt>
                <c:pt idx="5">
                  <c:v>0</c:v>
                </c:pt>
                <c:pt idx="6">
                  <c:v>0.6129023382349158</c:v>
                </c:pt>
                <c:pt idx="7">
                  <c:v>0.7467267430576171</c:v>
                </c:pt>
                <c:pt idx="8">
                  <c:v>0.91398190101594223</c:v>
                </c:pt>
                <c:pt idx="9">
                  <c:v>0.61290233823491569</c:v>
                </c:pt>
              </c:numCache>
            </c:numRef>
          </c:val>
          <c:extLst>
            <c:ext xmlns:c16="http://schemas.microsoft.com/office/drawing/2014/chart" uri="{C3380CC4-5D6E-409C-BE32-E72D297353CC}">
              <c16:uniqueId val="{00000000-2564-4BE1-820B-ABF83F0782F1}"/>
            </c:ext>
          </c:extLst>
        </c:ser>
        <c:ser>
          <c:idx val="1"/>
          <c:order val="1"/>
          <c:tx>
            <c:strRef>
              <c:f>'EM TOWERS'!$X$23</c:f>
              <c:strCache>
                <c:ptCount val="1"/>
                <c:pt idx="0">
                  <c:v>EM Aggregate</c:v>
                </c:pt>
              </c:strCache>
            </c:strRef>
          </c:tx>
          <c:spPr>
            <a:ln w="25400">
              <a:solidFill>
                <a:srgbClr val="799098"/>
              </a:solidFill>
              <a:prstDash val="solid"/>
            </a:ln>
            <a:effectLst/>
          </c:spPr>
          <c:marker>
            <c:symbol val="diamond"/>
            <c:size val="6"/>
            <c:spPr>
              <a:solidFill>
                <a:srgbClr val="79909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564-4BE1-820B-ABF83F0782F1}"/>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39153002643205"/>
          <c:y val="0.10625000000000002"/>
          <c:w val="0.45983399848199175"/>
          <c:h val="0.69082202708382356"/>
        </c:manualLayout>
      </c:layout>
      <c:radarChart>
        <c:radarStyle val="marker"/>
        <c:varyColors val="0"/>
        <c:ser>
          <c:idx val="0"/>
          <c:order val="0"/>
          <c:tx>
            <c:strRef>
              <c:f>'AGG EM'!$W$23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EM'!$W$24:$W$33</c:f>
              <c:numCache>
                <c:formatCode>_-* #,##0.0_-;\-* #,##0.0_-;_-* "-"?_-;_-@_-</c:formatCode>
                <c:ptCount val="10"/>
                <c:pt idx="0">
                  <c:v>0.63332151651278479</c:v>
                </c:pt>
                <c:pt idx="1">
                  <c:v>0.63631543938410229</c:v>
                </c:pt>
                <c:pt idx="2">
                  <c:v>0.63012542217846101</c:v>
                </c:pt>
                <c:pt idx="3">
                  <c:v>0.58338187098338379</c:v>
                </c:pt>
                <c:pt idx="4">
                  <c:v>0.90832788588069591</c:v>
                </c:pt>
                <c:pt idx="5">
                  <c:v>0.62647516476986065</c:v>
                </c:pt>
                <c:pt idx="6">
                  <c:v>0.93752468458400784</c:v>
                </c:pt>
                <c:pt idx="7">
                  <c:v>1.0281297082505301</c:v>
                </c:pt>
                <c:pt idx="8" formatCode="0%">
                  <c:v>0.74287522846019527</c:v>
                </c:pt>
                <c:pt idx="9" formatCode="0%">
                  <c:v>0.93752468458400795</c:v>
                </c:pt>
              </c:numCache>
            </c:numRef>
          </c:val>
          <c:extLst>
            <c:ext xmlns:c16="http://schemas.microsoft.com/office/drawing/2014/chart" uri="{C3380CC4-5D6E-409C-BE32-E72D297353CC}">
              <c16:uniqueId val="{00000000-74BA-4914-892D-73F262633CF6}"/>
            </c:ext>
          </c:extLst>
        </c:ser>
        <c:ser>
          <c:idx val="1"/>
          <c:order val="1"/>
          <c:tx>
            <c:strRef>
              <c:f>'AGG EM'!$X$23</c:f>
              <c:strCache>
                <c:ptCount val="1"/>
                <c:pt idx="0">
                  <c:v>DM sector</c:v>
                </c:pt>
              </c:strCache>
            </c:strRef>
          </c:tx>
          <c:spPr>
            <a:ln w="25400">
              <a:solidFill>
                <a:srgbClr val="799098"/>
              </a:solidFill>
              <a:prstDash val="solid"/>
            </a:ln>
            <a:effectLst/>
          </c:spPr>
          <c:marker>
            <c:symbol val="diamond"/>
            <c:size val="6"/>
            <c:spPr>
              <a:solidFill>
                <a:srgbClr val="79909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BA-4914-892D-73F262633CF6}"/>
            </c:ext>
          </c:extLst>
        </c:ser>
        <c:dLbls>
          <c:showLegendKey val="0"/>
          <c:showVal val="0"/>
          <c:showCatName val="0"/>
          <c:showSerName val="0"/>
          <c:showPercent val="0"/>
          <c:showBubbleSize val="0"/>
        </c:dLbls>
        <c:axId val="360079744"/>
        <c:axId val="360081664"/>
      </c:radarChart>
      <c:catAx>
        <c:axId val="360079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81664"/>
        <c:crosses val="autoZero"/>
        <c:auto val="0"/>
        <c:lblAlgn val="ctr"/>
        <c:lblOffset val="100"/>
        <c:noMultiLvlLbl val="0"/>
      </c:catAx>
      <c:valAx>
        <c:axId val="360081664"/>
        <c:scaling>
          <c:orientation val="minMax"/>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60079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4-F77B-49DD-913D-FBADE3F2E44A}"/>
              </c:ext>
            </c:extLst>
          </c:dPt>
          <c:dPt>
            <c:idx val="1"/>
            <c:bubble3D val="0"/>
            <c:spPr>
              <a:solidFill>
                <a:srgbClr val="799098"/>
              </a:solidFill>
              <a:ln w="25400">
                <a:noFill/>
              </a:ln>
              <a:effectLst/>
            </c:spPr>
            <c:extLst>
              <c:ext xmlns:c16="http://schemas.microsoft.com/office/drawing/2014/chart" uri="{C3380CC4-5D6E-409C-BE32-E72D297353CC}">
                <c16:uniqueId val="{00000005-F77B-49DD-913D-FBADE3F2E44A}"/>
              </c:ext>
            </c:extLst>
          </c:dPt>
          <c:dPt>
            <c:idx val="2"/>
            <c:bubble3D val="0"/>
            <c:spPr>
              <a:solidFill>
                <a:srgbClr val="F9663E"/>
              </a:solidFill>
              <a:ln w="25400">
                <a:noFill/>
              </a:ln>
              <a:effectLst/>
            </c:spPr>
            <c:extLst>
              <c:ext xmlns:c16="http://schemas.microsoft.com/office/drawing/2014/chart" uri="{C3380CC4-5D6E-409C-BE32-E72D297353CC}">
                <c16:uniqueId val="{00000006-F77B-49DD-913D-FBADE3F2E44A}"/>
              </c:ext>
            </c:extLst>
          </c:dPt>
          <c:dPt>
            <c:idx val="3"/>
            <c:bubble3D val="0"/>
            <c:spPr>
              <a:solidFill>
                <a:srgbClr val="C7FE02"/>
              </a:solidFill>
              <a:ln w="25400">
                <a:noFill/>
              </a:ln>
              <a:effectLst/>
            </c:spPr>
            <c:extLst>
              <c:ext xmlns:c16="http://schemas.microsoft.com/office/drawing/2014/chart" uri="{C3380CC4-5D6E-409C-BE32-E72D297353CC}">
                <c16:uniqueId val="{00000007-F77B-49DD-913D-FBADE3F2E44A}"/>
              </c:ext>
            </c:extLst>
          </c:dPt>
          <c:dPt>
            <c:idx val="4"/>
            <c:bubble3D val="0"/>
            <c:spPr>
              <a:solidFill>
                <a:srgbClr val="00C994"/>
              </a:solidFill>
              <a:ln w="25400">
                <a:noFill/>
              </a:ln>
              <a:effectLst/>
            </c:spPr>
            <c:extLst>
              <c:ext xmlns:c16="http://schemas.microsoft.com/office/drawing/2014/chart" uri="{C3380CC4-5D6E-409C-BE32-E72D297353CC}">
                <c16:uniqueId val="{00000008-F77B-49DD-913D-FBADE3F2E44A}"/>
              </c:ext>
            </c:extLst>
          </c:dPt>
          <c:dPt>
            <c:idx val="5"/>
            <c:bubble3D val="0"/>
            <c:spPr>
              <a:solidFill>
                <a:srgbClr val="465A63"/>
              </a:solidFill>
              <a:ln w="25400">
                <a:noFill/>
              </a:ln>
              <a:effectLst/>
            </c:spPr>
            <c:extLst>
              <c:ext xmlns:c16="http://schemas.microsoft.com/office/drawing/2014/chart" uri="{C3380CC4-5D6E-409C-BE32-E72D297353CC}">
                <c16:uniqueId val="{00000009-F77B-49DD-913D-FBADE3F2E44A}"/>
              </c:ext>
            </c:extLst>
          </c:dPt>
          <c:dPt>
            <c:idx val="6"/>
            <c:bubble3D val="0"/>
            <c:spPr>
              <a:solidFill>
                <a:srgbClr val="B0BEC5"/>
              </a:solidFill>
              <a:ln w="25400">
                <a:noFill/>
              </a:ln>
              <a:effectLst/>
            </c:spPr>
            <c:extLst>
              <c:ext xmlns:c16="http://schemas.microsoft.com/office/drawing/2014/chart" uri="{C3380CC4-5D6E-409C-BE32-E72D297353CC}">
                <c16:uniqueId val="{0000000A-F77B-49DD-913D-FBADE3F2E44A}"/>
              </c:ext>
            </c:extLst>
          </c:dPt>
          <c:dPt>
            <c:idx val="7"/>
            <c:bubble3D val="0"/>
            <c:spPr>
              <a:solidFill>
                <a:srgbClr val="F19375"/>
              </a:solidFill>
              <a:ln w="25400">
                <a:noFill/>
              </a:ln>
              <a:effectLst/>
            </c:spPr>
            <c:extLst>
              <c:ext xmlns:c16="http://schemas.microsoft.com/office/drawing/2014/chart" uri="{C3380CC4-5D6E-409C-BE32-E72D297353CC}">
                <c16:uniqueId val="{0000000B-F77B-49DD-913D-FBADE3F2E44A}"/>
              </c:ext>
            </c:extLst>
          </c:dPt>
          <c:dPt>
            <c:idx val="8"/>
            <c:bubble3D val="0"/>
            <c:spPr>
              <a:solidFill>
                <a:srgbClr val="E3F982"/>
              </a:solidFill>
              <a:ln w="25400">
                <a:noFill/>
              </a:ln>
              <a:effectLst/>
            </c:spPr>
            <c:extLst>
              <c:ext xmlns:c16="http://schemas.microsoft.com/office/drawing/2014/chart" uri="{C3380CC4-5D6E-409C-BE32-E72D297353CC}">
                <c16:uniqueId val="{0000000C-F77B-49DD-913D-FBADE3F2E44A}"/>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77B-49DD-913D-FBADE3F2E44A}"/>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77B-49DD-913D-FBADE3F2E44A}"/>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77B-49DD-913D-FBADE3F2E4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AXISOP!$T$48:$T$56</c:f>
              <c:strCache>
                <c:ptCount val="9"/>
                <c:pt idx="0">
                  <c:v>Malaysia</c:v>
                </c:pt>
                <c:pt idx="1">
                  <c:v>XL Axiata</c:v>
                </c:pt>
                <c:pt idx="2">
                  <c:v>Sri Lanka</c:v>
                </c:pt>
                <c:pt idx="3">
                  <c:v>Bangladesh</c:v>
                </c:pt>
                <c:pt idx="4">
                  <c:v>Nepal</c:v>
                </c:pt>
                <c:pt idx="5">
                  <c:v>Cambodia</c:v>
                </c:pt>
                <c:pt idx="6">
                  <c:v>Other</c:v>
                </c:pt>
                <c:pt idx="7">
                  <c:v>Mobileone (Singapore)</c:v>
                </c:pt>
                <c:pt idx="8">
                  <c:v>IDEA Cellular</c:v>
                </c:pt>
              </c:strCache>
            </c:strRef>
          </c:cat>
          <c:val>
            <c:numRef>
              <c:f>AXISOP!$X$48:$X$56</c:f>
              <c:numCache>
                <c:formatCode>0.0%</c:formatCode>
                <c:ptCount val="9"/>
                <c:pt idx="0">
                  <c:v>0.21619774150752116</c:v>
                </c:pt>
                <c:pt idx="1">
                  <c:v>0.22918869875245498</c:v>
                </c:pt>
                <c:pt idx="2">
                  <c:v>9.6835063637659383E-2</c:v>
                </c:pt>
                <c:pt idx="3">
                  <c:v>6.4558011370594678E-2</c:v>
                </c:pt>
                <c:pt idx="4">
                  <c:v>4.313423324596323E-2</c:v>
                </c:pt>
                <c:pt idx="5">
                  <c:v>2.0213298185228157E-2</c:v>
                </c:pt>
                <c:pt idx="6">
                  <c:v>0.14253685616576622</c:v>
                </c:pt>
                <c:pt idx="7">
                  <c:v>0</c:v>
                </c:pt>
                <c:pt idx="8">
                  <c:v>0</c:v>
                </c:pt>
              </c:numCache>
            </c:numRef>
          </c:val>
          <c:extLst>
            <c:ext xmlns:c16="http://schemas.microsoft.com/office/drawing/2014/chart" uri="{C3380CC4-5D6E-409C-BE32-E72D297353CC}">
              <c16:uniqueId val="{00000000-F77B-49DD-913D-FBADE3F2E44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2024539877300623E-2"/>
          <c:w val="0.47379078899830385"/>
          <c:h val="0.72085889570552164"/>
        </c:manualLayout>
      </c:layout>
      <c:radarChart>
        <c:radarStyle val="marker"/>
        <c:varyColors val="0"/>
        <c:ser>
          <c:idx val="0"/>
          <c:order val="0"/>
          <c:tx>
            <c:strRef>
              <c:f>BT!$W$24</c:f>
              <c:strCache>
                <c:ptCount val="1"/>
                <c:pt idx="0">
                  <c:v>BT</c:v>
                </c:pt>
              </c:strCache>
            </c:strRef>
          </c:tx>
          <c:spPr>
            <a:ln w="25400">
              <a:solidFill>
                <a:srgbClr val="263238"/>
              </a:solidFill>
              <a:prstDash val="solid"/>
            </a:ln>
            <a:effectLst/>
          </c:spPr>
          <c:marker>
            <c:symbol val="diamond"/>
            <c:size val="6"/>
            <c:spPr>
              <a:solidFill>
                <a:srgbClr val="26323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BT!$W$25:$W$34</c:f>
              <c:numCache>
                <c:formatCode>0%</c:formatCode>
                <c:ptCount val="10"/>
                <c:pt idx="0">
                  <c:v>0.79279364394281338</c:v>
                </c:pt>
                <c:pt idx="1">
                  <c:v>0.74395110792275587</c:v>
                </c:pt>
                <c:pt idx="2">
                  <c:v>1.3583354111820263</c:v>
                </c:pt>
                <c:pt idx="3">
                  <c:v>1.341375135888506</c:v>
                </c:pt>
                <c:pt idx="4">
                  <c:v>0.8462577242424395</c:v>
                </c:pt>
                <c:pt idx="5">
                  <c:v>0.44927434270088096</c:v>
                </c:pt>
                <c:pt idx="6">
                  <c:v>1.6088342044810391</c:v>
                </c:pt>
                <c:pt idx="7">
                  <c:v>0.94791528299737426</c:v>
                </c:pt>
                <c:pt idx="8">
                  <c:v>0.985518551053989</c:v>
                </c:pt>
                <c:pt idx="9">
                  <c:v>0.62156808775865724</c:v>
                </c:pt>
              </c:numCache>
            </c:numRef>
          </c:val>
          <c:extLst>
            <c:ext xmlns:c16="http://schemas.microsoft.com/office/drawing/2014/chart" uri="{C3380CC4-5D6E-409C-BE32-E72D297353CC}">
              <c16:uniqueId val="{00000000-D998-41E1-A8B5-946D1A29D914}"/>
            </c:ext>
          </c:extLst>
        </c:ser>
        <c:ser>
          <c:idx val="1"/>
          <c:order val="1"/>
          <c:tx>
            <c:strRef>
              <c:f>BT!$X$24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998-41E1-A8B5-946D1A29D914}"/>
            </c:ext>
          </c:extLst>
        </c:ser>
        <c:dLbls>
          <c:showLegendKey val="0"/>
          <c:showVal val="0"/>
          <c:showCatName val="0"/>
          <c:showSerName val="0"/>
          <c:showPercent val="0"/>
          <c:showBubbleSize val="0"/>
        </c:dLbls>
        <c:axId val="358813056"/>
        <c:axId val="358815232"/>
      </c:radarChart>
      <c:catAx>
        <c:axId val="35881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15232"/>
        <c:crosses val="autoZero"/>
        <c:auto val="0"/>
        <c:lblAlgn val="ctr"/>
        <c:lblOffset val="100"/>
        <c:noMultiLvlLbl val="0"/>
      </c:catAx>
      <c:valAx>
        <c:axId val="3588152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1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A034-46DB-8EB7-D97E4DA6C701}"/>
              </c:ext>
            </c:extLst>
          </c:dPt>
          <c:dPt>
            <c:idx val="1"/>
            <c:bubble3D val="0"/>
            <c:spPr>
              <a:solidFill>
                <a:srgbClr val="799098"/>
              </a:solidFill>
              <a:ln w="25400">
                <a:noFill/>
              </a:ln>
              <a:effectLst/>
            </c:spPr>
            <c:extLst>
              <c:ext xmlns:c16="http://schemas.microsoft.com/office/drawing/2014/chart" uri="{C3380CC4-5D6E-409C-BE32-E72D297353CC}">
                <c16:uniqueId val="{00000002-A034-46DB-8EB7-D97E4DA6C701}"/>
              </c:ext>
            </c:extLst>
          </c:dPt>
          <c:dPt>
            <c:idx val="2"/>
            <c:bubble3D val="0"/>
            <c:spPr>
              <a:solidFill>
                <a:srgbClr val="F9663E"/>
              </a:solidFill>
              <a:ln w="25400">
                <a:noFill/>
              </a:ln>
              <a:effectLst/>
            </c:spPr>
            <c:extLst>
              <c:ext xmlns:c16="http://schemas.microsoft.com/office/drawing/2014/chart" uri="{C3380CC4-5D6E-409C-BE32-E72D297353CC}">
                <c16:uniqueId val="{00000003-A034-46DB-8EB7-D97E4DA6C701}"/>
              </c:ext>
            </c:extLst>
          </c:dPt>
          <c:dPt>
            <c:idx val="3"/>
            <c:bubble3D val="0"/>
            <c:spPr>
              <a:solidFill>
                <a:srgbClr val="C7FE02"/>
              </a:solidFill>
              <a:ln w="25400">
                <a:noFill/>
              </a:ln>
              <a:effectLst/>
            </c:spPr>
            <c:extLst>
              <c:ext xmlns:c16="http://schemas.microsoft.com/office/drawing/2014/chart" uri="{C3380CC4-5D6E-409C-BE32-E72D297353CC}">
                <c16:uniqueId val="{00000004-A034-46DB-8EB7-D97E4DA6C701}"/>
              </c:ext>
            </c:extLst>
          </c:dPt>
          <c:dPt>
            <c:idx val="4"/>
            <c:bubble3D val="0"/>
            <c:spPr>
              <a:solidFill>
                <a:srgbClr val="00C994"/>
              </a:solidFill>
              <a:ln w="25400">
                <a:noFill/>
              </a:ln>
              <a:effectLst/>
            </c:spPr>
            <c:extLst>
              <c:ext xmlns:c16="http://schemas.microsoft.com/office/drawing/2014/chart" uri="{C3380CC4-5D6E-409C-BE32-E72D297353CC}">
                <c16:uniqueId val="{00000005-A034-46DB-8EB7-D97E4DA6C701}"/>
              </c:ext>
            </c:extLst>
          </c:dPt>
          <c:dPt>
            <c:idx val="5"/>
            <c:bubble3D val="0"/>
            <c:spPr>
              <a:solidFill>
                <a:srgbClr val="465A63"/>
              </a:solidFill>
              <a:ln w="25400">
                <a:noFill/>
              </a:ln>
              <a:effectLst/>
            </c:spPr>
            <c:extLst>
              <c:ext xmlns:c16="http://schemas.microsoft.com/office/drawing/2014/chart" uri="{C3380CC4-5D6E-409C-BE32-E72D297353CC}">
                <c16:uniqueId val="{00000006-A034-46DB-8EB7-D97E4DA6C701}"/>
              </c:ext>
            </c:extLst>
          </c:dPt>
          <c:dPt>
            <c:idx val="6"/>
            <c:bubble3D val="0"/>
            <c:spPr>
              <a:solidFill>
                <a:srgbClr val="B0BEC5"/>
              </a:solidFill>
              <a:ln w="25400">
                <a:noFill/>
              </a:ln>
              <a:effectLst/>
            </c:spPr>
            <c:extLst>
              <c:ext xmlns:c16="http://schemas.microsoft.com/office/drawing/2014/chart" uri="{C3380CC4-5D6E-409C-BE32-E72D297353CC}">
                <c16:uniqueId val="{00000007-A034-46DB-8EB7-D97E4DA6C701}"/>
              </c:ext>
            </c:extLst>
          </c:dPt>
          <c:dPt>
            <c:idx val="7"/>
            <c:bubble3D val="0"/>
            <c:spPr>
              <a:solidFill>
                <a:srgbClr val="F19375"/>
              </a:solidFill>
              <a:ln w="25400">
                <a:noFill/>
              </a:ln>
              <a:effectLst/>
            </c:spPr>
            <c:extLst>
              <c:ext xmlns:c16="http://schemas.microsoft.com/office/drawing/2014/chart" uri="{C3380CC4-5D6E-409C-BE32-E72D297353CC}">
                <c16:uniqueId val="{00000008-A034-46DB-8EB7-D97E4DA6C701}"/>
              </c:ext>
            </c:extLst>
          </c:dPt>
          <c:dPt>
            <c:idx val="8"/>
            <c:bubble3D val="0"/>
            <c:spPr>
              <a:solidFill>
                <a:srgbClr val="E3F982"/>
              </a:solidFill>
              <a:ln w="25400">
                <a:noFill/>
              </a:ln>
              <a:effectLst/>
            </c:spPr>
            <c:extLst>
              <c:ext xmlns:c16="http://schemas.microsoft.com/office/drawing/2014/chart" uri="{C3380CC4-5D6E-409C-BE32-E72D297353CC}">
                <c16:uniqueId val="{00000009-A034-46DB-8EB7-D97E4DA6C70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1-A034-46DB-8EB7-D97E4DA6C70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034-46DB-8EB7-D97E4DA6C701}"/>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034-46DB-8EB7-D97E4DA6C7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BHARTSOP!$T$42:$T$50</c:f>
              <c:strCache>
                <c:ptCount val="9"/>
                <c:pt idx="0">
                  <c:v>Indian Mobile</c:v>
                </c:pt>
                <c:pt idx="1">
                  <c:v>South Asian Mobile</c:v>
                </c:pt>
                <c:pt idx="2">
                  <c:v>Digital TV</c:v>
                </c:pt>
                <c:pt idx="3">
                  <c:v>Home services</c:v>
                </c:pt>
                <c:pt idx="4">
                  <c:v>Enterprise</c:v>
                </c:pt>
                <c:pt idx="5">
                  <c:v>Infratel</c:v>
                </c:pt>
                <c:pt idx="6">
                  <c:v>Africa</c:v>
                </c:pt>
                <c:pt idx="7">
                  <c:v>Bangladesh (ROBI)</c:v>
                </c:pt>
                <c:pt idx="8">
                  <c:v>Overhead</c:v>
                </c:pt>
              </c:strCache>
            </c:strRef>
          </c:cat>
          <c:val>
            <c:numRef>
              <c:f>BHARTSOP!$X$42:$X$50</c:f>
              <c:numCache>
                <c:formatCode>0.0%</c:formatCode>
                <c:ptCount val="9"/>
                <c:pt idx="0">
                  <c:v>0.67223829584795225</c:v>
                </c:pt>
                <c:pt idx="1">
                  <c:v>-3.9357380669427484E-4</c:v>
                </c:pt>
                <c:pt idx="2">
                  <c:v>4.3374228391439236E-2</c:v>
                </c:pt>
                <c:pt idx="3">
                  <c:v>2.0253117253242362E-2</c:v>
                </c:pt>
                <c:pt idx="4">
                  <c:v>0.12906507172079479</c:v>
                </c:pt>
                <c:pt idx="5">
                  <c:v>7.2656672249528403E-2</c:v>
                </c:pt>
                <c:pt idx="6">
                  <c:v>7.5288440722208139E-2</c:v>
                </c:pt>
                <c:pt idx="7">
                  <c:v>2.4007025111790598E-3</c:v>
                </c:pt>
                <c:pt idx="8">
                  <c:v>-1.4882954889650033E-2</c:v>
                </c:pt>
              </c:numCache>
            </c:numRef>
          </c:val>
          <c:extLst>
            <c:ext xmlns:c16="http://schemas.microsoft.com/office/drawing/2014/chart" uri="{C3380CC4-5D6E-409C-BE32-E72D297353CC}">
              <c16:uniqueId val="{00000000-A034-46DB-8EB7-D97E4DA6C70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8340612871371"/>
          <c:y val="8.8700630794068355E-2"/>
          <c:w val="0.59949442799644559"/>
          <c:h val="0.64090575930252136"/>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5734-47E0-995B-2430E7E4D2EC}"/>
              </c:ext>
            </c:extLst>
          </c:dPt>
          <c:dPt>
            <c:idx val="1"/>
            <c:bubble3D val="0"/>
            <c:spPr>
              <a:solidFill>
                <a:srgbClr val="799098"/>
              </a:solidFill>
              <a:ln w="25400">
                <a:noFill/>
              </a:ln>
              <a:effectLst/>
            </c:spPr>
            <c:extLst>
              <c:ext xmlns:c16="http://schemas.microsoft.com/office/drawing/2014/chart" uri="{C3380CC4-5D6E-409C-BE32-E72D297353CC}">
                <c16:uniqueId val="{00000003-5734-47E0-995B-2430E7E4D2EC}"/>
              </c:ext>
            </c:extLst>
          </c:dPt>
          <c:dPt>
            <c:idx val="2"/>
            <c:bubble3D val="0"/>
            <c:spPr>
              <a:solidFill>
                <a:srgbClr val="F9663E"/>
              </a:solidFill>
              <a:ln w="25400">
                <a:noFill/>
              </a:ln>
              <a:effectLst/>
            </c:spPr>
            <c:extLst>
              <c:ext xmlns:c16="http://schemas.microsoft.com/office/drawing/2014/chart" uri="{C3380CC4-5D6E-409C-BE32-E72D297353CC}">
                <c16:uniqueId val="{00000005-5734-47E0-995B-2430E7E4D2EC}"/>
              </c:ext>
            </c:extLst>
          </c:dPt>
          <c:dPt>
            <c:idx val="3"/>
            <c:bubble3D val="0"/>
            <c:spPr>
              <a:solidFill>
                <a:srgbClr val="C7FE02"/>
              </a:solidFill>
              <a:ln w="25400">
                <a:noFill/>
              </a:ln>
              <a:effectLst/>
            </c:spPr>
            <c:extLst>
              <c:ext xmlns:c16="http://schemas.microsoft.com/office/drawing/2014/chart" uri="{C3380CC4-5D6E-409C-BE32-E72D297353CC}">
                <c16:uniqueId val="{00000007-5734-47E0-995B-2430E7E4D2EC}"/>
              </c:ext>
            </c:extLst>
          </c:dPt>
          <c:dPt>
            <c:idx val="4"/>
            <c:bubble3D val="0"/>
            <c:spPr>
              <a:solidFill>
                <a:srgbClr val="00C994"/>
              </a:solidFill>
              <a:ln w="25400">
                <a:noFill/>
              </a:ln>
              <a:effectLst/>
            </c:spPr>
            <c:extLst>
              <c:ext xmlns:c16="http://schemas.microsoft.com/office/drawing/2014/chart" uri="{C3380CC4-5D6E-409C-BE32-E72D297353CC}">
                <c16:uniqueId val="{00000008-5734-47E0-995B-2430E7E4D2EC}"/>
              </c:ext>
            </c:extLst>
          </c:dPt>
          <c:dPt>
            <c:idx val="5"/>
            <c:bubble3D val="0"/>
            <c:spPr>
              <a:solidFill>
                <a:srgbClr val="465A63"/>
              </a:solidFill>
              <a:ln w="25400">
                <a:noFill/>
              </a:ln>
              <a:effectLst/>
            </c:spPr>
            <c:extLst>
              <c:ext xmlns:c16="http://schemas.microsoft.com/office/drawing/2014/chart" uri="{C3380CC4-5D6E-409C-BE32-E72D297353CC}">
                <c16:uniqueId val="{00000009-5734-47E0-995B-2430E7E4D2EC}"/>
              </c:ext>
            </c:extLst>
          </c:dPt>
          <c:dPt>
            <c:idx val="6"/>
            <c:bubble3D val="0"/>
            <c:spPr>
              <a:solidFill>
                <a:srgbClr val="B0BEC5"/>
              </a:solidFill>
              <a:ln w="25400">
                <a:noFill/>
              </a:ln>
              <a:effectLst/>
            </c:spPr>
            <c:extLst>
              <c:ext xmlns:c16="http://schemas.microsoft.com/office/drawing/2014/chart" uri="{C3380CC4-5D6E-409C-BE32-E72D297353CC}">
                <c16:uniqueId val="{0000000A-5734-47E0-995B-2430E7E4D2EC}"/>
              </c:ext>
            </c:extLst>
          </c:dPt>
          <c:dLbls>
            <c:dLbl>
              <c:idx val="0"/>
              <c:layout>
                <c:manualLayout>
                  <c:x val="-1.4038411749935861E-2"/>
                  <c:y val="1.72182647337849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34-47E0-995B-2430E7E4D2EC}"/>
                </c:ext>
              </c:extLst>
            </c:dLbl>
            <c:dLbl>
              <c:idx val="1"/>
              <c:layout>
                <c:manualLayout>
                  <c:x val="-2.2246684767561792E-3"/>
                  <c:y val="-2.7452856881314248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34-47E0-995B-2430E7E4D2EC}"/>
                </c:ext>
              </c:extLst>
            </c:dLbl>
            <c:dLbl>
              <c:idx val="2"/>
              <c:layout>
                <c:manualLayout>
                  <c:x val="1.7989668197549935E-2"/>
                  <c:y val="-2.8564236140006284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34-47E0-995B-2430E7E4D2EC}"/>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734-47E0-995B-2430E7E4D2EC}"/>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5734-47E0-995B-2430E7E4D2EC}"/>
                </c:ext>
              </c:extLst>
            </c:dLbl>
            <c:dLbl>
              <c:idx val="5"/>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734-47E0-995B-2430E7E4D2EC}"/>
                </c:ext>
              </c:extLst>
            </c:dLbl>
            <c:dLbl>
              <c:idx val="6"/>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5734-47E0-995B-2430E7E4D2E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BOUYSOP!$T$47:$T$53</c:f>
              <c:strCache>
                <c:ptCount val="7"/>
                <c:pt idx="0">
                  <c:v>Construction</c:v>
                </c:pt>
                <c:pt idx="1">
                  <c:v>Immoblier</c:v>
                </c:pt>
                <c:pt idx="2">
                  <c:v>Colas</c:v>
                </c:pt>
                <c:pt idx="3">
                  <c:v>Equans</c:v>
                </c:pt>
                <c:pt idx="4">
                  <c:v>TF1</c:v>
                </c:pt>
                <c:pt idx="5">
                  <c:v>Telecom</c:v>
                </c:pt>
                <c:pt idx="6">
                  <c:v>Other &amp; Elims</c:v>
                </c:pt>
              </c:strCache>
            </c:strRef>
          </c:cat>
          <c:val>
            <c:numRef>
              <c:f>BOUYSOP!$X$47:$X$53</c:f>
              <c:numCache>
                <c:formatCode>0.0%</c:formatCode>
                <c:ptCount val="7"/>
                <c:pt idx="0">
                  <c:v>0.18784010374209978</c:v>
                </c:pt>
                <c:pt idx="1">
                  <c:v>-1.0580393660486289E-2</c:v>
                </c:pt>
                <c:pt idx="2">
                  <c:v>0.1449328787480442</c:v>
                </c:pt>
                <c:pt idx="3">
                  <c:v>0.27989279793952249</c:v>
                </c:pt>
                <c:pt idx="4">
                  <c:v>1.771756344913723E-2</c:v>
                </c:pt>
                <c:pt idx="5">
                  <c:v>0.27396596987132971</c:v>
                </c:pt>
                <c:pt idx="6">
                  <c:v>-0.21596150891930477</c:v>
                </c:pt>
              </c:numCache>
            </c:numRef>
          </c:val>
          <c:extLst>
            <c:ext xmlns:c16="http://schemas.microsoft.com/office/drawing/2014/chart" uri="{C3380CC4-5D6E-409C-BE32-E72D297353CC}">
              <c16:uniqueId val="{00000006-5734-47E0-995B-2430E7E4D2EC}"/>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Roboto"/>
          <a:ea typeface="Roboto"/>
          <a:cs typeface="Roboto"/>
        </a:defRPr>
      </a:pPr>
      <a:endParaRPr lang="en-US"/>
    </a:p>
  </c:txPr>
  <c:printSettings>
    <c:headerFooter alignWithMargins="0"/>
    <c:pageMargins b="1" l="0.75000000000000111" r="0.7500000000000011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8340612871371"/>
          <c:y val="8.8700630794068355E-2"/>
          <c:w val="0.6917293233082723"/>
          <c:h val="0.691729323308272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4B9-439A-AA69-B54B8596768F}"/>
              </c:ext>
            </c:extLst>
          </c:dPt>
          <c:dPt>
            <c:idx val="1"/>
            <c:bubble3D val="0"/>
            <c:spPr>
              <a:solidFill>
                <a:srgbClr val="F9663E"/>
              </a:solidFill>
              <a:ln w="25400">
                <a:noFill/>
              </a:ln>
              <a:effectLst/>
            </c:spPr>
            <c:extLst>
              <c:ext xmlns:c16="http://schemas.microsoft.com/office/drawing/2014/chart" uri="{C3380CC4-5D6E-409C-BE32-E72D297353CC}">
                <c16:uniqueId val="{00000003-C4B9-439A-AA69-B54B8596768F}"/>
              </c:ext>
            </c:extLst>
          </c:dPt>
          <c:dPt>
            <c:idx val="2"/>
            <c:bubble3D val="0"/>
            <c:spPr>
              <a:solidFill>
                <a:srgbClr val="C7FE02"/>
              </a:solidFill>
              <a:ln w="25400">
                <a:noFill/>
              </a:ln>
              <a:effectLst/>
            </c:spPr>
            <c:extLst>
              <c:ext xmlns:c16="http://schemas.microsoft.com/office/drawing/2014/chart" uri="{C3380CC4-5D6E-409C-BE32-E72D297353CC}">
                <c16:uniqueId val="{00000005-C4B9-439A-AA69-B54B8596768F}"/>
              </c:ext>
            </c:extLst>
          </c:dPt>
          <c:dLbls>
            <c:dLbl>
              <c:idx val="0"/>
              <c:layout>
                <c:manualLayout>
                  <c:x val="-1.4038411749935861E-2"/>
                  <c:y val="1.72182647337849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B9-439A-AA69-B54B8596768F}"/>
                </c:ext>
              </c:extLst>
            </c:dLbl>
            <c:dLbl>
              <c:idx val="1"/>
              <c:layout>
                <c:manualLayout>
                  <c:x val="-2.2246684767561792E-3"/>
                  <c:y val="-2.7452856881314248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9-439A-AA69-B54B8596768F}"/>
                </c:ext>
              </c:extLst>
            </c:dLbl>
            <c:dLbl>
              <c:idx val="2"/>
              <c:layout>
                <c:manualLayout>
                  <c:x val="1.7989668197549935E-2"/>
                  <c:y val="-2.8564236140006284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B9-439A-AA69-B54B8596768F}"/>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ELISASOP!$T$41:$T$43</c:f>
              <c:strCache>
                <c:ptCount val="3"/>
                <c:pt idx="0">
                  <c:v>Finnish mobile</c:v>
                </c:pt>
                <c:pt idx="1">
                  <c:v>Estonia mobile</c:v>
                </c:pt>
                <c:pt idx="2">
                  <c:v>Wireline</c:v>
                </c:pt>
              </c:strCache>
            </c:strRef>
          </c:cat>
          <c:val>
            <c:numRef>
              <c:f>ELISASOP!$X$41:$X$43</c:f>
              <c:numCache>
                <c:formatCode>0.0%</c:formatCode>
                <c:ptCount val="3"/>
                <c:pt idx="0">
                  <c:v>0.83239287385040639</c:v>
                </c:pt>
                <c:pt idx="1">
                  <c:v>0.10429386550858777</c:v>
                </c:pt>
                <c:pt idx="2">
                  <c:v>0.16760712614959369</c:v>
                </c:pt>
              </c:numCache>
            </c:numRef>
          </c:val>
          <c:extLst>
            <c:ext xmlns:c16="http://schemas.microsoft.com/office/drawing/2014/chart" uri="{C3380CC4-5D6E-409C-BE32-E72D297353CC}">
              <c16:uniqueId val="{00000006-C4B9-439A-AA69-B54B8596768F}"/>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35157957606873"/>
          <c:y val="0.13319793767583291"/>
          <c:w val="0.65789473684210709"/>
          <c:h val="0.6034482758620685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AC-40A7-9DFA-F22CD5F86242}"/>
              </c:ext>
            </c:extLst>
          </c:dPt>
          <c:dPt>
            <c:idx val="1"/>
            <c:bubble3D val="0"/>
            <c:spPr>
              <a:solidFill>
                <a:srgbClr val="799098"/>
              </a:solidFill>
              <a:ln w="25400">
                <a:noFill/>
              </a:ln>
              <a:effectLst/>
            </c:spPr>
            <c:extLst>
              <c:ext xmlns:c16="http://schemas.microsoft.com/office/drawing/2014/chart" uri="{C3380CC4-5D6E-409C-BE32-E72D297353CC}">
                <c16:uniqueId val="{00000002-92AC-40A7-9DFA-F22CD5F86242}"/>
              </c:ext>
            </c:extLst>
          </c:dPt>
          <c:dLbls>
            <c:dLbl>
              <c:idx val="0"/>
              <c:layout>
                <c:manualLayout>
                  <c:x val="-1.7098612542264972E-2"/>
                  <c:y val="-1.813215806328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AC-40A7-9DFA-F22CD5F86242}"/>
                </c:ext>
              </c:extLst>
            </c:dLbl>
            <c:dLbl>
              <c:idx val="1"/>
              <c:layout>
                <c:manualLayout>
                  <c:x val="8.0827369754493273E-3"/>
                  <c:y val="2.528212106905139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AC-40A7-9DFA-F22CD5F8624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IDEASOP!$T$36:$T$37</c:f>
              <c:strCache>
                <c:ptCount val="2"/>
                <c:pt idx="0">
                  <c:v>Mobile</c:v>
                </c:pt>
                <c:pt idx="1">
                  <c:v>Indus</c:v>
                </c:pt>
              </c:strCache>
            </c:strRef>
          </c:cat>
          <c:val>
            <c:numRef>
              <c:f>IDEASOP!$X$36:$X$37</c:f>
              <c:numCache>
                <c:formatCode>0.0%</c:formatCode>
                <c:ptCount val="2"/>
                <c:pt idx="0">
                  <c:v>0.56709032286189187</c:v>
                </c:pt>
                <c:pt idx="1">
                  <c:v>0.43290967713810813</c:v>
                </c:pt>
              </c:numCache>
            </c:numRef>
          </c:val>
          <c:extLst>
            <c:ext xmlns:c16="http://schemas.microsoft.com/office/drawing/2014/chart" uri="{C3380CC4-5D6E-409C-BE32-E72D297353CC}">
              <c16:uniqueId val="{00000003-92AC-40A7-9DFA-F22CD5F8624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92666371125611"/>
          <c:y val="0.11603977211053276"/>
          <c:w val="0.68545681422797267"/>
          <c:h val="0.5559885664627987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0C0F-4C79-B5AB-AE4B7D4DDC3B}"/>
              </c:ext>
            </c:extLst>
          </c:dPt>
          <c:dPt>
            <c:idx val="1"/>
            <c:bubble3D val="0"/>
            <c:spPr>
              <a:solidFill>
                <a:srgbClr val="F9663E"/>
              </a:solidFill>
              <a:ln w="25400">
                <a:noFill/>
              </a:ln>
              <a:effectLst/>
            </c:spPr>
            <c:extLst>
              <c:ext xmlns:c16="http://schemas.microsoft.com/office/drawing/2014/chart" uri="{C3380CC4-5D6E-409C-BE32-E72D297353CC}">
                <c16:uniqueId val="{00000003-0C0F-4C79-B5AB-AE4B7D4DDC3B}"/>
              </c:ext>
            </c:extLst>
          </c:dPt>
          <c:dPt>
            <c:idx val="2"/>
            <c:bubble3D val="0"/>
            <c:spPr>
              <a:solidFill>
                <a:srgbClr val="C7FE02"/>
              </a:solidFill>
              <a:ln w="25400">
                <a:noFill/>
              </a:ln>
              <a:effectLst/>
            </c:spPr>
            <c:extLst>
              <c:ext xmlns:c16="http://schemas.microsoft.com/office/drawing/2014/chart" uri="{C3380CC4-5D6E-409C-BE32-E72D297353CC}">
                <c16:uniqueId val="{00000005-0C0F-4C79-B5AB-AE4B7D4DDC3B}"/>
              </c:ext>
            </c:extLst>
          </c:dPt>
          <c:dLbls>
            <c:dLbl>
              <c:idx val="0"/>
              <c:layout>
                <c:manualLayout>
                  <c:x val="-2.2457698877351977E-3"/>
                  <c:y val="2.634471659985791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F-4C79-B5AB-AE4B7D4DDC3B}"/>
                </c:ext>
              </c:extLst>
            </c:dLbl>
            <c:dLbl>
              <c:idx val="1"/>
              <c:layout>
                <c:manualLayout>
                  <c:x val="-2.2227555821533782E-2"/>
                  <c:y val="-1.1370778904118483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F-4C79-B5AB-AE4B7D4DDC3B}"/>
                </c:ext>
              </c:extLst>
            </c:dLbl>
            <c:dLbl>
              <c:idx val="2"/>
              <c:layout>
                <c:manualLayout>
                  <c:x val="1.3919115176927901E-3"/>
                  <c:y val="-2.59198173093149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F-4C79-B5AB-AE4B7D4DDC3B}"/>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KPNSOP!$T$55:$T$57</c:f>
              <c:strCache>
                <c:ptCount val="3"/>
                <c:pt idx="0">
                  <c:v>Domestic Mobile</c:v>
                </c:pt>
                <c:pt idx="1">
                  <c:v>Domestic wireline</c:v>
                </c:pt>
                <c:pt idx="2">
                  <c:v>Other</c:v>
                </c:pt>
              </c:strCache>
            </c:strRef>
          </c:cat>
          <c:val>
            <c:numRef>
              <c:f>KPNSOP!$X$55:$X$57</c:f>
              <c:numCache>
                <c:formatCode>0.0%</c:formatCode>
                <c:ptCount val="3"/>
                <c:pt idx="0">
                  <c:v>0.35107461398067019</c:v>
                </c:pt>
                <c:pt idx="1">
                  <c:v>0.64892538601932981</c:v>
                </c:pt>
                <c:pt idx="2">
                  <c:v>0</c:v>
                </c:pt>
              </c:numCache>
            </c:numRef>
          </c:val>
          <c:extLst>
            <c:ext xmlns:c16="http://schemas.microsoft.com/office/drawing/2014/chart" uri="{C3380CC4-5D6E-409C-BE32-E72D297353CC}">
              <c16:uniqueId val="{00000006-0C0F-4C79-B5AB-AE4B7D4DDC3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0C0F-4C79-B5AB-AE4B7D4DDC3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0C0F-4C79-B5AB-AE4B7D4DDC3B}"/>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KPNSOP!$T$55:$T$57</c:f>
              <c:strCache>
                <c:ptCount val="3"/>
                <c:pt idx="0">
                  <c:v>Domestic Mobile</c:v>
                </c:pt>
                <c:pt idx="1">
                  <c:v>Domestic wireline</c:v>
                </c:pt>
                <c:pt idx="2">
                  <c:v>Other</c:v>
                </c:pt>
              </c:strCache>
            </c:strRef>
          </c:cat>
          <c:val>
            <c:numRef>
              <c:f>KPNSOP!$X$55:$X$57</c:f>
              <c:numCache>
                <c:formatCode>0.0%</c:formatCode>
                <c:ptCount val="3"/>
                <c:pt idx="0">
                  <c:v>0.35107461398067019</c:v>
                </c:pt>
                <c:pt idx="1">
                  <c:v>0.64892538601932981</c:v>
                </c:pt>
                <c:pt idx="2">
                  <c:v>0</c:v>
                </c:pt>
              </c:numCache>
            </c:numRef>
          </c:val>
          <c:extLst>
            <c:ext xmlns:c16="http://schemas.microsoft.com/office/drawing/2014/chart" uri="{C3380CC4-5D6E-409C-BE32-E72D297353CC}">
              <c16:uniqueId val="{0000000B-0C0F-4C79-B5AB-AE4B7D4DDC3B}"/>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381667509226498"/>
          <c:y val="0.10188698018680016"/>
          <c:w val="0.5265026751992371"/>
          <c:h val="0.56226518695678607"/>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DA-4E2D-B0C8-2976A9E8A265}"/>
              </c:ext>
            </c:extLst>
          </c:dPt>
          <c:dPt>
            <c:idx val="1"/>
            <c:bubble3D val="0"/>
            <c:spPr>
              <a:solidFill>
                <a:srgbClr val="799098"/>
              </a:solidFill>
              <a:ln w="25400">
                <a:noFill/>
              </a:ln>
              <a:effectLst/>
            </c:spPr>
            <c:extLst>
              <c:ext xmlns:c16="http://schemas.microsoft.com/office/drawing/2014/chart" uri="{C3380CC4-5D6E-409C-BE32-E72D297353CC}">
                <c16:uniqueId val="{00000003-92DA-4E2D-B0C8-2976A9E8A265}"/>
              </c:ext>
            </c:extLst>
          </c:dPt>
          <c:dPt>
            <c:idx val="2"/>
            <c:bubble3D val="0"/>
            <c:spPr>
              <a:solidFill>
                <a:srgbClr val="F9663E"/>
              </a:solidFill>
              <a:ln w="25400">
                <a:noFill/>
              </a:ln>
              <a:effectLst/>
            </c:spPr>
            <c:extLst>
              <c:ext xmlns:c16="http://schemas.microsoft.com/office/drawing/2014/chart" uri="{C3380CC4-5D6E-409C-BE32-E72D297353CC}">
                <c16:uniqueId val="{00000005-92DA-4E2D-B0C8-2976A9E8A265}"/>
              </c:ext>
            </c:extLst>
          </c:dPt>
          <c:dPt>
            <c:idx val="3"/>
            <c:bubble3D val="0"/>
            <c:spPr>
              <a:solidFill>
                <a:srgbClr val="C7FE02"/>
              </a:solidFill>
              <a:ln w="25400">
                <a:noFill/>
              </a:ln>
              <a:effectLst/>
            </c:spPr>
            <c:extLst>
              <c:ext xmlns:c16="http://schemas.microsoft.com/office/drawing/2014/chart" uri="{C3380CC4-5D6E-409C-BE32-E72D297353CC}">
                <c16:uniqueId val="{00000007-92DA-4E2D-B0C8-2976A9E8A265}"/>
              </c:ext>
            </c:extLst>
          </c:dPt>
          <c:dPt>
            <c:idx val="4"/>
            <c:bubble3D val="0"/>
            <c:spPr>
              <a:solidFill>
                <a:srgbClr val="00C994"/>
              </a:solidFill>
              <a:ln w="25400">
                <a:noFill/>
              </a:ln>
              <a:effectLst/>
            </c:spPr>
            <c:extLst>
              <c:ext xmlns:c16="http://schemas.microsoft.com/office/drawing/2014/chart" uri="{C3380CC4-5D6E-409C-BE32-E72D297353CC}">
                <c16:uniqueId val="{00000009-92DA-4E2D-B0C8-2976A9E8A265}"/>
              </c:ext>
            </c:extLst>
          </c:dPt>
          <c:dPt>
            <c:idx val="5"/>
            <c:bubble3D val="0"/>
            <c:spPr>
              <a:solidFill>
                <a:srgbClr val="465A63"/>
              </a:solidFill>
              <a:ln w="25400">
                <a:noFill/>
              </a:ln>
              <a:effectLst/>
            </c:spPr>
            <c:extLst>
              <c:ext xmlns:c16="http://schemas.microsoft.com/office/drawing/2014/chart" uri="{C3380CC4-5D6E-409C-BE32-E72D297353CC}">
                <c16:uniqueId val="{0000000B-92DA-4E2D-B0C8-2976A9E8A265}"/>
              </c:ext>
            </c:extLst>
          </c:dPt>
          <c:dPt>
            <c:idx val="6"/>
            <c:bubble3D val="0"/>
            <c:spPr>
              <a:solidFill>
                <a:srgbClr val="B0BEC5"/>
              </a:solidFill>
              <a:ln w="25400">
                <a:noFill/>
              </a:ln>
              <a:effectLst/>
            </c:spPr>
            <c:extLst>
              <c:ext xmlns:c16="http://schemas.microsoft.com/office/drawing/2014/chart" uri="{C3380CC4-5D6E-409C-BE32-E72D297353CC}">
                <c16:uniqueId val="{0000000D-92DA-4E2D-B0C8-2976A9E8A265}"/>
              </c:ext>
            </c:extLst>
          </c:dPt>
          <c:dPt>
            <c:idx val="7"/>
            <c:bubble3D val="0"/>
            <c:spPr>
              <a:solidFill>
                <a:srgbClr val="F19375"/>
              </a:solidFill>
              <a:ln w="25400">
                <a:noFill/>
              </a:ln>
              <a:effectLst/>
            </c:spPr>
            <c:extLst>
              <c:ext xmlns:c16="http://schemas.microsoft.com/office/drawing/2014/chart" uri="{C3380CC4-5D6E-409C-BE32-E72D297353CC}">
                <c16:uniqueId val="{0000000F-92DA-4E2D-B0C8-2976A9E8A265}"/>
              </c:ext>
            </c:extLst>
          </c:dPt>
          <c:dLbls>
            <c:dLbl>
              <c:idx val="0"/>
              <c:layout>
                <c:manualLayout>
                  <c:x val="-4.4424849965598199E-3"/>
                  <c:y val="1.1157866996144494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DA-4E2D-B0C8-2976A9E8A265}"/>
                </c:ext>
              </c:extLst>
            </c:dLbl>
            <c:dLbl>
              <c:idx val="1"/>
              <c:layout>
                <c:manualLayout>
                  <c:x val="1.076297279991922E-2"/>
                  <c:y val="-8.539613491021707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DA-4E2D-B0C8-2976A9E8A265}"/>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2DA-4E2D-B0C8-2976A9E8A265}"/>
                </c:ext>
              </c:extLst>
            </c:dLbl>
            <c:dLbl>
              <c:idx val="3"/>
              <c:layout>
                <c:manualLayout>
                  <c:x val="2.7196275680711249E-3"/>
                  <c:y val="1.33198941061915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DA-4E2D-B0C8-2976A9E8A265}"/>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92DA-4E2D-B0C8-2976A9E8A265}"/>
                </c:ext>
              </c:extLst>
            </c:dLbl>
            <c:dLbl>
              <c:idx val="5"/>
              <c:layout>
                <c:manualLayout>
                  <c:x val="3.9108569594204029E-2"/>
                  <c:y val="2.96016660990932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DA-4E2D-B0C8-2976A9E8A265}"/>
                </c:ext>
              </c:extLst>
            </c:dLbl>
            <c:dLbl>
              <c:idx val="6"/>
              <c:layout>
                <c:manualLayout>
                  <c:x val="2.0130674956768575E-2"/>
                  <c:y val="2.0961771787548409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DA-4E2D-B0C8-2976A9E8A265}"/>
                </c:ext>
              </c:extLst>
            </c:dLbl>
            <c:dLbl>
              <c:idx val="7"/>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F-92DA-4E2D-B0C8-2976A9E8A26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MTNSOP!$X$45:$X$51</c:f>
              <c:numCache>
                <c:formatCode>0.0%</c:formatCode>
                <c:ptCount val="7"/>
                <c:pt idx="0">
                  <c:v>0.3895778569247651</c:v>
                </c:pt>
                <c:pt idx="1">
                  <c:v>0.2280827377346003</c:v>
                </c:pt>
                <c:pt idx="2">
                  <c:v>8.6488803471361425E-2</c:v>
                </c:pt>
                <c:pt idx="3">
                  <c:v>0.14214825711893186</c:v>
                </c:pt>
                <c:pt idx="4">
                  <c:v>1.0970986364242361E-2</c:v>
                </c:pt>
                <c:pt idx="5">
                  <c:v>0.11980080310332858</c:v>
                </c:pt>
                <c:pt idx="6">
                  <c:v>2.2930555282770351E-2</c:v>
                </c:pt>
              </c:numCache>
            </c:numRef>
          </c:val>
          <c:extLst>
            <c:ext xmlns:c16="http://schemas.microsoft.com/office/drawing/2014/chart" uri="{C3380CC4-5D6E-409C-BE32-E72D297353CC}">
              <c16:uniqueId val="{00000010-92DA-4E2D-B0C8-2976A9E8A265}"/>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2-92DA-4E2D-B0C8-2976A9E8A2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14-92DA-4E2D-B0C8-2976A9E8A265}"/>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MTNSOP!$X$45:$X$47</c:f>
              <c:numCache>
                <c:formatCode>0.0%</c:formatCode>
                <c:ptCount val="3"/>
                <c:pt idx="0">
                  <c:v>0.3895778569247651</c:v>
                </c:pt>
                <c:pt idx="1">
                  <c:v>0.2280827377346003</c:v>
                </c:pt>
                <c:pt idx="2">
                  <c:v>8.6488803471361425E-2</c:v>
                </c:pt>
              </c:numCache>
            </c:numRef>
          </c:val>
          <c:extLst>
            <c:ext xmlns:c16="http://schemas.microsoft.com/office/drawing/2014/chart" uri="{C3380CC4-5D6E-409C-BE32-E72D297353CC}">
              <c16:uniqueId val="{00000015-92DA-4E2D-B0C8-2976A9E8A26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2481203007519"/>
          <c:y val="0.10150375939849621"/>
          <c:w val="0.62030075187969924"/>
          <c:h val="0.6203007518796992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751-42F1-A74B-A5AE2F365BF2}"/>
              </c:ext>
            </c:extLst>
          </c:dPt>
          <c:dPt>
            <c:idx val="1"/>
            <c:bubble3D val="0"/>
            <c:spPr>
              <a:solidFill>
                <a:srgbClr val="799098"/>
              </a:solidFill>
              <a:ln w="25400">
                <a:noFill/>
              </a:ln>
              <a:effectLst/>
            </c:spPr>
            <c:extLst>
              <c:ext xmlns:c16="http://schemas.microsoft.com/office/drawing/2014/chart" uri="{C3380CC4-5D6E-409C-BE32-E72D297353CC}">
                <c16:uniqueId val="{00000003-E751-42F1-A74B-A5AE2F365BF2}"/>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751-42F1-A74B-A5AE2F365BF2}"/>
              </c:ext>
            </c:extLst>
          </c:dPt>
          <c:dLbls>
            <c:dLbl>
              <c:idx val="0"/>
              <c:layout>
                <c:manualLayout>
                  <c:x val="-1.5596298806444316E-2"/>
                  <c:y val="-1.121060687086245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51-42F1-A74B-A5AE2F365BF2}"/>
                </c:ext>
              </c:extLst>
            </c:dLbl>
            <c:dLbl>
              <c:idx val="1"/>
              <c:layout>
                <c:manualLayout>
                  <c:x val="1.0570220208321261E-3"/>
                  <c:y val="1.934265849114456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51-42F1-A74B-A5AE2F365BF2}"/>
                </c:ext>
              </c:extLst>
            </c:dLbl>
            <c:dLbl>
              <c:idx val="3"/>
              <c:layout>
                <c:manualLayout>
                  <c:x val="4.7465256462875485E-2"/>
                  <c:y val="1.05810180528967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51-42F1-A74B-A5AE2F365BF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OBELSOP!$T$38:$T$39</c:f>
              <c:strCache>
                <c:ptCount val="2"/>
                <c:pt idx="0">
                  <c:v>Belgium</c:v>
                </c:pt>
                <c:pt idx="1">
                  <c:v>Vox group (Luxembourg)</c:v>
                </c:pt>
              </c:strCache>
            </c:strRef>
          </c:cat>
          <c:val>
            <c:numRef>
              <c:f>OBELSOP!$X$38:$X$39</c:f>
              <c:numCache>
                <c:formatCode>0.0%</c:formatCode>
                <c:ptCount val="2"/>
                <c:pt idx="0">
                  <c:v>0.93197982692706327</c:v>
                </c:pt>
                <c:pt idx="1">
                  <c:v>6.8020173072936799E-2</c:v>
                </c:pt>
              </c:numCache>
            </c:numRef>
          </c:val>
          <c:extLst>
            <c:ext xmlns:c16="http://schemas.microsoft.com/office/drawing/2014/chart" uri="{C3380CC4-5D6E-409C-BE32-E72D297353CC}">
              <c16:uniqueId val="{00000007-E751-42F1-A74B-A5AE2F365BF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61654135338345"/>
          <c:y val="8.6956689562533898E-2"/>
          <c:w val="0.60902255639097869"/>
          <c:h val="0.640317441324113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A-BDC4-46AA-8F47-F5E8E0C4CF1D}"/>
              </c:ext>
            </c:extLst>
          </c:dPt>
          <c:dPt>
            <c:idx val="1"/>
            <c:bubble3D val="0"/>
            <c:spPr>
              <a:solidFill>
                <a:srgbClr val="799098"/>
              </a:solidFill>
              <a:ln w="25400">
                <a:noFill/>
              </a:ln>
              <a:effectLst/>
            </c:spPr>
            <c:extLst>
              <c:ext xmlns:c16="http://schemas.microsoft.com/office/drawing/2014/chart" uri="{C3380CC4-5D6E-409C-BE32-E72D297353CC}">
                <c16:uniqueId val="{00000001-7E30-4A80-A954-D844E8829F4A}"/>
              </c:ext>
            </c:extLst>
          </c:dPt>
          <c:dPt>
            <c:idx val="2"/>
            <c:bubble3D val="0"/>
            <c:spPr>
              <a:solidFill>
                <a:srgbClr val="F9663E"/>
              </a:solidFill>
              <a:ln w="25400">
                <a:noFill/>
              </a:ln>
              <a:effectLst/>
            </c:spPr>
            <c:extLst>
              <c:ext xmlns:c16="http://schemas.microsoft.com/office/drawing/2014/chart" uri="{C3380CC4-5D6E-409C-BE32-E72D297353CC}">
                <c16:uniqueId val="{00000003-7E30-4A80-A954-D844E8829F4A}"/>
              </c:ext>
            </c:extLst>
          </c:dPt>
          <c:dPt>
            <c:idx val="3"/>
            <c:bubble3D val="0"/>
            <c:spPr>
              <a:solidFill>
                <a:srgbClr val="C7FE02"/>
              </a:solidFill>
              <a:ln w="25400">
                <a:noFill/>
              </a:ln>
              <a:effectLst/>
            </c:spPr>
            <c:extLst>
              <c:ext xmlns:c16="http://schemas.microsoft.com/office/drawing/2014/chart" uri="{C3380CC4-5D6E-409C-BE32-E72D297353CC}">
                <c16:uniqueId val="{00000005-7E30-4A80-A954-D844E8829F4A}"/>
              </c:ext>
            </c:extLst>
          </c:dPt>
          <c:dPt>
            <c:idx val="4"/>
            <c:bubble3D val="0"/>
            <c:spPr>
              <a:solidFill>
                <a:srgbClr val="00C994"/>
              </a:solidFill>
              <a:ln w="25400">
                <a:noFill/>
              </a:ln>
              <a:effectLst/>
            </c:spPr>
            <c:extLst>
              <c:ext xmlns:c16="http://schemas.microsoft.com/office/drawing/2014/chart" uri="{C3380CC4-5D6E-409C-BE32-E72D297353CC}">
                <c16:uniqueId val="{00000007-7E30-4A80-A954-D844E8829F4A}"/>
              </c:ext>
            </c:extLst>
          </c:dPt>
          <c:dPt>
            <c:idx val="5"/>
            <c:bubble3D val="0"/>
            <c:spPr>
              <a:solidFill>
                <a:srgbClr val="465A63"/>
              </a:solidFill>
              <a:ln w="25400">
                <a:noFill/>
              </a:ln>
              <a:effectLst/>
            </c:spPr>
            <c:extLst>
              <c:ext xmlns:c16="http://schemas.microsoft.com/office/drawing/2014/chart" uri="{C3380CC4-5D6E-409C-BE32-E72D297353CC}">
                <c16:uniqueId val="{00000009-7E30-4A80-A954-D844E8829F4A}"/>
              </c:ext>
            </c:extLst>
          </c:dPt>
          <c:dLbls>
            <c:dLbl>
              <c:idx val="0"/>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BDC4-46AA-8F47-F5E8E0C4CF1D}"/>
                </c:ext>
              </c:extLst>
            </c:dLbl>
            <c:dLbl>
              <c:idx val="1"/>
              <c:layout>
                <c:manualLayout>
                  <c:x val="-2.0158686189772936E-2"/>
                  <c:y val="2.3216530270074886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0-4A80-A954-D844E8829F4A}"/>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7E30-4A80-A954-D844E8829F4A}"/>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7E30-4A80-A954-D844E8829F4A}"/>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E30-4A80-A954-D844E8829F4A}"/>
                </c:ext>
              </c:extLst>
            </c:dLbl>
            <c:dLbl>
              <c:idx val="5"/>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7E30-4A80-A954-D844E8829F4A}"/>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ORASOP!$T$63:$T$68</c:f>
              <c:strCache>
                <c:ptCount val="6"/>
                <c:pt idx="0">
                  <c:v>Domestic wireline</c:v>
                </c:pt>
                <c:pt idx="1">
                  <c:v>Domestic mobile</c:v>
                </c:pt>
                <c:pt idx="2">
                  <c:v>Entreprise / ICSS</c:v>
                </c:pt>
                <c:pt idx="3">
                  <c:v>Europe</c:v>
                </c:pt>
                <c:pt idx="4">
                  <c:v>AME</c:v>
                </c:pt>
                <c:pt idx="5">
                  <c:v>Other</c:v>
                </c:pt>
              </c:strCache>
            </c:strRef>
          </c:cat>
          <c:val>
            <c:numRef>
              <c:f>ORASOP!$X$63:$X$68</c:f>
              <c:numCache>
                <c:formatCode>0.0%</c:formatCode>
                <c:ptCount val="6"/>
                <c:pt idx="0">
                  <c:v>0.21466365136360452</c:v>
                </c:pt>
                <c:pt idx="1">
                  <c:v>0.19308937266695503</c:v>
                </c:pt>
                <c:pt idx="2">
                  <c:v>7.1213397168148708E-5</c:v>
                </c:pt>
                <c:pt idx="3">
                  <c:v>0.11913223768757028</c:v>
                </c:pt>
                <c:pt idx="4">
                  <c:v>0.25194538500989289</c:v>
                </c:pt>
                <c:pt idx="5">
                  <c:v>0.22109813987480909</c:v>
                </c:pt>
              </c:numCache>
            </c:numRef>
          </c:val>
          <c:extLst>
            <c:ext xmlns:c16="http://schemas.microsoft.com/office/drawing/2014/chart" uri="{C3380CC4-5D6E-409C-BE32-E72D297353CC}">
              <c16:uniqueId val="{0000000A-7E30-4A80-A954-D844E8829F4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57088241999874"/>
          <c:y val="7.8871456681185267E-2"/>
          <c:w val="0.65037593984962405"/>
          <c:h val="0.6431226765799269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DCC-451B-B3B6-506FF2C5D2A7}"/>
              </c:ext>
            </c:extLst>
          </c:dPt>
          <c:dPt>
            <c:idx val="1"/>
            <c:bubble3D val="0"/>
            <c:spPr>
              <a:solidFill>
                <a:srgbClr val="F9663E"/>
              </a:solidFill>
              <a:ln w="25400">
                <a:noFill/>
              </a:ln>
              <a:effectLst/>
            </c:spPr>
            <c:extLst>
              <c:ext xmlns:c16="http://schemas.microsoft.com/office/drawing/2014/chart" uri="{C3380CC4-5D6E-409C-BE32-E72D297353CC}">
                <c16:uniqueId val="{00000003-9DCC-451B-B3B6-506FF2C5D2A7}"/>
              </c:ext>
            </c:extLst>
          </c:dPt>
          <c:dPt>
            <c:idx val="2"/>
            <c:bubble3D val="0"/>
            <c:spPr>
              <a:solidFill>
                <a:srgbClr val="C7FE02"/>
              </a:solidFill>
              <a:ln w="25400">
                <a:noFill/>
              </a:ln>
              <a:effectLst/>
            </c:spPr>
            <c:extLst>
              <c:ext xmlns:c16="http://schemas.microsoft.com/office/drawing/2014/chart" uri="{C3380CC4-5D6E-409C-BE32-E72D297353CC}">
                <c16:uniqueId val="{00000005-9DCC-451B-B3B6-506FF2C5D2A7}"/>
              </c:ext>
            </c:extLst>
          </c:dPt>
          <c:dLbls>
            <c:dLbl>
              <c:idx val="0"/>
              <c:layout>
                <c:manualLayout>
                  <c:x val="-8.4395666988279633E-3"/>
                  <c:y val="-4.36475861854777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C-451B-B3B6-506FF2C5D2A7}"/>
                </c:ext>
              </c:extLst>
            </c:dLbl>
            <c:dLbl>
              <c:idx val="1"/>
              <c:layout>
                <c:manualLayout>
                  <c:x val="6.4237032876264923E-3"/>
                  <c:y val="-2.9667505739593282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C-451B-B3B6-506FF2C5D2A7}"/>
                </c:ext>
              </c:extLst>
            </c:dLbl>
            <c:dLbl>
              <c:idx val="2"/>
              <c:layout>
                <c:manualLayout>
                  <c:x val="1.6105803935243083E-2"/>
                  <c:y val="1.910052231692433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C-451B-B3B6-506FF2C5D2A7}"/>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1</c:v>
                </c:pt>
                <c:pt idx="1">
                  <c:v>0.78341092143188318</c:v>
                </c:pt>
                <c:pt idx="2">
                  <c:v>-0.78341092143188318</c:v>
                </c:pt>
              </c:numCache>
            </c:numRef>
          </c:val>
          <c:extLst>
            <c:ext xmlns:c16="http://schemas.microsoft.com/office/drawing/2014/chart" uri="{C3380CC4-5D6E-409C-BE32-E72D297353CC}">
              <c16:uniqueId val="{00000006-9DCC-451B-B3B6-506FF2C5D2A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9DCC-451B-B3B6-506FF2C5D2A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9DCC-451B-B3B6-506FF2C5D2A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1</c:v>
                </c:pt>
                <c:pt idx="1">
                  <c:v>0.78341092143188318</c:v>
                </c:pt>
                <c:pt idx="2">
                  <c:v>-0.78341092143188318</c:v>
                </c:pt>
              </c:numCache>
            </c:numRef>
          </c:val>
          <c:extLst>
            <c:ext xmlns:c16="http://schemas.microsoft.com/office/drawing/2014/chart" uri="{C3380CC4-5D6E-409C-BE32-E72D297353CC}">
              <c16:uniqueId val="{0000000B-9DCC-451B-B3B6-506FF2C5D2A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89473684210581"/>
          <c:y val="9.8039591144267788E-2"/>
          <c:w val="0.71804511278195493"/>
          <c:h val="0.74902247634220465"/>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4-23FA-4C2D-88F9-82F28EA75597}"/>
              </c:ext>
            </c:extLst>
          </c:dPt>
          <c:dPt>
            <c:idx val="1"/>
            <c:bubble3D val="0"/>
            <c:spPr>
              <a:solidFill>
                <a:srgbClr val="799098"/>
              </a:solidFill>
              <a:ln w="25400">
                <a:noFill/>
              </a:ln>
              <a:effectLst/>
            </c:spPr>
            <c:extLst>
              <c:ext xmlns:c16="http://schemas.microsoft.com/office/drawing/2014/chart" uri="{C3380CC4-5D6E-409C-BE32-E72D297353CC}">
                <c16:uniqueId val="{00000001-23FA-4C2D-88F9-82F28EA75597}"/>
              </c:ext>
            </c:extLst>
          </c:dPt>
          <c:dPt>
            <c:idx val="2"/>
            <c:bubble3D val="0"/>
            <c:spPr>
              <a:solidFill>
                <a:srgbClr val="F9663E"/>
              </a:solidFill>
              <a:ln w="25400">
                <a:noFill/>
              </a:ln>
              <a:effectLst/>
            </c:spPr>
            <c:extLst>
              <c:ext xmlns:c16="http://schemas.microsoft.com/office/drawing/2014/chart" uri="{C3380CC4-5D6E-409C-BE32-E72D297353CC}">
                <c16:uniqueId val="{00000003-23FA-4C2D-88F9-82F28EA75597}"/>
              </c:ext>
            </c:extLst>
          </c:dPt>
          <c:dPt>
            <c:idx val="3"/>
            <c:bubble3D val="0"/>
            <c:spPr>
              <a:solidFill>
                <a:srgbClr val="C7FE02"/>
              </a:solidFill>
              <a:ln w="25400">
                <a:noFill/>
              </a:ln>
              <a:effectLst/>
            </c:spPr>
            <c:extLst>
              <c:ext xmlns:c16="http://schemas.microsoft.com/office/drawing/2014/chart" uri="{C3380CC4-5D6E-409C-BE32-E72D297353CC}">
                <c16:uniqueId val="{00000008-A441-473C-98DB-D8DED9CF9FC3}"/>
              </c:ext>
            </c:extLst>
          </c:dPt>
          <c:dLbls>
            <c:dLbl>
              <c:idx val="0"/>
              <c:layout>
                <c:manualLayout>
                  <c:x val="-1.7971223129584411E-2"/>
                  <c:y val="-6.465728669162256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FA-4C2D-88F9-82F28EA75597}"/>
                </c:ext>
              </c:extLst>
            </c:dLbl>
            <c:dLbl>
              <c:idx val="1"/>
              <c:layout>
                <c:manualLayout>
                  <c:x val="2.621609951372221E-2"/>
                  <c:y val="-5.80353685297534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A-4C2D-88F9-82F28EA75597}"/>
                </c:ext>
              </c:extLst>
            </c:dLbl>
            <c:dLbl>
              <c:idx val="2"/>
              <c:layout>
                <c:manualLayout>
                  <c:x val="2.7034661270690742E-2"/>
                  <c:y val="4.776042338969937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FA-4C2D-88F9-82F28EA75597}"/>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441-473C-98DB-D8DED9CF9FC3}"/>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PROXSOP!$T$46:$T$48</c:f>
              <c:strCache>
                <c:ptCount val="3"/>
                <c:pt idx="0">
                  <c:v>Domestic</c:v>
                </c:pt>
                <c:pt idx="1">
                  <c:v>BICS/Telesign</c:v>
                </c:pt>
                <c:pt idx="2">
                  <c:v>Fibre JVs</c:v>
                </c:pt>
              </c:strCache>
            </c:strRef>
          </c:cat>
          <c:val>
            <c:numRef>
              <c:f>PROXSOP!$X$46:$X$48</c:f>
              <c:numCache>
                <c:formatCode>0.0%</c:formatCode>
                <c:ptCount val="3"/>
                <c:pt idx="0">
                  <c:v>0.87482075306785345</c:v>
                </c:pt>
                <c:pt idx="1">
                  <c:v>0.10748590106639844</c:v>
                </c:pt>
                <c:pt idx="2">
                  <c:v>1.7693345865748122E-2</c:v>
                </c:pt>
              </c:numCache>
            </c:numRef>
          </c:val>
          <c:extLst>
            <c:ext xmlns:c16="http://schemas.microsoft.com/office/drawing/2014/chart" uri="{C3380CC4-5D6E-409C-BE32-E72D297353CC}">
              <c16:uniqueId val="{00000005-23FA-4C2D-88F9-82F28EA7559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7-23FA-4C2D-88F9-82F28EA7559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9-23FA-4C2D-88F9-82F28EA7559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PROXSOP!$T$46:$T$48</c:f>
              <c:strCache>
                <c:ptCount val="3"/>
                <c:pt idx="0">
                  <c:v>Domestic</c:v>
                </c:pt>
                <c:pt idx="1">
                  <c:v>BICS/Telesign</c:v>
                </c:pt>
                <c:pt idx="2">
                  <c:v>Fibre JVs</c:v>
                </c:pt>
              </c:strCache>
            </c:strRef>
          </c:cat>
          <c:val>
            <c:numRef>
              <c:f>PROXSOP!$X$46:$X$48</c:f>
              <c:numCache>
                <c:formatCode>0.0%</c:formatCode>
                <c:ptCount val="3"/>
                <c:pt idx="0">
                  <c:v>0.87482075306785345</c:v>
                </c:pt>
                <c:pt idx="1">
                  <c:v>0.10748590106639844</c:v>
                </c:pt>
                <c:pt idx="2">
                  <c:v>1.7693345865748122E-2</c:v>
                </c:pt>
              </c:numCache>
            </c:numRef>
          </c:val>
          <c:extLst>
            <c:ext xmlns:c16="http://schemas.microsoft.com/office/drawing/2014/chart" uri="{C3380CC4-5D6E-409C-BE32-E72D297353CC}">
              <c16:uniqueId val="{0000000A-23FA-4C2D-88F9-82F28EA7559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CCI!$W$24</c:f>
              <c:strCache>
                <c:ptCount val="1"/>
                <c:pt idx="0">
                  <c:v>CCI</c:v>
                </c:pt>
              </c:strCache>
            </c:strRef>
          </c:tx>
          <c:spPr>
            <a:ln w="25400">
              <a:solidFill>
                <a:srgbClr val="263238"/>
              </a:solidFill>
              <a:prstDash val="solid"/>
            </a:ln>
            <a:effectLst/>
          </c:spPr>
          <c:marker>
            <c:symbol val="diamond"/>
            <c:size val="6"/>
            <c:spPr>
              <a:solidFill>
                <a:srgbClr val="26323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CCI!$W$25:$W$34</c:f>
              <c:numCache>
                <c:formatCode>0%</c:formatCode>
                <c:ptCount val="10"/>
                <c:pt idx="0">
                  <c:v>1.119903504719953</c:v>
                </c:pt>
                <c:pt idx="1">
                  <c:v>1.1214370026884966</c:v>
                </c:pt>
                <c:pt idx="2">
                  <c:v>0.75564851156222324</c:v>
                </c:pt>
                <c:pt idx="3">
                  <c:v>0.73319397702818145</c:v>
                </c:pt>
                <c:pt idx="4">
                  <c:v>0.63257838266585154</c:v>
                </c:pt>
                <c:pt idx="5">
                  <c:v>1.3016424171974239</c:v>
                </c:pt>
                <c:pt idx="6">
                  <c:v>0.70815425225983342</c:v>
                </c:pt>
                <c:pt idx="7">
                  <c:v>1.0727012812907109</c:v>
                </c:pt>
                <c:pt idx="8">
                  <c:v>1.3934693965931877</c:v>
                </c:pt>
                <c:pt idx="9">
                  <c:v>1.4121217189741362</c:v>
                </c:pt>
              </c:numCache>
            </c:numRef>
          </c:val>
          <c:extLst>
            <c:ext xmlns:c16="http://schemas.microsoft.com/office/drawing/2014/chart" uri="{C3380CC4-5D6E-409C-BE32-E72D297353CC}">
              <c16:uniqueId val="{00000000-ADE3-49FD-AA6F-B7F6D4D7BBC5}"/>
            </c:ext>
          </c:extLst>
        </c:ser>
        <c:ser>
          <c:idx val="1"/>
          <c:order val="1"/>
          <c:tx>
            <c:strRef>
              <c:f>CCI!$X$24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DE3-49FD-AA6F-B7F6D4D7BBC5}"/>
            </c:ext>
          </c:extLst>
        </c:ser>
        <c:dLbls>
          <c:showLegendKey val="0"/>
          <c:showVal val="0"/>
          <c:showCatName val="0"/>
          <c:showSerName val="0"/>
          <c:showPercent val="0"/>
          <c:showBubbleSize val="0"/>
        </c:dLbls>
        <c:axId val="358845440"/>
        <c:axId val="358876288"/>
      </c:radarChart>
      <c:catAx>
        <c:axId val="358845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76288"/>
        <c:crosses val="autoZero"/>
        <c:auto val="0"/>
        <c:lblAlgn val="ctr"/>
        <c:lblOffset val="100"/>
        <c:noMultiLvlLbl val="0"/>
      </c:catAx>
      <c:valAx>
        <c:axId val="3588762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45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76691729323321"/>
          <c:y val="9.5022624434389164E-2"/>
          <c:w val="0.59774436090225425"/>
          <c:h val="0.7194570135746606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276-4EFF-A643-4A6D0C0F6139}"/>
              </c:ext>
            </c:extLst>
          </c:dPt>
          <c:dPt>
            <c:idx val="1"/>
            <c:bubble3D val="0"/>
            <c:spPr>
              <a:solidFill>
                <a:srgbClr val="799098"/>
              </a:solidFill>
              <a:ln w="25400">
                <a:noFill/>
              </a:ln>
              <a:effectLst/>
            </c:spPr>
            <c:extLst>
              <c:ext xmlns:c16="http://schemas.microsoft.com/office/drawing/2014/chart" uri="{C3380CC4-5D6E-409C-BE32-E72D297353CC}">
                <c16:uniqueId val="{00000003-C276-4EFF-A643-4A6D0C0F6139}"/>
              </c:ext>
            </c:extLst>
          </c:dPt>
          <c:dLbls>
            <c:dLbl>
              <c:idx val="0"/>
              <c:layout>
                <c:manualLayout>
                  <c:x val="-1.4251376472677759E-2"/>
                  <c:y val="-3.360066322323626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6-4EFF-A643-4A6D0C0F6139}"/>
                </c:ext>
              </c:extLst>
            </c:dLbl>
            <c:dLbl>
              <c:idx val="1"/>
              <c:layout>
                <c:manualLayout>
                  <c:x val="1.1742545339727321E-2"/>
                  <c:y val="2.0366979014501008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6-4EFF-A643-4A6D0C0F6139}"/>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SWISSSOP!$T$36:$T$37</c:f>
              <c:strCache>
                <c:ptCount val="2"/>
                <c:pt idx="0">
                  <c:v>Switzerland</c:v>
                </c:pt>
                <c:pt idx="1">
                  <c:v>Italy</c:v>
                </c:pt>
              </c:strCache>
            </c:strRef>
          </c:cat>
          <c:val>
            <c:numRef>
              <c:f>SWISSSOP!$X$36:$X$37</c:f>
              <c:numCache>
                <c:formatCode>0.0%</c:formatCode>
                <c:ptCount val="2"/>
                <c:pt idx="0">
                  <c:v>0.72394666346910141</c:v>
                </c:pt>
                <c:pt idx="1">
                  <c:v>0.27605333653089859</c:v>
                </c:pt>
              </c:numCache>
            </c:numRef>
          </c:val>
          <c:extLst>
            <c:ext xmlns:c16="http://schemas.microsoft.com/office/drawing/2014/chart" uri="{C3380CC4-5D6E-409C-BE32-E72D297353CC}">
              <c16:uniqueId val="{00000004-C276-4EFF-A643-4A6D0C0F6139}"/>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2-498E-45C2-B77A-F6C463FF2E47}"/>
              </c:ext>
            </c:extLst>
          </c:dPt>
          <c:dPt>
            <c:idx val="1"/>
            <c:bubble3D val="0"/>
            <c:spPr>
              <a:solidFill>
                <a:srgbClr val="799098"/>
              </a:solidFill>
              <a:ln w="25400">
                <a:noFill/>
              </a:ln>
              <a:effectLst/>
            </c:spPr>
            <c:extLst>
              <c:ext xmlns:c16="http://schemas.microsoft.com/office/drawing/2014/chart" uri="{C3380CC4-5D6E-409C-BE32-E72D297353CC}">
                <c16:uniqueId val="{00000003-498E-45C2-B77A-F6C463FF2E47}"/>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98E-45C2-B77A-F6C463FF2E47}"/>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98E-45C2-B77A-F6C463FF2E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TEFSOP!$T$54:$T$55</c:f>
              <c:strCache>
                <c:ptCount val="2"/>
                <c:pt idx="0">
                  <c:v>Europe</c:v>
                </c:pt>
                <c:pt idx="1">
                  <c:v>Latam</c:v>
                </c:pt>
              </c:strCache>
            </c:strRef>
          </c:cat>
          <c:val>
            <c:numRef>
              <c:f>TEFSOP!$X$54:$X$55</c:f>
              <c:numCache>
                <c:formatCode>0.0%</c:formatCode>
                <c:ptCount val="2"/>
                <c:pt idx="0">
                  <c:v>0.5874536738331293</c:v>
                </c:pt>
                <c:pt idx="1">
                  <c:v>0.4125463261668707</c:v>
                </c:pt>
              </c:numCache>
            </c:numRef>
          </c:val>
          <c:extLst>
            <c:ext xmlns:c16="http://schemas.microsoft.com/office/drawing/2014/chart" uri="{C3380CC4-5D6E-409C-BE32-E72D297353CC}">
              <c16:uniqueId val="{00000000-498E-45C2-B77A-F6C463FF2E47}"/>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21052631578938"/>
          <c:y val="9.2936802973977869E-2"/>
          <c:w val="0.60150375939849665"/>
          <c:h val="0.594795539033457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7483-41B2-92F0-85D15F0E5615}"/>
              </c:ext>
            </c:extLst>
          </c:dPt>
          <c:dPt>
            <c:idx val="1"/>
            <c:bubble3D val="0"/>
            <c:spPr>
              <a:solidFill>
                <a:srgbClr val="799098"/>
              </a:solidFill>
              <a:ln w="25400">
                <a:noFill/>
              </a:ln>
              <a:effectLst/>
            </c:spPr>
            <c:extLst>
              <c:ext xmlns:c16="http://schemas.microsoft.com/office/drawing/2014/chart" uri="{C3380CC4-5D6E-409C-BE32-E72D297353CC}">
                <c16:uniqueId val="{00000003-7483-41B2-92F0-85D15F0E5615}"/>
              </c:ext>
            </c:extLst>
          </c:dPt>
          <c:dPt>
            <c:idx val="2"/>
            <c:bubble3D val="0"/>
            <c:spPr>
              <a:solidFill>
                <a:srgbClr val="F9663E"/>
              </a:solidFill>
              <a:ln w="25400">
                <a:noFill/>
              </a:ln>
              <a:effectLst/>
            </c:spPr>
            <c:extLst>
              <c:ext xmlns:c16="http://schemas.microsoft.com/office/drawing/2014/chart" uri="{C3380CC4-5D6E-409C-BE32-E72D297353CC}">
                <c16:uniqueId val="{00000005-7483-41B2-92F0-85D15F0E5615}"/>
              </c:ext>
            </c:extLst>
          </c:dPt>
          <c:dPt>
            <c:idx val="3"/>
            <c:bubble3D val="0"/>
            <c:spPr>
              <a:solidFill>
                <a:srgbClr val="C7FE02"/>
              </a:solidFill>
              <a:ln w="25400">
                <a:noFill/>
              </a:ln>
              <a:effectLst/>
            </c:spPr>
            <c:extLst>
              <c:ext xmlns:c16="http://schemas.microsoft.com/office/drawing/2014/chart" uri="{C3380CC4-5D6E-409C-BE32-E72D297353CC}">
                <c16:uniqueId val="{00000007-7483-41B2-92F0-85D15F0E5615}"/>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8-9DDE-4FAA-BCE1-B35E7DC3744B}"/>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9-9DDE-4FAA-BCE1-B35E7DC3744B}"/>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A-9DDE-4FAA-BCE1-B35E7DC3744B}"/>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B-9DDE-4FAA-BCE1-B35E7DC3744B}"/>
              </c:ext>
            </c:extLst>
          </c:dPt>
          <c:dLbls>
            <c:dLbl>
              <c:idx val="0"/>
              <c:layout>
                <c:manualLayout>
                  <c:x val="-6.2762412148762523E-3"/>
                  <c:y val="-3.335710423409374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3-41B2-92F0-85D15F0E5615}"/>
                </c:ext>
              </c:extLst>
            </c:dLbl>
            <c:dLbl>
              <c:idx val="1"/>
              <c:layout>
                <c:manualLayout>
                  <c:x val="3.5831338220277918E-2"/>
                  <c:y val="-1.665073232659650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83-41B2-92F0-85D15F0E5615}"/>
                </c:ext>
              </c:extLst>
            </c:dLbl>
            <c:dLbl>
              <c:idx val="2"/>
              <c:layout>
                <c:manualLayout>
                  <c:x val="2.0089955258556419E-2"/>
                  <c:y val="-9.1145256488561806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83-41B2-92F0-85D15F0E5615}"/>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483-41B2-92F0-85D15F0E561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TELE2SOP!$T$47:$T$50</c:f>
              <c:strCache>
                <c:ptCount val="4"/>
                <c:pt idx="0">
                  <c:v>Sweden</c:v>
                </c:pt>
                <c:pt idx="1">
                  <c:v>Lithuania</c:v>
                </c:pt>
                <c:pt idx="2">
                  <c:v>Latvia</c:v>
                </c:pt>
                <c:pt idx="3">
                  <c:v>Estonia</c:v>
                </c:pt>
              </c:strCache>
            </c:strRef>
          </c:cat>
          <c:val>
            <c:numRef>
              <c:f>TELE2SOP!$X$47:$X$50</c:f>
              <c:numCache>
                <c:formatCode>0.0%</c:formatCode>
                <c:ptCount val="4"/>
                <c:pt idx="0">
                  <c:v>0.70281473132626027</c:v>
                </c:pt>
                <c:pt idx="1">
                  <c:v>0.20427825212217976</c:v>
                </c:pt>
                <c:pt idx="2">
                  <c:v>7.083651307941316E-2</c:v>
                </c:pt>
                <c:pt idx="3">
                  <c:v>2.2070503472146806E-2</c:v>
                </c:pt>
              </c:numCache>
            </c:numRef>
          </c:val>
          <c:extLst>
            <c:ext xmlns:c16="http://schemas.microsoft.com/office/drawing/2014/chart" uri="{C3380CC4-5D6E-409C-BE32-E72D297353CC}">
              <c16:uniqueId val="{00000008-7483-41B2-92F0-85D15F0E561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3896473000047"/>
          <c:y val="0.10887096774193561"/>
          <c:w val="0.59923775800214196"/>
          <c:h val="0.63306451612903358"/>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D714-48F2-97A9-85796B2B67F0}"/>
              </c:ext>
            </c:extLst>
          </c:dPt>
          <c:dPt>
            <c:idx val="1"/>
            <c:bubble3D val="0"/>
            <c:spPr>
              <a:solidFill>
                <a:srgbClr val="F9663E"/>
              </a:solidFill>
              <a:ln w="25400">
                <a:noFill/>
              </a:ln>
              <a:effectLst/>
            </c:spPr>
            <c:extLst>
              <c:ext xmlns:c16="http://schemas.microsoft.com/office/drawing/2014/chart" uri="{C3380CC4-5D6E-409C-BE32-E72D297353CC}">
                <c16:uniqueId val="{00000003-D714-48F2-97A9-85796B2B67F0}"/>
              </c:ext>
            </c:extLst>
          </c:dPt>
          <c:dPt>
            <c:idx val="2"/>
            <c:bubble3D val="0"/>
            <c:spPr>
              <a:solidFill>
                <a:srgbClr val="C7FE02"/>
              </a:solidFill>
              <a:ln w="25400">
                <a:noFill/>
              </a:ln>
              <a:effectLst/>
            </c:spPr>
            <c:extLst>
              <c:ext xmlns:c16="http://schemas.microsoft.com/office/drawing/2014/chart" uri="{C3380CC4-5D6E-409C-BE32-E72D297353CC}">
                <c16:uniqueId val="{00000005-D714-48F2-97A9-85796B2B67F0}"/>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D714-48F2-97A9-85796B2B67F0}"/>
              </c:ext>
            </c:extLst>
          </c:dPt>
          <c:dLbls>
            <c:dLbl>
              <c:idx val="0"/>
              <c:layout>
                <c:manualLayout>
                  <c:x val="-1.2007078361522385E-3"/>
                  <c:y val="2.8063238789985852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14-48F2-97A9-85796B2B67F0}"/>
                </c:ext>
              </c:extLst>
            </c:dLbl>
            <c:dLbl>
              <c:idx val="1"/>
              <c:layout>
                <c:manualLayout>
                  <c:x val="-1.6782334788276603E-2"/>
                  <c:y val="-6.526178819309249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14-48F2-97A9-85796B2B67F0}"/>
                </c:ext>
              </c:extLst>
            </c:dLbl>
            <c:dLbl>
              <c:idx val="2"/>
              <c:layout>
                <c:manualLayout>
                  <c:x val="1.8526947888200893E-2"/>
                  <c:y val="7.5108832447015768E-4"/>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14-48F2-97A9-85796B2B67F0}"/>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TNORSOP!$T$63:$T$65</c:f>
              <c:strCache>
                <c:ptCount val="3"/>
                <c:pt idx="0">
                  <c:v>Europe</c:v>
                </c:pt>
                <c:pt idx="1">
                  <c:v>Asia</c:v>
                </c:pt>
                <c:pt idx="2">
                  <c:v>Other</c:v>
                </c:pt>
              </c:strCache>
            </c:strRef>
          </c:cat>
          <c:val>
            <c:numRef>
              <c:f>TNORSOP!$X$63:$X$65</c:f>
              <c:numCache>
                <c:formatCode>0.0%</c:formatCode>
                <c:ptCount val="3"/>
                <c:pt idx="0">
                  <c:v>0.81691843633310046</c:v>
                </c:pt>
                <c:pt idx="1">
                  <c:v>9.4717522457855016E-2</c:v>
                </c:pt>
                <c:pt idx="2">
                  <c:v>8.8364041209044508E-2</c:v>
                </c:pt>
              </c:numCache>
            </c:numRef>
          </c:val>
          <c:extLst>
            <c:ext xmlns:c16="http://schemas.microsoft.com/office/drawing/2014/chart" uri="{C3380CC4-5D6E-409C-BE32-E72D297353CC}">
              <c16:uniqueId val="{00000008-D714-48F2-97A9-85796B2B67F0}"/>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A-D714-48F2-97A9-85796B2B67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C-D714-48F2-97A9-85796B2B67F0}"/>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TNORSOP!$T$63:$T$65</c:f>
              <c:strCache>
                <c:ptCount val="3"/>
                <c:pt idx="0">
                  <c:v>Europe</c:v>
                </c:pt>
                <c:pt idx="1">
                  <c:v>Asia</c:v>
                </c:pt>
                <c:pt idx="2">
                  <c:v>Other</c:v>
                </c:pt>
              </c:strCache>
            </c:strRef>
          </c:cat>
          <c:val>
            <c:numRef>
              <c:f>TNORSOP!$X$63:$X$65</c:f>
              <c:numCache>
                <c:formatCode>0.0%</c:formatCode>
                <c:ptCount val="3"/>
                <c:pt idx="0">
                  <c:v>0.81691843633310046</c:v>
                </c:pt>
                <c:pt idx="1">
                  <c:v>9.4717522457855016E-2</c:v>
                </c:pt>
                <c:pt idx="2">
                  <c:v>8.8364041209044508E-2</c:v>
                </c:pt>
              </c:numCache>
            </c:numRef>
          </c:val>
          <c:extLst>
            <c:ext xmlns:c16="http://schemas.microsoft.com/office/drawing/2014/chart" uri="{C3380CC4-5D6E-409C-BE32-E72D297353CC}">
              <c16:uniqueId val="{0000000D-D714-48F2-97A9-85796B2B67F0}"/>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12244327447234"/>
          <c:y val="7.3529411764705885E-2"/>
          <c:w val="0.65267297209150821"/>
          <c:h val="0.6286764705882368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C4A-4B09-AB53-6A3918D8DD9C}"/>
              </c:ext>
            </c:extLst>
          </c:dPt>
          <c:dPt>
            <c:idx val="1"/>
            <c:bubble3D val="0"/>
            <c:spPr>
              <a:solidFill>
                <a:srgbClr val="F9663E"/>
              </a:solidFill>
              <a:ln w="25400">
                <a:noFill/>
              </a:ln>
              <a:effectLst/>
            </c:spPr>
            <c:extLst>
              <c:ext xmlns:c16="http://schemas.microsoft.com/office/drawing/2014/chart" uri="{C3380CC4-5D6E-409C-BE32-E72D297353CC}">
                <c16:uniqueId val="{00000003-EC4A-4B09-AB53-6A3918D8DD9C}"/>
              </c:ext>
            </c:extLst>
          </c:dPt>
          <c:dPt>
            <c:idx val="2"/>
            <c:bubble3D val="0"/>
            <c:spPr>
              <a:solidFill>
                <a:srgbClr val="C7FE02"/>
              </a:solidFill>
              <a:ln w="25400">
                <a:noFill/>
              </a:ln>
              <a:effectLst/>
            </c:spPr>
            <c:extLst>
              <c:ext xmlns:c16="http://schemas.microsoft.com/office/drawing/2014/chart" uri="{C3380CC4-5D6E-409C-BE32-E72D297353CC}">
                <c16:uniqueId val="{00000005-EC4A-4B09-AB53-6A3918D8DD9C}"/>
              </c:ext>
            </c:extLst>
          </c:dPt>
          <c:dLbls>
            <c:dLbl>
              <c:idx val="0"/>
              <c:layout>
                <c:manualLayout>
                  <c:x val="-3.7630239401893022E-2"/>
                  <c:y val="2.441005855159930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4A-4B09-AB53-6A3918D8DD9C}"/>
                </c:ext>
              </c:extLst>
            </c:dLbl>
            <c:dLbl>
              <c:idx val="1"/>
              <c:layout>
                <c:manualLayout>
                  <c:x val="1.1675813250616401E-2"/>
                  <c:y val="1.566422883709578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4A-4B09-AB53-6A3918D8DD9C}"/>
                </c:ext>
              </c:extLst>
            </c:dLbl>
            <c:dLbl>
              <c:idx val="2"/>
              <c:layout>
                <c:manualLayout>
                  <c:x val="1.7259603913147219E-2"/>
                  <c:y val="1.481378813706786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4A-4B09-AB53-6A3918D8DD9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TELIASOP!$T$69:$T$71</c:f>
              <c:strCache>
                <c:ptCount val="3"/>
                <c:pt idx="0">
                  <c:v>Mobile</c:v>
                </c:pt>
                <c:pt idx="1">
                  <c:v>Fixed</c:v>
                </c:pt>
                <c:pt idx="2">
                  <c:v>Other</c:v>
                </c:pt>
              </c:strCache>
            </c:strRef>
          </c:cat>
          <c:val>
            <c:numRef>
              <c:f>TELIASOP!$X$69:$X$71</c:f>
              <c:numCache>
                <c:formatCode>0.0%</c:formatCode>
                <c:ptCount val="3"/>
                <c:pt idx="0">
                  <c:v>0.6073748297055126</c:v>
                </c:pt>
                <c:pt idx="1">
                  <c:v>0.46984467587095852</c:v>
                </c:pt>
                <c:pt idx="2">
                  <c:v>-7.7219505576471059E-2</c:v>
                </c:pt>
              </c:numCache>
            </c:numRef>
          </c:val>
          <c:extLst>
            <c:ext xmlns:c16="http://schemas.microsoft.com/office/drawing/2014/chart" uri="{C3380CC4-5D6E-409C-BE32-E72D297353CC}">
              <c16:uniqueId val="{00000006-EC4A-4B09-AB53-6A3918D8DD9C}"/>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EC4A-4B09-AB53-6A3918D8DD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EC4A-4B09-AB53-6A3918D8DD9C}"/>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TELIASOP!$T$69:$T$71</c:f>
              <c:strCache>
                <c:ptCount val="3"/>
                <c:pt idx="0">
                  <c:v>Mobile</c:v>
                </c:pt>
                <c:pt idx="1">
                  <c:v>Fixed</c:v>
                </c:pt>
                <c:pt idx="2">
                  <c:v>Other</c:v>
                </c:pt>
              </c:strCache>
            </c:strRef>
          </c:cat>
          <c:val>
            <c:numRef>
              <c:f>TELIASOP!$X$69:$X$71</c:f>
              <c:numCache>
                <c:formatCode>0.0%</c:formatCode>
                <c:ptCount val="3"/>
                <c:pt idx="0">
                  <c:v>0.6073748297055126</c:v>
                </c:pt>
                <c:pt idx="1">
                  <c:v>0.46984467587095852</c:v>
                </c:pt>
                <c:pt idx="2">
                  <c:v>-7.7219505576471059E-2</c:v>
                </c:pt>
              </c:numCache>
            </c:numRef>
          </c:val>
          <c:extLst>
            <c:ext xmlns:c16="http://schemas.microsoft.com/office/drawing/2014/chart" uri="{C3380CC4-5D6E-409C-BE32-E72D297353CC}">
              <c16:uniqueId val="{0000000B-EC4A-4B09-AB53-6A3918D8DD9C}"/>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ChinaTow!$W$24</c:f>
              <c:strCache>
                <c:ptCount val="1"/>
                <c:pt idx="0">
                  <c:v>China Tower</c:v>
                </c:pt>
              </c:strCache>
            </c:strRef>
          </c:tx>
          <c:spPr>
            <a:ln w="25400">
              <a:solidFill>
                <a:srgbClr val="263238"/>
              </a:solidFill>
              <a:prstDash val="solid"/>
            </a:ln>
            <a:effectLst/>
          </c:spPr>
          <c:marker>
            <c:symbol val="diamond"/>
            <c:size val="6"/>
            <c:spPr>
              <a:solidFill>
                <a:srgbClr val="26323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ChinaTow!$W$25:$W$34</c:f>
              <c:numCache>
                <c:formatCode>0%</c:formatCode>
                <c:ptCount val="10"/>
                <c:pt idx="0">
                  <c:v>1.1418093917402681</c:v>
                </c:pt>
                <c:pt idx="1">
                  <c:v>0.56224753446429365</c:v>
                </c:pt>
                <c:pt idx="2">
                  <c:v>0.50455299426072109</c:v>
                </c:pt>
                <c:pt idx="3">
                  <c:v>0.38613721404402374</c:v>
                </c:pt>
                <c:pt idx="4">
                  <c:v>0.5077048834404051</c:v>
                </c:pt>
                <c:pt idx="5">
                  <c:v>0.44589703234345124</c:v>
                </c:pt>
                <c:pt idx="6">
                  <c:v>0.38324957602113607</c:v>
                </c:pt>
                <c:pt idx="7">
                  <c:v>0.73197317812753016</c:v>
                </c:pt>
                <c:pt idx="8">
                  <c:v>1.260611851934089</c:v>
                </c:pt>
                <c:pt idx="9">
                  <c:v>2.6092657697939643</c:v>
                </c:pt>
              </c:numCache>
            </c:numRef>
          </c:val>
          <c:extLst>
            <c:ext xmlns:c16="http://schemas.microsoft.com/office/drawing/2014/chart" uri="{C3380CC4-5D6E-409C-BE32-E72D297353CC}">
              <c16:uniqueId val="{00000000-CE09-4B47-8129-0D0C4B4A700A}"/>
            </c:ext>
          </c:extLst>
        </c:ser>
        <c:ser>
          <c:idx val="1"/>
          <c:order val="1"/>
          <c:tx>
            <c:strRef>
              <c:f>ChinaTow!$X$24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E09-4B47-8129-0D0C4B4A700A}"/>
            </c:ext>
          </c:extLst>
        </c:ser>
        <c:dLbls>
          <c:showLegendKey val="0"/>
          <c:showVal val="0"/>
          <c:showCatName val="0"/>
          <c:showSerName val="0"/>
          <c:showPercent val="0"/>
          <c:showBubbleSize val="0"/>
        </c:dLbls>
        <c:axId val="359111296"/>
        <c:axId val="359117568"/>
      </c:radarChart>
      <c:catAx>
        <c:axId val="3591112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117568"/>
        <c:crosses val="autoZero"/>
        <c:auto val="0"/>
        <c:lblAlgn val="ctr"/>
        <c:lblOffset val="100"/>
        <c:noMultiLvlLbl val="0"/>
      </c:catAx>
      <c:valAx>
        <c:axId val="3591175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1112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CHTR!$W$24</c:f>
              <c:strCache>
                <c:ptCount val="1"/>
                <c:pt idx="0">
                  <c:v>Charter</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CHTR!$W$25:$W$34</c:f>
              <c:numCache>
                <c:formatCode>0%</c:formatCode>
                <c:ptCount val="10"/>
                <c:pt idx="0">
                  <c:v>1.2601429277787837</c:v>
                </c:pt>
                <c:pt idx="1">
                  <c:v>1.0071625426353383</c:v>
                </c:pt>
                <c:pt idx="2">
                  <c:v>1.2158665858160185</c:v>
                </c:pt>
                <c:pt idx="3">
                  <c:v>1.1850679197390355</c:v>
                </c:pt>
                <c:pt idx="4">
                  <c:v>1.0556729908842217</c:v>
                </c:pt>
                <c:pt idx="5">
                  <c:v>1.0059407052428837</c:v>
                </c:pt>
                <c:pt idx="6">
                  <c:v>5.1963674531743429</c:v>
                </c:pt>
                <c:pt idx="7">
                  <c:v>0.87267310841797197</c:v>
                </c:pt>
                <c:pt idx="8">
                  <c:v>0</c:v>
                </c:pt>
                <c:pt idx="9">
                  <c:v>0.19244212596803997</c:v>
                </c:pt>
              </c:numCache>
            </c:numRef>
          </c:val>
          <c:extLst>
            <c:ext xmlns:c16="http://schemas.microsoft.com/office/drawing/2014/chart" uri="{C3380CC4-5D6E-409C-BE32-E72D297353CC}">
              <c16:uniqueId val="{00000000-4C42-4AF8-AA87-6D1B86DCC73F}"/>
            </c:ext>
          </c:extLst>
        </c:ser>
        <c:ser>
          <c:idx val="1"/>
          <c:order val="1"/>
          <c:tx>
            <c:strRef>
              <c:f>CHTR!$X$24</c:f>
              <c:strCache>
                <c:ptCount val="1"/>
                <c:pt idx="0">
                  <c:v>Agg. US CATV</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C42-4AF8-AA87-6D1B86DCC73F}"/>
            </c:ext>
          </c:extLst>
        </c:ser>
        <c:dLbls>
          <c:showLegendKey val="0"/>
          <c:showVal val="0"/>
          <c:showCatName val="0"/>
          <c:showSerName val="0"/>
          <c:showPercent val="0"/>
          <c:showBubbleSize val="0"/>
        </c:dLbls>
        <c:axId val="2076031568"/>
        <c:axId val="2076033648"/>
      </c:radarChart>
      <c:catAx>
        <c:axId val="2076031568"/>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3648"/>
        <c:crosses val="autoZero"/>
        <c:auto val="1"/>
        <c:lblAlgn val="ctr"/>
        <c:lblOffset val="100"/>
        <c:noMultiLvlLbl val="0"/>
      </c:catAx>
      <c:valAx>
        <c:axId val="2076033648"/>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0163771267579"/>
          <c:y val="0.10769246948988818"/>
          <c:w val="0.51814567137261314"/>
          <c:h val="0.79077041882574961"/>
        </c:manualLayout>
      </c:layout>
      <c:radarChart>
        <c:radarStyle val="marker"/>
        <c:varyColors val="0"/>
        <c:ser>
          <c:idx val="0"/>
          <c:order val="0"/>
          <c:tx>
            <c:strRef>
              <c:f>CMCSA!$W$24</c:f>
              <c:strCache>
                <c:ptCount val="1"/>
                <c:pt idx="0">
                  <c:v>CMCSA</c:v>
                </c:pt>
              </c:strCache>
            </c:strRef>
          </c:tx>
          <c:spPr>
            <a:ln w="25400">
              <a:solidFill>
                <a:srgbClr val="263238"/>
              </a:solidFill>
              <a:prstDash val="solid"/>
            </a:ln>
            <a:effectLst/>
          </c:spPr>
          <c:marker>
            <c:symbol val="diamond"/>
            <c:size val="6"/>
            <c:spPr>
              <a:solidFill>
                <a:srgbClr val="26323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CMCSA!$W$25:$W$34</c:f>
              <c:numCache>
                <c:formatCode>0%</c:formatCode>
                <c:ptCount val="10"/>
                <c:pt idx="0">
                  <c:v>0.70500716856474221</c:v>
                </c:pt>
                <c:pt idx="1">
                  <c:v>0.72978434131041514</c:v>
                </c:pt>
                <c:pt idx="2">
                  <c:v>0.64280658183403694</c:v>
                </c:pt>
                <c:pt idx="3">
                  <c:v>0.62652388643229906</c:v>
                </c:pt>
                <c:pt idx="4">
                  <c:v>0.86038164927516336</c:v>
                </c:pt>
                <c:pt idx="5">
                  <c:v>0.82962987658024401</c:v>
                </c:pt>
                <c:pt idx="6">
                  <c:v>0.84141671134010143</c:v>
                </c:pt>
                <c:pt idx="7">
                  <c:v>0.81271251956099366</c:v>
                </c:pt>
                <c:pt idx="8">
                  <c:v>1.6262916121897251</c:v>
                </c:pt>
                <c:pt idx="9">
                  <c:v>1.1884717602141837</c:v>
                </c:pt>
              </c:numCache>
            </c:numRef>
          </c:val>
          <c:extLst>
            <c:ext xmlns:c16="http://schemas.microsoft.com/office/drawing/2014/chart" uri="{C3380CC4-5D6E-409C-BE32-E72D297353CC}">
              <c16:uniqueId val="{00000000-A78D-4090-9CDA-EBCD3E826271}"/>
            </c:ext>
          </c:extLst>
        </c:ser>
        <c:ser>
          <c:idx val="1"/>
          <c:order val="1"/>
          <c:tx>
            <c:strRef>
              <c:f>CMCSA!$X$24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78D-4090-9CDA-EBCD3E826271}"/>
            </c:ext>
          </c:extLst>
        </c:ser>
        <c:dLbls>
          <c:showLegendKey val="0"/>
          <c:showVal val="0"/>
          <c:showCatName val="0"/>
          <c:showSerName val="0"/>
          <c:showPercent val="0"/>
          <c:showBubbleSize val="0"/>
        </c:dLbls>
        <c:axId val="375961088"/>
        <c:axId val="375963008"/>
      </c:radarChart>
      <c:catAx>
        <c:axId val="375961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5963008"/>
        <c:crosses val="autoZero"/>
        <c:auto val="0"/>
        <c:lblAlgn val="ctr"/>
        <c:lblOffset val="100"/>
        <c:noMultiLvlLbl val="0"/>
      </c:catAx>
      <c:valAx>
        <c:axId val="375963008"/>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5961088"/>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CLNX!$W$24</c:f>
              <c:strCache>
                <c:ptCount val="1"/>
                <c:pt idx="0">
                  <c:v>Cellnex</c:v>
                </c:pt>
              </c:strCache>
            </c:strRef>
          </c:tx>
          <c:spPr>
            <a:ln w="25400">
              <a:solidFill>
                <a:srgbClr val="263238"/>
              </a:solidFill>
              <a:prstDash val="solid"/>
            </a:ln>
            <a:effectLst/>
          </c:spPr>
          <c:marker>
            <c:symbol val="diamond"/>
            <c:size val="6"/>
            <c:spPr>
              <a:solidFill>
                <a:srgbClr val="26323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CLNX!$W$25:$W$32</c:f>
              <c:numCache>
                <c:formatCode>0%</c:formatCode>
                <c:ptCount val="8"/>
                <c:pt idx="0">
                  <c:v>0.99647932738819511</c:v>
                </c:pt>
                <c:pt idx="1">
                  <c:v>1.0536475659570745</c:v>
                </c:pt>
                <c:pt idx="2">
                  <c:v>1.3255850224568988</c:v>
                </c:pt>
                <c:pt idx="3">
                  <c:v>1.2950924123110048</c:v>
                </c:pt>
                <c:pt idx="4">
                  <c:v>1.3899186360457356</c:v>
                </c:pt>
                <c:pt idx="5">
                  <c:v>-2.9388616750366733E-3</c:v>
                </c:pt>
                <c:pt idx="6">
                  <c:v>0.44799313141015124</c:v>
                </c:pt>
                <c:pt idx="7">
                  <c:v>0.71946657456508467</c:v>
                </c:pt>
              </c:numCache>
            </c:numRef>
          </c:val>
          <c:extLst>
            <c:ext xmlns:c16="http://schemas.microsoft.com/office/drawing/2014/chart" uri="{C3380CC4-5D6E-409C-BE32-E72D297353CC}">
              <c16:uniqueId val="{00000000-1D62-4FF8-BC61-E9BD5EFFD5EE}"/>
            </c:ext>
          </c:extLst>
        </c:ser>
        <c:ser>
          <c:idx val="1"/>
          <c:order val="1"/>
          <c:tx>
            <c:strRef>
              <c:f>CLNX!$X$24</c:f>
              <c:strCache>
                <c:ptCount val="1"/>
                <c:pt idx="0">
                  <c:v>Agg. West Europ TOWER</c:v>
                </c:pt>
              </c:strCache>
            </c:strRef>
          </c:tx>
          <c:spPr>
            <a:ln w="25400">
              <a:solidFill>
                <a:srgbClr val="799098"/>
              </a:solidFill>
              <a:prstDash val="solid"/>
            </a:ln>
            <a:effectLst/>
          </c:spPr>
          <c:marker>
            <c:symbol val="diamond"/>
            <c:size val="6"/>
            <c:spPr>
              <a:solidFill>
                <a:srgbClr val="79909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1D62-4FF8-BC61-E9BD5EFFD5EE}"/>
            </c:ext>
          </c:extLst>
        </c:ser>
        <c:dLbls>
          <c:showLegendKey val="0"/>
          <c:showVal val="0"/>
          <c:showCatName val="0"/>
          <c:showSerName val="0"/>
          <c:showPercent val="0"/>
          <c:showBubbleSize val="0"/>
        </c:dLbls>
        <c:axId val="376476800"/>
        <c:axId val="376478720"/>
      </c:radarChart>
      <c:catAx>
        <c:axId val="3764768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6478720"/>
        <c:crosses val="autoZero"/>
        <c:auto val="0"/>
        <c:lblAlgn val="ctr"/>
        <c:lblOffset val="100"/>
        <c:noMultiLvlLbl val="0"/>
      </c:catAx>
      <c:valAx>
        <c:axId val="376478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64768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_CM!$W$24</c:f>
              <c:strCache>
                <c:ptCount val="1"/>
                <c:pt idx="0">
                  <c:v>CM</c:v>
                </c:pt>
              </c:strCache>
            </c:strRef>
          </c:tx>
          <c:spPr>
            <a:ln w="25400">
              <a:solidFill>
                <a:srgbClr val="263238"/>
              </a:solidFill>
              <a:prstDash val="solid"/>
            </a:ln>
            <a:effectLst/>
          </c:spPr>
          <c:marker>
            <c:symbol val="diamond"/>
            <c:size val="6"/>
            <c:spPr>
              <a:solidFill>
                <a:srgbClr val="26323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_CM!$W$25:$W$34</c:f>
              <c:numCache>
                <c:formatCode>0%</c:formatCode>
                <c:ptCount val="10"/>
                <c:pt idx="0">
                  <c:v>0.5731723255145269</c:v>
                </c:pt>
                <c:pt idx="1">
                  <c:v>0.59199118413762242</c:v>
                </c:pt>
                <c:pt idx="2">
                  <c:v>0.60955928393078795</c:v>
                </c:pt>
                <c:pt idx="3">
                  <c:v>0.59923959606394861</c:v>
                </c:pt>
                <c:pt idx="4">
                  <c:v>0.57796286079137527</c:v>
                </c:pt>
                <c:pt idx="5">
                  <c:v>0.59461170162768728</c:v>
                </c:pt>
                <c:pt idx="6">
                  <c:v>0.74610223804383891</c:v>
                </c:pt>
                <c:pt idx="7">
                  <c:v>0.62640446764115909</c:v>
                </c:pt>
                <c:pt idx="8">
                  <c:v>1.6136278499628613</c:v>
                </c:pt>
                <c:pt idx="9">
                  <c:v>1.3402988880208169</c:v>
                </c:pt>
              </c:numCache>
            </c:numRef>
          </c:val>
          <c:extLst>
            <c:ext xmlns:c16="http://schemas.microsoft.com/office/drawing/2014/chart" uri="{C3380CC4-5D6E-409C-BE32-E72D297353CC}">
              <c16:uniqueId val="{00000000-016D-4A26-B1B8-685459B3C9AF}"/>
            </c:ext>
          </c:extLst>
        </c:ser>
        <c:ser>
          <c:idx val="1"/>
          <c:order val="1"/>
          <c:tx>
            <c:strRef>
              <c:f>_CM!$X$24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16D-4A26-B1B8-685459B3C9AF}"/>
            </c:ext>
          </c:extLst>
        </c:ser>
        <c:dLbls>
          <c:showLegendKey val="0"/>
          <c:showVal val="0"/>
          <c:showCatName val="0"/>
          <c:showSerName val="0"/>
          <c:showPercent val="0"/>
          <c:showBubbleSize val="0"/>
        </c:dLbls>
        <c:axId val="377692544"/>
        <c:axId val="377694464"/>
      </c:radarChart>
      <c:catAx>
        <c:axId val="3776925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7694464"/>
        <c:crosses val="autoZero"/>
        <c:auto val="0"/>
        <c:lblAlgn val="ctr"/>
        <c:lblOffset val="100"/>
        <c:noMultiLvlLbl val="0"/>
      </c:catAx>
      <c:valAx>
        <c:axId val="37769446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769254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07055397877495"/>
          <c:y val="9.3167843143201895E-2"/>
          <c:w val="0.47214174056077879"/>
          <c:h val="0.71263839726456324"/>
        </c:manualLayout>
      </c:layout>
      <c:radarChart>
        <c:radarStyle val="marker"/>
        <c:varyColors val="0"/>
        <c:ser>
          <c:idx val="0"/>
          <c:order val="0"/>
          <c:tx>
            <c:strRef>
              <c:f>_CT!$W$24</c:f>
              <c:strCache>
                <c:ptCount val="1"/>
                <c:pt idx="0">
                  <c:v>CT</c:v>
                </c:pt>
              </c:strCache>
            </c:strRef>
          </c:tx>
          <c:spPr>
            <a:ln w="25400">
              <a:solidFill>
                <a:srgbClr val="263238"/>
              </a:solidFill>
              <a:prstDash val="solid"/>
            </a:ln>
            <a:effectLst/>
          </c:spPr>
          <c:marker>
            <c:symbol val="diamond"/>
            <c:size val="6"/>
            <c:spPr>
              <a:solidFill>
                <a:srgbClr val="26323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_CT!$W$25:$W$34</c:f>
              <c:numCache>
                <c:formatCode>0%</c:formatCode>
                <c:ptCount val="10"/>
                <c:pt idx="0">
                  <c:v>0.37587417187547212</c:v>
                </c:pt>
                <c:pt idx="1">
                  <c:v>0.35942049559090467</c:v>
                </c:pt>
                <c:pt idx="2">
                  <c:v>0.34571222972181165</c:v>
                </c:pt>
                <c:pt idx="3">
                  <c:v>0.33763078671459712</c:v>
                </c:pt>
                <c:pt idx="4">
                  <c:v>0.5268656426555588</c:v>
                </c:pt>
                <c:pt idx="5">
                  <c:v>0.39332835048482051</c:v>
                </c:pt>
                <c:pt idx="6">
                  <c:v>0.37650961122663967</c:v>
                </c:pt>
                <c:pt idx="7">
                  <c:v>0.92316780969295476</c:v>
                </c:pt>
                <c:pt idx="8">
                  <c:v>1.2299976002644788</c:v>
                </c:pt>
                <c:pt idx="9">
                  <c:v>2.6559746954189989</c:v>
                </c:pt>
              </c:numCache>
            </c:numRef>
          </c:val>
          <c:extLst>
            <c:ext xmlns:c16="http://schemas.microsoft.com/office/drawing/2014/chart" uri="{C3380CC4-5D6E-409C-BE32-E72D297353CC}">
              <c16:uniqueId val="{00000000-393D-453E-AC89-DB049841EB9B}"/>
            </c:ext>
          </c:extLst>
        </c:ser>
        <c:ser>
          <c:idx val="1"/>
          <c:order val="1"/>
          <c:tx>
            <c:strRef>
              <c:f>_CT!$X$24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3D-453E-AC89-DB049841EB9B}"/>
            </c:ext>
          </c:extLst>
        </c:ser>
        <c:dLbls>
          <c:showLegendKey val="0"/>
          <c:showVal val="0"/>
          <c:showCatName val="0"/>
          <c:showSerName val="0"/>
          <c:showPercent val="0"/>
          <c:showBubbleSize val="0"/>
        </c:dLbls>
        <c:axId val="379486592"/>
        <c:axId val="379488512"/>
      </c:radarChart>
      <c:catAx>
        <c:axId val="3794865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9488512"/>
        <c:crosses val="autoZero"/>
        <c:auto val="0"/>
        <c:lblAlgn val="ctr"/>
        <c:lblOffset val="100"/>
        <c:noMultiLvlLbl val="0"/>
      </c:catAx>
      <c:valAx>
        <c:axId val="37948851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94865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_CU!$W$24</c:f>
              <c:strCache>
                <c:ptCount val="1"/>
                <c:pt idx="0">
                  <c:v>CU</c:v>
                </c:pt>
              </c:strCache>
            </c:strRef>
          </c:tx>
          <c:spPr>
            <a:ln w="25400">
              <a:solidFill>
                <a:srgbClr val="263238"/>
              </a:solidFill>
              <a:prstDash val="solid"/>
            </a:ln>
            <a:effectLst/>
          </c:spPr>
          <c:marker>
            <c:symbol val="diamond"/>
            <c:size val="6"/>
            <c:spPr>
              <a:solidFill>
                <a:srgbClr val="26323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_CU!$W$25:$W$34</c:f>
              <c:numCache>
                <c:formatCode>0%</c:formatCode>
                <c:ptCount val="10"/>
                <c:pt idx="0">
                  <c:v>0.21894068173839346</c:v>
                </c:pt>
                <c:pt idx="1">
                  <c:v>0.23264321695536025</c:v>
                </c:pt>
                <c:pt idx="2">
                  <c:v>0.23076477835471498</c:v>
                </c:pt>
                <c:pt idx="3">
                  <c:v>0.21464916610544937</c:v>
                </c:pt>
                <c:pt idx="4">
                  <c:v>0.25878802694198294</c:v>
                </c:pt>
                <c:pt idx="5">
                  <c:v>0.21106634946886202</c:v>
                </c:pt>
                <c:pt idx="6">
                  <c:v>0.17861193877989068</c:v>
                </c:pt>
                <c:pt idx="7">
                  <c:v>0.77048360760702972</c:v>
                </c:pt>
                <c:pt idx="8">
                  <c:v>1.4130244809643677</c:v>
                </c:pt>
                <c:pt idx="9">
                  <c:v>5.5987298879966394</c:v>
                </c:pt>
              </c:numCache>
            </c:numRef>
          </c:val>
          <c:extLst>
            <c:ext xmlns:c16="http://schemas.microsoft.com/office/drawing/2014/chart" uri="{C3380CC4-5D6E-409C-BE32-E72D297353CC}">
              <c16:uniqueId val="{00000000-3999-4E1E-AE09-7F7D5AD81DD3}"/>
            </c:ext>
          </c:extLst>
        </c:ser>
        <c:ser>
          <c:idx val="1"/>
          <c:order val="1"/>
          <c:tx>
            <c:strRef>
              <c:f>_CU!$X$24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99-4E1E-AE09-7F7D5AD81DD3}"/>
            </c:ext>
          </c:extLst>
        </c:ser>
        <c:dLbls>
          <c:showLegendKey val="0"/>
          <c:showVal val="0"/>
          <c:showCatName val="0"/>
          <c:showSerName val="0"/>
          <c:showPercent val="0"/>
          <c:showBubbleSize val="0"/>
        </c:dLbls>
        <c:axId val="412696576"/>
        <c:axId val="412698496"/>
      </c:radarChart>
      <c:catAx>
        <c:axId val="4126965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2698496"/>
        <c:crosses val="autoZero"/>
        <c:auto val="0"/>
        <c:lblAlgn val="ctr"/>
        <c:lblOffset val="100"/>
        <c:noMultiLvlLbl val="0"/>
      </c:catAx>
      <c:valAx>
        <c:axId val="4126984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26965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652229768023741"/>
          <c:y val="8.4456860103731754E-2"/>
          <c:w val="0.46982486066478202"/>
          <c:h val="0.69585565881616962"/>
        </c:manualLayout>
      </c:layout>
      <c:radarChart>
        <c:radarStyle val="marker"/>
        <c:varyColors val="0"/>
        <c:ser>
          <c:idx val="0"/>
          <c:order val="0"/>
          <c:tx>
            <c:strRef>
              <c:f>ADVANCED!$W$24</c:f>
              <c:strCache>
                <c:ptCount val="1"/>
                <c:pt idx="0">
                  <c:v>AIS</c:v>
                </c:pt>
              </c:strCache>
            </c:strRef>
          </c:tx>
          <c:spPr>
            <a:ln w="25400">
              <a:solidFill>
                <a:srgbClr val="263238"/>
              </a:solidFill>
              <a:prstDash val="solid"/>
            </a:ln>
            <a:effectLst/>
          </c:spPr>
          <c:marker>
            <c:symbol val="diamond"/>
            <c:size val="6"/>
            <c:spPr>
              <a:solidFill>
                <a:srgbClr val="26323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ADVANCED!$W$25:$W$34</c:f>
              <c:numCache>
                <c:formatCode>0%</c:formatCode>
                <c:ptCount val="10"/>
                <c:pt idx="0">
                  <c:v>2.5939685053432893</c:v>
                </c:pt>
                <c:pt idx="1">
                  <c:v>1.6439284858085874</c:v>
                </c:pt>
                <c:pt idx="2">
                  <c:v>1.2594855832814744</c:v>
                </c:pt>
                <c:pt idx="3">
                  <c:v>1.2018519960724876</c:v>
                </c:pt>
                <c:pt idx="4">
                  <c:v>2.4355479744136255</c:v>
                </c:pt>
                <c:pt idx="5">
                  <c:v>2.9511322889302103</c:v>
                </c:pt>
                <c:pt idx="6">
                  <c:v>1.3936317947811767</c:v>
                </c:pt>
                <c:pt idx="7">
                  <c:v>1.4228326608119475</c:v>
                </c:pt>
                <c:pt idx="8">
                  <c:v>0.89683336851266504</c:v>
                </c:pt>
                <c:pt idx="9">
                  <c:v>0.71754964528275311</c:v>
                </c:pt>
              </c:numCache>
            </c:numRef>
          </c:val>
          <c:extLst>
            <c:ext xmlns:c16="http://schemas.microsoft.com/office/drawing/2014/chart" uri="{C3380CC4-5D6E-409C-BE32-E72D297353CC}">
              <c16:uniqueId val="{00000000-2228-4FCE-8895-2827E3AD9E50}"/>
            </c:ext>
          </c:extLst>
        </c:ser>
        <c:ser>
          <c:idx val="1"/>
          <c:order val="1"/>
          <c:tx>
            <c:strRef>
              <c:f>ADVANCED!$X$24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28-4FCE-8895-2827E3AD9E50}"/>
            </c:ext>
          </c:extLst>
        </c:ser>
        <c:dLbls>
          <c:showLegendKey val="0"/>
          <c:showVal val="0"/>
          <c:showCatName val="0"/>
          <c:showSerName val="0"/>
          <c:showPercent val="0"/>
          <c:showBubbleSize val="0"/>
        </c:dLbls>
        <c:axId val="342354560"/>
        <c:axId val="342373120"/>
      </c:radarChart>
      <c:catAx>
        <c:axId val="34235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373120"/>
        <c:crosses val="autoZero"/>
        <c:auto val="0"/>
        <c:lblAlgn val="ctr"/>
        <c:lblOffset val="100"/>
        <c:noMultiLvlLbl val="0"/>
      </c:catAx>
      <c:valAx>
        <c:axId val="342373120"/>
        <c:scaling>
          <c:orientation val="minMax"/>
          <c:max val="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354560"/>
        <c:crosses val="autoZero"/>
        <c:crossBetween val="between"/>
        <c:majorUnit val="1"/>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48417662016586"/>
          <c:y val="0.20615415588064284"/>
          <c:w val="0.35887132102850294"/>
          <c:h val="0.54769313054857582"/>
        </c:manualLayout>
      </c:layout>
      <c:radarChart>
        <c:radarStyle val="marker"/>
        <c:varyColors val="0"/>
        <c:ser>
          <c:idx val="0"/>
          <c:order val="0"/>
          <c:tx>
            <c:strRef>
              <c:f>DIGI!$W$24</c:f>
              <c:strCache>
                <c:ptCount val="1"/>
                <c:pt idx="0">
                  <c:v>DiGi</c:v>
                </c:pt>
              </c:strCache>
            </c:strRef>
          </c:tx>
          <c:spPr>
            <a:ln w="25400">
              <a:solidFill>
                <a:srgbClr val="263238"/>
              </a:solidFill>
              <a:prstDash val="solid"/>
            </a:ln>
            <a:effectLst/>
          </c:spPr>
          <c:marker>
            <c:symbol val="diamond"/>
            <c:size val="6"/>
            <c:spPr>
              <a:solidFill>
                <a:srgbClr val="26323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DIGI!$W$25:$W$34</c:f>
              <c:numCache>
                <c:formatCode>0%</c:formatCode>
                <c:ptCount val="10"/>
                <c:pt idx="0">
                  <c:v>1.7277257305882383</c:v>
                </c:pt>
                <c:pt idx="1">
                  <c:v>1.2726238714242104</c:v>
                </c:pt>
                <c:pt idx="2">
                  <c:v>1.1421040716749458</c:v>
                </c:pt>
                <c:pt idx="3">
                  <c:v>1.1624979395699091</c:v>
                </c:pt>
                <c:pt idx="4">
                  <c:v>0.96025563037948991</c:v>
                </c:pt>
                <c:pt idx="5">
                  <c:v>2.0967522425075558</c:v>
                </c:pt>
                <c:pt idx="6">
                  <c:v>1.0438646708428747</c:v>
                </c:pt>
                <c:pt idx="7">
                  <c:v>1.1520169587368578</c:v>
                </c:pt>
                <c:pt idx="8">
                  <c:v>1.1201479093766429</c:v>
                </c:pt>
                <c:pt idx="9">
                  <c:v>0.95797858470729158</c:v>
                </c:pt>
              </c:numCache>
            </c:numRef>
          </c:val>
          <c:extLst>
            <c:ext xmlns:c16="http://schemas.microsoft.com/office/drawing/2014/chart" uri="{C3380CC4-5D6E-409C-BE32-E72D297353CC}">
              <c16:uniqueId val="{00000000-0894-4623-88FB-C3E0E5356280}"/>
            </c:ext>
          </c:extLst>
        </c:ser>
        <c:ser>
          <c:idx val="1"/>
          <c:order val="1"/>
          <c:tx>
            <c:strRef>
              <c:f>DIGI!$X$24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894-4623-88FB-C3E0E5356280}"/>
            </c:ext>
          </c:extLst>
        </c:ser>
        <c:dLbls>
          <c:showLegendKey val="0"/>
          <c:showVal val="0"/>
          <c:showCatName val="0"/>
          <c:showSerName val="0"/>
          <c:showPercent val="0"/>
          <c:showBubbleSize val="0"/>
        </c:dLbls>
        <c:axId val="413248512"/>
        <c:axId val="413357184"/>
      </c:radarChart>
      <c:catAx>
        <c:axId val="4132485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357184"/>
        <c:crosses val="autoZero"/>
        <c:auto val="0"/>
        <c:lblAlgn val="ctr"/>
        <c:lblOffset val="100"/>
        <c:noMultiLvlLbl val="0"/>
      </c:catAx>
      <c:valAx>
        <c:axId val="413357184"/>
        <c:scaling>
          <c:orientation val="minMax"/>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248512"/>
        <c:crosses val="autoZero"/>
        <c:crossBetween val="between"/>
        <c:majorUnit val="1"/>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DRI!$W$24</c:f>
              <c:strCache>
                <c:ptCount val="1"/>
                <c:pt idx="0">
                  <c:v>Drillisch</c:v>
                </c:pt>
              </c:strCache>
            </c:strRef>
          </c:tx>
          <c:spPr>
            <a:ln w="25400">
              <a:solidFill>
                <a:srgbClr val="263238"/>
              </a:solidFill>
              <a:prstDash val="solid"/>
            </a:ln>
            <a:effectLst/>
          </c:spPr>
          <c:marker>
            <c:symbol val="diamond"/>
            <c:size val="6"/>
            <c:spPr>
              <a:solidFill>
                <a:srgbClr val="26323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DRI!$W$25:$W$34</c:f>
              <c:numCache>
                <c:formatCode>0%</c:formatCode>
                <c:ptCount val="10"/>
                <c:pt idx="0">
                  <c:v>1.2972445850364789</c:v>
                </c:pt>
                <c:pt idx="1">
                  <c:v>2.3678144304825599</c:v>
                </c:pt>
                <c:pt idx="2">
                  <c:v>10.975046565759357</c:v>
                </c:pt>
                <c:pt idx="3">
                  <c:v>11.832762087708037</c:v>
                </c:pt>
                <c:pt idx="4">
                  <c:v>0.75471723505540145</c:v>
                </c:pt>
                <c:pt idx="5">
                  <c:v>0.49472420961310021</c:v>
                </c:pt>
                <c:pt idx="6">
                  <c:v>3.7808198154031163</c:v>
                </c:pt>
                <c:pt idx="7">
                  <c:v>1.0453513444781863</c:v>
                </c:pt>
                <c:pt idx="8">
                  <c:v>5.5968248085555658E-2</c:v>
                </c:pt>
                <c:pt idx="9">
                  <c:v>0.2644929006999977</c:v>
                </c:pt>
              </c:numCache>
            </c:numRef>
          </c:val>
          <c:extLst>
            <c:ext xmlns:c16="http://schemas.microsoft.com/office/drawing/2014/chart" uri="{C3380CC4-5D6E-409C-BE32-E72D297353CC}">
              <c16:uniqueId val="{00000000-2608-432B-B923-0B1042645ACC}"/>
            </c:ext>
          </c:extLst>
        </c:ser>
        <c:ser>
          <c:idx val="1"/>
          <c:order val="1"/>
          <c:tx>
            <c:strRef>
              <c:f>DRI!$X$24</c:f>
              <c:strCache>
                <c:ptCount val="1"/>
                <c:pt idx="0">
                  <c:v>Agg.W.Eur.Altnet</c:v>
                </c:pt>
              </c:strCache>
            </c:strRef>
          </c:tx>
          <c:spPr>
            <a:ln w="25400">
              <a:solidFill>
                <a:srgbClr val="799098"/>
              </a:solidFill>
              <a:prstDash val="solid"/>
            </a:ln>
            <a:effectLst/>
          </c:spPr>
          <c:marker>
            <c:symbol val="diamond"/>
            <c:size val="6"/>
            <c:spPr>
              <a:solidFill>
                <a:srgbClr val="79909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08-432B-B923-0B1042645ACC}"/>
            </c:ext>
          </c:extLst>
        </c:ser>
        <c:dLbls>
          <c:showLegendKey val="0"/>
          <c:showVal val="0"/>
          <c:showCatName val="0"/>
          <c:showSerName val="0"/>
          <c:showPercent val="0"/>
          <c:showBubbleSize val="0"/>
        </c:dLbls>
        <c:axId val="414317184"/>
        <c:axId val="414462720"/>
      </c:radarChart>
      <c:catAx>
        <c:axId val="4143171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462720"/>
        <c:crosses val="autoZero"/>
        <c:auto val="0"/>
        <c:lblAlgn val="ctr"/>
        <c:lblOffset val="100"/>
        <c:noMultiLvlLbl val="0"/>
      </c:catAx>
      <c:valAx>
        <c:axId val="414462720"/>
        <c:scaling>
          <c:orientation val="minMax"/>
          <c:max val="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3171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6875000000000044E-2"/>
          <c:w val="0.48973141270944992"/>
          <c:h val="0.735737941084466"/>
        </c:manualLayout>
      </c:layout>
      <c:radarChart>
        <c:radarStyle val="marker"/>
        <c:varyColors val="0"/>
        <c:ser>
          <c:idx val="0"/>
          <c:order val="0"/>
          <c:tx>
            <c:strRef>
              <c:f>DT!$W$24</c:f>
              <c:strCache>
                <c:ptCount val="1"/>
                <c:pt idx="0">
                  <c:v>DT</c:v>
                </c:pt>
              </c:strCache>
            </c:strRef>
          </c:tx>
          <c:spPr>
            <a:ln w="25400">
              <a:solidFill>
                <a:srgbClr val="263238"/>
              </a:solidFill>
              <a:prstDash val="solid"/>
            </a:ln>
            <a:effectLst/>
          </c:spPr>
          <c:marker>
            <c:symbol val="diamond"/>
            <c:size val="6"/>
            <c:spPr>
              <a:solidFill>
                <a:srgbClr val="26323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DT!$W$25:$W$34</c:f>
              <c:numCache>
                <c:formatCode>0%</c:formatCode>
                <c:ptCount val="10"/>
                <c:pt idx="0">
                  <c:v>1.0810515993401941</c:v>
                </c:pt>
                <c:pt idx="1">
                  <c:v>0.99503567689529215</c:v>
                </c:pt>
                <c:pt idx="2">
                  <c:v>0.88396604085788222</c:v>
                </c:pt>
                <c:pt idx="3">
                  <c:v>0.90054017220765781</c:v>
                </c:pt>
                <c:pt idx="4">
                  <c:v>1.0705636108694618</c:v>
                </c:pt>
                <c:pt idx="5">
                  <c:v>1.37010875183743</c:v>
                </c:pt>
                <c:pt idx="6">
                  <c:v>0.72480925082144221</c:v>
                </c:pt>
                <c:pt idx="7">
                  <c:v>0.96849208666388675</c:v>
                </c:pt>
                <c:pt idx="8">
                  <c:v>0.9403230775382162</c:v>
                </c:pt>
                <c:pt idx="9">
                  <c:v>1.3796733400776522</c:v>
                </c:pt>
              </c:numCache>
            </c:numRef>
          </c:val>
          <c:extLst>
            <c:ext xmlns:c16="http://schemas.microsoft.com/office/drawing/2014/chart" uri="{C3380CC4-5D6E-409C-BE32-E72D297353CC}">
              <c16:uniqueId val="{00000000-D84C-468A-BB15-CFAE84D6B67A}"/>
            </c:ext>
          </c:extLst>
        </c:ser>
        <c:ser>
          <c:idx val="1"/>
          <c:order val="1"/>
          <c:tx>
            <c:strRef>
              <c:f>DT!$X$24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84C-468A-BB15-CFAE84D6B67A}"/>
            </c:ext>
          </c:extLst>
        </c:ser>
        <c:dLbls>
          <c:showLegendKey val="0"/>
          <c:showVal val="0"/>
          <c:showCatName val="0"/>
          <c:showSerName val="0"/>
          <c:showPercent val="0"/>
          <c:showBubbleSize val="0"/>
        </c:dLbls>
        <c:axId val="414612096"/>
        <c:axId val="414638848"/>
      </c:radarChart>
      <c:catAx>
        <c:axId val="4146120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638848"/>
        <c:crosses val="autoZero"/>
        <c:auto val="0"/>
        <c:lblAlgn val="ctr"/>
        <c:lblOffset val="100"/>
        <c:noMultiLvlLbl val="0"/>
      </c:catAx>
      <c:valAx>
        <c:axId val="4146388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6120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ELISA!$W$24</c:f>
              <c:strCache>
                <c:ptCount val="1"/>
                <c:pt idx="0">
                  <c:v>Elisa</c:v>
                </c:pt>
              </c:strCache>
            </c:strRef>
          </c:tx>
          <c:spPr>
            <a:ln w="25400">
              <a:solidFill>
                <a:srgbClr val="263238"/>
              </a:solidFill>
              <a:prstDash val="solid"/>
            </a:ln>
            <a:effectLst/>
          </c:spPr>
          <c:marker>
            <c:symbol val="diamond"/>
            <c:size val="6"/>
            <c:spPr>
              <a:solidFill>
                <a:srgbClr val="26323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ELISA!$W$25:$W$34</c:f>
              <c:numCache>
                <c:formatCode>0%</c:formatCode>
                <c:ptCount val="10"/>
                <c:pt idx="0">
                  <c:v>2.8246177018510785</c:v>
                </c:pt>
                <c:pt idx="1">
                  <c:v>1.5931477780402852</c:v>
                </c:pt>
                <c:pt idx="2">
                  <c:v>1.0333749709636131</c:v>
                </c:pt>
                <c:pt idx="3">
                  <c:v>0.96094117606044982</c:v>
                </c:pt>
                <c:pt idx="4">
                  <c:v>2.5537070846644214</c:v>
                </c:pt>
                <c:pt idx="5">
                  <c:v>2.8206868646257166</c:v>
                </c:pt>
                <c:pt idx="6">
                  <c:v>0.95479398814109273</c:v>
                </c:pt>
                <c:pt idx="7">
                  <c:v>0.74479739319628868</c:v>
                </c:pt>
                <c:pt idx="8">
                  <c:v>1.4850028002070068</c:v>
                </c:pt>
                <c:pt idx="9">
                  <c:v>1.047346351590378</c:v>
                </c:pt>
              </c:numCache>
            </c:numRef>
          </c:val>
          <c:extLst>
            <c:ext xmlns:c16="http://schemas.microsoft.com/office/drawing/2014/chart" uri="{C3380CC4-5D6E-409C-BE32-E72D297353CC}">
              <c16:uniqueId val="{00000000-0364-42FB-A55A-AFBD8486FA8D}"/>
            </c:ext>
          </c:extLst>
        </c:ser>
        <c:ser>
          <c:idx val="1"/>
          <c:order val="1"/>
          <c:tx>
            <c:strRef>
              <c:f>ELISA!$X$24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364-42FB-A55A-AFBD8486FA8D}"/>
            </c:ext>
          </c:extLst>
        </c:ser>
        <c:dLbls>
          <c:showLegendKey val="0"/>
          <c:showVal val="0"/>
          <c:showCatName val="0"/>
          <c:showSerName val="0"/>
          <c:showPercent val="0"/>
          <c:showBubbleSize val="0"/>
        </c:dLbls>
        <c:axId val="415197824"/>
        <c:axId val="415200000"/>
      </c:radarChart>
      <c:catAx>
        <c:axId val="41519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5200000"/>
        <c:crosses val="autoZero"/>
        <c:auto val="0"/>
        <c:lblAlgn val="ctr"/>
        <c:lblOffset val="100"/>
        <c:noMultiLvlLbl val="0"/>
      </c:catAx>
      <c:valAx>
        <c:axId val="4152000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519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ENTEL!$W$24</c:f>
              <c:strCache>
                <c:ptCount val="1"/>
                <c:pt idx="0">
                  <c:v>Entel</c:v>
                </c:pt>
              </c:strCache>
            </c:strRef>
          </c:tx>
          <c:spPr>
            <a:ln w="25400">
              <a:solidFill>
                <a:srgbClr val="263238"/>
              </a:solidFill>
              <a:prstDash val="solid"/>
            </a:ln>
            <a:effectLst/>
          </c:spPr>
          <c:marker>
            <c:symbol val="diamond"/>
            <c:size val="6"/>
            <c:spPr>
              <a:solidFill>
                <a:srgbClr val="26323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ENTEL!$W$25:$W$34</c:f>
              <c:numCache>
                <c:formatCode>0%</c:formatCode>
                <c:ptCount val="10"/>
                <c:pt idx="0">
                  <c:v>0.36401245831611906</c:v>
                </c:pt>
                <c:pt idx="1">
                  <c:v>0.67613771381121146</c:v>
                </c:pt>
                <c:pt idx="2">
                  <c:v>3.0136269098703026</c:v>
                </c:pt>
                <c:pt idx="3">
                  <c:v>3.1174292268723063</c:v>
                </c:pt>
                <c:pt idx="4">
                  <c:v>0.50628664069745677</c:v>
                </c:pt>
                <c:pt idx="5">
                  <c:v>0.61602261747881526</c:v>
                </c:pt>
                <c:pt idx="6">
                  <c:v>-1.6460108753909823</c:v>
                </c:pt>
                <c:pt idx="7">
                  <c:v>0.90940215172402317</c:v>
                </c:pt>
                <c:pt idx="8">
                  <c:v>0.67804578798507564</c:v>
                </c:pt>
                <c:pt idx="9">
                  <c:v>-0.60752940029176095</c:v>
                </c:pt>
              </c:numCache>
            </c:numRef>
          </c:val>
          <c:extLst>
            <c:ext xmlns:c16="http://schemas.microsoft.com/office/drawing/2014/chart" uri="{C3380CC4-5D6E-409C-BE32-E72D297353CC}">
              <c16:uniqueId val="{00000000-6059-49C1-BC06-8C801756D38F}"/>
            </c:ext>
          </c:extLst>
        </c:ser>
        <c:ser>
          <c:idx val="1"/>
          <c:order val="1"/>
          <c:tx>
            <c:strRef>
              <c:f>ENTEL!$X$24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59-49C1-BC06-8C801756D38F}"/>
            </c:ext>
          </c:extLst>
        </c:ser>
        <c:dLbls>
          <c:showLegendKey val="0"/>
          <c:showVal val="0"/>
          <c:showCatName val="0"/>
          <c:showSerName val="0"/>
          <c:showPercent val="0"/>
          <c:showBubbleSize val="0"/>
        </c:dLbls>
        <c:axId val="422091392"/>
        <c:axId val="422105856"/>
      </c:radarChart>
      <c:catAx>
        <c:axId val="4220913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2105856"/>
        <c:crosses val="autoZero"/>
        <c:auto val="0"/>
        <c:lblAlgn val="ctr"/>
        <c:lblOffset val="100"/>
        <c:noMultiLvlLbl val="0"/>
      </c:catAx>
      <c:valAx>
        <c:axId val="4221058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20913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ETL!$W$24</c:f>
              <c:strCache>
                <c:ptCount val="1"/>
                <c:pt idx="0">
                  <c:v>Eutelsat</c:v>
                </c:pt>
              </c:strCache>
            </c:strRef>
          </c:tx>
          <c:spPr>
            <a:ln w="25400">
              <a:solidFill>
                <a:srgbClr val="263238"/>
              </a:solidFill>
              <a:prstDash val="solid"/>
            </a:ln>
            <a:effectLst/>
          </c:spPr>
          <c:marker>
            <c:symbol val="diamond"/>
            <c:size val="6"/>
            <c:spPr>
              <a:solidFill>
                <a:srgbClr val="263238"/>
              </a:solidFill>
              <a:ln w="6350">
                <a:noFill/>
              </a:ln>
            </c:spPr>
          </c:marker>
          <c:cat>
            <c:strRef>
              <c:f>ETL!$V$25:$V$34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ETL!$W$25:$W$34</c:f>
              <c:numCache>
                <c:formatCode>0%</c:formatCode>
                <c:ptCount val="10"/>
                <c:pt idx="0">
                  <c:v>2.9711359977678735</c:v>
                </c:pt>
                <c:pt idx="1">
                  <c:v>1.321652670050371</c:v>
                </c:pt>
                <c:pt idx="2">
                  <c:v>-0.92877704199571043</c:v>
                </c:pt>
                <c:pt idx="3">
                  <c:v>-0.81287056545334024</c:v>
                </c:pt>
                <c:pt idx="4">
                  <c:v>0.73969248591345593</c:v>
                </c:pt>
                <c:pt idx="5">
                  <c:v>0.35619297936306943</c:v>
                </c:pt>
                <c:pt idx="6">
                  <c:v>-0.31987869135775954</c:v>
                </c:pt>
                <c:pt idx="7">
                  <c:v>-0.53512230462819999</c:v>
                </c:pt>
                <c:pt idx="8">
                  <c:v>0</c:v>
                </c:pt>
                <c:pt idx="9">
                  <c:v>-3.1261851039698594</c:v>
                </c:pt>
              </c:numCache>
            </c:numRef>
          </c:val>
          <c:extLst>
            <c:ext xmlns:c16="http://schemas.microsoft.com/office/drawing/2014/chart" uri="{C3380CC4-5D6E-409C-BE32-E72D297353CC}">
              <c16:uniqueId val="{00000000-FDAA-4EF6-879B-24DEC991A96F}"/>
            </c:ext>
          </c:extLst>
        </c:ser>
        <c:ser>
          <c:idx val="1"/>
          <c:order val="1"/>
          <c:tx>
            <c:strRef>
              <c:f>ETL!$X$24</c:f>
              <c:strCache>
                <c:ptCount val="1"/>
                <c:pt idx="0">
                  <c:v>Agg.W.Eur.Altnet</c:v>
                </c:pt>
              </c:strCache>
            </c:strRef>
          </c:tx>
          <c:spPr>
            <a:ln w="25400">
              <a:solidFill>
                <a:srgbClr val="799098"/>
              </a:solidFill>
              <a:prstDash val="solid"/>
            </a:ln>
            <a:effectLst/>
          </c:spPr>
          <c:marker>
            <c:symbol val="diamond"/>
            <c:size val="6"/>
            <c:spPr>
              <a:solidFill>
                <a:srgbClr val="799098"/>
              </a:solidFill>
              <a:ln w="6350">
                <a:noFill/>
              </a:ln>
            </c:spPr>
          </c:marker>
          <c:cat>
            <c:strRef>
              <c:f>ETL!$V$25:$V$34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ETL!$X$25:$X$34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DAA-4EF6-879B-24DEC991A96F}"/>
            </c:ext>
          </c:extLst>
        </c:ser>
        <c:dLbls>
          <c:showLegendKey val="0"/>
          <c:showVal val="0"/>
          <c:showCatName val="0"/>
          <c:showSerName val="0"/>
          <c:showPercent val="0"/>
          <c:showBubbleSize val="0"/>
        </c:dLbls>
        <c:axId val="414317184"/>
        <c:axId val="414462720"/>
      </c:radarChart>
      <c:catAx>
        <c:axId val="4143171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462720"/>
        <c:crosses val="autoZero"/>
        <c:auto val="0"/>
        <c:lblAlgn val="ctr"/>
        <c:lblOffset val="100"/>
        <c:noMultiLvlLbl val="0"/>
      </c:catAx>
      <c:valAx>
        <c:axId val="414462720"/>
        <c:scaling>
          <c:orientation val="minMax"/>
          <c:max val="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3171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HTWS!$W$24</c:f>
              <c:strCache>
                <c:ptCount val="1"/>
                <c:pt idx="0">
                  <c:v>Helios</c:v>
                </c:pt>
              </c:strCache>
            </c:strRef>
          </c:tx>
          <c:spPr>
            <a:ln w="25400">
              <a:solidFill>
                <a:srgbClr val="263238"/>
              </a:solidFill>
              <a:prstDash val="solid"/>
            </a:ln>
            <a:effectLst/>
          </c:spPr>
          <c:marker>
            <c:symbol val="diamond"/>
            <c:size val="6"/>
            <c:spPr>
              <a:solidFill>
                <a:srgbClr val="263238"/>
              </a:solidFill>
              <a:ln w="6350">
                <a:noFill/>
              </a:ln>
            </c:spPr>
          </c:marker>
          <c:cat>
            <c:strRef>
              <c:f>HTWS!$V$25:$V$32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HTWS!$W$25:$W$32</c:f>
              <c:numCache>
                <c:formatCode>0%</c:formatCode>
                <c:ptCount val="8"/>
                <c:pt idx="0">
                  <c:v>1.6113835342048128</c:v>
                </c:pt>
                <c:pt idx="1">
                  <c:v>2.1223070159834077</c:v>
                </c:pt>
                <c:pt idx="2">
                  <c:v>2.4805349876328222</c:v>
                </c:pt>
                <c:pt idx="3">
                  <c:v>3.1883455912927938</c:v>
                </c:pt>
                <c:pt idx="4">
                  <c:v>4.0356736789118273</c:v>
                </c:pt>
                <c:pt idx="5">
                  <c:v>2.3730286929980977</c:v>
                </c:pt>
                <c:pt idx="6">
                  <c:v>0</c:v>
                </c:pt>
                <c:pt idx="7">
                  <c:v>0.24779010384943673</c:v>
                </c:pt>
              </c:numCache>
            </c:numRef>
          </c:val>
          <c:extLst>
            <c:ext xmlns:c16="http://schemas.microsoft.com/office/drawing/2014/chart" uri="{C3380CC4-5D6E-409C-BE32-E72D297353CC}">
              <c16:uniqueId val="{00000000-20F2-4373-8C7F-B5D95A3F1E1B}"/>
            </c:ext>
          </c:extLst>
        </c:ser>
        <c:ser>
          <c:idx val="1"/>
          <c:order val="1"/>
          <c:tx>
            <c:strRef>
              <c:f>HTWS!$X$24</c:f>
              <c:strCache>
                <c:ptCount val="1"/>
                <c:pt idx="0">
                  <c:v>Agg. W.Euro TOWER</c:v>
                </c:pt>
              </c:strCache>
            </c:strRef>
          </c:tx>
          <c:spPr>
            <a:ln w="25400">
              <a:solidFill>
                <a:srgbClr val="799098"/>
              </a:solidFill>
              <a:prstDash val="solid"/>
            </a:ln>
            <a:effectLst/>
          </c:spPr>
          <c:marker>
            <c:symbol val="diamond"/>
            <c:size val="6"/>
            <c:spPr>
              <a:solidFill>
                <a:srgbClr val="799098"/>
              </a:solidFill>
              <a:ln w="6350">
                <a:noFill/>
              </a:ln>
            </c:spPr>
          </c:marker>
          <c:cat>
            <c:strRef>
              <c:f>HTWS!$V$25:$V$32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HTWS!$X$25:$X$32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20F2-4373-8C7F-B5D95A3F1E1B}"/>
            </c:ext>
          </c:extLst>
        </c:ser>
        <c:dLbls>
          <c:showLegendKey val="0"/>
          <c:showVal val="0"/>
          <c:showCatName val="0"/>
          <c:showSerName val="0"/>
          <c:showPercent val="0"/>
          <c:showBubbleSize val="0"/>
        </c:dLbls>
        <c:axId val="425171584"/>
        <c:axId val="425218816"/>
      </c:radarChart>
      <c:catAx>
        <c:axId val="42517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18816"/>
        <c:crosses val="autoZero"/>
        <c:auto val="0"/>
        <c:lblAlgn val="ctr"/>
        <c:lblOffset val="100"/>
        <c:noMultiLvlLbl val="0"/>
      </c:catAx>
      <c:valAx>
        <c:axId val="425218816"/>
        <c:scaling>
          <c:orientation val="minMax"/>
          <c:max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1715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5991816237784"/>
          <c:y val="0.11076939718959915"/>
          <c:w val="0.45162220199505188"/>
          <c:h val="0.70601516502562156"/>
        </c:manualLayout>
      </c:layout>
      <c:radarChart>
        <c:radarStyle val="marker"/>
        <c:varyColors val="0"/>
        <c:ser>
          <c:idx val="0"/>
          <c:order val="0"/>
          <c:tx>
            <c:strRef>
              <c:f>IDEA!$W$24</c:f>
              <c:strCache>
                <c:ptCount val="1"/>
                <c:pt idx="0">
                  <c:v>IDEA</c:v>
                </c:pt>
              </c:strCache>
            </c:strRef>
          </c:tx>
          <c:spPr>
            <a:ln w="25400">
              <a:solidFill>
                <a:srgbClr val="263238"/>
              </a:solidFill>
              <a:prstDash val="solid"/>
            </a:ln>
            <a:effectLst/>
          </c:spPr>
          <c:marker>
            <c:symbol val="diamond"/>
            <c:size val="6"/>
            <c:spPr>
              <a:solidFill>
                <a:srgbClr val="26323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IDEA!$W$25:$W$34</c:f>
              <c:numCache>
                <c:formatCode>0%</c:formatCode>
                <c:ptCount val="10"/>
                <c:pt idx="0">
                  <c:v>3.041650153850052</c:v>
                </c:pt>
                <c:pt idx="1">
                  <c:v>2.4038339135456166</c:v>
                </c:pt>
                <c:pt idx="2">
                  <c:v>14.337866838822647</c:v>
                </c:pt>
                <c:pt idx="3">
                  <c:v>15.201968264221493</c:v>
                </c:pt>
                <c:pt idx="4">
                  <c:v>1.2857349984263804</c:v>
                </c:pt>
                <c:pt idx="5">
                  <c:v>0.66278224843922895</c:v>
                </c:pt>
                <c:pt idx="6">
                  <c:v>-0.12258325641223852</c:v>
                </c:pt>
                <c:pt idx="7">
                  <c:v>-0.15295028409297187</c:v>
                </c:pt>
                <c:pt idx="8">
                  <c:v>0</c:v>
                </c:pt>
                <c:pt idx="9">
                  <c:v>-8.1577209585383592</c:v>
                </c:pt>
              </c:numCache>
            </c:numRef>
          </c:val>
          <c:extLst>
            <c:ext xmlns:c16="http://schemas.microsoft.com/office/drawing/2014/chart" uri="{C3380CC4-5D6E-409C-BE32-E72D297353CC}">
              <c16:uniqueId val="{00000000-CB54-4F91-8411-758B1DD930A7}"/>
            </c:ext>
          </c:extLst>
        </c:ser>
        <c:ser>
          <c:idx val="1"/>
          <c:order val="1"/>
          <c:tx>
            <c:strRef>
              <c:f>IDEA!$X$24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B54-4F91-8411-758B1DD930A7}"/>
            </c:ext>
          </c:extLst>
        </c:ser>
        <c:dLbls>
          <c:showLegendKey val="0"/>
          <c:showVal val="0"/>
          <c:showCatName val="0"/>
          <c:showSerName val="0"/>
          <c:showPercent val="0"/>
          <c:showBubbleSize val="0"/>
        </c:dLbls>
        <c:axId val="424888960"/>
        <c:axId val="424899328"/>
      </c:radarChart>
      <c:catAx>
        <c:axId val="424888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4899328"/>
        <c:crosses val="autoZero"/>
        <c:auto val="0"/>
        <c:lblAlgn val="ctr"/>
        <c:lblOffset val="100"/>
        <c:noMultiLvlLbl val="0"/>
      </c:catAx>
      <c:valAx>
        <c:axId val="424899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4888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IHS!$W$24</c:f>
              <c:strCache>
                <c:ptCount val="1"/>
                <c:pt idx="0">
                  <c:v>IHS Towers</c:v>
                </c:pt>
              </c:strCache>
            </c:strRef>
          </c:tx>
          <c:spPr>
            <a:ln w="25400">
              <a:solidFill>
                <a:srgbClr val="263238"/>
              </a:solidFill>
              <a:prstDash val="solid"/>
            </a:ln>
            <a:effectLst/>
          </c:spPr>
          <c:marker>
            <c:symbol val="diamond"/>
            <c:size val="6"/>
            <c:spPr>
              <a:solidFill>
                <a:srgbClr val="26323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IHS!$W$25:$W$34</c:f>
              <c:numCache>
                <c:formatCode>0%</c:formatCode>
                <c:ptCount val="10"/>
                <c:pt idx="0">
                  <c:v>1.0424748592312403</c:v>
                </c:pt>
                <c:pt idx="1">
                  <c:v>1.3896328943012333</c:v>
                </c:pt>
                <c:pt idx="2">
                  <c:v>1.383928472506105</c:v>
                </c:pt>
                <c:pt idx="3">
                  <c:v>1.7788268522631121</c:v>
                </c:pt>
                <c:pt idx="4">
                  <c:v>1.3151115439643577</c:v>
                </c:pt>
                <c:pt idx="5">
                  <c:v>2.0386988893610716</c:v>
                </c:pt>
                <c:pt idx="6">
                  <c:v>2.6412853661640399</c:v>
                </c:pt>
                <c:pt idx="7">
                  <c:v>0.98731152248103304</c:v>
                </c:pt>
                <c:pt idx="8">
                  <c:v>0</c:v>
                </c:pt>
                <c:pt idx="9">
                  <c:v>0.3786035438693654</c:v>
                </c:pt>
              </c:numCache>
            </c:numRef>
          </c:val>
          <c:extLst>
            <c:ext xmlns:c16="http://schemas.microsoft.com/office/drawing/2014/chart" uri="{C3380CC4-5D6E-409C-BE32-E72D297353CC}">
              <c16:uniqueId val="{00000000-BC46-4D15-85E3-8B762D4B00E7}"/>
            </c:ext>
          </c:extLst>
        </c:ser>
        <c:ser>
          <c:idx val="1"/>
          <c:order val="1"/>
          <c:tx>
            <c:strRef>
              <c:f>IHS!$X$24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C46-4D15-85E3-8B762D4B00E7}"/>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INWIT!$W$24</c:f>
              <c:strCache>
                <c:ptCount val="1"/>
                <c:pt idx="0">
                  <c:v>INWIT</c:v>
                </c:pt>
              </c:strCache>
            </c:strRef>
          </c:tx>
          <c:spPr>
            <a:ln w="25400">
              <a:solidFill>
                <a:srgbClr val="263238"/>
              </a:solidFill>
              <a:prstDash val="solid"/>
            </a:ln>
            <a:effectLst/>
          </c:spPr>
          <c:marker>
            <c:symbol val="diamond"/>
            <c:size val="6"/>
            <c:spPr>
              <a:solidFill>
                <a:srgbClr val="26323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INWIT!$W$25:$W$32</c:f>
              <c:numCache>
                <c:formatCode>0%</c:formatCode>
                <c:ptCount val="8"/>
                <c:pt idx="0">
                  <c:v>1.0130579368638861</c:v>
                </c:pt>
                <c:pt idx="1">
                  <c:v>0.84334542579610328</c:v>
                </c:pt>
                <c:pt idx="2">
                  <c:v>0.52740793689844723</c:v>
                </c:pt>
                <c:pt idx="3">
                  <c:v>0.54607020074798696</c:v>
                </c:pt>
                <c:pt idx="4">
                  <c:v>0.55066420284041073</c:v>
                </c:pt>
                <c:pt idx="5">
                  <c:v>1.0063935286729144E-3</c:v>
                </c:pt>
                <c:pt idx="6">
                  <c:v>2.605624700921839</c:v>
                </c:pt>
                <c:pt idx="7">
                  <c:v>1.8159887547471691</c:v>
                </c:pt>
              </c:numCache>
            </c:numRef>
          </c:val>
          <c:extLst>
            <c:ext xmlns:c16="http://schemas.microsoft.com/office/drawing/2014/chart" uri="{C3380CC4-5D6E-409C-BE32-E72D297353CC}">
              <c16:uniqueId val="{00000000-01AF-4C12-B987-F0891E247C5D}"/>
            </c:ext>
          </c:extLst>
        </c:ser>
        <c:ser>
          <c:idx val="1"/>
          <c:order val="1"/>
          <c:tx>
            <c:strRef>
              <c:f>INWIT!$X$24</c:f>
              <c:strCache>
                <c:ptCount val="1"/>
                <c:pt idx="0">
                  <c:v>Agg. W.Euro TOWER</c:v>
                </c:pt>
              </c:strCache>
            </c:strRef>
          </c:tx>
          <c:spPr>
            <a:ln w="25400">
              <a:solidFill>
                <a:srgbClr val="799098"/>
              </a:solidFill>
              <a:prstDash val="solid"/>
            </a:ln>
            <a:effectLst/>
          </c:spPr>
          <c:marker>
            <c:symbol val="diamond"/>
            <c:size val="6"/>
            <c:spPr>
              <a:solidFill>
                <a:srgbClr val="79909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01AF-4C12-B987-F0891E247C5D}"/>
            </c:ext>
          </c:extLst>
        </c:ser>
        <c:dLbls>
          <c:showLegendKey val="0"/>
          <c:showVal val="0"/>
          <c:showCatName val="0"/>
          <c:showSerName val="0"/>
          <c:showPercent val="0"/>
          <c:showBubbleSize val="0"/>
        </c:dLbls>
        <c:axId val="425171584"/>
        <c:axId val="425218816"/>
      </c:radarChart>
      <c:catAx>
        <c:axId val="42517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18816"/>
        <c:crosses val="autoZero"/>
        <c:auto val="0"/>
        <c:lblAlgn val="ctr"/>
        <c:lblOffset val="100"/>
        <c:noMultiLvlLbl val="0"/>
      </c:catAx>
      <c:valAx>
        <c:axId val="425218816"/>
        <c:scaling>
          <c:orientation val="minMax"/>
          <c:max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1715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AMT!$W$24</c:f>
              <c:strCache>
                <c:ptCount val="1"/>
                <c:pt idx="0">
                  <c:v>AMT</c:v>
                </c:pt>
              </c:strCache>
            </c:strRef>
          </c:tx>
          <c:spPr>
            <a:ln w="25400">
              <a:solidFill>
                <a:srgbClr val="263238"/>
              </a:solidFill>
              <a:prstDash val="solid"/>
            </a:ln>
            <a:effectLst/>
          </c:spPr>
          <c:marker>
            <c:symbol val="diamond"/>
            <c:size val="6"/>
            <c:spPr>
              <a:solidFill>
                <a:srgbClr val="26323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AMT!$W$25:$W$34</c:f>
              <c:numCache>
                <c:formatCode>0%</c:formatCode>
                <c:ptCount val="10"/>
                <c:pt idx="0">
                  <c:v>0.93343618006180429</c:v>
                </c:pt>
                <c:pt idx="1">
                  <c:v>0.93594616874017089</c:v>
                </c:pt>
                <c:pt idx="2">
                  <c:v>1.2383213613649553</c:v>
                </c:pt>
                <c:pt idx="3">
                  <c:v>1.2015239226781176</c:v>
                </c:pt>
                <c:pt idx="4">
                  <c:v>1.1493495378778484</c:v>
                </c:pt>
                <c:pt idx="5">
                  <c:v>0.83605084818119746</c:v>
                </c:pt>
                <c:pt idx="6">
                  <c:v>1.2430848227089764</c:v>
                </c:pt>
                <c:pt idx="7">
                  <c:v>1.0236774441325813</c:v>
                </c:pt>
                <c:pt idx="8">
                  <c:v>0.95584073139611103</c:v>
                </c:pt>
                <c:pt idx="9">
                  <c:v>0.80445033334150362</c:v>
                </c:pt>
              </c:numCache>
            </c:numRef>
          </c:val>
          <c:extLst>
            <c:ext xmlns:c16="http://schemas.microsoft.com/office/drawing/2014/chart" uri="{C3380CC4-5D6E-409C-BE32-E72D297353CC}">
              <c16:uniqueId val="{00000000-76D8-4EB5-ABCE-E79856387B7D}"/>
            </c:ext>
          </c:extLst>
        </c:ser>
        <c:ser>
          <c:idx val="1"/>
          <c:order val="1"/>
          <c:tx>
            <c:strRef>
              <c:f>AMT!$X$24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6D8-4EB5-ABCE-E79856387B7D}"/>
            </c:ext>
          </c:extLst>
        </c:ser>
        <c:dLbls>
          <c:showLegendKey val="0"/>
          <c:showVal val="0"/>
          <c:showCatName val="0"/>
          <c:showSerName val="0"/>
          <c:showPercent val="0"/>
          <c:showBubbleSize val="0"/>
        </c:dLbls>
        <c:axId val="342673664"/>
        <c:axId val="342675840"/>
      </c:radarChart>
      <c:catAx>
        <c:axId val="342673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75840"/>
        <c:crosses val="autoZero"/>
        <c:auto val="0"/>
        <c:lblAlgn val="ctr"/>
        <c:lblOffset val="100"/>
        <c:noMultiLvlLbl val="0"/>
      </c:catAx>
      <c:valAx>
        <c:axId val="3426758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73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0.14769252958613224"/>
          <c:w val="0.3870971552666993"/>
          <c:h val="0.59077011834452875"/>
        </c:manualLayout>
      </c:layout>
      <c:radarChart>
        <c:radarStyle val="marker"/>
        <c:varyColors val="0"/>
        <c:ser>
          <c:idx val="0"/>
          <c:order val="0"/>
          <c:tx>
            <c:strRef>
              <c:f>INDO!$W$24</c:f>
              <c:strCache>
                <c:ptCount val="1"/>
                <c:pt idx="0">
                  <c:v>Indosat</c:v>
                </c:pt>
              </c:strCache>
            </c:strRef>
          </c:tx>
          <c:spPr>
            <a:ln w="25400">
              <a:solidFill>
                <a:srgbClr val="263238"/>
              </a:solidFill>
              <a:prstDash val="solid"/>
            </a:ln>
            <a:effectLst/>
          </c:spPr>
          <c:marker>
            <c:symbol val="diamond"/>
            <c:size val="6"/>
            <c:spPr>
              <a:solidFill>
                <a:srgbClr val="26323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INDO!$W$25:$W$34</c:f>
              <c:numCache>
                <c:formatCode>0%</c:formatCode>
                <c:ptCount val="10"/>
                <c:pt idx="0">
                  <c:v>0.98251894896935854</c:v>
                </c:pt>
                <c:pt idx="1">
                  <c:v>0.70860884874958452</c:v>
                </c:pt>
                <c:pt idx="2">
                  <c:v>0.84231098524647663</c:v>
                </c:pt>
                <c:pt idx="3">
                  <c:v>0.91859102965307038</c:v>
                </c:pt>
                <c:pt idx="4">
                  <c:v>0.73337017125446124</c:v>
                </c:pt>
                <c:pt idx="5">
                  <c:v>0.45784441772500079</c:v>
                </c:pt>
                <c:pt idx="6">
                  <c:v>3.3676228193872126</c:v>
                </c:pt>
                <c:pt idx="7">
                  <c:v>0.80396162516824077</c:v>
                </c:pt>
                <c:pt idx="8">
                  <c:v>0.84478330903934851</c:v>
                </c:pt>
                <c:pt idx="9">
                  <c:v>0.2969453687755817</c:v>
                </c:pt>
              </c:numCache>
            </c:numRef>
          </c:val>
          <c:extLst>
            <c:ext xmlns:c16="http://schemas.microsoft.com/office/drawing/2014/chart" uri="{C3380CC4-5D6E-409C-BE32-E72D297353CC}">
              <c16:uniqueId val="{00000000-E5A3-4062-A3EF-138AAC091158}"/>
            </c:ext>
          </c:extLst>
        </c:ser>
        <c:ser>
          <c:idx val="1"/>
          <c:order val="1"/>
          <c:tx>
            <c:strRef>
              <c:f>INDO!$X$24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5A3-4062-A3EF-138AAC091158}"/>
            </c:ext>
          </c:extLst>
        </c:ser>
        <c:dLbls>
          <c:showLegendKey val="0"/>
          <c:showVal val="0"/>
          <c:showCatName val="0"/>
          <c:showSerName val="0"/>
          <c:showPercent val="0"/>
          <c:showBubbleSize val="0"/>
        </c:dLbls>
        <c:axId val="425286272"/>
        <c:axId val="425296640"/>
      </c:radarChart>
      <c:catAx>
        <c:axId val="4252862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96640"/>
        <c:crosses val="autoZero"/>
        <c:auto val="0"/>
        <c:lblAlgn val="ctr"/>
        <c:lblOffset val="100"/>
        <c:noMultiLvlLbl val="0"/>
      </c:catAx>
      <c:valAx>
        <c:axId val="425296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2862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1730190292979"/>
          <c:y val="0.14153867418671001"/>
          <c:w val="0.41154154785199476"/>
          <c:h val="0.64335759521585767"/>
        </c:manualLayout>
      </c:layout>
      <c:radarChart>
        <c:radarStyle val="marker"/>
        <c:varyColors val="0"/>
        <c:ser>
          <c:idx val="0"/>
          <c:order val="0"/>
          <c:tx>
            <c:strRef>
              <c:f>KDDI!$W$24</c:f>
              <c:strCache>
                <c:ptCount val="1"/>
                <c:pt idx="0">
                  <c:v>KDDI</c:v>
                </c:pt>
              </c:strCache>
            </c:strRef>
          </c:tx>
          <c:spPr>
            <a:ln w="25400">
              <a:solidFill>
                <a:srgbClr val="263238"/>
              </a:solidFill>
              <a:prstDash val="solid"/>
            </a:ln>
            <a:effectLst/>
          </c:spPr>
          <c:marker>
            <c:symbol val="diamond"/>
            <c:size val="6"/>
            <c:spPr>
              <a:solidFill>
                <a:srgbClr val="26323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KDDI!$W$25:$W$34</c:f>
              <c:numCache>
                <c:formatCode>0%</c:formatCode>
                <c:ptCount val="10"/>
                <c:pt idx="0">
                  <c:v>0.96345801170759715</c:v>
                </c:pt>
                <c:pt idx="1">
                  <c:v>1.0335450687180208</c:v>
                </c:pt>
                <c:pt idx="2">
                  <c:v>0.97716338456067675</c:v>
                </c:pt>
                <c:pt idx="3">
                  <c:v>1.2019108283045674</c:v>
                </c:pt>
                <c:pt idx="4">
                  <c:v>0.82322266236222408</c:v>
                </c:pt>
                <c:pt idx="5">
                  <c:v>1.3088867714680237</c:v>
                </c:pt>
                <c:pt idx="6">
                  <c:v>0.93119301338401439</c:v>
                </c:pt>
                <c:pt idx="7">
                  <c:v>0.75770304478668926</c:v>
                </c:pt>
                <c:pt idx="8">
                  <c:v>0.73103572014057505</c:v>
                </c:pt>
                <c:pt idx="9">
                  <c:v>1.0738912187130107</c:v>
                </c:pt>
              </c:numCache>
            </c:numRef>
          </c:val>
          <c:extLst>
            <c:ext xmlns:c16="http://schemas.microsoft.com/office/drawing/2014/chart" uri="{C3380CC4-5D6E-409C-BE32-E72D297353CC}">
              <c16:uniqueId val="{00000000-4537-40B0-8056-1CC8F2F57AD7}"/>
            </c:ext>
          </c:extLst>
        </c:ser>
        <c:ser>
          <c:idx val="1"/>
          <c:order val="1"/>
          <c:tx>
            <c:strRef>
              <c:f>KDDI!$X$24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537-40B0-8056-1CC8F2F57AD7}"/>
            </c:ext>
          </c:extLst>
        </c:ser>
        <c:dLbls>
          <c:showLegendKey val="0"/>
          <c:showVal val="0"/>
          <c:showCatName val="0"/>
          <c:showSerName val="0"/>
          <c:showPercent val="0"/>
          <c:showBubbleSize val="0"/>
        </c:dLbls>
        <c:axId val="427383424"/>
        <c:axId val="427401984"/>
      </c:radarChart>
      <c:catAx>
        <c:axId val="427383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401984"/>
        <c:crosses val="autoZero"/>
        <c:auto val="0"/>
        <c:lblAlgn val="ctr"/>
        <c:lblOffset val="100"/>
        <c:noMultiLvlLbl val="0"/>
      </c:catAx>
      <c:valAx>
        <c:axId val="4274019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383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32686217810573"/>
          <c:y val="8.7774429023849548E-2"/>
          <c:w val="0.47286747601526674"/>
          <c:h val="0.71257367456368081"/>
        </c:manualLayout>
      </c:layout>
      <c:radarChart>
        <c:radarStyle val="marker"/>
        <c:varyColors val="0"/>
        <c:ser>
          <c:idx val="0"/>
          <c:order val="0"/>
          <c:tx>
            <c:strRef>
              <c:f>KPN!$W$24</c:f>
              <c:strCache>
                <c:ptCount val="1"/>
                <c:pt idx="0">
                  <c:v>KPN</c:v>
                </c:pt>
              </c:strCache>
            </c:strRef>
          </c:tx>
          <c:spPr>
            <a:ln w="25400">
              <a:solidFill>
                <a:srgbClr val="263238"/>
              </a:solidFill>
              <a:prstDash val="solid"/>
            </a:ln>
            <a:effectLst/>
          </c:spPr>
          <c:marker>
            <c:symbol val="diamond"/>
            <c:size val="6"/>
            <c:spPr>
              <a:solidFill>
                <a:srgbClr val="26323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KPN!$W$25:$W$34</c:f>
              <c:numCache>
                <c:formatCode>0%</c:formatCode>
                <c:ptCount val="10"/>
                <c:pt idx="0">
                  <c:v>1.6475486584119876</c:v>
                </c:pt>
                <c:pt idx="1">
                  <c:v>1.2351293140085144</c:v>
                </c:pt>
                <c:pt idx="2">
                  <c:v>1.2428155711771476</c:v>
                </c:pt>
                <c:pt idx="3">
                  <c:v>1.1954198231056379</c:v>
                </c:pt>
                <c:pt idx="4">
                  <c:v>1.5409315910514898</c:v>
                </c:pt>
                <c:pt idx="5">
                  <c:v>1.0078325199748974</c:v>
                </c:pt>
                <c:pt idx="6">
                  <c:v>1.4272819062428475</c:v>
                </c:pt>
                <c:pt idx="7">
                  <c:v>1.6421442149815229</c:v>
                </c:pt>
                <c:pt idx="8">
                  <c:v>1.0153110203897524</c:v>
                </c:pt>
                <c:pt idx="9">
                  <c:v>0.70063243681998522</c:v>
                </c:pt>
              </c:numCache>
            </c:numRef>
          </c:val>
          <c:extLst>
            <c:ext xmlns:c16="http://schemas.microsoft.com/office/drawing/2014/chart" uri="{C3380CC4-5D6E-409C-BE32-E72D297353CC}">
              <c16:uniqueId val="{00000000-4F49-404F-AB8D-A4ED8F518395}"/>
            </c:ext>
          </c:extLst>
        </c:ser>
        <c:ser>
          <c:idx val="1"/>
          <c:order val="1"/>
          <c:tx>
            <c:strRef>
              <c:f>KPN!$X$24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F49-404F-AB8D-A4ED8F518395}"/>
            </c:ext>
          </c:extLst>
        </c:ser>
        <c:dLbls>
          <c:showLegendKey val="0"/>
          <c:showVal val="0"/>
          <c:showCatName val="0"/>
          <c:showSerName val="0"/>
          <c:showPercent val="0"/>
          <c:showBubbleSize val="0"/>
        </c:dLbls>
        <c:axId val="427805312"/>
        <c:axId val="427823872"/>
      </c:radarChart>
      <c:catAx>
        <c:axId val="4278053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823872"/>
        <c:crosses val="autoZero"/>
        <c:auto val="0"/>
        <c:lblAlgn val="ctr"/>
        <c:lblOffset val="100"/>
        <c:noMultiLvlLbl val="0"/>
      </c:catAx>
      <c:valAx>
        <c:axId val="427823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8053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_KT!$W$24</c:f>
              <c:strCache>
                <c:ptCount val="1"/>
                <c:pt idx="0">
                  <c:v>KT</c:v>
                </c:pt>
              </c:strCache>
            </c:strRef>
          </c:tx>
          <c:spPr>
            <a:ln w="25400">
              <a:solidFill>
                <a:srgbClr val="263238"/>
              </a:solidFill>
              <a:prstDash val="solid"/>
            </a:ln>
            <a:effectLst/>
          </c:spPr>
          <c:marker>
            <c:symbol val="diamond"/>
            <c:size val="6"/>
            <c:spPr>
              <a:solidFill>
                <a:srgbClr val="26323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_KT!$W$25:$W$34</c:f>
              <c:numCache>
                <c:formatCode>0%</c:formatCode>
                <c:ptCount val="10"/>
                <c:pt idx="0">
                  <c:v>0.32802324758335549</c:v>
                </c:pt>
                <c:pt idx="1">
                  <c:v>0.47553494947258856</c:v>
                </c:pt>
                <c:pt idx="2">
                  <c:v>0.52952326168427488</c:v>
                </c:pt>
                <c:pt idx="3">
                  <c:v>0.55756411158797992</c:v>
                </c:pt>
                <c:pt idx="4">
                  <c:v>0.44547443625351668</c:v>
                </c:pt>
                <c:pt idx="5">
                  <c:v>0.40993263228388294</c:v>
                </c:pt>
                <c:pt idx="6">
                  <c:v>0.45188269149806787</c:v>
                </c:pt>
                <c:pt idx="7">
                  <c:v>0.45223262657121516</c:v>
                </c:pt>
                <c:pt idx="8">
                  <c:v>0.85473863449377907</c:v>
                </c:pt>
                <c:pt idx="9">
                  <c:v>2.2129637156157282</c:v>
                </c:pt>
              </c:numCache>
            </c:numRef>
          </c:val>
          <c:extLst>
            <c:ext xmlns:c16="http://schemas.microsoft.com/office/drawing/2014/chart" uri="{C3380CC4-5D6E-409C-BE32-E72D297353CC}">
              <c16:uniqueId val="{00000000-D0A9-4C7F-BDDB-DEEBF96F1D93}"/>
            </c:ext>
          </c:extLst>
        </c:ser>
        <c:ser>
          <c:idx val="1"/>
          <c:order val="1"/>
          <c:tx>
            <c:strRef>
              <c:f>_KT!$X$24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0A9-4C7F-BDDB-DEEBF96F1D93}"/>
            </c:ext>
          </c:extLst>
        </c:ser>
        <c:dLbls>
          <c:showLegendKey val="0"/>
          <c:showVal val="0"/>
          <c:showCatName val="0"/>
          <c:showSerName val="0"/>
          <c:showPercent val="0"/>
          <c:showBubbleSize val="0"/>
        </c:dLbls>
        <c:axId val="428239488"/>
        <c:axId val="428299008"/>
      </c:radarChart>
      <c:catAx>
        <c:axId val="4282394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299008"/>
        <c:crosses val="autoZero"/>
        <c:auto val="0"/>
        <c:lblAlgn val="ctr"/>
        <c:lblOffset val="100"/>
        <c:noMultiLvlLbl val="0"/>
      </c:catAx>
      <c:valAx>
        <c:axId val="428299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2394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_LG!$W$24</c:f>
              <c:strCache>
                <c:ptCount val="1"/>
                <c:pt idx="0">
                  <c:v>LG</c:v>
                </c:pt>
              </c:strCache>
            </c:strRef>
          </c:tx>
          <c:spPr>
            <a:ln w="25400">
              <a:solidFill>
                <a:srgbClr val="263238"/>
              </a:solidFill>
              <a:prstDash val="solid"/>
            </a:ln>
            <a:effectLst/>
          </c:spPr>
          <c:marker>
            <c:symbol val="diamond"/>
            <c:size val="6"/>
            <c:spPr>
              <a:solidFill>
                <a:srgbClr val="26323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_LG!$W$25:$W$34</c:f>
              <c:numCache>
                <c:formatCode>0%</c:formatCode>
                <c:ptCount val="10"/>
                <c:pt idx="0">
                  <c:v>0.43859057898665299</c:v>
                </c:pt>
                <c:pt idx="1">
                  <c:v>0.62008371948016294</c:v>
                </c:pt>
                <c:pt idx="2">
                  <c:v>0.76156519162838887</c:v>
                </c:pt>
                <c:pt idx="3">
                  <c:v>0.80536184906340025</c:v>
                </c:pt>
                <c:pt idx="4">
                  <c:v>0.58981250255319317</c:v>
                </c:pt>
                <c:pt idx="5">
                  <c:v>0.42420557847042872</c:v>
                </c:pt>
                <c:pt idx="6">
                  <c:v>0.50409837707714855</c:v>
                </c:pt>
                <c:pt idx="7">
                  <c:v>0.67287724868304954</c:v>
                </c:pt>
                <c:pt idx="8">
                  <c:v>0.91778562078642612</c:v>
                </c:pt>
                <c:pt idx="9">
                  <c:v>1.9837397727764503</c:v>
                </c:pt>
              </c:numCache>
            </c:numRef>
          </c:val>
          <c:extLst>
            <c:ext xmlns:c16="http://schemas.microsoft.com/office/drawing/2014/chart" uri="{C3380CC4-5D6E-409C-BE32-E72D297353CC}">
              <c16:uniqueId val="{00000000-5F4D-44A6-8795-FAC94B689382}"/>
            </c:ext>
          </c:extLst>
        </c:ser>
        <c:ser>
          <c:idx val="1"/>
          <c:order val="1"/>
          <c:tx>
            <c:strRef>
              <c:f>_LG!$X$24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F4D-44A6-8795-FAC94B689382}"/>
            </c:ext>
          </c:extLst>
        </c:ser>
        <c:dLbls>
          <c:showLegendKey val="0"/>
          <c:showVal val="0"/>
          <c:showCatName val="0"/>
          <c:showSerName val="0"/>
          <c:showPercent val="0"/>
          <c:showBubbleSize val="0"/>
        </c:dLbls>
        <c:axId val="428817024"/>
        <c:axId val="428950272"/>
      </c:radarChart>
      <c:catAx>
        <c:axId val="4288170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950272"/>
        <c:crosses val="autoZero"/>
        <c:auto val="0"/>
        <c:lblAlgn val="ctr"/>
        <c:lblOffset val="100"/>
        <c:noMultiLvlLbl val="0"/>
      </c:catAx>
      <c:valAx>
        <c:axId val="4289502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8170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33899746703906"/>
          <c:y val="0.10248462745752179"/>
          <c:w val="0.44959721679413461"/>
          <c:h val="0.69254763403113173"/>
        </c:manualLayout>
      </c:layout>
      <c:radarChart>
        <c:radarStyle val="marker"/>
        <c:varyColors val="0"/>
        <c:ser>
          <c:idx val="0"/>
          <c:order val="0"/>
          <c:tx>
            <c:strRef>
              <c:f>LBTY!$W$24</c:f>
              <c:strCache>
                <c:ptCount val="1"/>
                <c:pt idx="0">
                  <c:v>Liberty</c:v>
                </c:pt>
              </c:strCache>
            </c:strRef>
          </c:tx>
          <c:spPr>
            <a:ln w="25400">
              <a:solidFill>
                <a:srgbClr val="263238"/>
              </a:solidFill>
              <a:prstDash val="solid"/>
            </a:ln>
            <a:effectLst/>
          </c:spPr>
          <c:marker>
            <c:symbol val="diamond"/>
            <c:size val="6"/>
            <c:spPr>
              <a:solidFill>
                <a:srgbClr val="26323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LBTY!$W$25:$W$34</c:f>
              <c:numCache>
                <c:formatCode>0%</c:formatCode>
                <c:ptCount val="10"/>
                <c:pt idx="0">
                  <c:v>0.65174434972422346</c:v>
                </c:pt>
                <c:pt idx="1">
                  <c:v>0.49319314416068966</c:v>
                </c:pt>
                <c:pt idx="2">
                  <c:v>-3.1021409092466063</c:v>
                </c:pt>
                <c:pt idx="3">
                  <c:v>-3.0365244363045267</c:v>
                </c:pt>
                <c:pt idx="4">
                  <c:v>0.19921073946077622</c:v>
                </c:pt>
                <c:pt idx="5">
                  <c:v>9.4613243395669247E-2</c:v>
                </c:pt>
                <c:pt idx="6">
                  <c:v>6.5636792643446951</c:v>
                </c:pt>
                <c:pt idx="7">
                  <c:v>-0.12463662902378669</c:v>
                </c:pt>
                <c:pt idx="8">
                  <c:v>0</c:v>
                </c:pt>
                <c:pt idx="9">
                  <c:v>0.15235357483602424</c:v>
                </c:pt>
              </c:numCache>
            </c:numRef>
          </c:val>
          <c:extLst>
            <c:ext xmlns:c16="http://schemas.microsoft.com/office/drawing/2014/chart" uri="{C3380CC4-5D6E-409C-BE32-E72D297353CC}">
              <c16:uniqueId val="{00000000-5DD4-4A7D-B57E-EA4E776F52DF}"/>
            </c:ext>
          </c:extLst>
        </c:ser>
        <c:ser>
          <c:idx val="1"/>
          <c:order val="1"/>
          <c:tx>
            <c:strRef>
              <c:f>LBTY!$X$24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DD4-4A7D-B57E-EA4E776F52DF}"/>
            </c:ext>
          </c:extLst>
        </c:ser>
        <c:dLbls>
          <c:showLegendKey val="0"/>
          <c:showVal val="0"/>
          <c:showCatName val="0"/>
          <c:showSerName val="0"/>
          <c:showPercent val="0"/>
          <c:showBubbleSize val="0"/>
        </c:dLbls>
        <c:axId val="430336640"/>
        <c:axId val="430347008"/>
      </c:radarChart>
      <c:catAx>
        <c:axId val="4303366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0347008"/>
        <c:crosses val="autoZero"/>
        <c:auto val="0"/>
        <c:lblAlgn val="ctr"/>
        <c:lblOffset val="100"/>
        <c:noMultiLvlLbl val="0"/>
      </c:catAx>
      <c:valAx>
        <c:axId val="430347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03366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LiLAC!$W$25</c:f>
              <c:strCache>
                <c:ptCount val="1"/>
                <c:pt idx="0">
                  <c:v>LiLAC</c:v>
                </c:pt>
              </c:strCache>
            </c:strRef>
          </c:tx>
          <c:spPr>
            <a:ln w="25400">
              <a:solidFill>
                <a:srgbClr val="263238"/>
              </a:solidFill>
              <a:prstDash val="solid"/>
            </a:ln>
            <a:effectLst/>
          </c:spPr>
          <c:marker>
            <c:symbol val="diamond"/>
            <c:size val="6"/>
            <c:spPr>
              <a:solidFill>
                <a:srgbClr val="26323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LiLAC!$W$26:$W$35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637-49F8-AE87-9F33CC4F0659}"/>
            </c:ext>
          </c:extLst>
        </c:ser>
        <c:ser>
          <c:idx val="1"/>
          <c:order val="1"/>
          <c:tx>
            <c:strRef>
              <c:f>LiLAC!$X$25</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LiLAC!$X$26:$X$35</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637-49F8-AE87-9F33CC4F0659}"/>
            </c:ext>
          </c:extLst>
        </c:ser>
        <c:dLbls>
          <c:showLegendKey val="0"/>
          <c:showVal val="0"/>
          <c:showCatName val="0"/>
          <c:showSerName val="0"/>
          <c:showPercent val="0"/>
          <c:showBubbleSize val="0"/>
        </c:dLbls>
        <c:axId val="431941888"/>
        <c:axId val="433127808"/>
      </c:radarChart>
      <c:catAx>
        <c:axId val="431941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3127808"/>
        <c:crosses val="autoZero"/>
        <c:auto val="0"/>
        <c:lblAlgn val="ctr"/>
        <c:lblOffset val="100"/>
        <c:noMultiLvlLbl val="0"/>
      </c:catAx>
      <c:valAx>
        <c:axId val="43312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1941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5692331268526588"/>
          <c:w val="0.34072614187537592"/>
          <c:h val="0.52000078125117377"/>
        </c:manualLayout>
      </c:layout>
      <c:radarChart>
        <c:radarStyle val="marker"/>
        <c:varyColors val="0"/>
        <c:ser>
          <c:idx val="0"/>
          <c:order val="0"/>
          <c:tx>
            <c:strRef>
              <c:f>MAXI!$W$24</c:f>
              <c:strCache>
                <c:ptCount val="1"/>
                <c:pt idx="0">
                  <c:v>Maxis</c:v>
                </c:pt>
              </c:strCache>
            </c:strRef>
          </c:tx>
          <c:spPr>
            <a:ln w="25400">
              <a:solidFill>
                <a:srgbClr val="263238"/>
              </a:solidFill>
              <a:prstDash val="solid"/>
            </a:ln>
            <a:effectLst/>
          </c:spPr>
          <c:marker>
            <c:symbol val="diamond"/>
            <c:size val="6"/>
            <c:spPr>
              <a:solidFill>
                <a:srgbClr val="26323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MAXI!$W$25:$W$34</c:f>
              <c:numCache>
                <c:formatCode>0%</c:formatCode>
                <c:ptCount val="10"/>
                <c:pt idx="0">
                  <c:v>1.6314442461108751</c:v>
                </c:pt>
                <c:pt idx="1">
                  <c:v>1.3567380435680558</c:v>
                </c:pt>
                <c:pt idx="2">
                  <c:v>1.122124085372866</c:v>
                </c:pt>
                <c:pt idx="3">
                  <c:v>1.1421611826273128</c:v>
                </c:pt>
                <c:pt idx="4">
                  <c:v>1.4338805136296677</c:v>
                </c:pt>
                <c:pt idx="5">
                  <c:v>2.2536172759530531</c:v>
                </c:pt>
                <c:pt idx="6">
                  <c:v>0.9851664807832794</c:v>
                </c:pt>
                <c:pt idx="7">
                  <c:v>1.0082031134193141</c:v>
                </c:pt>
                <c:pt idx="8">
                  <c:v>1.2125652414862715</c:v>
                </c:pt>
                <c:pt idx="9">
                  <c:v>1.0150568655207666</c:v>
                </c:pt>
              </c:numCache>
            </c:numRef>
          </c:val>
          <c:extLst>
            <c:ext xmlns:c16="http://schemas.microsoft.com/office/drawing/2014/chart" uri="{C3380CC4-5D6E-409C-BE32-E72D297353CC}">
              <c16:uniqueId val="{00000000-1F61-4AC6-8638-5C33D0FB951C}"/>
            </c:ext>
          </c:extLst>
        </c:ser>
        <c:ser>
          <c:idx val="1"/>
          <c:order val="1"/>
          <c:tx>
            <c:strRef>
              <c:f>MAXI!$X$24</c:f>
              <c:strCache>
                <c:ptCount val="1"/>
                <c:pt idx="0">
                  <c:v>Aggregate Asia Cellular</c:v>
                </c:pt>
              </c:strCache>
            </c:strRef>
          </c:tx>
          <c:spPr>
            <a:ln w="25400">
              <a:solidFill>
                <a:srgbClr val="799098"/>
              </a:solidFill>
              <a:prstDash val="solid"/>
            </a:ln>
            <a:effectLst/>
          </c:spPr>
          <c:marker>
            <c:symbol val="diamond"/>
            <c:size val="6"/>
            <c:spPr>
              <a:solidFill>
                <a:srgbClr val="79909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F61-4AC6-8638-5C33D0FB951C}"/>
            </c:ext>
          </c:extLst>
        </c:ser>
        <c:dLbls>
          <c:showLegendKey val="0"/>
          <c:showVal val="0"/>
          <c:showCatName val="0"/>
          <c:showSerName val="0"/>
          <c:showPercent val="0"/>
          <c:showBubbleSize val="0"/>
        </c:dLbls>
        <c:axId val="434694400"/>
        <c:axId val="434766208"/>
      </c:radarChart>
      <c:catAx>
        <c:axId val="4346944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4766208"/>
        <c:crosses val="autoZero"/>
        <c:auto val="0"/>
        <c:lblAlgn val="ctr"/>
        <c:lblOffset val="100"/>
        <c:noMultiLvlLbl val="0"/>
      </c:catAx>
      <c:valAx>
        <c:axId val="4347662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46944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MEGA!$W$24</c:f>
              <c:strCache>
                <c:ptCount val="1"/>
                <c:pt idx="0">
                  <c:v>Magya</c:v>
                </c:pt>
              </c:strCache>
            </c:strRef>
          </c:tx>
          <c:spPr>
            <a:ln w="25400">
              <a:solidFill>
                <a:srgbClr val="263238"/>
              </a:solidFill>
              <a:prstDash val="solid"/>
            </a:ln>
            <a:effectLst/>
          </c:spPr>
          <c:marker>
            <c:symbol val="diamond"/>
            <c:size val="6"/>
            <c:spPr>
              <a:solidFill>
                <a:srgbClr val="26323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MEGA!$W$25:$W$34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FC-4CE5-8489-A6F9FF2EF09B}"/>
            </c:ext>
          </c:extLst>
        </c:ser>
        <c:ser>
          <c:idx val="1"/>
          <c:order val="1"/>
          <c:tx>
            <c:strRef>
              <c:f>MEGA!$X$24</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EFC-4CE5-8489-A6F9FF2EF09B}"/>
            </c:ext>
          </c:extLst>
        </c:ser>
        <c:dLbls>
          <c:showLegendKey val="0"/>
          <c:showVal val="0"/>
          <c:showCatName val="0"/>
          <c:showSerName val="0"/>
          <c:showPercent val="0"/>
          <c:showBubbleSize val="0"/>
        </c:dLbls>
        <c:axId val="435185536"/>
        <c:axId val="435191808"/>
      </c:radarChart>
      <c:catAx>
        <c:axId val="435185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5191808"/>
        <c:crosses val="autoZero"/>
        <c:auto val="0"/>
        <c:lblAlgn val="ctr"/>
        <c:lblOffset val="100"/>
        <c:noMultiLvlLbl val="0"/>
      </c:catAx>
      <c:valAx>
        <c:axId val="435191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5185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MILLI!$W$24</c:f>
              <c:strCache>
                <c:ptCount val="1"/>
                <c:pt idx="0">
                  <c:v>Millicom</c:v>
                </c:pt>
              </c:strCache>
            </c:strRef>
          </c:tx>
          <c:spPr>
            <a:ln w="25400">
              <a:solidFill>
                <a:srgbClr val="263238"/>
              </a:solidFill>
              <a:prstDash val="solid"/>
            </a:ln>
            <a:effectLst/>
          </c:spPr>
          <c:marker>
            <c:symbol val="diamond"/>
            <c:size val="6"/>
            <c:spPr>
              <a:solidFill>
                <a:srgbClr val="26323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MILLI!$W$25:$W$34</c:f>
              <c:numCache>
                <c:formatCode>0%</c:formatCode>
                <c:ptCount val="10"/>
                <c:pt idx="0">
                  <c:v>1.6545521779877694</c:v>
                </c:pt>
                <c:pt idx="1">
                  <c:v>1.5571310019954998</c:v>
                </c:pt>
                <c:pt idx="2">
                  <c:v>1.2989920085106168</c:v>
                </c:pt>
                <c:pt idx="3">
                  <c:v>1.3437348994799212</c:v>
                </c:pt>
                <c:pt idx="4">
                  <c:v>1.4075138220180647</c:v>
                </c:pt>
                <c:pt idx="5">
                  <c:v>1.047031264406836</c:v>
                </c:pt>
                <c:pt idx="6">
                  <c:v>1.4617073400329577</c:v>
                </c:pt>
                <c:pt idx="7">
                  <c:v>2.2105278531899115</c:v>
                </c:pt>
                <c:pt idx="8">
                  <c:v>0.76082898393266707</c:v>
                </c:pt>
                <c:pt idx="9">
                  <c:v>0.68413147598851953</c:v>
                </c:pt>
              </c:numCache>
            </c:numRef>
          </c:val>
          <c:extLst>
            <c:ext xmlns:c16="http://schemas.microsoft.com/office/drawing/2014/chart" uri="{C3380CC4-5D6E-409C-BE32-E72D297353CC}">
              <c16:uniqueId val="{00000000-6C52-4C40-88F4-FE5FA5414FDB}"/>
            </c:ext>
          </c:extLst>
        </c:ser>
        <c:ser>
          <c:idx val="1"/>
          <c:order val="1"/>
          <c:tx>
            <c:strRef>
              <c:f>MILLI!$X$24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C52-4C40-88F4-FE5FA5414FDB}"/>
            </c:ext>
          </c:extLst>
        </c:ser>
        <c:dLbls>
          <c:showLegendKey val="0"/>
          <c:showVal val="0"/>
          <c:showCatName val="0"/>
          <c:showSerName val="0"/>
          <c:showPercent val="0"/>
          <c:showBubbleSize val="0"/>
        </c:dLbls>
        <c:axId val="436144000"/>
        <c:axId val="436195328"/>
      </c:radarChart>
      <c:catAx>
        <c:axId val="436144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6195328"/>
        <c:crosses val="autoZero"/>
        <c:auto val="0"/>
        <c:lblAlgn val="ctr"/>
        <c:lblOffset val="100"/>
        <c:noMultiLvlLbl val="0"/>
      </c:catAx>
      <c:valAx>
        <c:axId val="436195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6144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AMX!$W$24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AMX!$W$25:$W$34</c:f>
              <c:numCache>
                <c:formatCode>0%</c:formatCode>
                <c:ptCount val="10"/>
                <c:pt idx="0">
                  <c:v>1.004780458916114</c:v>
                </c:pt>
                <c:pt idx="1">
                  <c:v>1.0110150691238016</c:v>
                </c:pt>
                <c:pt idx="2">
                  <c:v>0.98533762034789818</c:v>
                </c:pt>
                <c:pt idx="3">
                  <c:v>0.97564341500528018</c:v>
                </c:pt>
                <c:pt idx="4">
                  <c:v>1.1183784837458184</c:v>
                </c:pt>
                <c:pt idx="5">
                  <c:v>1.1250672165325244</c:v>
                </c:pt>
                <c:pt idx="6">
                  <c:v>0.94759403310538559</c:v>
                </c:pt>
                <c:pt idx="7">
                  <c:v>0.92401235851759356</c:v>
                </c:pt>
                <c:pt idx="8">
                  <c:v>0.9100641947663356</c:v>
                </c:pt>
                <c:pt idx="9">
                  <c:v>1.055304239013487</c:v>
                </c:pt>
              </c:numCache>
            </c:numRef>
          </c:val>
          <c:extLst>
            <c:ext xmlns:c16="http://schemas.microsoft.com/office/drawing/2014/chart" uri="{C3380CC4-5D6E-409C-BE32-E72D297353CC}">
              <c16:uniqueId val="{00000000-1435-47FA-8547-0117C063A0E3}"/>
            </c:ext>
          </c:extLst>
        </c:ser>
        <c:ser>
          <c:idx val="1"/>
          <c:order val="1"/>
          <c:tx>
            <c:strRef>
              <c:f>AMX!$X$24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435-47FA-8547-0117C063A0E3}"/>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MITRA!$W$24</c:f>
              <c:strCache>
                <c:ptCount val="1"/>
                <c:pt idx="0">
                  <c:v>Mitratel</c:v>
                </c:pt>
              </c:strCache>
            </c:strRef>
          </c:tx>
          <c:spPr>
            <a:ln w="25400">
              <a:solidFill>
                <a:srgbClr val="263238"/>
              </a:solidFill>
              <a:prstDash val="solid"/>
            </a:ln>
            <a:effectLst/>
          </c:spPr>
          <c:marker>
            <c:symbol val="diamond"/>
            <c:size val="6"/>
            <c:spPr>
              <a:solidFill>
                <a:srgbClr val="26323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MITRA!$W$25:$W$34</c:f>
              <c:numCache>
                <c:formatCode>0%</c:formatCode>
                <c:ptCount val="10"/>
                <c:pt idx="0">
                  <c:v>3.2427512039138908</c:v>
                </c:pt>
                <c:pt idx="1">
                  <c:v>1.3052815980550616</c:v>
                </c:pt>
                <c:pt idx="2">
                  <c:v>-1.4474506628000963</c:v>
                </c:pt>
                <c:pt idx="3">
                  <c:v>-1.4732969217652105</c:v>
                </c:pt>
                <c:pt idx="4">
                  <c:v>0.70414806292764776</c:v>
                </c:pt>
                <c:pt idx="5">
                  <c:v>0.50656922497523216</c:v>
                </c:pt>
                <c:pt idx="6">
                  <c:v>1.6523094352656389</c:v>
                </c:pt>
                <c:pt idx="7">
                  <c:v>1.156436985113837</c:v>
                </c:pt>
                <c:pt idx="8">
                  <c:v>0.89966686685478681</c:v>
                </c:pt>
                <c:pt idx="9">
                  <c:v>0.60521351428295378</c:v>
                </c:pt>
              </c:numCache>
            </c:numRef>
          </c:val>
          <c:extLst>
            <c:ext xmlns:c16="http://schemas.microsoft.com/office/drawing/2014/chart" uri="{C3380CC4-5D6E-409C-BE32-E72D297353CC}">
              <c16:uniqueId val="{00000000-7919-426B-9EE7-C0AF29498326}"/>
            </c:ext>
          </c:extLst>
        </c:ser>
        <c:ser>
          <c:idx val="1"/>
          <c:order val="1"/>
          <c:tx>
            <c:strRef>
              <c:f>MITRA!$X$24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919-426B-9EE7-C0AF29498326}"/>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7679667543703"/>
          <c:y val="9.9688776798508072E-2"/>
          <c:w val="0.4377013104290558"/>
          <c:h val="0.69420477897836752"/>
        </c:manualLayout>
      </c:layout>
      <c:radarChart>
        <c:radarStyle val="marker"/>
        <c:varyColors val="0"/>
        <c:ser>
          <c:idx val="0"/>
          <c:order val="0"/>
          <c:tx>
            <c:strRef>
              <c:f>MTN!$W$24</c:f>
              <c:strCache>
                <c:ptCount val="1"/>
                <c:pt idx="0">
                  <c:v>MTN</c:v>
                </c:pt>
              </c:strCache>
            </c:strRef>
          </c:tx>
          <c:spPr>
            <a:ln w="25400">
              <a:solidFill>
                <a:srgbClr val="263238"/>
              </a:solidFill>
              <a:prstDash val="solid"/>
            </a:ln>
            <a:effectLst/>
          </c:spPr>
          <c:marker>
            <c:symbol val="diamond"/>
            <c:size val="6"/>
            <c:spPr>
              <a:solidFill>
                <a:srgbClr val="26323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MTN!$W$25:$W$34</c:f>
              <c:numCache>
                <c:formatCode>0%</c:formatCode>
                <c:ptCount val="10"/>
                <c:pt idx="0">
                  <c:v>0.8852595757842977</c:v>
                </c:pt>
                <c:pt idx="1">
                  <c:v>0.94244608721389644</c:v>
                </c:pt>
                <c:pt idx="2">
                  <c:v>1.0370774359571779</c:v>
                </c:pt>
                <c:pt idx="3">
                  <c:v>1.0128246463482404</c:v>
                </c:pt>
                <c:pt idx="4">
                  <c:v>0.80714100874650285</c:v>
                </c:pt>
                <c:pt idx="5">
                  <c:v>0.70910846429457497</c:v>
                </c:pt>
                <c:pt idx="6">
                  <c:v>1.5919427599856035</c:v>
                </c:pt>
                <c:pt idx="7">
                  <c:v>1.0149111113234175</c:v>
                </c:pt>
                <c:pt idx="8">
                  <c:v>0.63668279083131574</c:v>
                </c:pt>
                <c:pt idx="9">
                  <c:v>0.62816328899227725</c:v>
                </c:pt>
              </c:numCache>
            </c:numRef>
          </c:val>
          <c:extLst>
            <c:ext xmlns:c16="http://schemas.microsoft.com/office/drawing/2014/chart" uri="{C3380CC4-5D6E-409C-BE32-E72D297353CC}">
              <c16:uniqueId val="{00000000-5498-4330-B81E-C8655EE8F505}"/>
            </c:ext>
          </c:extLst>
        </c:ser>
        <c:ser>
          <c:idx val="1"/>
          <c:order val="1"/>
          <c:tx>
            <c:strRef>
              <c:f>MTN!$X$24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498-4330-B81E-C8655EE8F505}"/>
            </c:ext>
          </c:extLst>
        </c:ser>
        <c:dLbls>
          <c:showLegendKey val="0"/>
          <c:showVal val="0"/>
          <c:showCatName val="0"/>
          <c:showSerName val="0"/>
          <c:showPercent val="0"/>
          <c:showBubbleSize val="0"/>
        </c:dLbls>
        <c:axId val="437737344"/>
        <c:axId val="437764096"/>
      </c:radarChart>
      <c:catAx>
        <c:axId val="4377373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7764096"/>
        <c:crosses val="autoZero"/>
        <c:auto val="0"/>
        <c:lblAlgn val="ctr"/>
        <c:lblOffset val="100"/>
        <c:noMultiLvlLbl val="0"/>
      </c:catAx>
      <c:valAx>
        <c:axId val="4377640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77373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51643865419332"/>
          <c:y val="0.10869581700040198"/>
          <c:w val="0.42338751357295346"/>
          <c:h val="0.65217490200241224"/>
        </c:manualLayout>
      </c:layout>
      <c:radarChart>
        <c:radarStyle val="marker"/>
        <c:varyColors val="0"/>
        <c:ser>
          <c:idx val="0"/>
          <c:order val="0"/>
          <c:tx>
            <c:strRef>
              <c:f>NOS!$W$24</c:f>
              <c:strCache>
                <c:ptCount val="1"/>
                <c:pt idx="0">
                  <c:v>Nos</c:v>
                </c:pt>
              </c:strCache>
            </c:strRef>
          </c:tx>
          <c:spPr>
            <a:ln w="25400">
              <a:solidFill>
                <a:srgbClr val="263238"/>
              </a:solidFill>
              <a:prstDash val="solid"/>
            </a:ln>
            <a:effectLst/>
          </c:spPr>
          <c:marker>
            <c:symbol val="diamond"/>
            <c:size val="6"/>
            <c:spPr>
              <a:solidFill>
                <a:srgbClr val="26323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NOS!$W$25:$W$34</c:f>
              <c:numCache>
                <c:formatCode>0%</c:formatCode>
                <c:ptCount val="10"/>
                <c:pt idx="0">
                  <c:v>1.7767639504344468</c:v>
                </c:pt>
                <c:pt idx="1">
                  <c:v>0.96141755148817731</c:v>
                </c:pt>
                <c:pt idx="2">
                  <c:v>0.88334675562966336</c:v>
                </c:pt>
                <c:pt idx="3">
                  <c:v>0.84792681076832044</c:v>
                </c:pt>
                <c:pt idx="4">
                  <c:v>1.6306381992964916</c:v>
                </c:pt>
                <c:pt idx="5">
                  <c:v>0.92413437711602708</c:v>
                </c:pt>
                <c:pt idx="6">
                  <c:v>0.89412336665593617</c:v>
                </c:pt>
                <c:pt idx="7">
                  <c:v>0.52856468816365321</c:v>
                </c:pt>
                <c:pt idx="8">
                  <c:v>1.6052486021706716</c:v>
                </c:pt>
                <c:pt idx="9">
                  <c:v>1.1184138982297795</c:v>
                </c:pt>
              </c:numCache>
            </c:numRef>
          </c:val>
          <c:extLst>
            <c:ext xmlns:c16="http://schemas.microsoft.com/office/drawing/2014/chart" uri="{C3380CC4-5D6E-409C-BE32-E72D297353CC}">
              <c16:uniqueId val="{00000000-7C02-402B-8BB5-CF8909BC2055}"/>
            </c:ext>
          </c:extLst>
        </c:ser>
        <c:ser>
          <c:idx val="1"/>
          <c:order val="1"/>
          <c:tx>
            <c:strRef>
              <c:f>NOS!$X$24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C02-402B-8BB5-CF8909BC2055}"/>
            </c:ext>
          </c:extLst>
        </c:ser>
        <c:dLbls>
          <c:showLegendKey val="0"/>
          <c:showVal val="0"/>
          <c:showCatName val="0"/>
          <c:showSerName val="0"/>
          <c:showPercent val="0"/>
          <c:showBubbleSize val="0"/>
        </c:dLbls>
        <c:axId val="283305856"/>
        <c:axId val="283312128"/>
      </c:radarChart>
      <c:catAx>
        <c:axId val="2833058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312128"/>
        <c:crosses val="autoZero"/>
        <c:auto val="0"/>
        <c:lblAlgn val="ctr"/>
        <c:lblOffset val="100"/>
        <c:noMultiLvlLbl val="0"/>
      </c:catAx>
      <c:valAx>
        <c:axId val="2833121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3058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53734048380662"/>
          <c:y val="0.15384638498555461"/>
          <c:w val="0.39847981997579046"/>
          <c:h val="0.62293823279976235"/>
        </c:manualLayout>
      </c:layout>
      <c:radarChart>
        <c:radarStyle val="marker"/>
        <c:varyColors val="0"/>
        <c:ser>
          <c:idx val="0"/>
          <c:order val="0"/>
          <c:tx>
            <c:strRef>
              <c:f>NTT!$W$24</c:f>
              <c:strCache>
                <c:ptCount val="1"/>
                <c:pt idx="0">
                  <c:v>NTT</c:v>
                </c:pt>
              </c:strCache>
            </c:strRef>
          </c:tx>
          <c:spPr>
            <a:ln w="25400">
              <a:solidFill>
                <a:srgbClr val="263238"/>
              </a:solidFill>
              <a:prstDash val="solid"/>
            </a:ln>
            <a:effectLst/>
          </c:spPr>
          <c:marker>
            <c:symbol val="diamond"/>
            <c:size val="6"/>
            <c:spPr>
              <a:solidFill>
                <a:srgbClr val="26323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NTT!$W$25:$W$34</c:f>
              <c:numCache>
                <c:formatCode>0%</c:formatCode>
                <c:ptCount val="10"/>
                <c:pt idx="0">
                  <c:v>1.3996603377783798</c:v>
                </c:pt>
                <c:pt idx="1">
                  <c:v>1.5013240799174583</c:v>
                </c:pt>
                <c:pt idx="2">
                  <c:v>1.923950620748426</c:v>
                </c:pt>
                <c:pt idx="3">
                  <c:v>2.1292798027030369</c:v>
                </c:pt>
                <c:pt idx="4">
                  <c:v>1.1915523679115618</c:v>
                </c:pt>
                <c:pt idx="5">
                  <c:v>1.4015532306827507</c:v>
                </c:pt>
                <c:pt idx="6">
                  <c:v>1.8881331578766993</c:v>
                </c:pt>
                <c:pt idx="7">
                  <c:v>0.90321843407047131</c:v>
                </c:pt>
                <c:pt idx="8">
                  <c:v>0.6804155106325448</c:v>
                </c:pt>
                <c:pt idx="9">
                  <c:v>0.52962366336733913</c:v>
                </c:pt>
              </c:numCache>
            </c:numRef>
          </c:val>
          <c:extLst>
            <c:ext xmlns:c16="http://schemas.microsoft.com/office/drawing/2014/chart" uri="{C3380CC4-5D6E-409C-BE32-E72D297353CC}">
              <c16:uniqueId val="{00000000-FB8D-4B72-88FB-80F06B5C8C88}"/>
            </c:ext>
          </c:extLst>
        </c:ser>
        <c:ser>
          <c:idx val="1"/>
          <c:order val="1"/>
          <c:tx>
            <c:strRef>
              <c:f>NTT!$X$24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B8D-4B72-88FB-80F06B5C8C88}"/>
            </c:ext>
          </c:extLst>
        </c:ser>
        <c:dLbls>
          <c:showLegendKey val="0"/>
          <c:showVal val="0"/>
          <c:showCatName val="0"/>
          <c:showSerName val="0"/>
          <c:showPercent val="0"/>
          <c:showBubbleSize val="0"/>
        </c:dLbls>
        <c:axId val="283023232"/>
        <c:axId val="283029504"/>
      </c:radarChart>
      <c:catAx>
        <c:axId val="2830232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029504"/>
        <c:crosses val="autoZero"/>
        <c:auto val="0"/>
        <c:lblAlgn val="ctr"/>
        <c:lblOffset val="100"/>
        <c:noMultiLvlLbl val="0"/>
      </c:catAx>
      <c:valAx>
        <c:axId val="2830295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0232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450129783111678"/>
          <c:y val="9.3167843143201895E-2"/>
          <c:w val="0.47639212715645335"/>
          <c:h val="0.74407322530017428"/>
        </c:manualLayout>
      </c:layout>
      <c:radarChart>
        <c:radarStyle val="marker"/>
        <c:varyColors val="0"/>
        <c:ser>
          <c:idx val="0"/>
          <c:order val="0"/>
          <c:tx>
            <c:strRef>
              <c:f>OBEL!$W$24</c:f>
              <c:strCache>
                <c:ptCount val="1"/>
                <c:pt idx="0">
                  <c:v>Mobistar</c:v>
                </c:pt>
              </c:strCache>
            </c:strRef>
          </c:tx>
          <c:spPr>
            <a:ln w="25400">
              <a:solidFill>
                <a:srgbClr val="263238"/>
              </a:solidFill>
              <a:prstDash val="solid"/>
            </a:ln>
            <a:effectLst/>
          </c:spPr>
          <c:marker>
            <c:symbol val="diamond"/>
            <c:size val="6"/>
            <c:spPr>
              <a:solidFill>
                <a:srgbClr val="26323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OBEL!$W$25:$W$34</c:f>
              <c:numCache>
                <c:formatCode>0%</c:formatCode>
                <c:ptCount val="10"/>
                <c:pt idx="0">
                  <c:v>1.2781628773927753</c:v>
                </c:pt>
                <c:pt idx="1">
                  <c:v>0.92602429911680262</c:v>
                </c:pt>
                <c:pt idx="2">
                  <c:v>1.2539634852913952</c:v>
                </c:pt>
                <c:pt idx="3">
                  <c:v>1.2438055163852202</c:v>
                </c:pt>
                <c:pt idx="4">
                  <c:v>0.98732640761870927</c:v>
                </c:pt>
                <c:pt idx="5">
                  <c:v>0.62223100905516249</c:v>
                </c:pt>
                <c:pt idx="6">
                  <c:v>1.3771533242597065</c:v>
                </c:pt>
                <c:pt idx="7">
                  <c:v>0.82946738387829333</c:v>
                </c:pt>
                <c:pt idx="8">
                  <c:v>0</c:v>
                </c:pt>
                <c:pt idx="9">
                  <c:v>0.72613555976968169</c:v>
                </c:pt>
              </c:numCache>
            </c:numRef>
          </c:val>
          <c:extLst>
            <c:ext xmlns:c16="http://schemas.microsoft.com/office/drawing/2014/chart" uri="{C3380CC4-5D6E-409C-BE32-E72D297353CC}">
              <c16:uniqueId val="{00000000-2203-48C2-8AF3-6CF9E63DDEB8}"/>
            </c:ext>
          </c:extLst>
        </c:ser>
        <c:ser>
          <c:idx val="1"/>
          <c:order val="1"/>
          <c:tx>
            <c:strRef>
              <c:f>OBEL!$X$24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3-48C2-8AF3-6CF9E63DDEB8}"/>
            </c:ext>
          </c:extLst>
        </c:ser>
        <c:dLbls>
          <c:showLegendKey val="0"/>
          <c:showVal val="0"/>
          <c:showCatName val="0"/>
          <c:showSerName val="0"/>
          <c:showPercent val="0"/>
          <c:showBubbleSize val="0"/>
        </c:dLbls>
        <c:axId val="278153088"/>
        <c:axId val="278155264"/>
      </c:radarChart>
      <c:catAx>
        <c:axId val="278153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78155264"/>
        <c:crosses val="autoZero"/>
        <c:auto val="0"/>
        <c:lblAlgn val="ctr"/>
        <c:lblOffset val="100"/>
        <c:noMultiLvlLbl val="0"/>
      </c:catAx>
      <c:valAx>
        <c:axId val="27815526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781530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827315877167824"/>
          <c:y val="0.12999148269098526"/>
          <c:w val="0.51612954035559999"/>
          <c:h val="0.79751021438806469"/>
        </c:manualLayout>
      </c:layout>
      <c:radarChart>
        <c:radarStyle val="marker"/>
        <c:varyColors val="0"/>
        <c:ser>
          <c:idx val="0"/>
          <c:order val="0"/>
          <c:tx>
            <c:strRef>
              <c:f>ORA!$W$24</c:f>
              <c:strCache>
                <c:ptCount val="1"/>
                <c:pt idx="0">
                  <c:v>ORA</c:v>
                </c:pt>
              </c:strCache>
            </c:strRef>
          </c:tx>
          <c:spPr>
            <a:ln w="25400">
              <a:solidFill>
                <a:srgbClr val="263238"/>
              </a:solidFill>
              <a:prstDash val="solid"/>
            </a:ln>
            <a:effectLst/>
          </c:spPr>
          <c:marker>
            <c:symbol val="diamond"/>
            <c:size val="6"/>
            <c:spPr>
              <a:solidFill>
                <a:srgbClr val="26323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ORA!$W$25:$W$34</c:f>
              <c:numCache>
                <c:formatCode>0%</c:formatCode>
                <c:ptCount val="10"/>
                <c:pt idx="0">
                  <c:v>0.96152184742892755</c:v>
                </c:pt>
                <c:pt idx="1">
                  <c:v>1.0568880403355718</c:v>
                </c:pt>
                <c:pt idx="2">
                  <c:v>1.1030331682214372</c:v>
                </c:pt>
                <c:pt idx="3">
                  <c:v>1.1079259426660066</c:v>
                </c:pt>
                <c:pt idx="4">
                  <c:v>1.0021594846280748</c:v>
                </c:pt>
                <c:pt idx="5">
                  <c:v>0.83965733075478677</c:v>
                </c:pt>
                <c:pt idx="6">
                  <c:v>1.4630205068565962</c:v>
                </c:pt>
                <c:pt idx="7">
                  <c:v>1.1755795510944771</c:v>
                </c:pt>
                <c:pt idx="8">
                  <c:v>1.1062389266786754</c:v>
                </c:pt>
                <c:pt idx="9">
                  <c:v>0.68351741845954783</c:v>
                </c:pt>
              </c:numCache>
            </c:numRef>
          </c:val>
          <c:extLst>
            <c:ext xmlns:c16="http://schemas.microsoft.com/office/drawing/2014/chart" uri="{C3380CC4-5D6E-409C-BE32-E72D297353CC}">
              <c16:uniqueId val="{00000000-E2C5-418A-BFF8-74B45ECFD016}"/>
            </c:ext>
          </c:extLst>
        </c:ser>
        <c:ser>
          <c:idx val="1"/>
          <c:order val="1"/>
          <c:tx>
            <c:strRef>
              <c:f>ORA!$X$24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2C5-418A-BFF8-74B45ECFD016}"/>
            </c:ext>
          </c:extLst>
        </c:ser>
        <c:dLbls>
          <c:showLegendKey val="0"/>
          <c:showVal val="0"/>
          <c:showCatName val="0"/>
          <c:showSerName val="0"/>
          <c:showPercent val="0"/>
          <c:showBubbleSize val="0"/>
        </c:dLbls>
        <c:axId val="423246464"/>
        <c:axId val="423248640"/>
      </c:radarChart>
      <c:catAx>
        <c:axId val="4232464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3248640"/>
        <c:crosses val="autoZero"/>
        <c:auto val="0"/>
        <c:lblAlgn val="ctr"/>
        <c:lblOffset val="100"/>
        <c:noMultiLvlLbl val="0"/>
      </c:catAx>
      <c:valAx>
        <c:axId val="423248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32464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441587363363402"/>
          <c:y val="7.1651308323927659E-2"/>
          <c:w val="0.50590745561051864"/>
          <c:h val="0.75732523214841441"/>
        </c:manualLayout>
      </c:layout>
      <c:radarChart>
        <c:radarStyle val="marker"/>
        <c:varyColors val="0"/>
        <c:ser>
          <c:idx val="0"/>
          <c:order val="0"/>
          <c:tx>
            <c:strRef>
              <c:f>OTE!$W$24</c:f>
              <c:strCache>
                <c:ptCount val="1"/>
                <c:pt idx="0">
                  <c:v>OTE</c:v>
                </c:pt>
              </c:strCache>
            </c:strRef>
          </c:tx>
          <c:spPr>
            <a:ln w="25400">
              <a:solidFill>
                <a:srgbClr val="263238"/>
              </a:solidFill>
              <a:prstDash val="solid"/>
            </a:ln>
            <a:effectLst/>
          </c:spPr>
          <c:marker>
            <c:symbol val="diamond"/>
            <c:size val="6"/>
            <c:spPr>
              <a:solidFill>
                <a:srgbClr val="263238"/>
              </a:solidFill>
              <a:ln w="6350">
                <a:noFill/>
              </a:ln>
            </c:spPr>
          </c:marker>
          <c:cat>
            <c:strRef>
              <c:f>OTE!$V$25:$V$33</c:f>
              <c:strCache>
                <c:ptCount val="9"/>
                <c:pt idx="0">
                  <c:v>EV/Revenue</c:v>
                </c:pt>
                <c:pt idx="1">
                  <c:v>EV/EBITDA</c:v>
                </c:pt>
                <c:pt idx="2">
                  <c:v>EV/OpFCF</c:v>
                </c:pt>
                <c:pt idx="3">
                  <c:v>EV/FCF</c:v>
                </c:pt>
                <c:pt idx="4">
                  <c:v>EV/Invested capital</c:v>
                </c:pt>
                <c:pt idx="5">
                  <c:v>EV/NFA</c:v>
                </c:pt>
                <c:pt idx="6">
                  <c:v>P/EFCF</c:v>
                </c:pt>
                <c:pt idx="7">
                  <c:v>Adjusted P/E</c:v>
                </c:pt>
                <c:pt idx="8">
                  <c:v>Dividend yield</c:v>
                </c:pt>
              </c:strCache>
            </c:strRef>
          </c:cat>
          <c:val>
            <c:numRef>
              <c:f>OTE!$W$25:$W$33</c:f>
              <c:numCache>
                <c:formatCode>0%</c:formatCode>
                <c:ptCount val="9"/>
                <c:pt idx="0">
                  <c:v>0.87526747047662579</c:v>
                </c:pt>
                <c:pt idx="1">
                  <c:v>0.77713784032475985</c:v>
                </c:pt>
                <c:pt idx="2">
                  <c:v>0.74998645684154153</c:v>
                </c:pt>
                <c:pt idx="3">
                  <c:v>0.73398454961059378</c:v>
                </c:pt>
                <c:pt idx="4">
                  <c:v>1.8627605566470964</c:v>
                </c:pt>
                <c:pt idx="5">
                  <c:v>0.93822464476008327</c:v>
                </c:pt>
                <c:pt idx="6">
                  <c:v>0.69234301170548251</c:v>
                </c:pt>
                <c:pt idx="7">
                  <c:v>0.97237020152218978</c:v>
                </c:pt>
                <c:pt idx="8">
                  <c:v>1.248159764132329</c:v>
                </c:pt>
              </c:numCache>
            </c:numRef>
          </c:val>
          <c:extLst>
            <c:ext xmlns:c16="http://schemas.microsoft.com/office/drawing/2014/chart" uri="{C3380CC4-5D6E-409C-BE32-E72D297353CC}">
              <c16:uniqueId val="{00000000-1C2B-4AA6-ACE7-8E10B7C72250}"/>
            </c:ext>
          </c:extLst>
        </c:ser>
        <c:ser>
          <c:idx val="1"/>
          <c:order val="1"/>
          <c:tx>
            <c:strRef>
              <c:f>OTE!$X$24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OTE!$V$25:$V$33</c:f>
              <c:strCache>
                <c:ptCount val="9"/>
                <c:pt idx="0">
                  <c:v>EV/Revenue</c:v>
                </c:pt>
                <c:pt idx="1">
                  <c:v>EV/EBITDA</c:v>
                </c:pt>
                <c:pt idx="2">
                  <c:v>EV/OpFCF</c:v>
                </c:pt>
                <c:pt idx="3">
                  <c:v>EV/FCF</c:v>
                </c:pt>
                <c:pt idx="4">
                  <c:v>EV/Invested capital</c:v>
                </c:pt>
                <c:pt idx="5">
                  <c:v>EV/NFA</c:v>
                </c:pt>
                <c:pt idx="6">
                  <c:v>P/EFCF</c:v>
                </c:pt>
                <c:pt idx="7">
                  <c:v>Adjusted P/E</c:v>
                </c:pt>
                <c:pt idx="8">
                  <c:v>Dividend yield</c:v>
                </c:pt>
              </c:strCache>
            </c:strRef>
          </c:cat>
          <c:val>
            <c:numRef>
              <c:f>OTE!$X$25:$X$33</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1-1C2B-4AA6-ACE7-8E10B7C72250}"/>
            </c:ext>
          </c:extLst>
        </c:ser>
        <c:dLbls>
          <c:showLegendKey val="0"/>
          <c:showVal val="0"/>
          <c:showCatName val="0"/>
          <c:showSerName val="0"/>
          <c:showPercent val="0"/>
          <c:showBubbleSize val="0"/>
        </c:dLbls>
        <c:axId val="289036160"/>
        <c:axId val="289042432"/>
      </c:radarChart>
      <c:catAx>
        <c:axId val="2890361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9042432"/>
        <c:crosses val="autoZero"/>
        <c:auto val="0"/>
        <c:lblAlgn val="ctr"/>
        <c:lblOffset val="100"/>
        <c:noMultiLvlLbl val="0"/>
      </c:catAx>
      <c:valAx>
        <c:axId val="289042432"/>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90361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0.10869581700040198"/>
          <c:w val="0.50806501628754364"/>
          <c:h val="0.78260988240289509"/>
        </c:manualLayout>
      </c:layout>
      <c:radarChart>
        <c:radarStyle val="marker"/>
        <c:varyColors val="0"/>
        <c:ser>
          <c:idx val="0"/>
          <c:order val="0"/>
          <c:tx>
            <c:strRef>
              <c:f>PROX!$W$24</c:f>
              <c:strCache>
                <c:ptCount val="1"/>
                <c:pt idx="0">
                  <c:v>Belgacom</c:v>
                </c:pt>
              </c:strCache>
            </c:strRef>
          </c:tx>
          <c:spPr>
            <a:ln w="25400">
              <a:solidFill>
                <a:srgbClr val="263238"/>
              </a:solidFill>
              <a:prstDash val="solid"/>
            </a:ln>
            <a:effectLst/>
          </c:spPr>
          <c:marker>
            <c:symbol val="diamond"/>
            <c:size val="6"/>
            <c:spPr>
              <a:solidFill>
                <a:srgbClr val="26323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PROX!$W$25:$W$34</c:f>
              <c:numCache>
                <c:formatCode>0%</c:formatCode>
                <c:ptCount val="10"/>
                <c:pt idx="0">
                  <c:v>0.48517965540960079</c:v>
                </c:pt>
                <c:pt idx="1">
                  <c:v>0.55106068724292179</c:v>
                </c:pt>
                <c:pt idx="2">
                  <c:v>0.85821730679995989</c:v>
                </c:pt>
                <c:pt idx="3">
                  <c:v>0.84750154273670508</c:v>
                </c:pt>
                <c:pt idx="4">
                  <c:v>0.54198958694710075</c:v>
                </c:pt>
                <c:pt idx="5">
                  <c:v>0.42483352642208067</c:v>
                </c:pt>
                <c:pt idx="6">
                  <c:v>0.33297998232826925</c:v>
                </c:pt>
                <c:pt idx="7">
                  <c:v>0.35715369234897582</c:v>
                </c:pt>
                <c:pt idx="8">
                  <c:v>2.3546370638445651</c:v>
                </c:pt>
                <c:pt idx="9">
                  <c:v>3.0031835337601378</c:v>
                </c:pt>
              </c:numCache>
            </c:numRef>
          </c:val>
          <c:extLst>
            <c:ext xmlns:c16="http://schemas.microsoft.com/office/drawing/2014/chart" uri="{C3380CC4-5D6E-409C-BE32-E72D297353CC}">
              <c16:uniqueId val="{00000000-5022-4714-B15F-E667DA22D5A5}"/>
            </c:ext>
          </c:extLst>
        </c:ser>
        <c:ser>
          <c:idx val="1"/>
          <c:order val="1"/>
          <c:tx>
            <c:strRef>
              <c:f>PROX!$X$24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022-4714-B15F-E667DA22D5A5}"/>
            </c:ext>
          </c:extLst>
        </c:ser>
        <c:dLbls>
          <c:showLegendKey val="0"/>
          <c:showVal val="0"/>
          <c:showCatName val="0"/>
          <c:showSerName val="0"/>
          <c:showPercent val="0"/>
          <c:showBubbleSize val="0"/>
        </c:dLbls>
        <c:axId val="290130560"/>
        <c:axId val="290129792"/>
      </c:radarChart>
      <c:catAx>
        <c:axId val="290130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129792"/>
        <c:crosses val="autoZero"/>
        <c:auto val="0"/>
        <c:lblAlgn val="ctr"/>
        <c:lblOffset val="100"/>
        <c:noMultiLvlLbl val="0"/>
      </c:catAx>
      <c:valAx>
        <c:axId val="2901297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130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37526043518498"/>
          <c:y val="0.1"/>
          <c:w val="0.47488346683142685"/>
          <c:h val="0.71343143419900434"/>
        </c:manualLayout>
      </c:layout>
      <c:radarChart>
        <c:radarStyle val="marker"/>
        <c:varyColors val="0"/>
        <c:ser>
          <c:idx val="0"/>
          <c:order val="0"/>
          <c:tx>
            <c:strRef>
              <c:f>PTT!$W$24</c:f>
              <c:strCache>
                <c:ptCount val="1"/>
                <c:pt idx="0">
                  <c:v>PTT</c:v>
                </c:pt>
              </c:strCache>
            </c:strRef>
          </c:tx>
          <c:spPr>
            <a:ln w="25400">
              <a:solidFill>
                <a:srgbClr val="263238"/>
              </a:solidFill>
              <a:prstDash val="solid"/>
            </a:ln>
            <a:effectLst/>
          </c:spPr>
          <c:marker>
            <c:symbol val="diamond"/>
            <c:size val="6"/>
            <c:spPr>
              <a:solidFill>
                <a:srgbClr val="26323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PTT!$W$25:$W$34</c:f>
              <c:numCache>
                <c:formatCode>0%</c:formatCode>
                <c:ptCount val="10"/>
                <c:pt idx="0">
                  <c:v>3.25287625419976</c:v>
                </c:pt>
                <c:pt idx="1">
                  <c:v>1.7156554379630207</c:v>
                </c:pt>
                <c:pt idx="2">
                  <c:v>1.1026320629629571</c:v>
                </c:pt>
                <c:pt idx="3">
                  <c:v>1.0795031605938601</c:v>
                </c:pt>
                <c:pt idx="4">
                  <c:v>2.0184349094104697</c:v>
                </c:pt>
                <c:pt idx="5">
                  <c:v>2.5604888119450808</c:v>
                </c:pt>
                <c:pt idx="6">
                  <c:v>0.48296446074026939</c:v>
                </c:pt>
                <c:pt idx="7">
                  <c:v>1.0164420861110792</c:v>
                </c:pt>
                <c:pt idx="8">
                  <c:v>1.3727349368992221</c:v>
                </c:pt>
                <c:pt idx="9">
                  <c:v>2.0705457260089872</c:v>
                </c:pt>
              </c:numCache>
            </c:numRef>
          </c:val>
          <c:extLst>
            <c:ext xmlns:c16="http://schemas.microsoft.com/office/drawing/2014/chart" uri="{C3380CC4-5D6E-409C-BE32-E72D297353CC}">
              <c16:uniqueId val="{00000000-647C-4C63-8EB3-B82ABD193E60}"/>
            </c:ext>
          </c:extLst>
        </c:ser>
        <c:ser>
          <c:idx val="1"/>
          <c:order val="1"/>
          <c:tx>
            <c:strRef>
              <c:f>PTT!$X$24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47C-4C63-8EB3-B82ABD193E60}"/>
            </c:ext>
          </c:extLst>
        </c:ser>
        <c:dLbls>
          <c:showLegendKey val="0"/>
          <c:showVal val="0"/>
          <c:showCatName val="0"/>
          <c:showSerName val="0"/>
          <c:showPercent val="0"/>
          <c:showBubbleSize val="0"/>
        </c:dLbls>
        <c:axId val="291861632"/>
        <c:axId val="291863552"/>
      </c:radarChart>
      <c:catAx>
        <c:axId val="2918616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863552"/>
        <c:crosses val="autoZero"/>
        <c:auto val="0"/>
        <c:lblAlgn val="ctr"/>
        <c:lblOffset val="100"/>
        <c:noMultiLvlLbl val="0"/>
      </c:catAx>
      <c:valAx>
        <c:axId val="2918635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8616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RAK!$W$24</c:f>
              <c:strCache>
                <c:ptCount val="1"/>
                <c:pt idx="0">
                  <c:v>Rakuten</c:v>
                </c:pt>
              </c:strCache>
            </c:strRef>
          </c:tx>
          <c:spPr>
            <a:ln w="25400">
              <a:solidFill>
                <a:srgbClr val="263238"/>
              </a:solidFill>
              <a:prstDash val="solid"/>
            </a:ln>
            <a:effectLst/>
          </c:spPr>
          <c:marker>
            <c:symbol val="diamond"/>
            <c:size val="6"/>
            <c:spPr>
              <a:solidFill>
                <a:srgbClr val="26323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RAK!$W$25:$W$34</c:f>
              <c:numCache>
                <c:formatCode>0%</c:formatCode>
                <c:ptCount val="10"/>
                <c:pt idx="0">
                  <c:v>0.46035695182027986</c:v>
                </c:pt>
                <c:pt idx="1">
                  <c:v>0.92274017022865573</c:v>
                </c:pt>
                <c:pt idx="2">
                  <c:v>1.7796306547137253</c:v>
                </c:pt>
                <c:pt idx="3">
                  <c:v>1.9689222312004779</c:v>
                </c:pt>
                <c:pt idx="4">
                  <c:v>0.70509035906504058</c:v>
                </c:pt>
                <c:pt idx="5">
                  <c:v>0.59599456338489087</c:v>
                </c:pt>
                <c:pt idx="6">
                  <c:v>-14.838050331653866</c:v>
                </c:pt>
                <c:pt idx="7">
                  <c:v>-1.8937367049685654</c:v>
                </c:pt>
                <c:pt idx="8">
                  <c:v>0</c:v>
                </c:pt>
                <c:pt idx="9">
                  <c:v>-6.739429895764068E-2</c:v>
                </c:pt>
              </c:numCache>
            </c:numRef>
          </c:val>
          <c:extLst>
            <c:ext xmlns:c16="http://schemas.microsoft.com/office/drawing/2014/chart" uri="{C3380CC4-5D6E-409C-BE32-E72D297353CC}">
              <c16:uniqueId val="{00000000-F9B0-4668-A556-828CCBD3E21F}"/>
            </c:ext>
          </c:extLst>
        </c:ser>
        <c:ser>
          <c:idx val="1"/>
          <c:order val="1"/>
          <c:tx>
            <c:strRef>
              <c:f>RAK!$X$24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B0-4668-A556-828CCBD3E21F}"/>
            </c:ext>
          </c:extLst>
        </c:ser>
        <c:dLbls>
          <c:showLegendKey val="0"/>
          <c:showVal val="0"/>
          <c:showCatName val="0"/>
          <c:showSerName val="0"/>
          <c:showPercent val="0"/>
          <c:showBubbleSize val="0"/>
        </c:dLbls>
        <c:axId val="291988608"/>
        <c:axId val="291990528"/>
      </c:radarChart>
      <c:catAx>
        <c:axId val="2919886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990528"/>
        <c:crosses val="autoZero"/>
        <c:auto val="0"/>
        <c:lblAlgn val="ctr"/>
        <c:lblOffset val="100"/>
        <c:noMultiLvlLbl val="0"/>
      </c:catAx>
      <c:valAx>
        <c:axId val="2919905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9886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ATCUS!$W$24</c:f>
              <c:strCache>
                <c:ptCount val="1"/>
                <c:pt idx="0">
                  <c:v>ATCUS</c:v>
                </c:pt>
              </c:strCache>
            </c:strRef>
          </c:tx>
          <c:spPr>
            <a:ln w="25400">
              <a:solidFill>
                <a:srgbClr val="263238"/>
              </a:solidFill>
              <a:prstDash val="solid"/>
            </a:ln>
            <a:effectLst/>
          </c:spPr>
          <c:marker>
            <c:symbol val="diamond"/>
            <c:size val="6"/>
            <c:spPr>
              <a:solidFill>
                <a:srgbClr val="26323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ATCUS!$W$25:$W$34</c:f>
              <c:numCache>
                <c:formatCode>0%</c:formatCode>
                <c:ptCount val="10"/>
                <c:pt idx="0">
                  <c:v>1.4017081365565571</c:v>
                </c:pt>
                <c:pt idx="1">
                  <c:v>1.1496733310362668</c:v>
                </c:pt>
                <c:pt idx="2">
                  <c:v>1.2950986623096574</c:v>
                </c:pt>
                <c:pt idx="3">
                  <c:v>1.2622929978539208</c:v>
                </c:pt>
                <c:pt idx="4">
                  <c:v>0.92566485901935747</c:v>
                </c:pt>
                <c:pt idx="5">
                  <c:v>0.9214604379498107</c:v>
                </c:pt>
                <c:pt idx="6">
                  <c:v>0.80002377067017016</c:v>
                </c:pt>
                <c:pt idx="7">
                  <c:v>0.24675592322144463</c:v>
                </c:pt>
                <c:pt idx="8">
                  <c:v>0</c:v>
                </c:pt>
                <c:pt idx="9">
                  <c:v>1.2499628594314292</c:v>
                </c:pt>
              </c:numCache>
            </c:numRef>
          </c:val>
          <c:extLst>
            <c:ext xmlns:c16="http://schemas.microsoft.com/office/drawing/2014/chart" uri="{C3380CC4-5D6E-409C-BE32-E72D297353CC}">
              <c16:uniqueId val="{00000000-A2FA-4AC7-AA09-D6CBC863981D}"/>
            </c:ext>
          </c:extLst>
        </c:ser>
        <c:ser>
          <c:idx val="1"/>
          <c:order val="1"/>
          <c:tx>
            <c:strRef>
              <c:f>ATCUS!$X$24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FA-4AC7-AA09-D6CBC863981D}"/>
            </c:ext>
          </c:extLst>
        </c:ser>
        <c:dLbls>
          <c:showLegendKey val="0"/>
          <c:showVal val="0"/>
          <c:showCatName val="0"/>
          <c:showSerName val="0"/>
          <c:showPercent val="0"/>
          <c:showBubbleSize val="0"/>
        </c:dLbls>
        <c:axId val="348481408"/>
        <c:axId val="348495872"/>
      </c:radarChart>
      <c:catAx>
        <c:axId val="3484814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495872"/>
        <c:crosses val="autoZero"/>
        <c:auto val="0"/>
        <c:lblAlgn val="ctr"/>
        <c:lblOffset val="100"/>
        <c:noMultiLvlLbl val="0"/>
      </c:catAx>
      <c:valAx>
        <c:axId val="348495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4814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59709373926438"/>
          <c:y val="0.2153849389797762"/>
          <c:w val="0.3669358450965588"/>
          <c:h val="0.5600008413474179"/>
        </c:manualLayout>
      </c:layout>
      <c:radarChart>
        <c:radarStyle val="marker"/>
        <c:varyColors val="0"/>
        <c:ser>
          <c:idx val="0"/>
          <c:order val="0"/>
          <c:tx>
            <c:strRef>
              <c:f>SAF!$W$24</c:f>
              <c:strCache>
                <c:ptCount val="1"/>
                <c:pt idx="0">
                  <c:v>Safaricom</c:v>
                </c:pt>
              </c:strCache>
            </c:strRef>
          </c:tx>
          <c:spPr>
            <a:ln w="25400">
              <a:solidFill>
                <a:srgbClr val="263238"/>
              </a:solidFill>
              <a:prstDash val="solid"/>
            </a:ln>
            <a:effectLst/>
          </c:spPr>
          <c:marker>
            <c:symbol val="diamond"/>
            <c:size val="6"/>
            <c:spPr>
              <a:solidFill>
                <a:srgbClr val="263238"/>
              </a:solidFill>
              <a:ln w="6350">
                <a:noFill/>
              </a:ln>
            </c:spPr>
          </c:marker>
          <c:val>
            <c:numRef>
              <c:f>SAF!$W$25:$W$34</c:f>
              <c:numCache>
                <c:formatCode>0%</c:formatCode>
                <c:ptCount val="10"/>
                <c:pt idx="0">
                  <c:v>1.1483551859813823</c:v>
                </c:pt>
                <c:pt idx="1">
                  <c:v>0.83629034281634862</c:v>
                </c:pt>
                <c:pt idx="2">
                  <c:v>0.7228287071246694</c:v>
                </c:pt>
                <c:pt idx="3">
                  <c:v>0.86146760914365272</c:v>
                </c:pt>
                <c:pt idx="4">
                  <c:v>0.9069048841656977</c:v>
                </c:pt>
                <c:pt idx="5">
                  <c:v>1.5004638449704248</c:v>
                </c:pt>
                <c:pt idx="6">
                  <c:v>0.56895175053017288</c:v>
                </c:pt>
                <c:pt idx="7">
                  <c:v>0.87008438007946487</c:v>
                </c:pt>
                <c:pt idx="8">
                  <c:v>2.0175747965581321</c:v>
                </c:pt>
                <c:pt idx="9">
                  <c:v>1.7576182849743558</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0-7240-4F75-881F-1FE23B608837}"/>
            </c:ext>
          </c:extLst>
        </c:ser>
        <c:ser>
          <c:idx val="1"/>
          <c:order val="1"/>
          <c:tx>
            <c:strRef>
              <c:f>SAF!$X$24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val>
            <c:numRef>
              <c:f>SAF!$X$25:$X$34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1-7240-4F75-881F-1FE23B608837}"/>
            </c:ext>
          </c:extLst>
        </c:ser>
        <c:dLbls>
          <c:showLegendKey val="0"/>
          <c:showVal val="0"/>
          <c:showCatName val="0"/>
          <c:showSerName val="0"/>
          <c:showPercent val="0"/>
          <c:showBubbleSize val="0"/>
        </c:dLbls>
        <c:axId val="290309248"/>
        <c:axId val="290311168"/>
      </c:radarChart>
      <c:catAx>
        <c:axId val="29030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311168"/>
        <c:crosses val="autoZero"/>
        <c:auto val="0"/>
        <c:lblAlgn val="ctr"/>
        <c:lblOffset val="100"/>
        <c:noMultiLvlLbl val="0"/>
      </c:catAx>
      <c:valAx>
        <c:axId val="290311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30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3844561163255"/>
          <c:y val="0.14153867418671001"/>
          <c:w val="0.4157682209009923"/>
          <c:h val="0.63857095327872881"/>
        </c:manualLayout>
      </c:layout>
      <c:radarChart>
        <c:radarStyle val="marker"/>
        <c:varyColors val="0"/>
        <c:ser>
          <c:idx val="0"/>
          <c:order val="0"/>
          <c:tx>
            <c:strRef>
              <c:f>SATS!$W$24</c:f>
              <c:strCache>
                <c:ptCount val="1"/>
                <c:pt idx="0">
                  <c:v>DISH</c:v>
                </c:pt>
              </c:strCache>
            </c:strRef>
          </c:tx>
          <c:spPr>
            <a:ln w="25400">
              <a:solidFill>
                <a:srgbClr val="263238"/>
              </a:solidFill>
              <a:prstDash val="solid"/>
            </a:ln>
            <a:effectLst/>
          </c:spPr>
          <c:marker>
            <c:symbol val="diamond"/>
            <c:size val="6"/>
            <c:spPr>
              <a:solidFill>
                <a:srgbClr val="26323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SATS!$W$25:$W$34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DB4-485A-90E6-B60BA6010A09}"/>
            </c:ext>
          </c:extLst>
        </c:ser>
        <c:ser>
          <c:idx val="1"/>
          <c:order val="1"/>
          <c:tx>
            <c:strRef>
              <c:f>SATS!$X$24</c:f>
              <c:strCache>
                <c:ptCount val="1"/>
                <c:pt idx="0">
                  <c:v>Agg. US Satellite</c:v>
                </c:pt>
              </c:strCache>
            </c:strRef>
          </c:tx>
          <c:spPr>
            <a:ln w="25400">
              <a:solidFill>
                <a:srgbClr val="799098"/>
              </a:solidFill>
              <a:prstDash val="solid"/>
            </a:ln>
            <a:effectLst/>
          </c:spPr>
          <c:marker>
            <c:symbol val="diamond"/>
            <c:size val="6"/>
            <c:spPr>
              <a:solidFill>
                <a:srgbClr val="79909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DB4-485A-90E6-B60BA6010A09}"/>
            </c:ext>
          </c:extLst>
        </c:ser>
        <c:dLbls>
          <c:showLegendKey val="0"/>
          <c:showVal val="0"/>
          <c:showCatName val="0"/>
          <c:showSerName val="0"/>
          <c:showPercent val="0"/>
          <c:showBubbleSize val="0"/>
        </c:dLbls>
        <c:axId val="413809664"/>
        <c:axId val="413828224"/>
      </c:radarChart>
      <c:catAx>
        <c:axId val="413809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828224"/>
        <c:crosses val="autoZero"/>
        <c:auto val="0"/>
        <c:lblAlgn val="ctr"/>
        <c:lblOffset val="100"/>
        <c:noMultiLvlLbl val="0"/>
      </c:catAx>
      <c:valAx>
        <c:axId val="41382822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80966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50648303793488"/>
          <c:y val="6.8071875630930742E-2"/>
          <c:w val="0.46733235906653675"/>
          <c:h val="0.7328720952749167"/>
        </c:manualLayout>
      </c:layout>
      <c:radarChart>
        <c:radarStyle val="marker"/>
        <c:varyColors val="0"/>
        <c:ser>
          <c:idx val="0"/>
          <c:order val="0"/>
          <c:tx>
            <c:strRef>
              <c:f>SBAC!$W$24</c:f>
              <c:strCache>
                <c:ptCount val="1"/>
                <c:pt idx="0">
                  <c:v>SBAC</c:v>
                </c:pt>
              </c:strCache>
            </c:strRef>
          </c:tx>
          <c:spPr>
            <a:ln w="25400">
              <a:solidFill>
                <a:srgbClr val="263238"/>
              </a:solidFill>
              <a:prstDash val="solid"/>
            </a:ln>
            <a:effectLst/>
          </c:spPr>
          <c:marker>
            <c:symbol val="diamond"/>
            <c:size val="6"/>
            <c:spPr>
              <a:solidFill>
                <a:srgbClr val="26323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SBAC!$W$25:$W$34</c:f>
              <c:numCache>
                <c:formatCode>0%</c:formatCode>
                <c:ptCount val="10"/>
                <c:pt idx="0">
                  <c:v>1.067933209125933</c:v>
                </c:pt>
                <c:pt idx="1">
                  <c:v>1.0552065828250961</c:v>
                </c:pt>
                <c:pt idx="2">
                  <c:v>0.89494215124893872</c:v>
                </c:pt>
                <c:pt idx="3">
                  <c:v>1.027939991471478</c:v>
                </c:pt>
                <c:pt idx="4">
                  <c:v>1.9707547407644614</c:v>
                </c:pt>
                <c:pt idx="5">
                  <c:v>1.3770564933194815</c:v>
                </c:pt>
                <c:pt idx="6">
                  <c:v>0.96738697542052465</c:v>
                </c:pt>
                <c:pt idx="7">
                  <c:v>0.83848142388934743</c:v>
                </c:pt>
                <c:pt idx="8">
                  <c:v>0.52126324517497535</c:v>
                </c:pt>
                <c:pt idx="9">
                  <c:v>1.03371249087295</c:v>
                </c:pt>
              </c:numCache>
            </c:numRef>
          </c:val>
          <c:extLst>
            <c:ext xmlns:c16="http://schemas.microsoft.com/office/drawing/2014/chart" uri="{C3380CC4-5D6E-409C-BE32-E72D297353CC}">
              <c16:uniqueId val="{00000000-02D1-4C98-A494-881AC3EAC347}"/>
            </c:ext>
          </c:extLst>
        </c:ser>
        <c:ser>
          <c:idx val="1"/>
          <c:order val="1"/>
          <c:tx>
            <c:strRef>
              <c:f>SBAC!$X$24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2D1-4C98-A494-881AC3EAC347}"/>
            </c:ext>
          </c:extLst>
        </c:ser>
        <c:dLbls>
          <c:showLegendKey val="0"/>
          <c:showVal val="0"/>
          <c:showCatName val="0"/>
          <c:showSerName val="0"/>
          <c:showPercent val="0"/>
          <c:showBubbleSize val="0"/>
        </c:dLbls>
        <c:axId val="283645056"/>
        <c:axId val="283646976"/>
      </c:radarChart>
      <c:catAx>
        <c:axId val="283645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646976"/>
        <c:crosses val="autoZero"/>
        <c:auto val="0"/>
        <c:lblAlgn val="ctr"/>
        <c:lblOffset val="100"/>
        <c:noMultiLvlLbl val="0"/>
      </c:catAx>
      <c:valAx>
        <c:axId val="283646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645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SBKK!$W$24</c:f>
              <c:strCache>
                <c:ptCount val="1"/>
                <c:pt idx="0">
                  <c:v>SoftBank KK (Corp)</c:v>
                </c:pt>
              </c:strCache>
            </c:strRef>
          </c:tx>
          <c:spPr>
            <a:ln w="25400">
              <a:solidFill>
                <a:srgbClr val="263238"/>
              </a:solidFill>
              <a:prstDash val="solid"/>
            </a:ln>
            <a:effectLst/>
          </c:spPr>
          <c:marker>
            <c:symbol val="diamond"/>
            <c:size val="6"/>
            <c:spPr>
              <a:solidFill>
                <a:srgbClr val="26323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SBKK!$W$25:$W$34</c:f>
              <c:numCache>
                <c:formatCode>0%</c:formatCode>
                <c:ptCount val="10"/>
                <c:pt idx="0">
                  <c:v>0.99994091746369074</c:v>
                </c:pt>
                <c:pt idx="1">
                  <c:v>1.2984553318385292</c:v>
                </c:pt>
                <c:pt idx="2">
                  <c:v>1.1385988554047739</c:v>
                </c:pt>
                <c:pt idx="3">
                  <c:v>1.0847858777830621</c:v>
                </c:pt>
                <c:pt idx="4">
                  <c:v>2.0561804628432485</c:v>
                </c:pt>
                <c:pt idx="5">
                  <c:v>2.486648118403318</c:v>
                </c:pt>
                <c:pt idx="6">
                  <c:v>1.1188616017421347</c:v>
                </c:pt>
                <c:pt idx="7">
                  <c:v>1.0691459940815402</c:v>
                </c:pt>
                <c:pt idx="8">
                  <c:v>0.9154130875670381</c:v>
                </c:pt>
                <c:pt idx="9">
                  <c:v>0.8937655903491013</c:v>
                </c:pt>
              </c:numCache>
            </c:numRef>
          </c:val>
          <c:extLst>
            <c:ext xmlns:c16="http://schemas.microsoft.com/office/drawing/2014/chart" uri="{C3380CC4-5D6E-409C-BE32-E72D297353CC}">
              <c16:uniqueId val="{00000000-A9E2-4878-84F0-1731BA686B90}"/>
            </c:ext>
          </c:extLst>
        </c:ser>
        <c:ser>
          <c:idx val="1"/>
          <c:order val="1"/>
          <c:tx>
            <c:strRef>
              <c:f>SBKK!$X$24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9E2-4878-84F0-1731BA686B90}"/>
            </c:ext>
          </c:extLst>
        </c:ser>
        <c:dLbls>
          <c:showLegendKey val="0"/>
          <c:showVal val="0"/>
          <c:showCatName val="0"/>
          <c:showSerName val="0"/>
          <c:showPercent val="0"/>
          <c:showBubbleSize val="0"/>
        </c:dLbls>
        <c:axId val="293553280"/>
        <c:axId val="293555200"/>
      </c:radarChart>
      <c:catAx>
        <c:axId val="29355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3555200"/>
        <c:crosses val="autoZero"/>
        <c:auto val="0"/>
        <c:lblAlgn val="ctr"/>
        <c:lblOffset val="100"/>
        <c:noMultiLvlLbl val="0"/>
      </c:catAx>
      <c:valAx>
        <c:axId val="29355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355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SES!$W$24</c:f>
              <c:strCache>
                <c:ptCount val="1"/>
                <c:pt idx="0">
                  <c:v>Eutelsat</c:v>
                </c:pt>
              </c:strCache>
            </c:strRef>
          </c:tx>
          <c:spPr>
            <a:ln w="25400">
              <a:solidFill>
                <a:srgbClr val="263238"/>
              </a:solidFill>
              <a:prstDash val="solid"/>
            </a:ln>
            <a:effectLst/>
          </c:spPr>
          <c:marker>
            <c:symbol val="diamond"/>
            <c:size val="6"/>
            <c:spPr>
              <a:solidFill>
                <a:srgbClr val="263238"/>
              </a:solidFill>
              <a:ln w="6350">
                <a:noFill/>
              </a:ln>
            </c:spPr>
          </c:marker>
          <c:cat>
            <c:strRef>
              <c:f>SES!$V$25:$V$34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SES!$W$25:$W$34</c:f>
              <c:numCache>
                <c:formatCode>0%</c:formatCode>
                <c:ptCount val="10"/>
                <c:pt idx="0">
                  <c:v>2.0695399466403015</c:v>
                </c:pt>
                <c:pt idx="1">
                  <c:v>0.98511909704633083</c:v>
                </c:pt>
                <c:pt idx="2">
                  <c:v>0.67423855003628796</c:v>
                </c:pt>
                <c:pt idx="3">
                  <c:v>0.67891522014471894</c:v>
                </c:pt>
                <c:pt idx="4">
                  <c:v>0.69473388026687699</c:v>
                </c:pt>
                <c:pt idx="5">
                  <c:v>0</c:v>
                </c:pt>
                <c:pt idx="6">
                  <c:v>0.38431921419947951</c:v>
                </c:pt>
                <c:pt idx="7">
                  <c:v>17.499781102093632</c:v>
                </c:pt>
                <c:pt idx="8">
                  <c:v>1.9586771627824846</c:v>
                </c:pt>
                <c:pt idx="9">
                  <c:v>2.6020036549121213</c:v>
                </c:pt>
              </c:numCache>
            </c:numRef>
          </c:val>
          <c:extLst>
            <c:ext xmlns:c16="http://schemas.microsoft.com/office/drawing/2014/chart" uri="{C3380CC4-5D6E-409C-BE32-E72D297353CC}">
              <c16:uniqueId val="{00000000-DB2D-4B7F-8F43-4373E5161049}"/>
            </c:ext>
          </c:extLst>
        </c:ser>
        <c:ser>
          <c:idx val="1"/>
          <c:order val="1"/>
          <c:tx>
            <c:strRef>
              <c:f>SES!$X$24</c:f>
              <c:strCache>
                <c:ptCount val="1"/>
                <c:pt idx="0">
                  <c:v>Agg.W.Eur.Altnet</c:v>
                </c:pt>
              </c:strCache>
            </c:strRef>
          </c:tx>
          <c:spPr>
            <a:ln w="25400">
              <a:solidFill>
                <a:srgbClr val="799098"/>
              </a:solidFill>
              <a:prstDash val="solid"/>
            </a:ln>
            <a:effectLst/>
          </c:spPr>
          <c:marker>
            <c:symbol val="diamond"/>
            <c:size val="6"/>
            <c:spPr>
              <a:solidFill>
                <a:srgbClr val="799098"/>
              </a:solidFill>
              <a:ln w="6350">
                <a:noFill/>
              </a:ln>
            </c:spPr>
          </c:marker>
          <c:cat>
            <c:strRef>
              <c:f>SES!$V$25:$V$34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SES!$X$25:$X$34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B2D-4B7F-8F43-4373E5161049}"/>
            </c:ext>
          </c:extLst>
        </c:ser>
        <c:dLbls>
          <c:showLegendKey val="0"/>
          <c:showVal val="0"/>
          <c:showCatName val="0"/>
          <c:showSerName val="0"/>
          <c:showPercent val="0"/>
          <c:showBubbleSize val="0"/>
        </c:dLbls>
        <c:axId val="414317184"/>
        <c:axId val="414462720"/>
      </c:radarChart>
      <c:catAx>
        <c:axId val="4143171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462720"/>
        <c:crosses val="autoZero"/>
        <c:auto val="0"/>
        <c:lblAlgn val="ctr"/>
        <c:lblOffset val="100"/>
        <c:noMultiLvlLbl val="0"/>
      </c:catAx>
      <c:valAx>
        <c:axId val="414462720"/>
        <c:scaling>
          <c:orientation val="minMax"/>
          <c:max val="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3171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6.8323084971681311E-2"/>
          <c:w val="0.45919034348174226"/>
          <c:h val="0.72545602242074769"/>
        </c:manualLayout>
      </c:layout>
      <c:radarChart>
        <c:radarStyle val="marker"/>
        <c:varyColors val="0"/>
        <c:ser>
          <c:idx val="0"/>
          <c:order val="0"/>
          <c:tx>
            <c:strRef>
              <c:f>SINGTEL!$W$24</c:f>
              <c:strCache>
                <c:ptCount val="1"/>
                <c:pt idx="0">
                  <c:v>Singtel</c:v>
                </c:pt>
              </c:strCache>
            </c:strRef>
          </c:tx>
          <c:spPr>
            <a:ln w="25400">
              <a:solidFill>
                <a:srgbClr val="263238"/>
              </a:solidFill>
              <a:prstDash val="solid"/>
            </a:ln>
            <a:effectLst/>
          </c:spPr>
          <c:marker>
            <c:symbol val="diamond"/>
            <c:size val="6"/>
            <c:spPr>
              <a:solidFill>
                <a:srgbClr val="26323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SINGTEL!$W$25:$W$34</c:f>
              <c:numCache>
                <c:formatCode>0%</c:formatCode>
                <c:ptCount val="10"/>
                <c:pt idx="0">
                  <c:v>5.1325569593717306</c:v>
                </c:pt>
                <c:pt idx="1">
                  <c:v>1.9921090733974449</c:v>
                </c:pt>
                <c:pt idx="2">
                  <c:v>1.5961072639531824</c:v>
                </c:pt>
                <c:pt idx="3">
                  <c:v>1.5202362667864966</c:v>
                </c:pt>
                <c:pt idx="4">
                  <c:v>2.2954964075097553</c:v>
                </c:pt>
                <c:pt idx="5">
                  <c:v>3.3690700191134937</c:v>
                </c:pt>
                <c:pt idx="6">
                  <c:v>5.1553216936094381</c:v>
                </c:pt>
                <c:pt idx="7">
                  <c:v>1.8411679953741098</c:v>
                </c:pt>
                <c:pt idx="8">
                  <c:v>0.9391079974713773</c:v>
                </c:pt>
                <c:pt idx="9">
                  <c:v>0.1939743161400781</c:v>
                </c:pt>
              </c:numCache>
            </c:numRef>
          </c:val>
          <c:extLst>
            <c:ext xmlns:c16="http://schemas.microsoft.com/office/drawing/2014/chart" uri="{C3380CC4-5D6E-409C-BE32-E72D297353CC}">
              <c16:uniqueId val="{00000000-28F2-460D-B47F-22B1E8B91AFD}"/>
            </c:ext>
          </c:extLst>
        </c:ser>
        <c:ser>
          <c:idx val="1"/>
          <c:order val="1"/>
          <c:tx>
            <c:strRef>
              <c:f>SINGTEL!$X$24</c:f>
              <c:strCache>
                <c:ptCount val="1"/>
                <c:pt idx="0">
                  <c:v>Agg. Asia Incumbents</c:v>
                </c:pt>
              </c:strCache>
            </c:strRef>
          </c:tx>
          <c:spPr>
            <a:ln w="25400">
              <a:solidFill>
                <a:srgbClr val="799098"/>
              </a:solidFill>
              <a:prstDash val="solid"/>
            </a:ln>
            <a:effectLst/>
          </c:spPr>
          <c:marker>
            <c:symbol val="diamond"/>
            <c:size val="6"/>
            <c:spPr>
              <a:solidFill>
                <a:srgbClr val="79909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8F2-460D-B47F-22B1E8B91AFD}"/>
            </c:ext>
          </c:extLst>
        </c:ser>
        <c:dLbls>
          <c:showLegendKey val="0"/>
          <c:showVal val="0"/>
          <c:showCatName val="0"/>
          <c:showSerName val="0"/>
          <c:showPercent val="0"/>
          <c:showBubbleSize val="0"/>
        </c:dLbls>
        <c:axId val="295351424"/>
        <c:axId val="295353344"/>
      </c:radarChart>
      <c:catAx>
        <c:axId val="295351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353344"/>
        <c:crosses val="autoZero"/>
        <c:auto val="0"/>
        <c:lblAlgn val="ctr"/>
        <c:lblOffset val="100"/>
        <c:noMultiLvlLbl val="0"/>
      </c:catAx>
      <c:valAx>
        <c:axId val="295353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351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SITES!$W$24</c:f>
              <c:strCache>
                <c:ptCount val="1"/>
                <c:pt idx="0">
                  <c:v>Telesites</c:v>
                </c:pt>
              </c:strCache>
            </c:strRef>
          </c:tx>
          <c:spPr>
            <a:ln w="25400">
              <a:solidFill>
                <a:srgbClr val="263238"/>
              </a:solidFill>
              <a:prstDash val="solid"/>
            </a:ln>
            <a:effectLst/>
          </c:spPr>
          <c:marker>
            <c:symbol val="diamond"/>
            <c:size val="6"/>
            <c:spPr>
              <a:solidFill>
                <a:srgbClr val="26323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SITES!$W$25:$W$32</c:f>
              <c:numCache>
                <c:formatCode>0%</c:formatCode>
                <c:ptCount val="8"/>
                <c:pt idx="0">
                  <c:v>1.9476006269058723</c:v>
                </c:pt>
                <c:pt idx="1">
                  <c:v>1.321299289139243</c:v>
                </c:pt>
                <c:pt idx="2">
                  <c:v>1.0092940568470001</c:v>
                </c:pt>
                <c:pt idx="3">
                  <c:v>1.3008532701267221</c:v>
                </c:pt>
                <c:pt idx="4">
                  <c:v>1.0740902935325618</c:v>
                </c:pt>
                <c:pt idx="5">
                  <c:v>1.237350136451066</c:v>
                </c:pt>
                <c:pt idx="6">
                  <c:v>0</c:v>
                </c:pt>
                <c:pt idx="7">
                  <c:v>0.93102042353544845</c:v>
                </c:pt>
              </c:numCache>
            </c:numRef>
          </c:val>
          <c:extLst>
            <c:ext xmlns:c16="http://schemas.microsoft.com/office/drawing/2014/chart" uri="{C3380CC4-5D6E-409C-BE32-E72D297353CC}">
              <c16:uniqueId val="{00000000-4136-44E2-BE18-5F3CC840EEE6}"/>
            </c:ext>
          </c:extLst>
        </c:ser>
        <c:ser>
          <c:idx val="1"/>
          <c:order val="1"/>
          <c:tx>
            <c:strRef>
              <c:f>SITES!$X$24</c:f>
              <c:strCache>
                <c:ptCount val="1"/>
                <c:pt idx="0">
                  <c:v>LatAm </c:v>
                </c:pt>
              </c:strCache>
            </c:strRef>
          </c:tx>
          <c:spPr>
            <a:ln w="25400">
              <a:solidFill>
                <a:srgbClr val="799098"/>
              </a:solidFill>
              <a:prstDash val="solid"/>
            </a:ln>
            <a:effectLst/>
          </c:spPr>
          <c:marker>
            <c:symbol val="diamond"/>
            <c:size val="6"/>
            <c:spPr>
              <a:solidFill>
                <a:srgbClr val="79909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4136-44E2-BE18-5F3CC840EEE6}"/>
            </c:ext>
          </c:extLst>
        </c:ser>
        <c:dLbls>
          <c:showLegendKey val="0"/>
          <c:showVal val="0"/>
          <c:showCatName val="0"/>
          <c:showSerName val="0"/>
          <c:showPercent val="0"/>
          <c:showBubbleSize val="0"/>
        </c:dLbls>
        <c:axId val="295416960"/>
        <c:axId val="295418880"/>
      </c:radarChart>
      <c:catAx>
        <c:axId val="295416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418880"/>
        <c:crosses val="autoZero"/>
        <c:auto val="0"/>
        <c:lblAlgn val="ctr"/>
        <c:lblOffset val="100"/>
        <c:noMultiLvlLbl val="0"/>
      </c:catAx>
      <c:valAx>
        <c:axId val="2954188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416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SKT!$W$24</c:f>
              <c:strCache>
                <c:ptCount val="1"/>
                <c:pt idx="0">
                  <c:v>SKT</c:v>
                </c:pt>
              </c:strCache>
            </c:strRef>
          </c:tx>
          <c:spPr>
            <a:ln w="25400">
              <a:solidFill>
                <a:srgbClr val="263238"/>
              </a:solidFill>
              <a:prstDash val="solid"/>
            </a:ln>
            <a:effectLst/>
          </c:spPr>
          <c:marker>
            <c:symbol val="diamond"/>
            <c:size val="6"/>
            <c:spPr>
              <a:solidFill>
                <a:srgbClr val="26323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SKT!$W$25:$W$34</c:f>
              <c:numCache>
                <c:formatCode>0%</c:formatCode>
                <c:ptCount val="10"/>
                <c:pt idx="0">
                  <c:v>0.88824339945277575</c:v>
                </c:pt>
                <c:pt idx="1">
                  <c:v>1.0355953525072388</c:v>
                </c:pt>
                <c:pt idx="2">
                  <c:v>1.1604643631149041</c:v>
                </c:pt>
                <c:pt idx="3">
                  <c:v>1.2219166342034327</c:v>
                </c:pt>
                <c:pt idx="4">
                  <c:v>2.1006351944171513</c:v>
                </c:pt>
                <c:pt idx="5">
                  <c:v>0.62975521664536682</c:v>
                </c:pt>
                <c:pt idx="6">
                  <c:v>1.0507735836782142</c:v>
                </c:pt>
                <c:pt idx="7">
                  <c:v>1.9745842185252975</c:v>
                </c:pt>
                <c:pt idx="8">
                  <c:v>0.58362693614747874</c:v>
                </c:pt>
                <c:pt idx="9">
                  <c:v>0.95167980574798783</c:v>
                </c:pt>
              </c:numCache>
            </c:numRef>
          </c:val>
          <c:extLst>
            <c:ext xmlns:c16="http://schemas.microsoft.com/office/drawing/2014/chart" uri="{C3380CC4-5D6E-409C-BE32-E72D297353CC}">
              <c16:uniqueId val="{00000000-7B13-42EB-8145-F956236BDC7D}"/>
            </c:ext>
          </c:extLst>
        </c:ser>
        <c:ser>
          <c:idx val="1"/>
          <c:order val="1"/>
          <c:tx>
            <c:strRef>
              <c:f>SKT!$X$24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B13-42EB-8145-F956236BDC7D}"/>
            </c:ext>
          </c:extLst>
        </c:ser>
        <c:dLbls>
          <c:showLegendKey val="0"/>
          <c:showVal val="0"/>
          <c:showCatName val="0"/>
          <c:showSerName val="0"/>
          <c:showPercent val="0"/>
          <c:showBubbleSize val="0"/>
        </c:dLbls>
        <c:axId val="318718720"/>
        <c:axId val="318720640"/>
      </c:radarChart>
      <c:catAx>
        <c:axId val="31871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18720640"/>
        <c:crosses val="autoZero"/>
        <c:auto val="0"/>
        <c:lblAlgn val="ctr"/>
        <c:lblOffset val="100"/>
        <c:noMultiLvlLbl val="0"/>
      </c:catAx>
      <c:valAx>
        <c:axId val="318720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1871872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52587485327527"/>
          <c:y val="8.1504826950717382E-2"/>
          <c:w val="0.4697329598672158"/>
          <c:h val="0.72417742280911723"/>
        </c:manualLayout>
      </c:layout>
      <c:radarChart>
        <c:radarStyle val="marker"/>
        <c:varyColors val="0"/>
        <c:ser>
          <c:idx val="0"/>
          <c:order val="0"/>
          <c:tx>
            <c:strRef>
              <c:f>SUNN!$W$24</c:f>
              <c:strCache>
                <c:ptCount val="1"/>
                <c:pt idx="0">
                  <c:v>SUNN</c:v>
                </c:pt>
              </c:strCache>
            </c:strRef>
          </c:tx>
          <c:spPr>
            <a:ln w="25400">
              <a:solidFill>
                <a:srgbClr val="263238"/>
              </a:solidFill>
              <a:prstDash val="solid"/>
            </a:ln>
            <a:effectLst/>
          </c:spPr>
          <c:marker>
            <c:symbol val="diamond"/>
            <c:size val="6"/>
            <c:spPr>
              <a:solidFill>
                <a:srgbClr val="263238"/>
              </a:solidFill>
              <a:ln w="6350">
                <a:noFill/>
              </a:ln>
            </c:spPr>
          </c:marker>
          <c:cat>
            <c:strRef>
              <c:f>SUNN!$V$25:$V$34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SUNN!$W$25:$W$34</c:f>
              <c:numCache>
                <c:formatCode>0%</c:formatCode>
                <c:ptCount val="10"/>
                <c:pt idx="0">
                  <c:v>2.119825609719864</c:v>
                </c:pt>
                <c:pt idx="1">
                  <c:v>1.268497776037552</c:v>
                </c:pt>
                <c:pt idx="2">
                  <c:v>1.0254711863731534</c:v>
                </c:pt>
                <c:pt idx="3">
                  <c:v>0.91912424335477805</c:v>
                </c:pt>
                <c:pt idx="4">
                  <c:v>1.5404241619134014</c:v>
                </c:pt>
                <c:pt idx="5">
                  <c:v>0</c:v>
                </c:pt>
                <c:pt idx="6">
                  <c:v>0.5424896227191488</c:v>
                </c:pt>
                <c:pt idx="7">
                  <c:v>0.39191171937533537</c:v>
                </c:pt>
                <c:pt idx="8">
                  <c:v>1.8561587366627981</c:v>
                </c:pt>
                <c:pt idx="9">
                  <c:v>1.8433532331690481</c:v>
                </c:pt>
              </c:numCache>
            </c:numRef>
          </c:val>
          <c:extLst>
            <c:ext xmlns:c16="http://schemas.microsoft.com/office/drawing/2014/chart" uri="{C3380CC4-5D6E-409C-BE32-E72D297353CC}">
              <c16:uniqueId val="{00000000-09FE-4797-8175-60201AB034FF}"/>
            </c:ext>
          </c:extLst>
        </c:ser>
        <c:ser>
          <c:idx val="1"/>
          <c:order val="1"/>
          <c:tx>
            <c:strRef>
              <c:f>SUNN!$X$24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SUNN!$V$25:$V$34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SUNN!$X$25:$X$34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9FE-4797-8175-60201AB034FF}"/>
            </c:ext>
          </c:extLst>
        </c:ser>
        <c:dLbls>
          <c:showLegendKey val="0"/>
          <c:showVal val="0"/>
          <c:showCatName val="0"/>
          <c:showSerName val="0"/>
          <c:showPercent val="0"/>
          <c:showBubbleSize val="0"/>
        </c:dLbls>
        <c:axId val="322077056"/>
        <c:axId val="322078976"/>
      </c:radarChart>
      <c:catAx>
        <c:axId val="322077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078976"/>
        <c:crosses val="autoZero"/>
        <c:auto val="0"/>
        <c:lblAlgn val="ctr"/>
        <c:lblOffset val="100"/>
        <c:noMultiLvlLbl val="0"/>
      </c:catAx>
      <c:valAx>
        <c:axId val="322078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077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52587485327527"/>
          <c:y val="8.1504826950717382E-2"/>
          <c:w val="0.4697329598672158"/>
          <c:h val="0.72417742280911723"/>
        </c:manualLayout>
      </c:layout>
      <c:radarChart>
        <c:radarStyle val="marker"/>
        <c:varyColors val="0"/>
        <c:ser>
          <c:idx val="0"/>
          <c:order val="0"/>
          <c:tx>
            <c:strRef>
              <c:f>SWISS!$W$24</c:f>
              <c:strCache>
                <c:ptCount val="1"/>
                <c:pt idx="0">
                  <c:v>Swisscom</c:v>
                </c:pt>
              </c:strCache>
            </c:strRef>
          </c:tx>
          <c:spPr>
            <a:ln w="25400">
              <a:solidFill>
                <a:srgbClr val="263238"/>
              </a:solidFill>
              <a:prstDash val="solid"/>
            </a:ln>
            <a:effectLst/>
          </c:spPr>
          <c:marker>
            <c:symbol val="diamond"/>
            <c:size val="6"/>
            <c:spPr>
              <a:solidFill>
                <a:srgbClr val="26323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SWISS!$W$25:$W$34</c:f>
              <c:numCache>
                <c:formatCode>0%</c:formatCode>
                <c:ptCount val="10"/>
                <c:pt idx="0">
                  <c:v>1.2709597574039104</c:v>
                </c:pt>
                <c:pt idx="1">
                  <c:v>1.301767480847551</c:v>
                </c:pt>
                <c:pt idx="2">
                  <c:v>1.7712857467758962</c:v>
                </c:pt>
                <c:pt idx="3">
                  <c:v>1.6522380447626306</c:v>
                </c:pt>
                <c:pt idx="4">
                  <c:v>1.0267695664771705</c:v>
                </c:pt>
                <c:pt idx="5">
                  <c:v>0.96520385611745629</c:v>
                </c:pt>
                <c:pt idx="6">
                  <c:v>1.6669348332581573</c:v>
                </c:pt>
                <c:pt idx="7">
                  <c:v>0.61457649353198673</c:v>
                </c:pt>
                <c:pt idx="8">
                  <c:v>1.0059289642268305</c:v>
                </c:pt>
                <c:pt idx="9">
                  <c:v>0.59990347555784174</c:v>
                </c:pt>
              </c:numCache>
            </c:numRef>
          </c:val>
          <c:extLst>
            <c:ext xmlns:c16="http://schemas.microsoft.com/office/drawing/2014/chart" uri="{C3380CC4-5D6E-409C-BE32-E72D297353CC}">
              <c16:uniqueId val="{00000000-0A81-4557-B2AD-8034C7EBBB79}"/>
            </c:ext>
          </c:extLst>
        </c:ser>
        <c:ser>
          <c:idx val="1"/>
          <c:order val="1"/>
          <c:tx>
            <c:strRef>
              <c:f>SWISS!$X$24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A81-4557-B2AD-8034C7EBBB79}"/>
            </c:ext>
          </c:extLst>
        </c:ser>
        <c:dLbls>
          <c:showLegendKey val="0"/>
          <c:showVal val="0"/>
          <c:showCatName val="0"/>
          <c:showSerName val="0"/>
          <c:showPercent val="0"/>
          <c:showBubbleSize val="0"/>
        </c:dLbls>
        <c:axId val="322077056"/>
        <c:axId val="322078976"/>
      </c:radarChart>
      <c:catAx>
        <c:axId val="322077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078976"/>
        <c:crosses val="autoZero"/>
        <c:auto val="0"/>
        <c:lblAlgn val="ctr"/>
        <c:lblOffset val="100"/>
        <c:noMultiLvlLbl val="0"/>
      </c:catAx>
      <c:valAx>
        <c:axId val="322078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077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16155627988386"/>
          <c:y val="0.13538481878728784"/>
          <c:w val="0.48185531306636031"/>
          <c:h val="0.7353857202309495"/>
        </c:manualLayout>
      </c:layout>
      <c:radarChart>
        <c:radarStyle val="marker"/>
        <c:varyColors val="0"/>
        <c:ser>
          <c:idx val="0"/>
          <c:order val="0"/>
          <c:tx>
            <c:strRef>
              <c:f>ATT!$W$24</c:f>
              <c:strCache>
                <c:ptCount val="1"/>
                <c:pt idx="0">
                  <c:v>AT&amp;T</c:v>
                </c:pt>
              </c:strCache>
            </c:strRef>
          </c:tx>
          <c:spPr>
            <a:ln w="25400">
              <a:solidFill>
                <a:srgbClr val="263238"/>
              </a:solidFill>
              <a:prstDash val="solid"/>
            </a:ln>
            <a:effectLst/>
          </c:spPr>
          <c:marker>
            <c:symbol val="diamond"/>
            <c:size val="6"/>
            <c:spPr>
              <a:solidFill>
                <a:srgbClr val="26323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ATT!$W$25:$W$34</c:f>
              <c:numCache>
                <c:formatCode>0%</c:formatCode>
                <c:ptCount val="10"/>
                <c:pt idx="0">
                  <c:v>0.98697992984159877</c:v>
                </c:pt>
                <c:pt idx="1">
                  <c:v>0.97953832875826452</c:v>
                </c:pt>
                <c:pt idx="2">
                  <c:v>1.1624984919237393</c:v>
                </c:pt>
                <c:pt idx="3">
                  <c:v>1.1360232026295134</c:v>
                </c:pt>
                <c:pt idx="4">
                  <c:v>0.74501922338799242</c:v>
                </c:pt>
                <c:pt idx="5">
                  <c:v>0.6910741834211821</c:v>
                </c:pt>
                <c:pt idx="6">
                  <c:v>1.1228927939427005</c:v>
                </c:pt>
                <c:pt idx="7">
                  <c:v>0.9690123198198185</c:v>
                </c:pt>
                <c:pt idx="8">
                  <c:v>1.1022847688385613</c:v>
                </c:pt>
                <c:pt idx="9">
                  <c:v>0.89055696625213931</c:v>
                </c:pt>
              </c:numCache>
            </c:numRef>
          </c:val>
          <c:extLst>
            <c:ext xmlns:c16="http://schemas.microsoft.com/office/drawing/2014/chart" uri="{C3380CC4-5D6E-409C-BE32-E72D297353CC}">
              <c16:uniqueId val="{00000000-7403-4401-9361-4BC140096373}"/>
            </c:ext>
          </c:extLst>
        </c:ser>
        <c:ser>
          <c:idx val="1"/>
          <c:order val="1"/>
          <c:tx>
            <c:strRef>
              <c:f>ATT!$X$24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03-4401-9361-4BC140096373}"/>
            </c:ext>
          </c:extLst>
        </c:ser>
        <c:dLbls>
          <c:showLegendKey val="0"/>
          <c:showVal val="0"/>
          <c:showCatName val="0"/>
          <c:showSerName val="0"/>
          <c:showPercent val="0"/>
          <c:showBubbleSize val="0"/>
        </c:dLbls>
        <c:axId val="353011584"/>
        <c:axId val="353021952"/>
      </c:radarChart>
      <c:catAx>
        <c:axId val="35301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21952"/>
        <c:crosses val="autoZero"/>
        <c:auto val="0"/>
        <c:lblAlgn val="ctr"/>
        <c:lblOffset val="100"/>
        <c:noMultiLvlLbl val="0"/>
      </c:catAx>
      <c:valAx>
        <c:axId val="3530219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115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TBIG!$W$24</c:f>
              <c:strCache>
                <c:ptCount val="1"/>
                <c:pt idx="0">
                  <c:v>TBIG</c:v>
                </c:pt>
              </c:strCache>
            </c:strRef>
          </c:tx>
          <c:spPr>
            <a:ln w="25400">
              <a:solidFill>
                <a:srgbClr val="263238"/>
              </a:solidFill>
              <a:prstDash val="solid"/>
            </a:ln>
            <a:effectLst/>
          </c:spPr>
          <c:marker>
            <c:symbol val="diamond"/>
            <c:size val="6"/>
            <c:spPr>
              <a:solidFill>
                <a:srgbClr val="26323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TBIG!$W$25:$W$34</c:f>
              <c:numCache>
                <c:formatCode>0%</c:formatCode>
                <c:ptCount val="10"/>
                <c:pt idx="0">
                  <c:v>3.9478274523055479</c:v>
                </c:pt>
                <c:pt idx="1">
                  <c:v>3.0392662210050632</c:v>
                </c:pt>
                <c:pt idx="2">
                  <c:v>3.2174403198094965</c:v>
                </c:pt>
                <c:pt idx="3">
                  <c:v>3.6285168989498904</c:v>
                </c:pt>
                <c:pt idx="4">
                  <c:v>1.5162601105812421</c:v>
                </c:pt>
                <c:pt idx="5">
                  <c:v>0.92616179861929027</c:v>
                </c:pt>
                <c:pt idx="6">
                  <c:v>4.0632070583182909</c:v>
                </c:pt>
                <c:pt idx="7">
                  <c:v>2.7703652213331882</c:v>
                </c:pt>
                <c:pt idx="8" formatCode="General">
                  <c:v>0.53996433455274828</c:v>
                </c:pt>
                <c:pt idx="9">
                  <c:v>0.23642183353064775</c:v>
                </c:pt>
              </c:numCache>
            </c:numRef>
          </c:val>
          <c:extLst>
            <c:ext xmlns:c16="http://schemas.microsoft.com/office/drawing/2014/chart" uri="{C3380CC4-5D6E-409C-BE32-E72D297353CC}">
              <c16:uniqueId val="{00000000-C977-40C0-A44C-0CD62B5DED0B}"/>
            </c:ext>
          </c:extLst>
        </c:ser>
        <c:ser>
          <c:idx val="1"/>
          <c:order val="1"/>
          <c:tx>
            <c:strRef>
              <c:f>TBIG!$X$24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977-40C0-A44C-0CD62B5DED0B}"/>
            </c:ext>
          </c:extLst>
        </c:ser>
        <c:dLbls>
          <c:showLegendKey val="0"/>
          <c:showVal val="0"/>
          <c:showCatName val="0"/>
          <c:showSerName val="0"/>
          <c:showPercent val="0"/>
          <c:showBubbleSize val="0"/>
        </c:dLbls>
        <c:axId val="321655168"/>
        <c:axId val="321657088"/>
      </c:radarChart>
      <c:catAx>
        <c:axId val="32165516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1657088"/>
        <c:crosses val="autoZero"/>
        <c:auto val="0"/>
        <c:lblAlgn val="ctr"/>
        <c:lblOffset val="100"/>
        <c:noMultiLvlLbl val="0"/>
      </c:catAx>
      <c:valAx>
        <c:axId val="3216570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165516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5405252324995"/>
          <c:y val="0.1"/>
          <c:w val="0.44240293197028635"/>
          <c:h val="0.6902222318265766"/>
        </c:manualLayout>
      </c:layout>
      <c:radarChart>
        <c:radarStyle val="marker"/>
        <c:varyColors val="0"/>
        <c:ser>
          <c:idx val="0"/>
          <c:order val="0"/>
          <c:tx>
            <c:strRef>
              <c:f>TEF!$W$24</c:f>
              <c:strCache>
                <c:ptCount val="1"/>
                <c:pt idx="0">
                  <c:v>Telefonica</c:v>
                </c:pt>
              </c:strCache>
            </c:strRef>
          </c:tx>
          <c:spPr>
            <a:ln w="25400">
              <a:solidFill>
                <a:srgbClr val="263238"/>
              </a:solidFill>
              <a:prstDash val="solid"/>
            </a:ln>
            <a:effectLst/>
          </c:spPr>
          <c:marker>
            <c:symbol val="diamond"/>
            <c:size val="6"/>
            <c:spPr>
              <a:solidFill>
                <a:srgbClr val="26323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TEF!$W$25:$W$34</c:f>
              <c:numCache>
                <c:formatCode>0%</c:formatCode>
                <c:ptCount val="10"/>
                <c:pt idx="0">
                  <c:v>0.73181660203457521</c:v>
                </c:pt>
                <c:pt idx="1">
                  <c:v>0.93858605122353078</c:v>
                </c:pt>
                <c:pt idx="2">
                  <c:v>0.91272845222611576</c:v>
                </c:pt>
                <c:pt idx="3">
                  <c:v>0.90133205801409066</c:v>
                </c:pt>
                <c:pt idx="4">
                  <c:v>0.71791855103881463</c:v>
                </c:pt>
                <c:pt idx="5">
                  <c:v>0.96994595643182957</c:v>
                </c:pt>
                <c:pt idx="6">
                  <c:v>0.83489084141426939</c:v>
                </c:pt>
                <c:pt idx="7">
                  <c:v>0.73123140760495553</c:v>
                </c:pt>
                <c:pt idx="8">
                  <c:v>1.0053608792690281</c:v>
                </c:pt>
                <c:pt idx="9">
                  <c:v>1.1977613723801817</c:v>
                </c:pt>
              </c:numCache>
            </c:numRef>
          </c:val>
          <c:extLst>
            <c:ext xmlns:c16="http://schemas.microsoft.com/office/drawing/2014/chart" uri="{C3380CC4-5D6E-409C-BE32-E72D297353CC}">
              <c16:uniqueId val="{00000000-937B-4336-BCFC-8FCB1F5C0E84}"/>
            </c:ext>
          </c:extLst>
        </c:ser>
        <c:ser>
          <c:idx val="1"/>
          <c:order val="1"/>
          <c:tx>
            <c:strRef>
              <c:f>TEF!$X$24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37B-4336-BCFC-8FCB1F5C0E84}"/>
            </c:ext>
          </c:extLst>
        </c:ser>
        <c:dLbls>
          <c:showLegendKey val="0"/>
          <c:showVal val="0"/>
          <c:showCatName val="0"/>
          <c:showSerName val="0"/>
          <c:showPercent val="0"/>
          <c:showBubbleSize val="0"/>
        </c:dLbls>
        <c:axId val="323285376"/>
        <c:axId val="323287296"/>
      </c:radarChart>
      <c:catAx>
        <c:axId val="323285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3287296"/>
        <c:crosses val="autoZero"/>
        <c:auto val="0"/>
        <c:lblAlgn val="ctr"/>
        <c:lblOffset val="100"/>
        <c:noMultiLvlLbl val="0"/>
      </c:catAx>
      <c:valAx>
        <c:axId val="323287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3285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266161780732023"/>
          <c:y val="0.1118014117718419"/>
          <c:w val="0.40524233441982577"/>
          <c:h val="0.62422454905945068"/>
        </c:manualLayout>
      </c:layout>
      <c:radarChart>
        <c:radarStyle val="marker"/>
        <c:varyColors val="0"/>
        <c:ser>
          <c:idx val="0"/>
          <c:order val="0"/>
          <c:tx>
            <c:strRef>
              <c:f>TELE2!$W$24</c:f>
              <c:strCache>
                <c:ptCount val="1"/>
                <c:pt idx="0">
                  <c:v>Tele2</c:v>
                </c:pt>
              </c:strCache>
            </c:strRef>
          </c:tx>
          <c:spPr>
            <a:ln w="25400">
              <a:solidFill>
                <a:srgbClr val="263238"/>
              </a:solidFill>
              <a:prstDash val="solid"/>
            </a:ln>
            <a:effectLst/>
          </c:spPr>
          <c:marker>
            <c:symbol val="diamond"/>
            <c:size val="6"/>
            <c:spPr>
              <a:solidFill>
                <a:srgbClr val="26323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TELE2!$W$25:$W$34</c:f>
              <c:numCache>
                <c:formatCode>0%</c:formatCode>
                <c:ptCount val="10"/>
                <c:pt idx="0">
                  <c:v>3.9363858058477654</c:v>
                </c:pt>
                <c:pt idx="1">
                  <c:v>2.0260290329322559</c:v>
                </c:pt>
                <c:pt idx="2">
                  <c:v>1.1873168587978653</c:v>
                </c:pt>
                <c:pt idx="3">
                  <c:v>1.0935597502850285</c:v>
                </c:pt>
                <c:pt idx="4">
                  <c:v>2.8079921010042797</c:v>
                </c:pt>
                <c:pt idx="5">
                  <c:v>5.2828433933273446</c:v>
                </c:pt>
                <c:pt idx="6">
                  <c:v>1.076029147377022</c:v>
                </c:pt>
                <c:pt idx="7">
                  <c:v>1.1360348415645054</c:v>
                </c:pt>
                <c:pt idx="8">
                  <c:v>1.4159190772790775</c:v>
                </c:pt>
                <c:pt idx="9">
                  <c:v>0.92934285510540837</c:v>
                </c:pt>
              </c:numCache>
            </c:numRef>
          </c:val>
          <c:extLst>
            <c:ext xmlns:c16="http://schemas.microsoft.com/office/drawing/2014/chart" uri="{C3380CC4-5D6E-409C-BE32-E72D297353CC}">
              <c16:uniqueId val="{00000000-050E-4C29-88CF-00EBD7CC704A}"/>
            </c:ext>
          </c:extLst>
        </c:ser>
        <c:ser>
          <c:idx val="1"/>
          <c:order val="1"/>
          <c:tx>
            <c:strRef>
              <c:f>TELE2!$X$24</c:f>
              <c:strCache>
                <c:ptCount val="1"/>
                <c:pt idx="0">
                  <c:v>Agg. W. Eur. Altnet</c:v>
                </c:pt>
              </c:strCache>
            </c:strRef>
          </c:tx>
          <c:spPr>
            <a:ln w="25400">
              <a:solidFill>
                <a:srgbClr val="799098"/>
              </a:solidFill>
              <a:prstDash val="solid"/>
            </a:ln>
            <a:effectLst/>
          </c:spPr>
          <c:marker>
            <c:symbol val="diamond"/>
            <c:size val="6"/>
            <c:spPr>
              <a:solidFill>
                <a:srgbClr val="79909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50E-4C29-88CF-00EBD7CC704A}"/>
            </c:ext>
          </c:extLst>
        </c:ser>
        <c:dLbls>
          <c:showLegendKey val="0"/>
          <c:showVal val="0"/>
          <c:showCatName val="0"/>
          <c:showSerName val="0"/>
          <c:showPercent val="0"/>
          <c:showBubbleSize val="0"/>
        </c:dLbls>
        <c:axId val="322875776"/>
        <c:axId val="322877696"/>
      </c:radarChart>
      <c:catAx>
        <c:axId val="3228757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877696"/>
        <c:crosses val="autoZero"/>
        <c:auto val="0"/>
        <c:lblAlgn val="ctr"/>
        <c:lblOffset val="100"/>
        <c:noMultiLvlLbl val="0"/>
      </c:catAx>
      <c:valAx>
        <c:axId val="3228776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8757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62858031674642"/>
          <c:y val="9.6573502523554705E-2"/>
          <c:w val="0.43429753821424338"/>
          <c:h val="0.68880631458775288"/>
        </c:manualLayout>
      </c:layout>
      <c:radarChart>
        <c:radarStyle val="marker"/>
        <c:varyColors val="0"/>
        <c:ser>
          <c:idx val="0"/>
          <c:order val="0"/>
          <c:tx>
            <c:strRef>
              <c:f>TELIA!$W$24</c:f>
              <c:strCache>
                <c:ptCount val="1"/>
                <c:pt idx="0">
                  <c:v>Telia</c:v>
                </c:pt>
              </c:strCache>
            </c:strRef>
          </c:tx>
          <c:spPr>
            <a:ln w="25400">
              <a:solidFill>
                <a:srgbClr val="263238"/>
              </a:solidFill>
              <a:prstDash val="solid"/>
            </a:ln>
            <a:effectLst/>
          </c:spPr>
          <c:marker>
            <c:symbol val="diamond"/>
            <c:size val="6"/>
            <c:spPr>
              <a:solidFill>
                <a:srgbClr val="26323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TELIA!$W$25:$W$34</c:f>
              <c:numCache>
                <c:formatCode>0%</c:formatCode>
                <c:ptCount val="10"/>
                <c:pt idx="0">
                  <c:v>1.3094810180994094</c:v>
                </c:pt>
                <c:pt idx="1">
                  <c:v>1.2806186249752496</c:v>
                </c:pt>
                <c:pt idx="2">
                  <c:v>1.2350651479837294</c:v>
                </c:pt>
                <c:pt idx="3">
                  <c:v>1.1348492480174195</c:v>
                </c:pt>
                <c:pt idx="4">
                  <c:v>1.5999669249215307</c:v>
                </c:pt>
                <c:pt idx="5">
                  <c:v>1.0838553870180614</c:v>
                </c:pt>
                <c:pt idx="6">
                  <c:v>1.4180792364267836</c:v>
                </c:pt>
                <c:pt idx="7">
                  <c:v>2.3824743134619841</c:v>
                </c:pt>
                <c:pt idx="8">
                  <c:v>1.0950198334785262</c:v>
                </c:pt>
                <c:pt idx="9">
                  <c:v>0.70517921305988374</c:v>
                </c:pt>
              </c:numCache>
            </c:numRef>
          </c:val>
          <c:extLst>
            <c:ext xmlns:c16="http://schemas.microsoft.com/office/drawing/2014/chart" uri="{C3380CC4-5D6E-409C-BE32-E72D297353CC}">
              <c16:uniqueId val="{00000000-2AF7-4855-A428-8D26BC613010}"/>
            </c:ext>
          </c:extLst>
        </c:ser>
        <c:ser>
          <c:idx val="1"/>
          <c:order val="1"/>
          <c:tx>
            <c:strRef>
              <c:f>TELIA!$X$24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AF7-4855-A428-8D26BC613010}"/>
            </c:ext>
          </c:extLst>
        </c:ser>
        <c:dLbls>
          <c:showLegendKey val="0"/>
          <c:showVal val="0"/>
          <c:showCatName val="0"/>
          <c:showSerName val="0"/>
          <c:showPercent val="0"/>
          <c:showBubbleSize val="0"/>
        </c:dLbls>
        <c:axId val="338158336"/>
        <c:axId val="338160256"/>
      </c:radarChart>
      <c:catAx>
        <c:axId val="3381583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160256"/>
        <c:crosses val="autoZero"/>
        <c:auto val="0"/>
        <c:lblAlgn val="ctr"/>
        <c:lblOffset val="100"/>
        <c:noMultiLvlLbl val="0"/>
      </c:catAx>
      <c:valAx>
        <c:axId val="3381602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1583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14240061520832"/>
          <c:y val="7.1874999999999994E-2"/>
          <c:w val="0.47616472490848338"/>
          <c:h val="0.7153563059861644"/>
        </c:manualLayout>
      </c:layout>
      <c:radarChart>
        <c:radarStyle val="marker"/>
        <c:varyColors val="0"/>
        <c:ser>
          <c:idx val="0"/>
          <c:order val="0"/>
          <c:tx>
            <c:strRef>
              <c:f>TI!$W$24</c:f>
              <c:strCache>
                <c:ptCount val="1"/>
                <c:pt idx="0">
                  <c:v>Telecom Italia</c:v>
                </c:pt>
              </c:strCache>
            </c:strRef>
          </c:tx>
          <c:spPr>
            <a:ln w="25400">
              <a:solidFill>
                <a:srgbClr val="263238"/>
              </a:solidFill>
              <a:prstDash val="solid"/>
            </a:ln>
            <a:effectLst/>
          </c:spPr>
          <c:marker>
            <c:symbol val="diamond"/>
            <c:size val="6"/>
            <c:spPr>
              <a:solidFill>
                <a:srgbClr val="26323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TI!$W$25:$W$34</c:f>
              <c:numCache>
                <c:formatCode>0%</c:formatCode>
                <c:ptCount val="10"/>
                <c:pt idx="0">
                  <c:v>0.73776544545782796</c:v>
                </c:pt>
                <c:pt idx="1">
                  <c:v>0.93188348144336064</c:v>
                </c:pt>
                <c:pt idx="2">
                  <c:v>1.0087766296471858</c:v>
                </c:pt>
                <c:pt idx="3">
                  <c:v>1.0362492762137907</c:v>
                </c:pt>
                <c:pt idx="4">
                  <c:v>0.74426730607759417</c:v>
                </c:pt>
                <c:pt idx="5">
                  <c:v>0.73095463049787956</c:v>
                </c:pt>
                <c:pt idx="6">
                  <c:v>1.6200274698434389</c:v>
                </c:pt>
                <c:pt idx="7">
                  <c:v>2.5656427194136788</c:v>
                </c:pt>
                <c:pt idx="8">
                  <c:v>0</c:v>
                </c:pt>
                <c:pt idx="9">
                  <c:v>0.61727348370002699</c:v>
                </c:pt>
              </c:numCache>
            </c:numRef>
          </c:val>
          <c:extLst>
            <c:ext xmlns:c16="http://schemas.microsoft.com/office/drawing/2014/chart" uri="{C3380CC4-5D6E-409C-BE32-E72D297353CC}">
              <c16:uniqueId val="{00000000-609A-4971-9BF9-90E4D69A1A33}"/>
            </c:ext>
          </c:extLst>
        </c:ser>
        <c:ser>
          <c:idx val="1"/>
          <c:order val="1"/>
          <c:tx>
            <c:strRef>
              <c:f>TI!$X$24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9A-4971-9BF9-90E4D69A1A33}"/>
            </c:ext>
          </c:extLst>
        </c:ser>
        <c:dLbls>
          <c:showLegendKey val="0"/>
          <c:showVal val="0"/>
          <c:showCatName val="0"/>
          <c:showSerName val="0"/>
          <c:showPercent val="0"/>
          <c:showBubbleSize val="0"/>
        </c:dLbls>
        <c:axId val="328339840"/>
        <c:axId val="328341760"/>
      </c:radarChart>
      <c:catAx>
        <c:axId val="3283398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8341760"/>
        <c:crosses val="autoZero"/>
        <c:auto val="0"/>
        <c:lblAlgn val="ctr"/>
        <c:lblOffset val="100"/>
        <c:noMultiLvlLbl val="0"/>
      </c:catAx>
      <c:valAx>
        <c:axId val="3283417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83398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9.8461686390754782E-2"/>
          <c:w val="0.4153229895048976"/>
          <c:h val="0.63384710614048612"/>
        </c:manualLayout>
      </c:layout>
      <c:radarChart>
        <c:radarStyle val="marker"/>
        <c:varyColors val="0"/>
        <c:ser>
          <c:idx val="0"/>
          <c:order val="0"/>
          <c:tx>
            <c:strRef>
              <c:f>TIMP!$W$24</c:f>
              <c:strCache>
                <c:ptCount val="1"/>
                <c:pt idx="0">
                  <c:v>TIM Part</c:v>
                </c:pt>
              </c:strCache>
            </c:strRef>
          </c:tx>
          <c:spPr>
            <a:ln w="25400">
              <a:solidFill>
                <a:srgbClr val="263238"/>
              </a:solidFill>
              <a:prstDash val="solid"/>
            </a:ln>
            <a:effectLst/>
          </c:spPr>
          <c:marker>
            <c:symbol val="diamond"/>
            <c:size val="6"/>
            <c:spPr>
              <a:solidFill>
                <a:srgbClr val="26323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TIMP!$W$25:$W$34</c:f>
              <c:numCache>
                <c:formatCode>0%</c:formatCode>
                <c:ptCount val="10"/>
                <c:pt idx="0">
                  <c:v>0.68074575122572367</c:v>
                </c:pt>
                <c:pt idx="1">
                  <c:v>0.55396924023969474</c:v>
                </c:pt>
                <c:pt idx="2">
                  <c:v>0.49763616089267199</c:v>
                </c:pt>
                <c:pt idx="3">
                  <c:v>0.46393473521153639</c:v>
                </c:pt>
                <c:pt idx="4">
                  <c:v>0.77785077078246123</c:v>
                </c:pt>
                <c:pt idx="5">
                  <c:v>0.91194568004293775</c:v>
                </c:pt>
                <c:pt idx="6">
                  <c:v>0.53437978808486097</c:v>
                </c:pt>
                <c:pt idx="7">
                  <c:v>0.56602598209857047</c:v>
                </c:pt>
                <c:pt idx="8">
                  <c:v>1.8974905120664476</c:v>
                </c:pt>
                <c:pt idx="9">
                  <c:v>1.8713282618413651</c:v>
                </c:pt>
              </c:numCache>
            </c:numRef>
          </c:val>
          <c:extLst>
            <c:ext xmlns:c16="http://schemas.microsoft.com/office/drawing/2014/chart" uri="{C3380CC4-5D6E-409C-BE32-E72D297353CC}">
              <c16:uniqueId val="{00000000-F1D2-4F28-A88D-F2B50EF8A0A8}"/>
            </c:ext>
          </c:extLst>
        </c:ser>
        <c:ser>
          <c:idx val="1"/>
          <c:order val="1"/>
          <c:tx>
            <c:strRef>
              <c:f>TIMP!$X$24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2-4F28-A88D-F2B50EF8A0A8}"/>
            </c:ext>
          </c:extLst>
        </c:ser>
        <c:dLbls>
          <c:showLegendKey val="0"/>
          <c:showVal val="0"/>
          <c:showCatName val="0"/>
          <c:showSerName val="0"/>
          <c:showPercent val="0"/>
          <c:showBubbleSize val="0"/>
        </c:dLbls>
        <c:axId val="330645888"/>
        <c:axId val="330647808"/>
      </c:radarChart>
      <c:catAx>
        <c:axId val="330645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0647808"/>
        <c:crosses val="autoZero"/>
        <c:auto val="0"/>
        <c:lblAlgn val="ctr"/>
        <c:lblOffset val="100"/>
        <c:noMultiLvlLbl val="0"/>
      </c:catAx>
      <c:valAx>
        <c:axId val="33064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0645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TMUS!$W$24</c:f>
              <c:strCache>
                <c:ptCount val="1"/>
                <c:pt idx="0">
                  <c:v>TMUS</c:v>
                </c:pt>
              </c:strCache>
            </c:strRef>
          </c:tx>
          <c:spPr>
            <a:ln w="25400">
              <a:solidFill>
                <a:srgbClr val="263238"/>
              </a:solidFill>
              <a:prstDash val="solid"/>
            </a:ln>
            <a:effectLst/>
          </c:spPr>
          <c:marker>
            <c:symbol val="diamond"/>
            <c:size val="6"/>
            <c:spPr>
              <a:solidFill>
                <a:srgbClr val="26323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TMUS!$W$25:$W$34</c:f>
              <c:numCache>
                <c:formatCode>0%</c:formatCode>
                <c:ptCount val="10"/>
                <c:pt idx="0">
                  <c:v>1.2885085252118627</c:v>
                </c:pt>
                <c:pt idx="1">
                  <c:v>1.2486270688741683</c:v>
                </c:pt>
                <c:pt idx="2">
                  <c:v>1.0932947536495661</c:v>
                </c:pt>
                <c:pt idx="3">
                  <c:v>0.98896156269002522</c:v>
                </c:pt>
                <c:pt idx="4">
                  <c:v>1.0687726017892718</c:v>
                </c:pt>
                <c:pt idx="5">
                  <c:v>2.2501691691195345</c:v>
                </c:pt>
                <c:pt idx="6">
                  <c:v>1.2491034740571241</c:v>
                </c:pt>
                <c:pt idx="7">
                  <c:v>1.4675139352570596</c:v>
                </c:pt>
                <c:pt idx="8">
                  <c:v>0.48129934419905512</c:v>
                </c:pt>
                <c:pt idx="9">
                  <c:v>0.80057418842329475</c:v>
                </c:pt>
              </c:numCache>
            </c:numRef>
          </c:val>
          <c:extLst>
            <c:ext xmlns:c16="http://schemas.microsoft.com/office/drawing/2014/chart" uri="{C3380CC4-5D6E-409C-BE32-E72D297353CC}">
              <c16:uniqueId val="{00000000-601E-4302-A79B-50F28FBE3E97}"/>
            </c:ext>
          </c:extLst>
        </c:ser>
        <c:ser>
          <c:idx val="1"/>
          <c:order val="1"/>
          <c:tx>
            <c:strRef>
              <c:f>TMUS!$X$24</c:f>
              <c:strCache>
                <c:ptCount val="1"/>
                <c:pt idx="0">
                  <c:v>Agg. US Telco</c:v>
                </c:pt>
              </c:strCache>
            </c:strRef>
          </c:tx>
          <c:spPr>
            <a:ln w="25400">
              <a:solidFill>
                <a:srgbClr val="799098"/>
              </a:solidFill>
              <a:prstDash val="solid"/>
            </a:ln>
            <a:effectLst/>
          </c:spPr>
          <c:marker>
            <c:symbol val="diamond"/>
            <c:size val="6"/>
            <c:spPr>
              <a:solidFill>
                <a:srgbClr val="79909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1E-4302-A79B-50F28FBE3E97}"/>
            </c:ext>
          </c:extLst>
        </c:ser>
        <c:dLbls>
          <c:showLegendKey val="0"/>
          <c:showVal val="0"/>
          <c:showCatName val="0"/>
          <c:showSerName val="0"/>
          <c:showPercent val="0"/>
          <c:showBubbleSize val="0"/>
        </c:dLbls>
        <c:axId val="335634816"/>
        <c:axId val="335636736"/>
      </c:radarChart>
      <c:catAx>
        <c:axId val="3356348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636736"/>
        <c:crosses val="autoZero"/>
        <c:auto val="0"/>
        <c:lblAlgn val="ctr"/>
        <c:lblOffset val="100"/>
        <c:noMultiLvlLbl val="0"/>
      </c:catAx>
      <c:valAx>
        <c:axId val="3356367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6348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34554580785157"/>
          <c:y val="0.11598763835294353"/>
          <c:w val="0.46691318145876082"/>
          <c:h val="0.70360102627051246"/>
        </c:manualLayout>
      </c:layout>
      <c:radarChart>
        <c:radarStyle val="marker"/>
        <c:varyColors val="0"/>
        <c:ser>
          <c:idx val="0"/>
          <c:order val="0"/>
          <c:tx>
            <c:strRef>
              <c:f>TNOR!$W$24</c:f>
              <c:strCache>
                <c:ptCount val="1"/>
                <c:pt idx="0">
                  <c:v>Telenor</c:v>
                </c:pt>
              </c:strCache>
            </c:strRef>
          </c:tx>
          <c:spPr>
            <a:ln w="25400">
              <a:solidFill>
                <a:srgbClr val="263238"/>
              </a:solidFill>
              <a:prstDash val="solid"/>
            </a:ln>
            <a:effectLst/>
          </c:spPr>
          <c:marker>
            <c:symbol val="diamond"/>
            <c:size val="6"/>
            <c:spPr>
              <a:solidFill>
                <a:srgbClr val="26323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TNOR!$W$25:$W$34</c:f>
              <c:numCache>
                <c:formatCode>0%</c:formatCode>
                <c:ptCount val="10"/>
                <c:pt idx="0">
                  <c:v>1.4346837154641434</c:v>
                </c:pt>
                <c:pt idx="1">
                  <c:v>1.2167851280487139</c:v>
                </c:pt>
                <c:pt idx="2">
                  <c:v>0.97287198492759519</c:v>
                </c:pt>
                <c:pt idx="3">
                  <c:v>0.92377368669934956</c:v>
                </c:pt>
                <c:pt idx="4">
                  <c:v>1.2698739739490208</c:v>
                </c:pt>
                <c:pt idx="5">
                  <c:v>1.5395911504552708</c:v>
                </c:pt>
                <c:pt idx="6">
                  <c:v>1.1403355002781992</c:v>
                </c:pt>
                <c:pt idx="7">
                  <c:v>1.9634670224526627</c:v>
                </c:pt>
                <c:pt idx="8">
                  <c:v>1.5361033091185619</c:v>
                </c:pt>
                <c:pt idx="9">
                  <c:v>0.87693490183900902</c:v>
                </c:pt>
              </c:numCache>
            </c:numRef>
          </c:val>
          <c:extLst>
            <c:ext xmlns:c16="http://schemas.microsoft.com/office/drawing/2014/chart" uri="{C3380CC4-5D6E-409C-BE32-E72D297353CC}">
              <c16:uniqueId val="{00000000-F9FF-4CFA-9194-A8610C59F79B}"/>
            </c:ext>
          </c:extLst>
        </c:ser>
        <c:ser>
          <c:idx val="1"/>
          <c:order val="1"/>
          <c:tx>
            <c:strRef>
              <c:f>TNOR!$X$24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FF-4CFA-9194-A8610C59F79B}"/>
            </c:ext>
          </c:extLst>
        </c:ser>
        <c:dLbls>
          <c:showLegendKey val="0"/>
          <c:showVal val="0"/>
          <c:showCatName val="0"/>
          <c:showSerName val="0"/>
          <c:showPercent val="0"/>
          <c:showBubbleSize val="0"/>
        </c:dLbls>
        <c:axId val="336265600"/>
        <c:axId val="336267520"/>
      </c:radarChart>
      <c:catAx>
        <c:axId val="3362656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6267520"/>
        <c:crosses val="autoZero"/>
        <c:auto val="0"/>
        <c:lblAlgn val="ctr"/>
        <c:lblOffset val="100"/>
        <c:noMultiLvlLbl val="0"/>
      </c:catAx>
      <c:valAx>
        <c:axId val="3362675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62656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TOWR!$W$24</c:f>
              <c:strCache>
                <c:ptCount val="1"/>
                <c:pt idx="0">
                  <c:v>TOWR</c:v>
                </c:pt>
              </c:strCache>
            </c:strRef>
          </c:tx>
          <c:spPr>
            <a:ln w="25400">
              <a:solidFill>
                <a:srgbClr val="263238"/>
              </a:solidFill>
              <a:prstDash val="solid"/>
            </a:ln>
            <a:effectLst/>
          </c:spPr>
          <c:marker>
            <c:symbol val="diamond"/>
            <c:size val="6"/>
            <c:spPr>
              <a:solidFill>
                <a:srgbClr val="26323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TOWR!$W$25:$W$34</c:f>
              <c:numCache>
                <c:formatCode>0%</c:formatCode>
                <c:ptCount val="10"/>
                <c:pt idx="0">
                  <c:v>2.109308815584078</c:v>
                </c:pt>
                <c:pt idx="1">
                  <c:v>1.6388895736101157</c:v>
                </c:pt>
                <c:pt idx="2">
                  <c:v>2.0349597267674855</c:v>
                </c:pt>
                <c:pt idx="3">
                  <c:v>2.6228074932011158</c:v>
                </c:pt>
                <c:pt idx="4">
                  <c:v>0.87191449840831803</c:v>
                </c:pt>
                <c:pt idx="5">
                  <c:v>0.6984290495709593</c:v>
                </c:pt>
                <c:pt idx="6">
                  <c:v>3.1714599556012062</c:v>
                </c:pt>
                <c:pt idx="7">
                  <c:v>0.65481480961799554</c:v>
                </c:pt>
                <c:pt idx="8" formatCode="General">
                  <c:v>0.59801883102080544</c:v>
                </c:pt>
                <c:pt idx="9">
                  <c:v>0.18134462383191463</c:v>
                </c:pt>
              </c:numCache>
            </c:numRef>
          </c:val>
          <c:extLst>
            <c:ext xmlns:c16="http://schemas.microsoft.com/office/drawing/2014/chart" uri="{C3380CC4-5D6E-409C-BE32-E72D297353CC}">
              <c16:uniqueId val="{00000000-7757-4063-B770-3B38CA3B7A81}"/>
            </c:ext>
          </c:extLst>
        </c:ser>
        <c:ser>
          <c:idx val="1"/>
          <c:order val="1"/>
          <c:tx>
            <c:strRef>
              <c:f>TOWR!$X$24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57-4063-B770-3B38CA3B7A81}"/>
            </c:ext>
          </c:extLst>
        </c:ser>
        <c:dLbls>
          <c:showLegendKey val="0"/>
          <c:showVal val="0"/>
          <c:showCatName val="0"/>
          <c:showSerName val="0"/>
          <c:showPercent val="0"/>
          <c:showBubbleSize val="0"/>
        </c:dLbls>
        <c:axId val="337879424"/>
        <c:axId val="337881344"/>
      </c:radarChart>
      <c:catAx>
        <c:axId val="337879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881344"/>
        <c:crosses val="autoZero"/>
        <c:auto val="0"/>
        <c:lblAlgn val="ctr"/>
        <c:lblOffset val="100"/>
        <c:noMultiLvlLbl val="0"/>
      </c:catAx>
      <c:valAx>
        <c:axId val="337881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879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TRUECORP!$W$24</c:f>
              <c:strCache>
                <c:ptCount val="1"/>
                <c:pt idx="0">
                  <c:v>TRUE</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TRUECORP!$W$25:$W$34</c:f>
              <c:numCache>
                <c:formatCode>0%</c:formatCode>
                <c:ptCount val="10"/>
                <c:pt idx="0">
                  <c:v>2.1341418820935112</c:v>
                </c:pt>
                <c:pt idx="1">
                  <c:v>1.3465544793194251</c:v>
                </c:pt>
                <c:pt idx="2">
                  <c:v>1.0994457432969749</c:v>
                </c:pt>
                <c:pt idx="3">
                  <c:v>0.93256490582424589</c:v>
                </c:pt>
                <c:pt idx="4">
                  <c:v>0.96527167015482962</c:v>
                </c:pt>
                <c:pt idx="5">
                  <c:v>1.3716441476353647</c:v>
                </c:pt>
                <c:pt idx="6">
                  <c:v>1.0950301585173003</c:v>
                </c:pt>
                <c:pt idx="7">
                  <c:v>1.342715590293208</c:v>
                </c:pt>
                <c:pt idx="8">
                  <c:v>0.40732084040281613</c:v>
                </c:pt>
                <c:pt idx="9">
                  <c:v>0.91321685729096846</c:v>
                </c:pt>
              </c:numCache>
            </c:numRef>
          </c:val>
          <c:extLst>
            <c:ext xmlns:c16="http://schemas.microsoft.com/office/drawing/2014/chart" uri="{C3380CC4-5D6E-409C-BE32-E72D297353CC}">
              <c16:uniqueId val="{00000000-268C-4E98-9C69-8E550431CB8A}"/>
            </c:ext>
          </c:extLst>
        </c:ser>
        <c:ser>
          <c:idx val="1"/>
          <c:order val="1"/>
          <c:tx>
            <c:strRef>
              <c:f>TRUECORP!$X$24</c:f>
              <c:strCache>
                <c:ptCount val="1"/>
                <c:pt idx="0">
                  <c:v>Agg. Asia Cellular</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8C-4E98-9C69-8E550431CB8A}"/>
            </c:ext>
          </c:extLst>
        </c:ser>
        <c:dLbls>
          <c:showLegendKey val="0"/>
          <c:showVal val="0"/>
          <c:showCatName val="0"/>
          <c:showSerName val="0"/>
          <c:showPercent val="0"/>
          <c:showBubbleSize val="0"/>
        </c:dLbls>
        <c:axId val="185002447"/>
        <c:axId val="185002863"/>
      </c:radarChart>
      <c:catAx>
        <c:axId val="185002447"/>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863"/>
        <c:crosses val="autoZero"/>
        <c:auto val="1"/>
        <c:lblAlgn val="ctr"/>
        <c:lblOffset val="100"/>
        <c:noMultiLvlLbl val="0"/>
      </c:catAx>
      <c:valAx>
        <c:axId val="185002863"/>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44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3578356912288"/>
          <c:y val="0.15047044975517057"/>
          <c:w val="0.44758108577712102"/>
          <c:h val="0.69592583011766262"/>
        </c:manualLayout>
      </c:layout>
      <c:radarChart>
        <c:radarStyle val="marker"/>
        <c:varyColors val="0"/>
        <c:ser>
          <c:idx val="0"/>
          <c:order val="0"/>
          <c:tx>
            <c:strRef>
              <c:f>AXI!$W$24</c:f>
              <c:strCache>
                <c:ptCount val="1"/>
                <c:pt idx="0">
                  <c:v>AXI</c:v>
                </c:pt>
              </c:strCache>
            </c:strRef>
          </c:tx>
          <c:spPr>
            <a:ln w="25400">
              <a:solidFill>
                <a:srgbClr val="263238"/>
              </a:solidFill>
              <a:prstDash val="solid"/>
            </a:ln>
            <a:effectLst/>
          </c:spPr>
          <c:marker>
            <c:symbol val="diamond"/>
            <c:size val="6"/>
            <c:spPr>
              <a:solidFill>
                <a:srgbClr val="26323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AXI!$W$25:$W$34</c:f>
              <c:numCache>
                <c:formatCode>0%</c:formatCode>
                <c:ptCount val="10"/>
                <c:pt idx="0">
                  <c:v>1.3623398514875318</c:v>
                </c:pt>
                <c:pt idx="1">
                  <c:v>1.0008572754162643</c:v>
                </c:pt>
                <c:pt idx="2">
                  <c:v>1.2176190518975898</c:v>
                </c:pt>
                <c:pt idx="3">
                  <c:v>1.4305075590985816</c:v>
                </c:pt>
                <c:pt idx="4">
                  <c:v>0.43314971433835459</c:v>
                </c:pt>
                <c:pt idx="5">
                  <c:v>0.67880892500546086</c:v>
                </c:pt>
                <c:pt idx="6">
                  <c:v>2.2377831407047566</c:v>
                </c:pt>
                <c:pt idx="7">
                  <c:v>1.536052848653382</c:v>
                </c:pt>
                <c:pt idx="8">
                  <c:v>1.0463764632592494</c:v>
                </c:pt>
                <c:pt idx="9">
                  <c:v>0.44687082577852688</c:v>
                </c:pt>
              </c:numCache>
            </c:numRef>
          </c:val>
          <c:extLst>
            <c:ext xmlns:c16="http://schemas.microsoft.com/office/drawing/2014/chart" uri="{C3380CC4-5D6E-409C-BE32-E72D297353CC}">
              <c16:uniqueId val="{00000000-1C6E-4BEA-8EA4-7F373A644BFA}"/>
            </c:ext>
          </c:extLst>
        </c:ser>
        <c:ser>
          <c:idx val="1"/>
          <c:order val="1"/>
          <c:tx>
            <c:strRef>
              <c:f>AXI!$X$24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C6E-4BEA-8EA4-7F373A644BFA}"/>
            </c:ext>
          </c:extLst>
        </c:ser>
        <c:dLbls>
          <c:showLegendKey val="0"/>
          <c:showVal val="0"/>
          <c:showCatName val="0"/>
          <c:showSerName val="0"/>
          <c:showPercent val="0"/>
          <c:showBubbleSize val="0"/>
        </c:dLbls>
        <c:axId val="353657984"/>
        <c:axId val="353659904"/>
      </c:radarChart>
      <c:catAx>
        <c:axId val="353657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659904"/>
        <c:crosses val="autoZero"/>
        <c:auto val="0"/>
        <c:lblAlgn val="ctr"/>
        <c:lblOffset val="100"/>
        <c:noMultiLvlLbl val="0"/>
      </c:catAx>
      <c:valAx>
        <c:axId val="3536599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657984"/>
        <c:crosses val="autoZero"/>
        <c:crossBetween val="between"/>
        <c:maj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612929424585641"/>
          <c:y val="9.8461686390754782E-2"/>
          <c:w val="0.44153269272607876"/>
          <c:h val="0.67384716623672936"/>
        </c:manualLayout>
      </c:layout>
      <c:radarChart>
        <c:radarStyle val="marker"/>
        <c:varyColors val="0"/>
        <c:ser>
          <c:idx val="0"/>
          <c:order val="0"/>
          <c:tx>
            <c:strRef>
              <c:f>TVIS!$W$24</c:f>
              <c:strCache>
                <c:ptCount val="1"/>
                <c:pt idx="0">
                  <c:v>Televisa</c:v>
                </c:pt>
              </c:strCache>
            </c:strRef>
          </c:tx>
          <c:spPr>
            <a:ln w="25400">
              <a:solidFill>
                <a:srgbClr val="263238"/>
              </a:solidFill>
              <a:prstDash val="solid"/>
            </a:ln>
            <a:effectLst/>
          </c:spPr>
          <c:marker>
            <c:symbol val="diamond"/>
            <c:size val="6"/>
            <c:spPr>
              <a:solidFill>
                <a:srgbClr val="26323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TVIS!$W$25:$W$34</c:f>
              <c:numCache>
                <c:formatCode>0%</c:formatCode>
                <c:ptCount val="10"/>
                <c:pt idx="0">
                  <c:v>0.38906733806479721</c:v>
                </c:pt>
                <c:pt idx="1">
                  <c:v>0.43695562133762805</c:v>
                </c:pt>
                <c:pt idx="2">
                  <c:v>0.63640453887887904</c:v>
                </c:pt>
                <c:pt idx="3">
                  <c:v>0.61263931740838973</c:v>
                </c:pt>
                <c:pt idx="4">
                  <c:v>0.16769419155899551</c:v>
                </c:pt>
                <c:pt idx="5">
                  <c:v>0.23900577805657799</c:v>
                </c:pt>
                <c:pt idx="6">
                  <c:v>0.74222157534777933</c:v>
                </c:pt>
                <c:pt idx="7">
                  <c:v>-7.9943755385278612</c:v>
                </c:pt>
                <c:pt idx="8">
                  <c:v>1.100694773852658</c:v>
                </c:pt>
                <c:pt idx="9">
                  <c:v>1.3473065634496473</c:v>
                </c:pt>
              </c:numCache>
            </c:numRef>
          </c:val>
          <c:extLst>
            <c:ext xmlns:c16="http://schemas.microsoft.com/office/drawing/2014/chart" uri="{C3380CC4-5D6E-409C-BE32-E72D297353CC}">
              <c16:uniqueId val="{00000000-DD69-4E6E-9B61-D944CD0C277F}"/>
            </c:ext>
          </c:extLst>
        </c:ser>
        <c:ser>
          <c:idx val="1"/>
          <c:order val="1"/>
          <c:tx>
            <c:strRef>
              <c:f>TVIS!$X$24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D69-4E6E-9B61-D944CD0C277F}"/>
            </c:ext>
          </c:extLst>
        </c:ser>
        <c:dLbls>
          <c:showLegendKey val="0"/>
          <c:showVal val="0"/>
          <c:showCatName val="0"/>
          <c:showSerName val="0"/>
          <c:showPercent val="0"/>
          <c:showBubbleSize val="0"/>
        </c:dLbls>
        <c:axId val="337933056"/>
        <c:axId val="337934976"/>
      </c:radarChart>
      <c:catAx>
        <c:axId val="33793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934976"/>
        <c:crosses val="autoZero"/>
        <c:auto val="0"/>
        <c:lblAlgn val="ctr"/>
        <c:lblOffset val="100"/>
        <c:noMultiLvlLbl val="0"/>
      </c:catAx>
      <c:valAx>
        <c:axId val="337934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93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UTDI!$W$24</c:f>
              <c:strCache>
                <c:ptCount val="1"/>
                <c:pt idx="0">
                  <c:v>United Internet</c:v>
                </c:pt>
              </c:strCache>
            </c:strRef>
          </c:tx>
          <c:spPr>
            <a:ln w="25400">
              <a:solidFill>
                <a:srgbClr val="263238"/>
              </a:solidFill>
              <a:prstDash val="solid"/>
            </a:ln>
            <a:effectLst/>
          </c:spPr>
          <c:marker>
            <c:symbol val="diamond"/>
            <c:size val="6"/>
            <c:spPr>
              <a:solidFill>
                <a:srgbClr val="26323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UTDI!$W$25:$W$34</c:f>
              <c:numCache>
                <c:formatCode>0%</c:formatCode>
                <c:ptCount val="10"/>
                <c:pt idx="0">
                  <c:v>1.359811896764896</c:v>
                </c:pt>
                <c:pt idx="1">
                  <c:v>1.5618981833950758</c:v>
                </c:pt>
                <c:pt idx="2">
                  <c:v>2.0647828310814216</c:v>
                </c:pt>
                <c:pt idx="3">
                  <c:v>2.2261485504030092</c:v>
                </c:pt>
                <c:pt idx="4">
                  <c:v>1.0305424831337429</c:v>
                </c:pt>
                <c:pt idx="5">
                  <c:v>1.0433260679925365</c:v>
                </c:pt>
                <c:pt idx="6">
                  <c:v>5.6591476851416873</c:v>
                </c:pt>
                <c:pt idx="7">
                  <c:v>0.53343222060558693</c:v>
                </c:pt>
                <c:pt idx="8">
                  <c:v>0.38850523033901457</c:v>
                </c:pt>
                <c:pt idx="9">
                  <c:v>0.17670505447764492</c:v>
                </c:pt>
              </c:numCache>
            </c:numRef>
          </c:val>
          <c:extLst>
            <c:ext xmlns:c16="http://schemas.microsoft.com/office/drawing/2014/chart" uri="{C3380CC4-5D6E-409C-BE32-E72D297353CC}">
              <c16:uniqueId val="{00000000-A2A1-480A-B428-088982FF0DC4}"/>
            </c:ext>
          </c:extLst>
        </c:ser>
        <c:ser>
          <c:idx val="1"/>
          <c:order val="1"/>
          <c:tx>
            <c:strRef>
              <c:f>UTDI!$X$24</c:f>
              <c:strCache>
                <c:ptCount val="1"/>
                <c:pt idx="0">
                  <c:v>Agg.W.Eur Other</c:v>
                </c:pt>
              </c:strCache>
            </c:strRef>
          </c:tx>
          <c:spPr>
            <a:ln w="25400">
              <a:solidFill>
                <a:srgbClr val="799098"/>
              </a:solidFill>
              <a:prstDash val="solid"/>
            </a:ln>
            <a:effectLst/>
          </c:spPr>
          <c:marker>
            <c:symbol val="diamond"/>
            <c:size val="6"/>
            <c:spPr>
              <a:solidFill>
                <a:srgbClr val="79909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A1-480A-B428-088982FF0DC4}"/>
            </c:ext>
          </c:extLst>
        </c:ser>
        <c:dLbls>
          <c:showLegendKey val="0"/>
          <c:showVal val="0"/>
          <c:showCatName val="0"/>
          <c:showSerName val="0"/>
          <c:showPercent val="0"/>
          <c:showBubbleSize val="0"/>
        </c:dLbls>
        <c:axId val="338076416"/>
        <c:axId val="338078336"/>
      </c:radarChart>
      <c:catAx>
        <c:axId val="3380764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078336"/>
        <c:crosses val="autoZero"/>
        <c:auto val="0"/>
        <c:lblAlgn val="ctr"/>
        <c:lblOffset val="100"/>
        <c:noMultiLvlLbl val="0"/>
      </c:catAx>
      <c:valAx>
        <c:axId val="3380783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0764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30802933930867"/>
          <c:y val="7.1874999999999994E-2"/>
          <c:w val="0.47628444005241982"/>
          <c:h val="0.7578179746838869"/>
        </c:manualLayout>
      </c:layout>
      <c:radarChart>
        <c:radarStyle val="marker"/>
        <c:varyColors val="0"/>
        <c:ser>
          <c:idx val="0"/>
          <c:order val="0"/>
          <c:tx>
            <c:strRef>
              <c:f>VIMP!$W$24</c:f>
              <c:strCache>
                <c:ptCount val="1"/>
                <c:pt idx="0">
                  <c:v>Vimpelcom</c:v>
                </c:pt>
              </c:strCache>
            </c:strRef>
          </c:tx>
          <c:spPr>
            <a:ln w="25400">
              <a:solidFill>
                <a:srgbClr val="263238"/>
              </a:solidFill>
              <a:prstDash val="solid"/>
            </a:ln>
            <a:effectLst/>
          </c:spPr>
          <c:marker>
            <c:symbol val="diamond"/>
            <c:size val="6"/>
            <c:spPr>
              <a:solidFill>
                <a:srgbClr val="26323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VIMP!$W$25:$W$34</c:f>
              <c:numCache>
                <c:formatCode>0%</c:formatCode>
                <c:ptCount val="10"/>
                <c:pt idx="0">
                  <c:v>0.75031586452412358</c:v>
                </c:pt>
                <c:pt idx="1">
                  <c:v>0.59637522136405274</c:v>
                </c:pt>
                <c:pt idx="2">
                  <c:v>0.56368548653687589</c:v>
                </c:pt>
                <c:pt idx="3">
                  <c:v>0.52848317050246185</c:v>
                </c:pt>
                <c:pt idx="4">
                  <c:v>0.76716011531579986</c:v>
                </c:pt>
                <c:pt idx="5">
                  <c:v>0.76515294992553484</c:v>
                </c:pt>
                <c:pt idx="6">
                  <c:v>0.62870752198103663</c:v>
                </c:pt>
                <c:pt idx="7">
                  <c:v>0.52428116172927663</c:v>
                </c:pt>
                <c:pt idx="8">
                  <c:v>0</c:v>
                </c:pt>
                <c:pt idx="9">
                  <c:v>1.5905647141758907</c:v>
                </c:pt>
              </c:numCache>
            </c:numRef>
          </c:val>
          <c:extLst>
            <c:ext xmlns:c16="http://schemas.microsoft.com/office/drawing/2014/chart" uri="{C3380CC4-5D6E-409C-BE32-E72D297353CC}">
              <c16:uniqueId val="{00000000-4D09-4B6E-9714-55D964586DDC}"/>
            </c:ext>
          </c:extLst>
        </c:ser>
        <c:ser>
          <c:idx val="1"/>
          <c:order val="1"/>
          <c:tx>
            <c:strRef>
              <c:f>VIMP!$X$24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D09-4B6E-9714-55D964586DDC}"/>
            </c:ext>
          </c:extLst>
        </c:ser>
        <c:dLbls>
          <c:showLegendKey val="0"/>
          <c:showVal val="0"/>
          <c:showCatName val="0"/>
          <c:showSerName val="0"/>
          <c:showPercent val="0"/>
          <c:showBubbleSize val="0"/>
        </c:dLbls>
        <c:axId val="341066496"/>
        <c:axId val="341068416"/>
      </c:radarChart>
      <c:catAx>
        <c:axId val="3410664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1068416"/>
        <c:crosses val="autoZero"/>
        <c:auto val="0"/>
        <c:lblAlgn val="ctr"/>
        <c:lblOffset val="100"/>
        <c:noMultiLvlLbl val="0"/>
      </c:catAx>
      <c:valAx>
        <c:axId val="34106841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10664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6705369975903"/>
          <c:y val="8.9230903291621547E-2"/>
          <c:w val="0.46307384765530485"/>
          <c:h val="0.72391737502531528"/>
        </c:manualLayout>
      </c:layout>
      <c:radarChart>
        <c:radarStyle val="marker"/>
        <c:varyColors val="0"/>
        <c:ser>
          <c:idx val="0"/>
          <c:order val="0"/>
          <c:tx>
            <c:strRef>
              <c:f>VIVO!$W$24</c:f>
              <c:strCache>
                <c:ptCount val="1"/>
                <c:pt idx="0">
                  <c:v>Telefonica Brasil</c:v>
                </c:pt>
              </c:strCache>
            </c:strRef>
          </c:tx>
          <c:spPr>
            <a:ln w="25400">
              <a:solidFill>
                <a:srgbClr val="263238"/>
              </a:solidFill>
              <a:prstDash val="solid"/>
            </a:ln>
            <a:effectLst/>
          </c:spPr>
          <c:marker>
            <c:symbol val="diamond"/>
            <c:size val="6"/>
            <c:spPr>
              <a:solidFill>
                <a:srgbClr val="26323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VIVO!$W$25:$W$34</c:f>
              <c:numCache>
                <c:formatCode>0%</c:formatCode>
                <c:ptCount val="10"/>
                <c:pt idx="0">
                  <c:v>1.1308438860306993</c:v>
                </c:pt>
                <c:pt idx="1">
                  <c:v>1.0739602206948464</c:v>
                </c:pt>
                <c:pt idx="2">
                  <c:v>1.1161631635616154</c:v>
                </c:pt>
                <c:pt idx="3">
                  <c:v>1.1721625536179205</c:v>
                </c:pt>
                <c:pt idx="4">
                  <c:v>1.0276669166374361</c:v>
                </c:pt>
                <c:pt idx="5">
                  <c:v>0.87402870587629677</c:v>
                </c:pt>
                <c:pt idx="6">
                  <c:v>1.2128735068988936</c:v>
                </c:pt>
                <c:pt idx="7">
                  <c:v>1.1667963546124909</c:v>
                </c:pt>
                <c:pt idx="8">
                  <c:v>1.2330653865970276</c:v>
                </c:pt>
                <c:pt idx="9">
                  <c:v>0.82448828695815601</c:v>
                </c:pt>
              </c:numCache>
            </c:numRef>
          </c:val>
          <c:extLst>
            <c:ext xmlns:c16="http://schemas.microsoft.com/office/drawing/2014/chart" uri="{C3380CC4-5D6E-409C-BE32-E72D297353CC}">
              <c16:uniqueId val="{00000000-60BB-4086-8023-D8D40279CCFB}"/>
            </c:ext>
          </c:extLst>
        </c:ser>
        <c:ser>
          <c:idx val="1"/>
          <c:order val="1"/>
          <c:tx>
            <c:strRef>
              <c:f>VIVO!$X$24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BB-4086-8023-D8D40279CCFB}"/>
            </c:ext>
          </c:extLst>
        </c:ser>
        <c:dLbls>
          <c:showLegendKey val="0"/>
          <c:showVal val="0"/>
          <c:showCatName val="0"/>
          <c:showSerName val="0"/>
          <c:showPercent val="0"/>
          <c:showBubbleSize val="0"/>
        </c:dLbls>
        <c:axId val="342434560"/>
        <c:axId val="342436480"/>
      </c:radarChart>
      <c:catAx>
        <c:axId val="34243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36480"/>
        <c:crosses val="autoZero"/>
        <c:auto val="0"/>
        <c:lblAlgn val="ctr"/>
        <c:lblOffset val="100"/>
        <c:noMultiLvlLbl val="0"/>
      </c:catAx>
      <c:valAx>
        <c:axId val="3424364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34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9220264385214"/>
          <c:y val="7.1428679743121323E-2"/>
          <c:w val="0.47064452516997263"/>
          <c:h val="0.74355201508605939"/>
        </c:manualLayout>
      </c:layout>
      <c:radarChart>
        <c:radarStyle val="marker"/>
        <c:varyColors val="0"/>
        <c:ser>
          <c:idx val="0"/>
          <c:order val="0"/>
          <c:tx>
            <c:strRef>
              <c:f>VODA!$W$24</c:f>
              <c:strCache>
                <c:ptCount val="1"/>
                <c:pt idx="0">
                  <c:v>Vodacom</c:v>
                </c:pt>
              </c:strCache>
            </c:strRef>
          </c:tx>
          <c:spPr>
            <a:ln w="25400">
              <a:solidFill>
                <a:srgbClr val="263238"/>
              </a:solidFill>
              <a:prstDash val="solid"/>
            </a:ln>
            <a:effectLst/>
          </c:spPr>
          <c:marker>
            <c:symbol val="diamond"/>
            <c:size val="6"/>
            <c:spPr>
              <a:solidFill>
                <a:srgbClr val="26323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VODA!$W$25:$W$34</c:f>
              <c:numCache>
                <c:formatCode>0%</c:formatCode>
                <c:ptCount val="10"/>
                <c:pt idx="0">
                  <c:v>0.87233248933231078</c:v>
                </c:pt>
                <c:pt idx="1">
                  <c:v>1.0436698713176893</c:v>
                </c:pt>
                <c:pt idx="2">
                  <c:v>1.0305812705355322</c:v>
                </c:pt>
                <c:pt idx="3">
                  <c:v>1.0064803983512474</c:v>
                </c:pt>
                <c:pt idx="4">
                  <c:v>0.95952629512609788</c:v>
                </c:pt>
                <c:pt idx="5">
                  <c:v>1.4816374585862837</c:v>
                </c:pt>
                <c:pt idx="6">
                  <c:v>0.7737870654405179</c:v>
                </c:pt>
                <c:pt idx="7">
                  <c:v>1.0711968830512957</c:v>
                </c:pt>
                <c:pt idx="8">
                  <c:v>1.6564001647002209</c:v>
                </c:pt>
                <c:pt idx="9">
                  <c:v>1.292345200201426</c:v>
                </c:pt>
              </c:numCache>
            </c:numRef>
          </c:val>
          <c:extLst>
            <c:ext xmlns:c16="http://schemas.microsoft.com/office/drawing/2014/chart" uri="{C3380CC4-5D6E-409C-BE32-E72D297353CC}">
              <c16:uniqueId val="{00000000-B7B6-40E0-9B57-EF1AB78A5326}"/>
            </c:ext>
          </c:extLst>
        </c:ser>
        <c:ser>
          <c:idx val="1"/>
          <c:order val="1"/>
          <c:tx>
            <c:strRef>
              <c:f>VODA!$X$24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7B6-40E0-9B57-EF1AB78A5326}"/>
            </c:ext>
          </c:extLst>
        </c:ser>
        <c:dLbls>
          <c:showLegendKey val="0"/>
          <c:showVal val="0"/>
          <c:showCatName val="0"/>
          <c:showSerName val="0"/>
          <c:showPercent val="0"/>
          <c:showBubbleSize val="0"/>
        </c:dLbls>
        <c:axId val="342496000"/>
        <c:axId val="342497920"/>
      </c:radarChart>
      <c:catAx>
        <c:axId val="342496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97920"/>
        <c:crosses val="autoZero"/>
        <c:auto val="0"/>
        <c:lblAlgn val="ctr"/>
        <c:lblOffset val="100"/>
        <c:noMultiLvlLbl val="0"/>
      </c:catAx>
      <c:valAx>
        <c:axId val="3424979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96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29347812445752"/>
          <c:y val="9.0062248371761564E-2"/>
          <c:w val="0.45794922114715597"/>
          <c:h val="0.69121657957892857"/>
        </c:manualLayout>
      </c:layout>
      <c:radarChart>
        <c:radarStyle val="marker"/>
        <c:varyColors val="0"/>
        <c:ser>
          <c:idx val="0"/>
          <c:order val="0"/>
          <c:tx>
            <c:strRef>
              <c:f>VOD!$W$24</c:f>
              <c:strCache>
                <c:ptCount val="1"/>
                <c:pt idx="0">
                  <c:v>Vodafone</c:v>
                </c:pt>
              </c:strCache>
            </c:strRef>
          </c:tx>
          <c:spPr>
            <a:ln w="25400">
              <a:solidFill>
                <a:srgbClr val="263238"/>
              </a:solidFill>
              <a:prstDash val="solid"/>
            </a:ln>
            <a:effectLst/>
          </c:spPr>
          <c:marker>
            <c:symbol val="diamond"/>
            <c:size val="6"/>
            <c:spPr>
              <a:solidFill>
                <a:srgbClr val="26323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VOD!$W$25:$W$34</c:f>
              <c:numCache>
                <c:formatCode>0%</c:formatCode>
                <c:ptCount val="10"/>
                <c:pt idx="0">
                  <c:v>1.233267590419435</c:v>
                </c:pt>
                <c:pt idx="1">
                  <c:v>0.87028919021558337</c:v>
                </c:pt>
                <c:pt idx="2">
                  <c:v>0.98236828497258333</c:v>
                </c:pt>
                <c:pt idx="3">
                  <c:v>0.98757813290726282</c:v>
                </c:pt>
                <c:pt idx="4">
                  <c:v>0.70031981008672861</c:v>
                </c:pt>
                <c:pt idx="5">
                  <c:v>0.72043891148850125</c:v>
                </c:pt>
                <c:pt idx="6">
                  <c:v>1.2302899349552174</c:v>
                </c:pt>
                <c:pt idx="7">
                  <c:v>0.52223467064920404</c:v>
                </c:pt>
                <c:pt idx="8">
                  <c:v>0.89071479135742149</c:v>
                </c:pt>
                <c:pt idx="9">
                  <c:v>0.81281653339413851</c:v>
                </c:pt>
              </c:numCache>
            </c:numRef>
          </c:val>
          <c:extLst>
            <c:ext xmlns:c16="http://schemas.microsoft.com/office/drawing/2014/chart" uri="{C3380CC4-5D6E-409C-BE32-E72D297353CC}">
              <c16:uniqueId val="{00000000-33C5-4F4C-8A70-4C359B5CCD8A}"/>
            </c:ext>
          </c:extLst>
        </c:ser>
        <c:ser>
          <c:idx val="1"/>
          <c:order val="1"/>
          <c:tx>
            <c:strRef>
              <c:f>VOD!$X$24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3C5-4F4C-8A70-4C359B5CCD8A}"/>
            </c:ext>
          </c:extLst>
        </c:ser>
        <c:dLbls>
          <c:showLegendKey val="0"/>
          <c:showVal val="0"/>
          <c:showCatName val="0"/>
          <c:showSerName val="0"/>
          <c:showPercent val="0"/>
          <c:showBubbleSize val="0"/>
        </c:dLbls>
        <c:axId val="342618880"/>
        <c:axId val="342620800"/>
      </c:radarChart>
      <c:catAx>
        <c:axId val="342618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20800"/>
        <c:crosses val="autoZero"/>
        <c:auto val="0"/>
        <c:lblAlgn val="ctr"/>
        <c:lblOffset val="100"/>
        <c:noMultiLvlLbl val="0"/>
      </c:catAx>
      <c:valAx>
        <c:axId val="3426208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188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90311485522823"/>
          <c:y val="9.8461686390754782E-2"/>
          <c:w val="0.42979270718661738"/>
          <c:h val="0.67188939726770658"/>
        </c:manualLayout>
      </c:layout>
      <c:radarChart>
        <c:radarStyle val="marker"/>
        <c:varyColors val="0"/>
        <c:ser>
          <c:idx val="0"/>
          <c:order val="0"/>
          <c:tx>
            <c:strRef>
              <c:f>VZN!$W$24</c:f>
              <c:strCache>
                <c:ptCount val="1"/>
                <c:pt idx="0">
                  <c:v>Verizon</c:v>
                </c:pt>
              </c:strCache>
            </c:strRef>
          </c:tx>
          <c:spPr>
            <a:ln w="25400">
              <a:solidFill>
                <a:srgbClr val="263238"/>
              </a:solidFill>
              <a:prstDash val="solid"/>
            </a:ln>
            <a:effectLst/>
          </c:spPr>
          <c:marker>
            <c:symbol val="diamond"/>
            <c:size val="6"/>
            <c:spPr>
              <a:solidFill>
                <a:srgbClr val="26323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VZN!$W$25:$W$34</c:f>
              <c:numCache>
                <c:formatCode>0%</c:formatCode>
                <c:ptCount val="10"/>
                <c:pt idx="0">
                  <c:v>0.82721217034585592</c:v>
                </c:pt>
                <c:pt idx="1">
                  <c:v>0.85035878174490087</c:v>
                </c:pt>
                <c:pt idx="2">
                  <c:v>0.81019543852591269</c:v>
                </c:pt>
                <c:pt idx="3">
                  <c:v>0.89544087691230223</c:v>
                </c:pt>
                <c:pt idx="4">
                  <c:v>1.4315499910291107</c:v>
                </c:pt>
                <c:pt idx="5">
                  <c:v>0.92952432772989557</c:v>
                </c:pt>
                <c:pt idx="6">
                  <c:v>0.75647079805005935</c:v>
                </c:pt>
                <c:pt idx="7">
                  <c:v>0.75874012807380764</c:v>
                </c:pt>
                <c:pt idx="8">
                  <c:v>1.4700577471661638</c:v>
                </c:pt>
                <c:pt idx="9">
                  <c:v>1.3219280936920252</c:v>
                </c:pt>
              </c:numCache>
            </c:numRef>
          </c:val>
          <c:extLst>
            <c:ext xmlns:c16="http://schemas.microsoft.com/office/drawing/2014/chart" uri="{C3380CC4-5D6E-409C-BE32-E72D297353CC}">
              <c16:uniqueId val="{00000000-9F14-4923-8B3F-D163AE1732CC}"/>
            </c:ext>
          </c:extLst>
        </c:ser>
        <c:ser>
          <c:idx val="1"/>
          <c:order val="1"/>
          <c:tx>
            <c:strRef>
              <c:f>VZN!$X$24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F14-4923-8B3F-D163AE1732CC}"/>
            </c:ext>
          </c:extLst>
        </c:ser>
        <c:dLbls>
          <c:showLegendKey val="0"/>
          <c:showVal val="0"/>
          <c:showCatName val="0"/>
          <c:showSerName val="0"/>
          <c:showPercent val="0"/>
          <c:showBubbleSize val="0"/>
        </c:dLbls>
        <c:axId val="342741760"/>
        <c:axId val="342743680"/>
      </c:radarChart>
      <c:catAx>
        <c:axId val="3427417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743680"/>
        <c:crosses val="autoZero"/>
        <c:auto val="0"/>
        <c:lblAlgn val="ctr"/>
        <c:lblOffset val="100"/>
        <c:noMultiLvlLbl val="0"/>
      </c:catAx>
      <c:valAx>
        <c:axId val="3427436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7417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29347812445752"/>
          <c:y val="9.0062248371761564E-2"/>
          <c:w val="0.45794922114715597"/>
          <c:h val="0.69121657957892857"/>
        </c:manualLayout>
      </c:layout>
      <c:radarChart>
        <c:radarStyle val="marker"/>
        <c:varyColors val="0"/>
        <c:ser>
          <c:idx val="0"/>
          <c:order val="0"/>
          <c:tx>
            <c:strRef>
              <c:f>ZEG!$W$24</c:f>
              <c:strCache>
                <c:ptCount val="1"/>
                <c:pt idx="0">
                  <c:v>Vodafone</c:v>
                </c:pt>
              </c:strCache>
            </c:strRef>
          </c:tx>
          <c:spPr>
            <a:ln w="25400">
              <a:solidFill>
                <a:srgbClr val="263238"/>
              </a:solidFill>
              <a:prstDash val="solid"/>
            </a:ln>
            <a:effectLst/>
          </c:spPr>
          <c:marker>
            <c:symbol val="diamond"/>
            <c:size val="6"/>
            <c:spPr>
              <a:solidFill>
                <a:srgbClr val="263238"/>
              </a:solidFill>
              <a:ln w="6350">
                <a:noFill/>
              </a:ln>
            </c:spPr>
          </c:marker>
          <c:cat>
            <c:strRef>
              <c:f>ZEG!$V$25:$V$34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ZEG!$W$25:$W$34</c:f>
              <c:numCache>
                <c:formatCode>0%</c:formatCode>
                <c:ptCount val="10"/>
                <c:pt idx="0">
                  <c:v>1.6402889302465349</c:v>
                </c:pt>
                <c:pt idx="1">
                  <c:v>1.3311941193290067</c:v>
                </c:pt>
                <c:pt idx="2">
                  <c:v>0.83744990512806761</c:v>
                </c:pt>
                <c:pt idx="3">
                  <c:v>0.83066598342974707</c:v>
                </c:pt>
                <c:pt idx="4">
                  <c:v>2.2249883455404582</c:v>
                </c:pt>
                <c:pt idx="5">
                  <c:v>0</c:v>
                </c:pt>
                <c:pt idx="6">
                  <c:v>0.64291430761403234</c:v>
                </c:pt>
                <c:pt idx="7">
                  <c:v>-5.5778241842983594</c:v>
                </c:pt>
                <c:pt idx="8">
                  <c:v>0.62670305222269018</c:v>
                </c:pt>
                <c:pt idx="9">
                  <c:v>1.555417243257776</c:v>
                </c:pt>
              </c:numCache>
            </c:numRef>
          </c:val>
          <c:extLst>
            <c:ext xmlns:c16="http://schemas.microsoft.com/office/drawing/2014/chart" uri="{C3380CC4-5D6E-409C-BE32-E72D297353CC}">
              <c16:uniqueId val="{00000000-8EA2-4114-968C-AEA24A174226}"/>
            </c:ext>
          </c:extLst>
        </c:ser>
        <c:ser>
          <c:idx val="1"/>
          <c:order val="1"/>
          <c:tx>
            <c:strRef>
              <c:f>ZEG!$X$24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ZEG!$V$25:$V$34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ZEG!$X$25:$X$34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EA2-4114-968C-AEA24A174226}"/>
            </c:ext>
          </c:extLst>
        </c:ser>
        <c:dLbls>
          <c:showLegendKey val="0"/>
          <c:showVal val="0"/>
          <c:showCatName val="0"/>
          <c:showSerName val="0"/>
          <c:showPercent val="0"/>
          <c:showBubbleSize val="0"/>
        </c:dLbls>
        <c:axId val="342618880"/>
        <c:axId val="342620800"/>
      </c:radarChart>
      <c:catAx>
        <c:axId val="342618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20800"/>
        <c:crosses val="autoZero"/>
        <c:auto val="0"/>
        <c:lblAlgn val="ctr"/>
        <c:lblOffset val="100"/>
        <c:noMultiLvlLbl val="0"/>
      </c:catAx>
      <c:valAx>
        <c:axId val="3426208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188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3878075634831"/>
          <c:y val="0.11598763835294353"/>
          <c:w val="0.43248394106318538"/>
          <c:h val="0.67688225427332571"/>
        </c:manualLayout>
      </c:layout>
      <c:radarChart>
        <c:radarStyle val="marker"/>
        <c:varyColors val="0"/>
        <c:ser>
          <c:idx val="0"/>
          <c:order val="0"/>
          <c:tx>
            <c:strRef>
              <c:f>XLAX!$W$24</c:f>
              <c:strCache>
                <c:ptCount val="1"/>
                <c:pt idx="0">
                  <c:v>XL Axiata</c:v>
                </c:pt>
              </c:strCache>
            </c:strRef>
          </c:tx>
          <c:spPr>
            <a:ln w="25400">
              <a:solidFill>
                <a:srgbClr val="263238"/>
              </a:solidFill>
              <a:prstDash val="solid"/>
            </a:ln>
            <a:effectLst/>
          </c:spPr>
          <c:marker>
            <c:symbol val="diamond"/>
            <c:size val="6"/>
            <c:spPr>
              <a:solidFill>
                <a:srgbClr val="26323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XLAX!$W$25:$W$34</c:f>
              <c:numCache>
                <c:formatCode>0%</c:formatCode>
                <c:ptCount val="10"/>
                <c:pt idx="0">
                  <c:v>1.3273464695751247</c:v>
                </c:pt>
                <c:pt idx="1">
                  <c:v>1.0150341748526108</c:v>
                </c:pt>
                <c:pt idx="2">
                  <c:v>1.3533090825383496</c:v>
                </c:pt>
                <c:pt idx="3">
                  <c:v>1.3244945305075937</c:v>
                </c:pt>
                <c:pt idx="4">
                  <c:v>0.79616297760356447</c:v>
                </c:pt>
                <c:pt idx="5">
                  <c:v>0.61728009621587454</c:v>
                </c:pt>
                <c:pt idx="6">
                  <c:v>-172.69394470462515</c:v>
                </c:pt>
                <c:pt idx="7">
                  <c:v>5.1141955344016008</c:v>
                </c:pt>
                <c:pt idx="8">
                  <c:v>1.2139330330762681</c:v>
                </c:pt>
                <c:pt idx="9">
                  <c:v>-5.790590988644072E-3</c:v>
                </c:pt>
              </c:numCache>
            </c:numRef>
          </c:val>
          <c:extLst>
            <c:ext xmlns:c16="http://schemas.microsoft.com/office/drawing/2014/chart" uri="{C3380CC4-5D6E-409C-BE32-E72D297353CC}">
              <c16:uniqueId val="{00000000-841A-408E-9FE6-403648DB6E28}"/>
            </c:ext>
          </c:extLst>
        </c:ser>
        <c:ser>
          <c:idx val="1"/>
          <c:order val="1"/>
          <c:tx>
            <c:strRef>
              <c:f>XLAX!$X$24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41A-408E-9FE6-403648DB6E28}"/>
            </c:ext>
          </c:extLst>
        </c:ser>
        <c:dLbls>
          <c:showLegendKey val="0"/>
          <c:showVal val="0"/>
          <c:showCatName val="0"/>
          <c:showSerName val="0"/>
          <c:showPercent val="0"/>
          <c:showBubbleSize val="0"/>
        </c:dLbls>
        <c:axId val="347976448"/>
        <c:axId val="347978368"/>
      </c:radarChart>
      <c:catAx>
        <c:axId val="3479764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7978368"/>
        <c:crosses val="autoZero"/>
        <c:auto val="0"/>
        <c:lblAlgn val="ctr"/>
        <c:lblOffset val="100"/>
        <c:noMultiLvlLbl val="0"/>
      </c:catAx>
      <c:valAx>
        <c:axId val="3479783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79764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TELCO'!$W$23</c:f>
              <c:strCache>
                <c:ptCount val="1"/>
                <c:pt idx="0">
                  <c:v>N.AM telecoms</c:v>
                </c:pt>
              </c:strCache>
            </c:strRef>
          </c:tx>
          <c:spPr>
            <a:ln w="25400">
              <a:solidFill>
                <a:srgbClr val="263238"/>
              </a:solidFill>
              <a:prstDash val="solid"/>
            </a:ln>
            <a:effectLst/>
          </c:spPr>
          <c:marker>
            <c:symbol val="diamond"/>
            <c:size val="6"/>
            <c:spPr>
              <a:solidFill>
                <a:srgbClr val="26323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TELCO'!$W$24:$W$33</c:f>
              <c:numCache>
                <c:formatCode>0%</c:formatCode>
                <c:ptCount val="10"/>
                <c:pt idx="0">
                  <c:v>1.2936121803497009</c:v>
                </c:pt>
                <c:pt idx="1">
                  <c:v>0.96918576810411661</c:v>
                </c:pt>
                <c:pt idx="2">
                  <c:v>0.88493965063075697</c:v>
                </c:pt>
                <c:pt idx="3">
                  <c:v>0.92695182021410483</c:v>
                </c:pt>
                <c:pt idx="4">
                  <c:v>1.1680119414820123</c:v>
                </c:pt>
                <c:pt idx="5">
                  <c:v>1.0024613645832223</c:v>
                </c:pt>
                <c:pt idx="6">
                  <c:v>1.131278511670297</c:v>
                </c:pt>
                <c:pt idx="7">
                  <c:v>0.94810647578399354</c:v>
                </c:pt>
                <c:pt idx="8">
                  <c:v>0.95099483455477463</c:v>
                </c:pt>
                <c:pt idx="9">
                  <c:v>0.82830034638318484</c:v>
                </c:pt>
              </c:numCache>
            </c:numRef>
          </c:val>
          <c:extLst>
            <c:ext xmlns:c16="http://schemas.microsoft.com/office/drawing/2014/chart" uri="{C3380CC4-5D6E-409C-BE32-E72D297353CC}">
              <c16:uniqueId val="{00000000-CCD6-413A-BC00-E8D2CC2936FA}"/>
            </c:ext>
          </c:extLst>
        </c:ser>
        <c:ser>
          <c:idx val="1"/>
          <c:order val="1"/>
          <c:tx>
            <c:strRef>
              <c:f>'US TELCO'!$X$23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D6-413A-BC00-E8D2CC2936FA}"/>
            </c:ext>
          </c:extLst>
        </c:ser>
        <c:dLbls>
          <c:showLegendKey val="0"/>
          <c:showVal val="0"/>
          <c:showCatName val="0"/>
          <c:showSerName val="0"/>
          <c:showPercent val="0"/>
          <c:showBubbleSize val="0"/>
        </c:dLbls>
        <c:axId val="337388672"/>
        <c:axId val="337390592"/>
      </c:radarChart>
      <c:catAx>
        <c:axId val="337388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390592"/>
        <c:crosses val="autoZero"/>
        <c:auto val="0"/>
        <c:lblAlgn val="ctr"/>
        <c:lblOffset val="100"/>
        <c:noMultiLvlLbl val="0"/>
      </c:catAx>
      <c:valAx>
        <c:axId val="337390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388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BHART!$W$24</c:f>
              <c:strCache>
                <c:ptCount val="1"/>
                <c:pt idx="0">
                  <c:v>Bharti</c:v>
                </c:pt>
              </c:strCache>
            </c:strRef>
          </c:tx>
          <c:spPr>
            <a:ln w="25400">
              <a:solidFill>
                <a:srgbClr val="263238"/>
              </a:solidFill>
              <a:prstDash val="solid"/>
            </a:ln>
            <a:effectLst/>
          </c:spPr>
          <c:marker>
            <c:symbol val="diamond"/>
            <c:size val="6"/>
            <c:spPr>
              <a:solidFill>
                <a:srgbClr val="26323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BHART!$W$25:$W$34</c:f>
              <c:numCache>
                <c:formatCode>0%</c:formatCode>
                <c:ptCount val="10"/>
                <c:pt idx="0">
                  <c:v>3.1597520611126635</c:v>
                </c:pt>
                <c:pt idx="1">
                  <c:v>1.8258025960339301</c:v>
                </c:pt>
                <c:pt idx="2">
                  <c:v>1.636348489986466</c:v>
                </c:pt>
                <c:pt idx="3">
                  <c:v>1.5614697977221081</c:v>
                </c:pt>
                <c:pt idx="4">
                  <c:v>2.5709248156083682</c:v>
                </c:pt>
                <c:pt idx="5">
                  <c:v>2.0987330163302542</c:v>
                </c:pt>
                <c:pt idx="6">
                  <c:v>1.7513298372016404</c:v>
                </c:pt>
                <c:pt idx="7">
                  <c:v>2.0192896928006512</c:v>
                </c:pt>
                <c:pt idx="8">
                  <c:v>0.26889917575417632</c:v>
                </c:pt>
                <c:pt idx="9">
                  <c:v>0.5709946685987195</c:v>
                </c:pt>
              </c:numCache>
            </c:numRef>
          </c:val>
          <c:extLst>
            <c:ext xmlns:c16="http://schemas.microsoft.com/office/drawing/2014/chart" uri="{C3380CC4-5D6E-409C-BE32-E72D297353CC}">
              <c16:uniqueId val="{00000000-7780-4EE8-A6C6-C2DE57D0810F}"/>
            </c:ext>
          </c:extLst>
        </c:ser>
        <c:ser>
          <c:idx val="1"/>
          <c:order val="1"/>
          <c:tx>
            <c:strRef>
              <c:f>BHART!$X$24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80-4EE8-A6C6-C2DE57D0810F}"/>
            </c:ext>
          </c:extLst>
        </c:ser>
        <c:dLbls>
          <c:showLegendKey val="0"/>
          <c:showVal val="0"/>
          <c:showCatName val="0"/>
          <c:showSerName val="0"/>
          <c:showPercent val="0"/>
          <c:showBubbleSize val="0"/>
        </c:dLbls>
        <c:axId val="354034432"/>
        <c:axId val="354036352"/>
      </c:radarChart>
      <c:catAx>
        <c:axId val="3540344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4036352"/>
        <c:crosses val="autoZero"/>
        <c:auto val="0"/>
        <c:lblAlgn val="ctr"/>
        <c:lblOffset val="100"/>
        <c:noMultiLvlLbl val="0"/>
      </c:catAx>
      <c:valAx>
        <c:axId val="3540363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40344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OTHER'!$W$23</c:f>
              <c:strCache>
                <c:ptCount val="1"/>
                <c:pt idx="0">
                  <c:v>N.AM Cable</c:v>
                </c:pt>
              </c:strCache>
            </c:strRef>
          </c:tx>
          <c:spPr>
            <a:ln w="25400">
              <a:solidFill>
                <a:srgbClr val="263238"/>
              </a:solidFill>
              <a:prstDash val="solid"/>
            </a:ln>
            <a:effectLst/>
          </c:spPr>
          <c:marker>
            <c:symbol val="diamond"/>
            <c:size val="6"/>
            <c:spPr>
              <a:solidFill>
                <a:srgbClr val="26323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OTHER'!$W$24:$W$33</c:f>
              <c:numCache>
                <c:formatCode>0%</c:formatCode>
                <c:ptCount val="10"/>
                <c:pt idx="0">
                  <c:v>0.72994462922520698</c:v>
                </c:pt>
                <c:pt idx="1">
                  <c:v>0.7714192146670712</c:v>
                </c:pt>
                <c:pt idx="2">
                  <c:v>0.72866454910841461</c:v>
                </c:pt>
                <c:pt idx="3">
                  <c:v>0.79128991520582326</c:v>
                </c:pt>
                <c:pt idx="4">
                  <c:v>0.66478012492282268</c:v>
                </c:pt>
                <c:pt idx="5">
                  <c:v>0.82744025443801039</c:v>
                </c:pt>
                <c:pt idx="6">
                  <c:v>0.2562433410947485</c:v>
                </c:pt>
                <c:pt idx="7">
                  <c:v>0.67943021990822638</c:v>
                </c:pt>
                <c:pt idx="8">
                  <c:v>1.5292333469814654</c:v>
                </c:pt>
                <c:pt idx="9">
                  <c:v>1.5020402237188684</c:v>
                </c:pt>
              </c:numCache>
            </c:numRef>
          </c:val>
          <c:extLst>
            <c:ext xmlns:c16="http://schemas.microsoft.com/office/drawing/2014/chart" uri="{C3380CC4-5D6E-409C-BE32-E72D297353CC}">
              <c16:uniqueId val="{00000000-CC11-4BD0-9F56-923DBC884B1A}"/>
            </c:ext>
          </c:extLst>
        </c:ser>
        <c:ser>
          <c:idx val="1"/>
          <c:order val="1"/>
          <c:tx>
            <c:strRef>
              <c:f>'US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11-4BD0-9F56-923DBC884B1A}"/>
            </c:ext>
          </c:extLst>
        </c:ser>
        <c:dLbls>
          <c:showLegendKey val="0"/>
          <c:showVal val="0"/>
          <c:showCatName val="0"/>
          <c:showSerName val="0"/>
          <c:showPercent val="0"/>
          <c:showBubbleSize val="0"/>
        </c:dLbls>
        <c:axId val="337494784"/>
        <c:axId val="337496704"/>
      </c:radarChart>
      <c:catAx>
        <c:axId val="3374947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496704"/>
        <c:crosses val="autoZero"/>
        <c:auto val="0"/>
        <c:lblAlgn val="ctr"/>
        <c:lblOffset val="100"/>
        <c:noMultiLvlLbl val="0"/>
      </c:catAx>
      <c:valAx>
        <c:axId val="337496704"/>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4947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TOWERS'!$W$23</c:f>
              <c:strCache>
                <c:ptCount val="1"/>
                <c:pt idx="0">
                  <c:v>US Towers</c:v>
                </c:pt>
              </c:strCache>
            </c:strRef>
          </c:tx>
          <c:spPr>
            <a:ln w="25400">
              <a:solidFill>
                <a:srgbClr val="263238"/>
              </a:solidFill>
              <a:prstDash val="solid"/>
            </a:ln>
            <a:effectLst/>
          </c:spPr>
          <c:marker>
            <c:symbol val="diamond"/>
            <c:size val="6"/>
            <c:spPr>
              <a:solidFill>
                <a:srgbClr val="26323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TOWERS'!$W$24:$W$33</c:f>
              <c:numCache>
                <c:formatCode>0%</c:formatCode>
                <c:ptCount val="10"/>
                <c:pt idx="0">
                  <c:v>4.4811344177379731</c:v>
                </c:pt>
                <c:pt idx="1">
                  <c:v>2.3113553563319194</c:v>
                </c:pt>
                <c:pt idx="2">
                  <c:v>2.3392832840354965</c:v>
                </c:pt>
                <c:pt idx="3">
                  <c:v>1.6943845080347932</c:v>
                </c:pt>
                <c:pt idx="4">
                  <c:v>1.5839812607738495</c:v>
                </c:pt>
                <c:pt idx="5">
                  <c:v>1.8188827935691554</c:v>
                </c:pt>
                <c:pt idx="6">
                  <c:v>1.6414051295767547</c:v>
                </c:pt>
                <c:pt idx="7">
                  <c:v>0</c:v>
                </c:pt>
                <c:pt idx="8">
                  <c:v>0.95665596669521158</c:v>
                </c:pt>
                <c:pt idx="9">
                  <c:v>1.245553993476755</c:v>
                </c:pt>
              </c:numCache>
            </c:numRef>
          </c:val>
          <c:extLst>
            <c:ext xmlns:c16="http://schemas.microsoft.com/office/drawing/2014/chart" uri="{C3380CC4-5D6E-409C-BE32-E72D297353CC}">
              <c16:uniqueId val="{00000000-69F1-4C1F-AD87-9D2122423DDE}"/>
            </c:ext>
          </c:extLst>
        </c:ser>
        <c:ser>
          <c:idx val="1"/>
          <c:order val="1"/>
          <c:tx>
            <c:strRef>
              <c:f>'US TOWERS'!$X$23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9F1-4C1F-AD87-9D2122423DDE}"/>
            </c:ext>
          </c:extLst>
        </c:ser>
        <c:dLbls>
          <c:showLegendKey val="0"/>
          <c:showVal val="0"/>
          <c:showCatName val="0"/>
          <c:showSerName val="0"/>
          <c:showPercent val="0"/>
          <c:showBubbleSize val="0"/>
        </c:dLbls>
        <c:axId val="348237824"/>
        <c:axId val="348239744"/>
      </c:radarChart>
      <c:catAx>
        <c:axId val="34823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239744"/>
        <c:crosses val="autoZero"/>
        <c:auto val="0"/>
        <c:lblAlgn val="ctr"/>
        <c:lblOffset val="100"/>
        <c:noMultiLvlLbl val="0"/>
      </c:catAx>
      <c:valAx>
        <c:axId val="3482397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23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62875869315055"/>
          <c:y val="5.9375000000000004E-2"/>
          <c:w val="0.5047636282732717"/>
          <c:h val="0.75832112030224752"/>
        </c:manualLayout>
      </c:layout>
      <c:radarChart>
        <c:radarStyle val="marker"/>
        <c:varyColors val="0"/>
        <c:ser>
          <c:idx val="0"/>
          <c:order val="0"/>
          <c:tx>
            <c:strRef>
              <c:f>'US AGG'!$W$23</c:f>
              <c:strCache>
                <c:ptCount val="1"/>
                <c:pt idx="0">
                  <c:v>US Aggregate</c:v>
                </c:pt>
              </c:strCache>
            </c:strRef>
          </c:tx>
          <c:spPr>
            <a:ln w="25400">
              <a:solidFill>
                <a:srgbClr val="263238"/>
              </a:solidFill>
              <a:prstDash val="solid"/>
            </a:ln>
            <a:effectLst/>
          </c:spPr>
          <c:marker>
            <c:symbol val="diamond"/>
            <c:size val="6"/>
            <c:spPr>
              <a:solidFill>
                <a:srgbClr val="26323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AGG'!$W$24:$W$33</c:f>
              <c:numCache>
                <c:formatCode>0%</c:formatCode>
                <c:ptCount val="10"/>
                <c:pt idx="0">
                  <c:v>1.181515669322629</c:v>
                </c:pt>
                <c:pt idx="1">
                  <c:v>0.98247765893901451</c:v>
                </c:pt>
                <c:pt idx="2">
                  <c:v>0.91144610829762041</c:v>
                </c:pt>
                <c:pt idx="3">
                  <c:v>0.94345247781403374</c:v>
                </c:pt>
                <c:pt idx="4">
                  <c:v>1.0158251554286417</c:v>
                </c:pt>
                <c:pt idx="5">
                  <c:v>1.009740849279416</c:v>
                </c:pt>
                <c:pt idx="6">
                  <c:v>0.73299302775725883</c:v>
                </c:pt>
                <c:pt idx="7">
                  <c:v>0.91348748137437186</c:v>
                </c:pt>
                <c:pt idx="8">
                  <c:v>1.0344792506116876</c:v>
                </c:pt>
                <c:pt idx="9">
                  <c:v>0.95512662747390042</c:v>
                </c:pt>
              </c:numCache>
            </c:numRef>
          </c:val>
          <c:extLst>
            <c:ext xmlns:c16="http://schemas.microsoft.com/office/drawing/2014/chart" uri="{C3380CC4-5D6E-409C-BE32-E72D297353CC}">
              <c16:uniqueId val="{00000000-0C1C-417E-94C2-1A49C901D7A7}"/>
            </c:ext>
          </c:extLst>
        </c:ser>
        <c:ser>
          <c:idx val="1"/>
          <c:order val="1"/>
          <c:tx>
            <c:strRef>
              <c:f>'US AGG'!$X$23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1C-417E-94C2-1A49C901D7A7}"/>
            </c:ext>
          </c:extLst>
        </c:ser>
        <c:dLbls>
          <c:showLegendKey val="0"/>
          <c:showVal val="0"/>
          <c:showCatName val="0"/>
          <c:showSerName val="0"/>
          <c:showPercent val="0"/>
          <c:showBubbleSize val="0"/>
        </c:dLbls>
        <c:axId val="348343680"/>
        <c:axId val="348382720"/>
      </c:radarChart>
      <c:catAx>
        <c:axId val="3483436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382720"/>
        <c:crosses val="autoZero"/>
        <c:auto val="0"/>
        <c:lblAlgn val="ctr"/>
        <c:lblOffset val="100"/>
        <c:noMultiLvlLbl val="0"/>
      </c:catAx>
      <c:valAx>
        <c:axId val="348382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3436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64027111835528"/>
          <c:y val="7.8125E-2"/>
          <c:w val="0.46055186516443675"/>
          <c:h val="0.73278566038852677"/>
        </c:manualLayout>
      </c:layout>
      <c:radarChart>
        <c:radarStyle val="marker"/>
        <c:varyColors val="0"/>
        <c:ser>
          <c:idx val="0"/>
          <c:order val="0"/>
          <c:tx>
            <c:strRef>
              <c:f>'W.EUR INCUMB'!$W$23</c:f>
              <c:strCache>
                <c:ptCount val="1"/>
                <c:pt idx="0">
                  <c:v>W.Europe Incumbent</c:v>
                </c:pt>
              </c:strCache>
            </c:strRef>
          </c:tx>
          <c:spPr>
            <a:ln w="25400">
              <a:solidFill>
                <a:srgbClr val="263238"/>
              </a:solidFill>
              <a:prstDash val="solid"/>
            </a:ln>
            <a:effectLst/>
          </c:spPr>
          <c:marker>
            <c:symbol val="diamond"/>
            <c:size val="6"/>
            <c:spPr>
              <a:solidFill>
                <a:srgbClr val="26323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INCUMB'!$W$24:$W$33</c:f>
              <c:numCache>
                <c:formatCode>0%</c:formatCode>
                <c:ptCount val="10"/>
                <c:pt idx="0">
                  <c:v>1.0373282446157301</c:v>
                </c:pt>
                <c:pt idx="1">
                  <c:v>1.0350730447305025</c:v>
                </c:pt>
                <c:pt idx="2">
                  <c:v>1.0785466645119102</c:v>
                </c:pt>
                <c:pt idx="3">
                  <c:v>1.0216172108374362</c:v>
                </c:pt>
                <c:pt idx="4">
                  <c:v>1.0339896902368815</c:v>
                </c:pt>
                <c:pt idx="5">
                  <c:v>1.0363295329981308</c:v>
                </c:pt>
                <c:pt idx="6">
                  <c:v>1.0838111779675224</c:v>
                </c:pt>
                <c:pt idx="7">
                  <c:v>1.048867297736747</c:v>
                </c:pt>
                <c:pt idx="8">
                  <c:v>0.9335193133009333</c:v>
                </c:pt>
                <c:pt idx="9">
                  <c:v>1.0838111779675224</c:v>
                </c:pt>
              </c:numCache>
            </c:numRef>
          </c:val>
          <c:extLst>
            <c:ext xmlns:c16="http://schemas.microsoft.com/office/drawing/2014/chart" uri="{C3380CC4-5D6E-409C-BE32-E72D297353CC}">
              <c16:uniqueId val="{00000000-E66A-4E7A-88DB-E6A2BCD6C810}"/>
            </c:ext>
          </c:extLst>
        </c:ser>
        <c:ser>
          <c:idx val="1"/>
          <c:order val="1"/>
          <c:tx>
            <c:strRef>
              <c:f>'W.EUR INCUMB'!$X$23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66A-4E7A-88DB-E6A2BCD6C810}"/>
            </c:ext>
          </c:extLst>
        </c:ser>
        <c:dLbls>
          <c:showLegendKey val="0"/>
          <c:showVal val="0"/>
          <c:showCatName val="0"/>
          <c:showSerName val="0"/>
          <c:showPercent val="0"/>
          <c:showBubbleSize val="0"/>
        </c:dLbls>
        <c:axId val="348756992"/>
        <c:axId val="348763264"/>
      </c:radarChart>
      <c:catAx>
        <c:axId val="3487569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763264"/>
        <c:crosses val="autoZero"/>
        <c:auto val="0"/>
        <c:lblAlgn val="ctr"/>
        <c:lblOffset val="100"/>
        <c:noMultiLvlLbl val="0"/>
      </c:catAx>
      <c:valAx>
        <c:axId val="348763264"/>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7569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6886991188158"/>
          <c:y val="8.7500000000000008E-2"/>
          <c:w val="0.43470466257295393"/>
          <c:h val="0.69166008723851091"/>
        </c:manualLayout>
      </c:layout>
      <c:radarChart>
        <c:radarStyle val="marker"/>
        <c:varyColors val="0"/>
        <c:ser>
          <c:idx val="0"/>
          <c:order val="0"/>
          <c:tx>
            <c:strRef>
              <c:f>'W.EUR OTHER'!$W$23</c:f>
              <c:strCache>
                <c:ptCount val="1"/>
                <c:pt idx="0">
                  <c:v>W. Europe Cellular</c:v>
                </c:pt>
              </c:strCache>
            </c:strRef>
          </c:tx>
          <c:spPr>
            <a:ln w="25400">
              <a:solidFill>
                <a:srgbClr val="263238"/>
              </a:solidFill>
              <a:prstDash val="solid"/>
            </a:ln>
            <a:effectLst/>
          </c:spPr>
          <c:marker>
            <c:symbol val="diamond"/>
            <c:size val="6"/>
            <c:spPr>
              <a:solidFill>
                <a:srgbClr val="26323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OTHER'!$W$24:$W$33</c:f>
              <c:numCache>
                <c:formatCode>0%</c:formatCode>
                <c:ptCount val="10"/>
                <c:pt idx="0">
                  <c:v>0.53373877928419666</c:v>
                </c:pt>
                <c:pt idx="1">
                  <c:v>0.8897254159605209</c:v>
                </c:pt>
                <c:pt idx="2">
                  <c:v>1.1261731305850036</c:v>
                </c:pt>
                <c:pt idx="3">
                  <c:v>1.0601720080824357</c:v>
                </c:pt>
                <c:pt idx="4">
                  <c:v>0.78626817573642982</c:v>
                </c:pt>
                <c:pt idx="5">
                  <c:v>0.83799914662134356</c:v>
                </c:pt>
                <c:pt idx="6">
                  <c:v>1.3139279745325547</c:v>
                </c:pt>
                <c:pt idx="7">
                  <c:v>1.346221449054928</c:v>
                </c:pt>
                <c:pt idx="8">
                  <c:v>0.97786028911498479</c:v>
                </c:pt>
                <c:pt idx="9">
                  <c:v>1.3139279745325547</c:v>
                </c:pt>
              </c:numCache>
            </c:numRef>
          </c:val>
          <c:extLst>
            <c:ext xmlns:c16="http://schemas.microsoft.com/office/drawing/2014/chart" uri="{C3380CC4-5D6E-409C-BE32-E72D297353CC}">
              <c16:uniqueId val="{00000000-2E69-4BE9-8E57-B431A8350406}"/>
            </c:ext>
          </c:extLst>
        </c:ser>
        <c:ser>
          <c:idx val="1"/>
          <c:order val="1"/>
          <c:tx>
            <c:strRef>
              <c:f>'W.EUR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E69-4BE9-8E57-B431A8350406}"/>
            </c:ext>
          </c:extLst>
        </c:ser>
        <c:dLbls>
          <c:showLegendKey val="0"/>
          <c:showVal val="0"/>
          <c:showCatName val="0"/>
          <c:showSerName val="0"/>
          <c:showPercent val="0"/>
          <c:showBubbleSize val="0"/>
        </c:dLbls>
        <c:axId val="350157440"/>
        <c:axId val="350561024"/>
      </c:radarChart>
      <c:catAx>
        <c:axId val="350157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561024"/>
        <c:crosses val="autoZero"/>
        <c:auto val="0"/>
        <c:lblAlgn val="ctr"/>
        <c:lblOffset val="100"/>
        <c:noMultiLvlLbl val="0"/>
      </c:catAx>
      <c:valAx>
        <c:axId val="3505610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0157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'W.EUR TOWERS'!$W$23</c:f>
              <c:strCache>
                <c:ptCount val="1"/>
                <c:pt idx="0">
                  <c:v>W. Europe Altnet</c:v>
                </c:pt>
              </c:strCache>
            </c:strRef>
          </c:tx>
          <c:spPr>
            <a:ln w="25400">
              <a:solidFill>
                <a:srgbClr val="263238"/>
              </a:solidFill>
              <a:prstDash val="solid"/>
            </a:ln>
            <a:effectLst/>
          </c:spPr>
          <c:marker>
            <c:symbol val="diamond"/>
            <c:size val="6"/>
            <c:spPr>
              <a:solidFill>
                <a:srgbClr val="263238"/>
              </a:solidFill>
              <a:ln w="6350">
                <a:noFill/>
              </a:ln>
            </c:spPr>
          </c:marker>
          <c:cat>
            <c:strRef>
              <c:f>'W.EUR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TOWERS'!$W$24:$W$33</c:f>
              <c:numCache>
                <c:formatCode>0%</c:formatCode>
                <c:ptCount val="10"/>
                <c:pt idx="0">
                  <c:v>3.8925703298152428</c:v>
                </c:pt>
                <c:pt idx="1">
                  <c:v>2.2174000429529013</c:v>
                </c:pt>
                <c:pt idx="2">
                  <c:v>2.3799063770377247</c:v>
                </c:pt>
                <c:pt idx="3">
                  <c:v>2.2442005068912394</c:v>
                </c:pt>
                <c:pt idx="4">
                  <c:v>0</c:v>
                </c:pt>
                <c:pt idx="5">
                  <c:v>0</c:v>
                </c:pt>
                <c:pt idx="6">
                  <c:v>2.0041280979228531</c:v>
                </c:pt>
                <c:pt idx="7">
                  <c:v>6.7604717726274677</c:v>
                </c:pt>
                <c:pt idx="8">
                  <c:v>0.97721887400499696</c:v>
                </c:pt>
                <c:pt idx="9">
                  <c:v>2.0041280979228531</c:v>
                </c:pt>
              </c:numCache>
            </c:numRef>
          </c:val>
          <c:extLst>
            <c:ext xmlns:c16="http://schemas.microsoft.com/office/drawing/2014/chart" uri="{C3380CC4-5D6E-409C-BE32-E72D297353CC}">
              <c16:uniqueId val="{00000000-F2A4-4D99-8EA6-E639F181611B}"/>
            </c:ext>
          </c:extLst>
        </c:ser>
        <c:ser>
          <c:idx val="1"/>
          <c:order val="1"/>
          <c:tx>
            <c:strRef>
              <c:f>'W.EUR TOWERS'!$X$23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2A4-4D99-8EA6-E639F181611B}"/>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AGG'!$X$23</c:f>
              <c:strCache>
                <c:ptCount val="1"/>
                <c:pt idx="0">
                  <c:v>Other</c:v>
                </c:pt>
              </c:strCache>
            </c:strRef>
          </c:tx>
          <c:spPr>
            <a:ln w="25400">
              <a:solidFill>
                <a:srgbClr val="263238"/>
              </a:solidFill>
              <a:prstDash val="solid"/>
            </a:ln>
            <a:effectLst/>
          </c:spPr>
          <c:marker>
            <c:symbol val="diamond"/>
            <c:size val="6"/>
            <c:spPr>
              <a:solidFill>
                <a:srgbClr val="263238"/>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AGG'!$X$24:$X$33</c:f>
              <c:numCache>
                <c:formatCode>_-* #,##0.0_-;\-* #,##0.0_-;_-* "-"?_-;_-@_-</c:formatCode>
                <c:ptCount val="10"/>
                <c:pt idx="0">
                  <c:v>0.53373877928419666</c:v>
                </c:pt>
                <c:pt idx="1">
                  <c:v>0.8897254159605209</c:v>
                </c:pt>
                <c:pt idx="2">
                  <c:v>1.1261731305850036</c:v>
                </c:pt>
                <c:pt idx="3">
                  <c:v>1.0601720080824357</c:v>
                </c:pt>
                <c:pt idx="4">
                  <c:v>0.78626817573642982</c:v>
                </c:pt>
                <c:pt idx="5">
                  <c:v>0.83799914662134356</c:v>
                </c:pt>
                <c:pt idx="6">
                  <c:v>1.3139279745325547</c:v>
                </c:pt>
                <c:pt idx="7">
                  <c:v>1.346221449054928</c:v>
                </c:pt>
                <c:pt idx="8" formatCode="0%">
                  <c:v>0.98021156887397409</c:v>
                </c:pt>
                <c:pt idx="9" formatCode="0%">
                  <c:v>1.0435430860422088</c:v>
                </c:pt>
              </c:numCache>
            </c:numRef>
          </c:val>
          <c:extLst>
            <c:ext xmlns:c16="http://schemas.microsoft.com/office/drawing/2014/chart" uri="{C3380CC4-5D6E-409C-BE32-E72D297353CC}">
              <c16:uniqueId val="{00000001-DE79-4784-85E5-0C247A00D407}"/>
            </c:ext>
          </c:extLst>
        </c:ser>
        <c:ser>
          <c:idx val="2"/>
          <c:order val="1"/>
          <c:tx>
            <c:strRef>
              <c:f>'W.EUR AGG'!$Y$23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AGG'!$Y$24:$Y$33</c:f>
              <c:numCache>
                <c:formatCode>_-* #,##0.0_-;\-* #,##0.0_-;_-* "-"?_-;_-@_-</c:formatCode>
                <c:ptCount val="10"/>
                <c:pt idx="0">
                  <c:v>1.0373282446157301</c:v>
                </c:pt>
                <c:pt idx="1">
                  <c:v>1.0350730447305025</c:v>
                </c:pt>
                <c:pt idx="2">
                  <c:v>1.0785466645119102</c:v>
                </c:pt>
                <c:pt idx="3">
                  <c:v>1.0216172108374362</c:v>
                </c:pt>
                <c:pt idx="4">
                  <c:v>1.0339896902368815</c:v>
                </c:pt>
                <c:pt idx="5">
                  <c:v>1.0363295329981308</c:v>
                </c:pt>
                <c:pt idx="6">
                  <c:v>1.0838111779675224</c:v>
                </c:pt>
                <c:pt idx="7">
                  <c:v>1.048867297736747</c:v>
                </c:pt>
                <c:pt idx="8" formatCode="0%">
                  <c:v>0.93576397451728832</c:v>
                </c:pt>
                <c:pt idx="9" formatCode="0%">
                  <c:v>0.86078056275926207</c:v>
                </c:pt>
              </c:numCache>
            </c:numRef>
          </c:val>
          <c:extLst>
            <c:ext xmlns:c16="http://schemas.microsoft.com/office/drawing/2014/chart" uri="{C3380CC4-5D6E-409C-BE32-E72D297353CC}">
              <c16:uniqueId val="{00000002-DE79-4784-85E5-0C247A00D407}"/>
            </c:ext>
          </c:extLst>
        </c:ser>
        <c:ser>
          <c:idx val="3"/>
          <c:order val="2"/>
          <c:tx>
            <c:strRef>
              <c:f>'W.EUR AGG'!$Z$23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DE79-4784-85E5-0C247A00D407}"/>
            </c:ext>
          </c:extLst>
        </c:ser>
        <c:dLbls>
          <c:showLegendKey val="0"/>
          <c:showVal val="0"/>
          <c:showCatName val="0"/>
          <c:showSerName val="0"/>
          <c:showPercent val="0"/>
          <c:showBubbleSize val="0"/>
        </c:dLbls>
        <c:axId val="350241536"/>
        <c:axId val="350243456"/>
      </c:radarChart>
      <c:catAx>
        <c:axId val="3502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243456"/>
        <c:crosses val="autoZero"/>
        <c:auto val="0"/>
        <c:lblAlgn val="ctr"/>
        <c:lblOffset val="100"/>
        <c:noMultiLvlLbl val="0"/>
      </c:catAx>
      <c:valAx>
        <c:axId val="350243456"/>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2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 (ex Towers)'!$X$23</c:f>
              <c:strCache>
                <c:ptCount val="1"/>
                <c:pt idx="0">
                  <c:v>Cellular</c:v>
                </c:pt>
              </c:strCache>
            </c:strRef>
          </c:tx>
          <c:spPr>
            <a:ln w="25400">
              <a:solidFill>
                <a:srgbClr val="263238"/>
              </a:solidFill>
              <a:prstDash val="solid"/>
            </a:ln>
            <a:effectLst/>
          </c:spPr>
          <c:marker>
            <c:symbol val="diamond"/>
            <c:size val="6"/>
            <c:spPr>
              <a:solidFill>
                <a:srgbClr val="263238"/>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Towers)'!$X$24:$X$33</c:f>
              <c:numCache>
                <c:formatCode>_-* #,##0.0_-;\-* #,##0.0_-;_-* "-"?_-;_-@_-</c:formatCode>
                <c:ptCount val="10"/>
                <c:pt idx="0">
                  <c:v>0.53373877928419666</c:v>
                </c:pt>
                <c:pt idx="1">
                  <c:v>0.8897254159605209</c:v>
                </c:pt>
                <c:pt idx="2">
                  <c:v>1.1261731305850036</c:v>
                </c:pt>
                <c:pt idx="3">
                  <c:v>1.0601720080824357</c:v>
                </c:pt>
                <c:pt idx="4">
                  <c:v>0.78626817573642982</c:v>
                </c:pt>
                <c:pt idx="5">
                  <c:v>0.83799914662134356</c:v>
                </c:pt>
                <c:pt idx="6">
                  <c:v>1.3139279745325547</c:v>
                </c:pt>
                <c:pt idx="7">
                  <c:v>1.346221449054928</c:v>
                </c:pt>
                <c:pt idx="8" formatCode="0%">
                  <c:v>0.98021156887397409</c:v>
                </c:pt>
                <c:pt idx="9" formatCode="0%">
                  <c:v>1.0435430860422088</c:v>
                </c:pt>
              </c:numCache>
            </c:numRef>
          </c:val>
          <c:extLst>
            <c:ext xmlns:c16="http://schemas.microsoft.com/office/drawing/2014/chart" uri="{C3380CC4-5D6E-409C-BE32-E72D297353CC}">
              <c16:uniqueId val="{00000001-7A4C-4F75-AF9E-785AEAA047A1}"/>
            </c:ext>
          </c:extLst>
        </c:ser>
        <c:ser>
          <c:idx val="2"/>
          <c:order val="1"/>
          <c:tx>
            <c:strRef>
              <c:f>'W.EUR AGG (ex Towers)'!$Y$23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Towers)'!$Y$24:$Y$33</c:f>
              <c:numCache>
                <c:formatCode>_-* #,##0.0_-;\-* #,##0.0_-;_-* "-"?_-;_-@_-</c:formatCode>
                <c:ptCount val="10"/>
                <c:pt idx="0">
                  <c:v>1.0373282446157301</c:v>
                </c:pt>
                <c:pt idx="1">
                  <c:v>1.0350730447305025</c:v>
                </c:pt>
                <c:pt idx="2">
                  <c:v>1.0785466645119102</c:v>
                </c:pt>
                <c:pt idx="3">
                  <c:v>1.0216172108374362</c:v>
                </c:pt>
                <c:pt idx="4">
                  <c:v>1.0339896902368815</c:v>
                </c:pt>
                <c:pt idx="5">
                  <c:v>1.0363295329981308</c:v>
                </c:pt>
                <c:pt idx="6">
                  <c:v>1.0838111779675224</c:v>
                </c:pt>
                <c:pt idx="7">
                  <c:v>1.048867297736747</c:v>
                </c:pt>
                <c:pt idx="8" formatCode="0%">
                  <c:v>0.93576397451728832</c:v>
                </c:pt>
                <c:pt idx="9" formatCode="0%">
                  <c:v>0.86078056275926207</c:v>
                </c:pt>
              </c:numCache>
            </c:numRef>
          </c:val>
          <c:extLst>
            <c:ext xmlns:c16="http://schemas.microsoft.com/office/drawing/2014/chart" uri="{C3380CC4-5D6E-409C-BE32-E72D297353CC}">
              <c16:uniqueId val="{00000002-7A4C-4F75-AF9E-785AEAA047A1}"/>
            </c:ext>
          </c:extLst>
        </c:ser>
        <c:ser>
          <c:idx val="3"/>
          <c:order val="2"/>
          <c:tx>
            <c:strRef>
              <c:f>'W.EUR AGG (ex Towers)'!$Z$23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7A4C-4F75-AF9E-785AEAA047A1}"/>
            </c:ext>
          </c:extLst>
        </c:ser>
        <c:dLbls>
          <c:showLegendKey val="0"/>
          <c:showVal val="0"/>
          <c:showCatName val="0"/>
          <c:showSerName val="0"/>
          <c:showPercent val="0"/>
          <c:showBubbleSize val="0"/>
        </c:dLbls>
        <c:axId val="350351744"/>
        <c:axId val="350353664"/>
      </c:radarChart>
      <c:catAx>
        <c:axId val="350351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353664"/>
        <c:crosses val="autoZero"/>
        <c:auto val="0"/>
        <c:lblAlgn val="ctr"/>
        <c:lblOffset val="100"/>
        <c:noMultiLvlLbl val="0"/>
      </c:catAx>
      <c:valAx>
        <c:axId val="350353664"/>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351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1901040786188"/>
          <c:y val="9.6875000000000044E-2"/>
          <c:w val="0.45245749616214381"/>
          <c:h val="0.71990668196411733"/>
        </c:manualLayout>
      </c:layout>
      <c:radarChart>
        <c:radarStyle val="marker"/>
        <c:varyColors val="0"/>
        <c:ser>
          <c:idx val="0"/>
          <c:order val="0"/>
          <c:tx>
            <c:strRef>
              <c:f>'DM ASIA INCUMB'!$W$23</c:f>
              <c:strCache>
                <c:ptCount val="1"/>
                <c:pt idx="0">
                  <c:v>DM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INCUMB'!$W$24:$W$33</c:f>
              <c:numCache>
                <c:formatCode>0%</c:formatCode>
                <c:ptCount val="10"/>
                <c:pt idx="0">
                  <c:v>1.2719196562209749</c:v>
                </c:pt>
                <c:pt idx="1">
                  <c:v>1.5184315518994052</c:v>
                </c:pt>
                <c:pt idx="2">
                  <c:v>2.1481090501916684</c:v>
                </c:pt>
                <c:pt idx="3">
                  <c:v>2.2995930043999979</c:v>
                </c:pt>
                <c:pt idx="4">
                  <c:v>1.0165513538393562</c:v>
                </c:pt>
                <c:pt idx="5">
                  <c:v>0.9934404784364157</c:v>
                </c:pt>
                <c:pt idx="6">
                  <c:v>4.4153572843751334</c:v>
                </c:pt>
                <c:pt idx="7">
                  <c:v>0.8899300833956485</c:v>
                </c:pt>
                <c:pt idx="8">
                  <c:v>1.1277265424700109</c:v>
                </c:pt>
                <c:pt idx="9">
                  <c:v>4.4153572843751343</c:v>
                </c:pt>
              </c:numCache>
            </c:numRef>
          </c:val>
          <c:extLst>
            <c:ext xmlns:c16="http://schemas.microsoft.com/office/drawing/2014/chart" uri="{C3380CC4-5D6E-409C-BE32-E72D297353CC}">
              <c16:uniqueId val="{00000000-0CDB-4D61-81B5-B08EB4C01372}"/>
            </c:ext>
          </c:extLst>
        </c:ser>
        <c:ser>
          <c:idx val="1"/>
          <c:order val="1"/>
          <c:tx>
            <c:strRef>
              <c:f>'DM ASIA INCUMB'!$X$23</c:f>
              <c:strCache>
                <c:ptCount val="1"/>
                <c:pt idx="0">
                  <c:v>Asia Aggregate</c:v>
                </c:pt>
              </c:strCache>
            </c:strRef>
          </c:tx>
          <c:spPr>
            <a:ln w="25400">
              <a:solidFill>
                <a:srgbClr val="799098"/>
              </a:solidFill>
              <a:prstDash val="solid"/>
            </a:ln>
            <a:effectLst/>
          </c:spPr>
          <c:marker>
            <c:symbol val="diamond"/>
            <c:size val="6"/>
            <c:spPr>
              <a:solidFill>
                <a:srgbClr val="79909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DB-4D61-81B5-B08EB4C01372}"/>
            </c:ext>
          </c:extLst>
        </c:ser>
        <c:dLbls>
          <c:showLegendKey val="0"/>
          <c:showVal val="0"/>
          <c:showCatName val="0"/>
          <c:showSerName val="0"/>
          <c:showPercent val="0"/>
          <c:showBubbleSize val="0"/>
        </c:dLbls>
        <c:axId val="353542528"/>
        <c:axId val="353544448"/>
      </c:radarChart>
      <c:catAx>
        <c:axId val="35354252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544448"/>
        <c:crosses val="autoZero"/>
        <c:auto val="0"/>
        <c:lblAlgn val="ctr"/>
        <c:lblOffset val="100"/>
        <c:noMultiLvlLbl val="0"/>
      </c:catAx>
      <c:valAx>
        <c:axId val="3535444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54252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608051721524"/>
          <c:y val="5.3124999999999999E-2"/>
          <c:w val="0.45498507124549498"/>
          <c:h val="0.72392831539290281"/>
        </c:manualLayout>
      </c:layout>
      <c:radarChart>
        <c:radarStyle val="marker"/>
        <c:varyColors val="0"/>
        <c:ser>
          <c:idx val="0"/>
          <c:order val="0"/>
          <c:tx>
            <c:strRef>
              <c:f>'DM ASIA OTHER'!$W$23</c:f>
              <c:strCache>
                <c:ptCount val="1"/>
                <c:pt idx="0">
                  <c:v>DM Asia cellular</c:v>
                </c:pt>
              </c:strCache>
            </c:strRef>
          </c:tx>
          <c:spPr>
            <a:ln w="25400">
              <a:solidFill>
                <a:srgbClr val="263238"/>
              </a:solidFill>
              <a:prstDash val="solid"/>
            </a:ln>
            <a:effectLst/>
          </c:spPr>
          <c:marker>
            <c:symbol val="diamond"/>
            <c:size val="6"/>
            <c:spPr>
              <a:solidFill>
                <a:srgbClr val="26323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OTHER'!$W$24:$W$33</c:f>
              <c:numCache>
                <c:formatCode>0%</c:formatCode>
                <c:ptCount val="10"/>
                <c:pt idx="0">
                  <c:v>0.9287955210951041</c:v>
                </c:pt>
                <c:pt idx="1">
                  <c:v>0.90343333222849587</c:v>
                </c:pt>
                <c:pt idx="2">
                  <c:v>0.73056839922421823</c:v>
                </c:pt>
                <c:pt idx="3">
                  <c:v>0.73661994372856021</c:v>
                </c:pt>
                <c:pt idx="4">
                  <c:v>1.1825647914780477</c:v>
                </c:pt>
                <c:pt idx="5">
                  <c:v>1.5972911661825111</c:v>
                </c:pt>
                <c:pt idx="6">
                  <c:v>0.23751270804820052</c:v>
                </c:pt>
                <c:pt idx="7">
                  <c:v>1.1196460852795571</c:v>
                </c:pt>
                <c:pt idx="8">
                  <c:v>1.1665203752491622</c:v>
                </c:pt>
                <c:pt idx="9">
                  <c:v>0.24831014724030204</c:v>
                </c:pt>
              </c:numCache>
            </c:numRef>
          </c:val>
          <c:extLst>
            <c:ext xmlns:c16="http://schemas.microsoft.com/office/drawing/2014/chart" uri="{C3380CC4-5D6E-409C-BE32-E72D297353CC}">
              <c16:uniqueId val="{00000000-52A7-4F1E-9E08-FE6A10E78F58}"/>
            </c:ext>
          </c:extLst>
        </c:ser>
        <c:ser>
          <c:idx val="1"/>
          <c:order val="1"/>
          <c:tx>
            <c:strRef>
              <c:f>'DM ASIA OTHER'!$X$23</c:f>
              <c:strCache>
                <c:ptCount val="1"/>
                <c:pt idx="0">
                  <c:v>DM cellular</c:v>
                </c:pt>
              </c:strCache>
            </c:strRef>
          </c:tx>
          <c:spPr>
            <a:ln w="25400">
              <a:solidFill>
                <a:srgbClr val="799098"/>
              </a:solidFill>
              <a:prstDash val="solid"/>
            </a:ln>
            <a:effectLst/>
          </c:spPr>
          <c:marker>
            <c:symbol val="diamond"/>
            <c:size val="6"/>
            <c:spPr>
              <a:solidFill>
                <a:srgbClr val="79909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2A7-4F1E-9E08-FE6A10E78F58}"/>
            </c:ext>
          </c:extLst>
        </c:ser>
        <c:dLbls>
          <c:showLegendKey val="0"/>
          <c:showVal val="0"/>
          <c:showCatName val="0"/>
          <c:showSerName val="0"/>
          <c:showPercent val="0"/>
          <c:showBubbleSize val="0"/>
        </c:dLbls>
        <c:axId val="353845248"/>
        <c:axId val="353847168"/>
      </c:radarChart>
      <c:catAx>
        <c:axId val="353845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847168"/>
        <c:crosses val="autoZero"/>
        <c:auto val="0"/>
        <c:lblAlgn val="ctr"/>
        <c:lblOffset val="100"/>
        <c:noMultiLvlLbl val="0"/>
      </c:catAx>
      <c:valAx>
        <c:axId val="353847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845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BHIN!$W$24</c:f>
              <c:strCache>
                <c:ptCount val="1"/>
                <c:pt idx="0">
                  <c:v>Bharti Infratel</c:v>
                </c:pt>
              </c:strCache>
            </c:strRef>
          </c:tx>
          <c:spPr>
            <a:ln w="25400">
              <a:solidFill>
                <a:srgbClr val="263238"/>
              </a:solidFill>
              <a:prstDash val="solid"/>
            </a:ln>
            <a:effectLst/>
          </c:spPr>
          <c:marker>
            <c:symbol val="diamond"/>
            <c:size val="6"/>
            <c:spPr>
              <a:solidFill>
                <a:srgbClr val="26323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BHIN!$W$25:$W$34</c:f>
              <c:numCache>
                <c:formatCode>0%</c:formatCode>
                <c:ptCount val="10"/>
                <c:pt idx="0">
                  <c:v>1.811819032815376</c:v>
                </c:pt>
                <c:pt idx="1">
                  <c:v>1.0565971263501905</c:v>
                </c:pt>
                <c:pt idx="2">
                  <c:v>0.86826930517674994</c:v>
                </c:pt>
                <c:pt idx="3">
                  <c:v>0.99609075352583054</c:v>
                </c:pt>
                <c:pt idx="4">
                  <c:v>1.3649934019836993</c:v>
                </c:pt>
                <c:pt idx="5">
                  <c:v>1.2719306551435854</c:v>
                </c:pt>
                <c:pt idx="6">
                  <c:v>1.1711204868833813</c:v>
                </c:pt>
                <c:pt idx="7">
                  <c:v>0.75585842032072437</c:v>
                </c:pt>
                <c:pt idx="8">
                  <c:v>0.93254090372277743</c:v>
                </c:pt>
                <c:pt idx="9">
                  <c:v>0.85388310699032177</c:v>
                </c:pt>
              </c:numCache>
            </c:numRef>
          </c:val>
          <c:extLst>
            <c:ext xmlns:c16="http://schemas.microsoft.com/office/drawing/2014/chart" uri="{C3380CC4-5D6E-409C-BE32-E72D297353CC}">
              <c16:uniqueId val="{00000000-E797-4D6B-81C5-82723E44B8BA}"/>
            </c:ext>
          </c:extLst>
        </c:ser>
        <c:ser>
          <c:idx val="1"/>
          <c:order val="1"/>
          <c:tx>
            <c:strRef>
              <c:f>BHIN!$X$24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797-4D6B-81C5-82723E44B8BA}"/>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78061378193732"/>
          <c:y val="6.8750000000000019E-2"/>
          <c:w val="0.47772477642382488"/>
          <c:h val="0.71769986457449353"/>
        </c:manualLayout>
      </c:layout>
      <c:radarChart>
        <c:radarStyle val="marker"/>
        <c:varyColors val="0"/>
        <c:ser>
          <c:idx val="0"/>
          <c:order val="0"/>
          <c:tx>
            <c:strRef>
              <c:f>'AGG DM ASIA'!$W$23</c:f>
              <c:strCache>
                <c:ptCount val="1"/>
                <c:pt idx="0">
                  <c:v>Developed Asia</c:v>
                </c:pt>
              </c:strCache>
            </c:strRef>
          </c:tx>
          <c:spPr>
            <a:ln w="25400">
              <a:solidFill>
                <a:srgbClr val="263238"/>
              </a:solidFill>
              <a:prstDash val="solid"/>
            </a:ln>
            <a:effectLst/>
          </c:spPr>
          <c:marker>
            <c:symbol val="diamond"/>
            <c:size val="6"/>
            <c:spPr>
              <a:solidFill>
                <a:srgbClr val="26323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ASIA'!$W$24:$W$33</c:f>
              <c:numCache>
                <c:formatCode>0%</c:formatCode>
                <c:ptCount val="10"/>
                <c:pt idx="0">
                  <c:v>0.74948936816858736</c:v>
                </c:pt>
                <c:pt idx="1">
                  <c:v>0.97496567386657351</c:v>
                </c:pt>
                <c:pt idx="2">
                  <c:v>1.071365416480121</c:v>
                </c:pt>
                <c:pt idx="3">
                  <c:v>1.0768905591802074</c:v>
                </c:pt>
                <c:pt idx="4">
                  <c:v>1.035845858193432</c:v>
                </c:pt>
                <c:pt idx="5">
                  <c:v>0.86854899911784778</c:v>
                </c:pt>
                <c:pt idx="6">
                  <c:v>2.3873435157347491</c:v>
                </c:pt>
                <c:pt idx="7">
                  <c:v>1.0608370147464854</c:v>
                </c:pt>
                <c:pt idx="8">
                  <c:v>1.0025132781027106</c:v>
                </c:pt>
                <c:pt idx="9">
                  <c:v>2.3873435157347491</c:v>
                </c:pt>
              </c:numCache>
            </c:numRef>
          </c:val>
          <c:extLst>
            <c:ext xmlns:c16="http://schemas.microsoft.com/office/drawing/2014/chart" uri="{C3380CC4-5D6E-409C-BE32-E72D297353CC}">
              <c16:uniqueId val="{00000000-706F-4A4B-85CD-50628975A80A}"/>
            </c:ext>
          </c:extLst>
        </c:ser>
        <c:ser>
          <c:idx val="1"/>
          <c:order val="1"/>
          <c:tx>
            <c:strRef>
              <c:f>'AGG DM ASIA'!$X$23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06F-4A4B-85CD-50628975A80A}"/>
            </c:ext>
          </c:extLst>
        </c:ser>
        <c:dLbls>
          <c:showLegendKey val="0"/>
          <c:showVal val="0"/>
          <c:showCatName val="0"/>
          <c:showSerName val="0"/>
          <c:showPercent val="0"/>
          <c:showBubbleSize val="0"/>
        </c:dLbls>
        <c:axId val="355212288"/>
        <c:axId val="355218560"/>
      </c:radarChart>
      <c:catAx>
        <c:axId val="3552122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218560"/>
        <c:crosses val="autoZero"/>
        <c:auto val="0"/>
        <c:lblAlgn val="ctr"/>
        <c:lblOffset val="100"/>
        <c:noMultiLvlLbl val="0"/>
      </c:catAx>
      <c:valAx>
        <c:axId val="3552185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122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14953230237954"/>
          <c:y val="6.8750000000000019E-2"/>
          <c:w val="0.49935585790338188"/>
          <c:h val="0.7501968691566967"/>
        </c:manualLayout>
      </c:layout>
      <c:radarChart>
        <c:radarStyle val="marker"/>
        <c:varyColors val="0"/>
        <c:ser>
          <c:idx val="0"/>
          <c:order val="0"/>
          <c:tx>
            <c:strRef>
              <c:f>'LATAM INCUMB'!$W$23</c:f>
              <c:strCache>
                <c:ptCount val="1"/>
                <c:pt idx="0">
                  <c:v>LatAm incumbents</c:v>
                </c:pt>
              </c:strCache>
            </c:strRef>
          </c:tx>
          <c:spPr>
            <a:ln w="25400">
              <a:solidFill>
                <a:srgbClr val="263238"/>
              </a:solidFill>
              <a:prstDash val="solid"/>
            </a:ln>
            <a:effectLst/>
          </c:spPr>
          <c:marker>
            <c:symbol val="diamond"/>
            <c:size val="6"/>
            <c:spPr>
              <a:solidFill>
                <a:srgbClr val="26323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INCUMB'!$W$24:$W$33</c:f>
              <c:numCache>
                <c:formatCode>0%</c:formatCode>
                <c:ptCount val="10"/>
                <c:pt idx="0">
                  <c:v>2.0273378126773292</c:v>
                </c:pt>
                <c:pt idx="1">
                  <c:v>1.5596911908546562</c:v>
                </c:pt>
                <c:pt idx="2">
                  <c:v>1.3349673813223106</c:v>
                </c:pt>
                <c:pt idx="3">
                  <c:v>1.4358775022847368</c:v>
                </c:pt>
                <c:pt idx="4">
                  <c:v>1.6594794164601196</c:v>
                </c:pt>
                <c:pt idx="5">
                  <c:v>2.3476116066466552</c:v>
                </c:pt>
                <c:pt idx="6">
                  <c:v>1.1456686203115247</c:v>
                </c:pt>
                <c:pt idx="7">
                  <c:v>1.1218541737363399</c:v>
                </c:pt>
                <c:pt idx="8">
                  <c:v>1.5114933594567213</c:v>
                </c:pt>
                <c:pt idx="9">
                  <c:v>1.1456686203115247</c:v>
                </c:pt>
              </c:numCache>
            </c:numRef>
          </c:val>
          <c:extLst>
            <c:ext xmlns:c16="http://schemas.microsoft.com/office/drawing/2014/chart" uri="{C3380CC4-5D6E-409C-BE32-E72D297353CC}">
              <c16:uniqueId val="{00000000-97A4-46ED-A43D-DA2286A816F4}"/>
            </c:ext>
          </c:extLst>
        </c:ser>
        <c:ser>
          <c:idx val="1"/>
          <c:order val="1"/>
          <c:tx>
            <c:strRef>
              <c:f>'LATAM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7A4-46ED-A43D-DA2286A816F4}"/>
            </c:ext>
          </c:extLst>
        </c:ser>
        <c:dLbls>
          <c:showLegendKey val="0"/>
          <c:showVal val="0"/>
          <c:showCatName val="0"/>
          <c:showSerName val="0"/>
          <c:showPercent val="0"/>
          <c:showBubbleSize val="0"/>
        </c:dLbls>
        <c:axId val="355269248"/>
        <c:axId val="356422400"/>
      </c:radarChart>
      <c:catAx>
        <c:axId val="35526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422400"/>
        <c:crosses val="autoZero"/>
        <c:auto val="0"/>
        <c:lblAlgn val="ctr"/>
        <c:lblOffset val="100"/>
        <c:noMultiLvlLbl val="0"/>
      </c:catAx>
      <c:valAx>
        <c:axId val="3564224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6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2098693938293805"/>
          <c:h val="0.78269387373890265"/>
        </c:manualLayout>
      </c:layout>
      <c:radarChart>
        <c:radarStyle val="marker"/>
        <c:varyColors val="0"/>
        <c:ser>
          <c:idx val="0"/>
          <c:order val="0"/>
          <c:tx>
            <c:strRef>
              <c:f>'LATAM OTHER'!$W$23</c:f>
              <c:strCache>
                <c:ptCount val="1"/>
                <c:pt idx="0">
                  <c:v>LatAm cellular</c:v>
                </c:pt>
              </c:strCache>
            </c:strRef>
          </c:tx>
          <c:spPr>
            <a:ln w="25400">
              <a:solidFill>
                <a:srgbClr val="263238"/>
              </a:solidFill>
              <a:prstDash val="solid"/>
            </a:ln>
            <a:effectLst/>
          </c:spPr>
          <c:marker>
            <c:symbol val="diamond"/>
            <c:size val="6"/>
            <c:spPr>
              <a:solidFill>
                <a:srgbClr val="263238"/>
              </a:solidFill>
              <a:ln w="6350">
                <a:noFill/>
              </a:ln>
            </c:spPr>
          </c:marker>
          <c:cat>
            <c:strRef>
              <c:f>'LATAM OTHER'!$V$24:$V$33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OTHER'!$W$24:$W$33</c:f>
              <c:numCache>
                <c:formatCode>0%</c:formatCode>
                <c:ptCount val="10"/>
                <c:pt idx="0">
                  <c:v>1.0620014017646924</c:v>
                </c:pt>
                <c:pt idx="1">
                  <c:v>0.96705246875581974</c:v>
                </c:pt>
                <c:pt idx="2">
                  <c:v>0.95536972933950604</c:v>
                </c:pt>
                <c:pt idx="3">
                  <c:v>0.96708469235652827</c:v>
                </c:pt>
                <c:pt idx="4">
                  <c:v>0.91452519725782266</c:v>
                </c:pt>
                <c:pt idx="5">
                  <c:v>0.68489121644620488</c:v>
                </c:pt>
                <c:pt idx="6">
                  <c:v>0.57296411224801558</c:v>
                </c:pt>
                <c:pt idx="7">
                  <c:v>0.75104727016429451</c:v>
                </c:pt>
                <c:pt idx="8">
                  <c:v>0.74578177318155148</c:v>
                </c:pt>
                <c:pt idx="9">
                  <c:v>0.57296411224801558</c:v>
                </c:pt>
              </c:numCache>
            </c:numRef>
          </c:val>
          <c:extLst>
            <c:ext xmlns:c16="http://schemas.microsoft.com/office/drawing/2014/chart" uri="{C3380CC4-5D6E-409C-BE32-E72D297353CC}">
              <c16:uniqueId val="{00000000-B02F-4CF0-83C7-B14F5823FF49}"/>
            </c:ext>
          </c:extLst>
        </c:ser>
        <c:ser>
          <c:idx val="1"/>
          <c:order val="1"/>
          <c:tx>
            <c:strRef>
              <c:f>'LATAM OTHER'!$X$23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'LATAM OTHER'!$V$24:$V$33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02F-4CF0-83C7-B14F5823FF49}"/>
            </c:ext>
          </c:extLst>
        </c:ser>
        <c:dLbls>
          <c:showLegendKey val="0"/>
          <c:showVal val="0"/>
          <c:showCatName val="0"/>
          <c:showSerName val="0"/>
          <c:showPercent val="0"/>
          <c:showBubbleSize val="0"/>
        </c:dLbls>
        <c:axId val="353306880"/>
        <c:axId val="353317248"/>
      </c:radarChart>
      <c:catAx>
        <c:axId val="353306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317248"/>
        <c:crosses val="autoZero"/>
        <c:auto val="0"/>
        <c:lblAlgn val="ctr"/>
        <c:lblOffset val="100"/>
        <c:noMultiLvlLbl val="0"/>
      </c:catAx>
      <c:valAx>
        <c:axId val="353317248"/>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30688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53403329185326"/>
          <c:y val="8.1250000000000003E-2"/>
          <c:w val="0.46857180571626927"/>
          <c:h val="0.70394908973203407"/>
        </c:manualLayout>
      </c:layout>
      <c:radarChart>
        <c:radarStyle val="marker"/>
        <c:varyColors val="0"/>
        <c:ser>
          <c:idx val="0"/>
          <c:order val="0"/>
          <c:tx>
            <c:strRef>
              <c:f>'LATAM AGG'!$W$23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AGG'!$W$24:$W$33</c:f>
              <c:numCache>
                <c:formatCode>0%</c:formatCode>
                <c:ptCount val="10"/>
                <c:pt idx="0">
                  <c:v>1.2453724562439683</c:v>
                </c:pt>
                <c:pt idx="1">
                  <c:v>1.0595960099770485</c:v>
                </c:pt>
                <c:pt idx="2">
                  <c:v>0.97158582628163548</c:v>
                </c:pt>
                <c:pt idx="3">
                  <c:v>1.0397309119980795</c:v>
                </c:pt>
                <c:pt idx="4">
                  <c:v>1.1280266240668537</c:v>
                </c:pt>
                <c:pt idx="5">
                  <c:v>1.2281568355364321</c:v>
                </c:pt>
                <c:pt idx="6">
                  <c:v>0.79495273499706909</c:v>
                </c:pt>
                <c:pt idx="7">
                  <c:v>0.9077680859242051</c:v>
                </c:pt>
                <c:pt idx="8">
                  <c:v>1.199457796101467</c:v>
                </c:pt>
                <c:pt idx="9">
                  <c:v>0.79495273499706898</c:v>
                </c:pt>
              </c:numCache>
            </c:numRef>
          </c:val>
          <c:extLst>
            <c:ext xmlns:c16="http://schemas.microsoft.com/office/drawing/2014/chart" uri="{C3380CC4-5D6E-409C-BE32-E72D297353CC}">
              <c16:uniqueId val="{00000000-5891-4655-B508-84DE9833A1CB}"/>
            </c:ext>
          </c:extLst>
        </c:ser>
        <c:ser>
          <c:idx val="1"/>
          <c:order val="1"/>
          <c:tx>
            <c:strRef>
              <c:f>'LATAM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891-4655-B508-84DE9833A1CB}"/>
            </c:ext>
          </c:extLst>
        </c:ser>
        <c:dLbls>
          <c:showLegendKey val="0"/>
          <c:showVal val="0"/>
          <c:showCatName val="0"/>
          <c:showSerName val="0"/>
          <c:showPercent val="0"/>
          <c:showBubbleSize val="0"/>
        </c:dLbls>
        <c:axId val="356513280"/>
        <c:axId val="356515200"/>
      </c:radarChart>
      <c:catAx>
        <c:axId val="35651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515200"/>
        <c:crosses val="autoZero"/>
        <c:auto val="0"/>
        <c:lblAlgn val="ctr"/>
        <c:lblOffset val="100"/>
        <c:noMultiLvlLbl val="0"/>
      </c:catAx>
      <c:valAx>
        <c:axId val="35651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651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45369550074777"/>
          <c:y val="5.9375000000000004E-2"/>
          <c:w val="0.45623237460184352"/>
          <c:h val="0.72591290406319475"/>
        </c:manualLayout>
      </c:layout>
      <c:radarChart>
        <c:radarStyle val="marker"/>
        <c:varyColors val="0"/>
        <c:ser>
          <c:idx val="0"/>
          <c:order val="0"/>
          <c:tx>
            <c:strRef>
              <c:f>'EMEA CELLULAR'!$W$23</c:f>
              <c:strCache>
                <c:ptCount val="1"/>
                <c:pt idx="0">
                  <c:v>EMEA cellular</c:v>
                </c:pt>
              </c:strCache>
            </c:strRef>
          </c:tx>
          <c:spPr>
            <a:ln w="25400">
              <a:solidFill>
                <a:srgbClr val="263238"/>
              </a:solidFill>
              <a:prstDash val="solid"/>
            </a:ln>
            <a:effectLst/>
          </c:spPr>
          <c:marker>
            <c:symbol val="diamond"/>
            <c:size val="6"/>
            <c:spPr>
              <a:solidFill>
                <a:srgbClr val="26323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CELLULAR'!$W$24:$W$33</c:f>
              <c:numCache>
                <c:formatCode>0%</c:formatCode>
                <c:ptCount val="10"/>
                <c:pt idx="0">
                  <c:v>1.0552010333886268</c:v>
                </c:pt>
                <c:pt idx="1">
                  <c:v>1.1444247485815402</c:v>
                </c:pt>
                <c:pt idx="2">
                  <c:v>1.3116640354888549</c:v>
                </c:pt>
                <c:pt idx="3">
                  <c:v>1.448113671984161</c:v>
                </c:pt>
                <c:pt idx="4">
                  <c:v>1.3208089018085509</c:v>
                </c:pt>
                <c:pt idx="5">
                  <c:v>1.0074387397445075</c:v>
                </c:pt>
                <c:pt idx="6">
                  <c:v>0.93825107907809835</c:v>
                </c:pt>
                <c:pt idx="7">
                  <c:v>0.74197378866199915</c:v>
                </c:pt>
                <c:pt idx="8">
                  <c:v>1.1664295400976878</c:v>
                </c:pt>
                <c:pt idx="9">
                  <c:v>0.93825107907809824</c:v>
                </c:pt>
              </c:numCache>
            </c:numRef>
          </c:val>
          <c:extLst>
            <c:ext xmlns:c16="http://schemas.microsoft.com/office/drawing/2014/chart" uri="{C3380CC4-5D6E-409C-BE32-E72D297353CC}">
              <c16:uniqueId val="{00000000-59A5-4089-86DD-1520E36439E1}"/>
            </c:ext>
          </c:extLst>
        </c:ser>
        <c:ser>
          <c:idx val="1"/>
          <c:order val="1"/>
          <c:tx>
            <c:strRef>
              <c:f>'EMEA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9A5-4089-86DD-1520E36439E1}"/>
            </c:ext>
          </c:extLst>
        </c:ser>
        <c:dLbls>
          <c:showLegendKey val="0"/>
          <c:showVal val="0"/>
          <c:showCatName val="0"/>
          <c:showSerName val="0"/>
          <c:showPercent val="0"/>
          <c:showBubbleSize val="0"/>
        </c:dLbls>
        <c:axId val="358023936"/>
        <c:axId val="358025856"/>
      </c:radarChart>
      <c:catAx>
        <c:axId val="3580239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025856"/>
        <c:crosses val="autoZero"/>
        <c:auto val="0"/>
        <c:lblAlgn val="ctr"/>
        <c:lblOffset val="100"/>
        <c:noMultiLvlLbl val="0"/>
      </c:catAx>
      <c:valAx>
        <c:axId val="358025856"/>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023936"/>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01460736712993"/>
          <c:y val="8.1250000000000003E-2"/>
          <c:w val="0.48209123164099216"/>
          <c:h val="0.72425971759591379"/>
        </c:manualLayout>
      </c:layout>
      <c:radarChart>
        <c:radarStyle val="marker"/>
        <c:varyColors val="0"/>
        <c:ser>
          <c:idx val="0"/>
          <c:order val="0"/>
          <c:tx>
            <c:strRef>
              <c:f>'EMEA AGG'!$W$23</c:f>
              <c:strCache>
                <c:ptCount val="1"/>
                <c:pt idx="0">
                  <c:v>EMEA sector</c:v>
                </c:pt>
              </c:strCache>
            </c:strRef>
          </c:tx>
          <c:spPr>
            <a:ln w="25400">
              <a:solidFill>
                <a:srgbClr val="263238"/>
              </a:solidFill>
              <a:prstDash val="solid"/>
            </a:ln>
            <a:effectLst/>
          </c:spPr>
          <c:marker>
            <c:symbol val="diamond"/>
            <c:size val="6"/>
            <c:spPr>
              <a:solidFill>
                <a:srgbClr val="26323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AGG'!$W$24:$W$33</c:f>
              <c:numCache>
                <c:formatCode>0%</c:formatCode>
                <c:ptCount val="10"/>
                <c:pt idx="0">
                  <c:v>1.3945395343152625</c:v>
                </c:pt>
                <c:pt idx="1">
                  <c:v>1.4053933522080511</c:v>
                </c:pt>
                <c:pt idx="2">
                  <c:v>1.5550348258512117</c:v>
                </c:pt>
                <c:pt idx="3">
                  <c:v>1.700375674915696</c:v>
                </c:pt>
                <c:pt idx="4">
                  <c:v>1.5649201095096674</c:v>
                </c:pt>
                <c:pt idx="5">
                  <c:v>1.2768281245747557</c:v>
                </c:pt>
                <c:pt idx="6">
                  <c:v>1.2251960910071826</c:v>
                </c:pt>
                <c:pt idx="7">
                  <c:v>0.80160835288282339</c:v>
                </c:pt>
                <c:pt idx="8">
                  <c:v>1.1952062036467819</c:v>
                </c:pt>
                <c:pt idx="9">
                  <c:v>1.2251960910071826</c:v>
                </c:pt>
              </c:numCache>
            </c:numRef>
          </c:val>
          <c:extLst>
            <c:ext xmlns:c16="http://schemas.microsoft.com/office/drawing/2014/chart" uri="{C3380CC4-5D6E-409C-BE32-E72D297353CC}">
              <c16:uniqueId val="{00000000-487C-4BC3-8AAC-E2DE0C8E850A}"/>
            </c:ext>
          </c:extLst>
        </c:ser>
        <c:ser>
          <c:idx val="1"/>
          <c:order val="1"/>
          <c:tx>
            <c:strRef>
              <c:f>'EMEA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87C-4BC3-8AAC-E2DE0C8E850A}"/>
            </c:ext>
          </c:extLst>
        </c:ser>
        <c:dLbls>
          <c:showLegendKey val="0"/>
          <c:showVal val="0"/>
          <c:showCatName val="0"/>
          <c:showSerName val="0"/>
          <c:showPercent val="0"/>
          <c:showBubbleSize val="0"/>
        </c:dLbls>
        <c:axId val="358101376"/>
        <c:axId val="358103296"/>
      </c:radarChart>
      <c:catAx>
        <c:axId val="358101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103296"/>
        <c:crosses val="autoZero"/>
        <c:auto val="0"/>
        <c:lblAlgn val="ctr"/>
        <c:lblOffset val="100"/>
        <c:noMultiLvlLbl val="0"/>
      </c:catAx>
      <c:valAx>
        <c:axId val="358103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101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473023419378"/>
          <c:y val="9.6875000000000044E-2"/>
          <c:w val="0.47392920422806722"/>
          <c:h val="0.75407039069025483"/>
        </c:manualLayout>
      </c:layout>
      <c:radarChart>
        <c:radarStyle val="marker"/>
        <c:varyColors val="0"/>
        <c:ser>
          <c:idx val="0"/>
          <c:order val="0"/>
          <c:tx>
            <c:strRef>
              <c:f>'EM ASIA INCUMB'!$W$23</c:f>
              <c:strCache>
                <c:ptCount val="1"/>
                <c:pt idx="0">
                  <c:v>EM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INCUMB'!$W$24:$W$33</c:f>
              <c:numCache>
                <c:formatCode>0%</c:formatCode>
                <c:ptCount val="10"/>
                <c:pt idx="0">
                  <c:v>0.5660134690340809</c:v>
                </c:pt>
                <c:pt idx="1">
                  <c:v>0.64810265751263973</c:v>
                </c:pt>
                <c:pt idx="2">
                  <c:v>0.72481655621035845</c:v>
                </c:pt>
                <c:pt idx="3">
                  <c:v>0.68525362501368881</c:v>
                </c:pt>
                <c:pt idx="4">
                  <c:v>0.62449232773882091</c:v>
                </c:pt>
                <c:pt idx="5">
                  <c:v>0.53517089466584111</c:v>
                </c:pt>
                <c:pt idx="6">
                  <c:v>0.9044335044760462</c:v>
                </c:pt>
                <c:pt idx="7">
                  <c:v>0.91688027582583354</c:v>
                </c:pt>
                <c:pt idx="8">
                  <c:v>0.77976554668377707</c:v>
                </c:pt>
                <c:pt idx="9">
                  <c:v>0.9044335044760462</c:v>
                </c:pt>
              </c:numCache>
            </c:numRef>
          </c:val>
          <c:extLst>
            <c:ext xmlns:c16="http://schemas.microsoft.com/office/drawing/2014/chart" uri="{C3380CC4-5D6E-409C-BE32-E72D297353CC}">
              <c16:uniqueId val="{00000000-7D12-456B-9C46-35BF4C01A319}"/>
            </c:ext>
          </c:extLst>
        </c:ser>
        <c:ser>
          <c:idx val="1"/>
          <c:order val="1"/>
          <c:tx>
            <c:strRef>
              <c:f>'EM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D12-456B-9C46-35BF4C01A319}"/>
            </c:ext>
          </c:extLst>
        </c:ser>
        <c:dLbls>
          <c:showLegendKey val="0"/>
          <c:showVal val="0"/>
          <c:showCatName val="0"/>
          <c:showSerName val="0"/>
          <c:showPercent val="0"/>
          <c:showBubbleSize val="0"/>
        </c:dLbls>
        <c:axId val="355016704"/>
        <c:axId val="355018624"/>
      </c:radarChart>
      <c:catAx>
        <c:axId val="35501670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018624"/>
        <c:crosses val="autoZero"/>
        <c:auto val="0"/>
        <c:lblAlgn val="ctr"/>
        <c:lblOffset val="100"/>
        <c:noMultiLvlLbl val="0"/>
      </c:catAx>
      <c:valAx>
        <c:axId val="3550186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01670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37149572754312"/>
          <c:y val="5.9375000000000004E-2"/>
          <c:w val="0.47502089123888097"/>
          <c:h val="0.71363773900171501"/>
        </c:manualLayout>
      </c:layout>
      <c:radarChart>
        <c:radarStyle val="marker"/>
        <c:varyColors val="0"/>
        <c:ser>
          <c:idx val="0"/>
          <c:order val="0"/>
          <c:tx>
            <c:strRef>
              <c:f>'EM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CELLULAR'!$W$24:$W$33</c:f>
              <c:numCache>
                <c:formatCode>0%</c:formatCode>
                <c:ptCount val="10"/>
                <c:pt idx="0">
                  <c:v>0.98356670162986959</c:v>
                </c:pt>
                <c:pt idx="1">
                  <c:v>0.97864551220902329</c:v>
                </c:pt>
                <c:pt idx="2">
                  <c:v>0.9588404039768178</c:v>
                </c:pt>
                <c:pt idx="3">
                  <c:v>0.94452155644302038</c:v>
                </c:pt>
                <c:pt idx="4">
                  <c:v>0.96241836320720942</c:v>
                </c:pt>
                <c:pt idx="5">
                  <c:v>1.0494681050772314</c:v>
                </c:pt>
                <c:pt idx="6">
                  <c:v>1.0235211226504699</c:v>
                </c:pt>
                <c:pt idx="7">
                  <c:v>1.0802493321743103</c:v>
                </c:pt>
                <c:pt idx="8">
                  <c:v>0.99705346015759833</c:v>
                </c:pt>
                <c:pt idx="9">
                  <c:v>1.0471923227062379</c:v>
                </c:pt>
              </c:numCache>
            </c:numRef>
          </c:val>
          <c:extLst>
            <c:ext xmlns:c16="http://schemas.microsoft.com/office/drawing/2014/chart" uri="{C3380CC4-5D6E-409C-BE32-E72D297353CC}">
              <c16:uniqueId val="{00000000-81FD-4F65-B962-B58ACB1C6C11}"/>
            </c:ext>
          </c:extLst>
        </c:ser>
        <c:ser>
          <c:idx val="1"/>
          <c:order val="1"/>
          <c:tx>
            <c:strRef>
              <c:f>'EM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1FD-4F65-B962-B58ACB1C6C11}"/>
            </c:ext>
          </c:extLst>
        </c:ser>
        <c:dLbls>
          <c:showLegendKey val="0"/>
          <c:showVal val="0"/>
          <c:showCatName val="0"/>
          <c:showSerName val="0"/>
          <c:showPercent val="0"/>
          <c:showBubbleSize val="0"/>
        </c:dLbls>
        <c:axId val="355128832"/>
        <c:axId val="355130752"/>
      </c:radarChart>
      <c:catAx>
        <c:axId val="355128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130752"/>
        <c:crosses val="autoZero"/>
        <c:auto val="0"/>
        <c:lblAlgn val="ctr"/>
        <c:lblOffset val="100"/>
        <c:noMultiLvlLbl val="0"/>
      </c:catAx>
      <c:valAx>
        <c:axId val="3551307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128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60683699724044"/>
          <c:y val="8.1250000000000003E-2"/>
          <c:w val="0.48749900201088181"/>
          <c:h val="0.73238396874146239"/>
        </c:manualLayout>
      </c:layout>
      <c:radarChart>
        <c:radarStyle val="marker"/>
        <c:varyColors val="0"/>
        <c:ser>
          <c:idx val="0"/>
          <c:order val="0"/>
          <c:tx>
            <c:strRef>
              <c:f>'AGG EM ASIA'!$W$23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ASIA'!$W$24:$W$33</c:f>
              <c:numCache>
                <c:formatCode>0%</c:formatCode>
                <c:ptCount val="10"/>
                <c:pt idx="0">
                  <c:v>0.89960202911367004</c:v>
                </c:pt>
                <c:pt idx="1">
                  <c:v>0.93696236173853076</c:v>
                </c:pt>
                <c:pt idx="2">
                  <c:v>0.95105191979673764</c:v>
                </c:pt>
                <c:pt idx="3">
                  <c:v>0.9237599535472556</c:v>
                </c:pt>
                <c:pt idx="4">
                  <c:v>0.91069867906771151</c:v>
                </c:pt>
                <c:pt idx="5">
                  <c:v>0.91181869825729944</c:v>
                </c:pt>
                <c:pt idx="6">
                  <c:v>1.0304784871057646</c:v>
                </c:pt>
                <c:pt idx="7">
                  <c:v>1.0560877479823187</c:v>
                </c:pt>
                <c:pt idx="8">
                  <c:v>0.94669862884993272</c:v>
                </c:pt>
                <c:pt idx="9">
                  <c:v>1.0304784871057646</c:v>
                </c:pt>
              </c:numCache>
            </c:numRef>
          </c:val>
          <c:extLst>
            <c:ext xmlns:c16="http://schemas.microsoft.com/office/drawing/2014/chart" uri="{C3380CC4-5D6E-409C-BE32-E72D297353CC}">
              <c16:uniqueId val="{00000000-1B66-46F9-A7A4-003631B06056}"/>
            </c:ext>
          </c:extLst>
        </c:ser>
        <c:ser>
          <c:idx val="1"/>
          <c:order val="1"/>
          <c:tx>
            <c:strRef>
              <c:f>'AGG EM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B66-46F9-A7A4-003631B06056}"/>
            </c:ext>
          </c:extLst>
        </c:ser>
        <c:dLbls>
          <c:showLegendKey val="0"/>
          <c:showVal val="0"/>
          <c:showCatName val="0"/>
          <c:showSerName val="0"/>
          <c:showPercent val="0"/>
          <c:showBubbleSize val="0"/>
        </c:dLbls>
        <c:axId val="358458112"/>
        <c:axId val="358460032"/>
      </c:radarChart>
      <c:catAx>
        <c:axId val="3584581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460032"/>
        <c:crosses val="autoZero"/>
        <c:auto val="0"/>
        <c:lblAlgn val="ctr"/>
        <c:lblOffset val="100"/>
        <c:noMultiLvlLbl val="0"/>
      </c:catAx>
      <c:valAx>
        <c:axId val="3584600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4581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27852678709282"/>
          <c:y val="0.10937500000000012"/>
          <c:w val="0.48899635827117416"/>
          <c:h val="0.7346334907220412"/>
        </c:manualLayout>
      </c:layout>
      <c:radarChart>
        <c:radarStyle val="marker"/>
        <c:varyColors val="0"/>
        <c:ser>
          <c:idx val="0"/>
          <c:order val="0"/>
          <c:tx>
            <c:strRef>
              <c:f>'AGG ASIA INCUMB'!$W$23</c:f>
              <c:strCache>
                <c:ptCount val="1"/>
                <c:pt idx="0">
                  <c:v>Asia incumbents</c:v>
                </c:pt>
              </c:strCache>
            </c:strRef>
          </c:tx>
          <c:spPr>
            <a:ln w="25400">
              <a:solidFill>
                <a:srgbClr val="263238"/>
              </a:solidFill>
              <a:prstDash val="solid"/>
            </a:ln>
            <a:effectLst/>
          </c:spPr>
          <c:marker>
            <c:symbol val="diamond"/>
            <c:size val="6"/>
            <c:spPr>
              <a:solidFill>
                <a:srgbClr val="26323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INCUMB'!$W$24:$W$33</c:f>
              <c:numCache>
                <c:formatCode>0%</c:formatCode>
                <c:ptCount val="10"/>
                <c:pt idx="0">
                  <c:v>1.1742886746354375</c:v>
                </c:pt>
                <c:pt idx="1">
                  <c:v>1.3694235101108638</c:v>
                </c:pt>
                <c:pt idx="2">
                  <c:v>1.6525089705397915</c:v>
                </c:pt>
                <c:pt idx="3">
                  <c:v>1.6157594628759315</c:v>
                </c:pt>
                <c:pt idx="4">
                  <c:v>1.044275230201902</c:v>
                </c:pt>
                <c:pt idx="5">
                  <c:v>1.0290540089026914</c:v>
                </c:pt>
                <c:pt idx="6">
                  <c:v>2.8966903099296935</c:v>
                </c:pt>
                <c:pt idx="7">
                  <c:v>1.0150346198445148</c:v>
                </c:pt>
                <c:pt idx="8">
                  <c:v>0.98253039891688865</c:v>
                </c:pt>
                <c:pt idx="9">
                  <c:v>2.8966903099296935</c:v>
                </c:pt>
              </c:numCache>
            </c:numRef>
          </c:val>
          <c:extLst>
            <c:ext xmlns:c16="http://schemas.microsoft.com/office/drawing/2014/chart" uri="{C3380CC4-5D6E-409C-BE32-E72D297353CC}">
              <c16:uniqueId val="{00000000-17BA-448F-AD3F-ACFAD2C46594}"/>
            </c:ext>
          </c:extLst>
        </c:ser>
        <c:ser>
          <c:idx val="1"/>
          <c:order val="1"/>
          <c:tx>
            <c:strRef>
              <c:f>'AGG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7BA-448F-AD3F-ACFAD2C46594}"/>
            </c:ext>
          </c:extLst>
        </c:ser>
        <c:dLbls>
          <c:showLegendKey val="0"/>
          <c:showVal val="0"/>
          <c:showCatName val="0"/>
          <c:showSerName val="0"/>
          <c:showPercent val="0"/>
          <c:showBubbleSize val="0"/>
        </c:dLbls>
        <c:axId val="357835136"/>
        <c:axId val="357837056"/>
      </c:radarChart>
      <c:catAx>
        <c:axId val="3578351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837056"/>
        <c:crosses val="autoZero"/>
        <c:auto val="0"/>
        <c:lblAlgn val="ctr"/>
        <c:lblOffset val="100"/>
        <c:noMultiLvlLbl val="0"/>
      </c:catAx>
      <c:valAx>
        <c:axId val="3578370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8351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26169</xdr:rowOff>
    </xdr:from>
    <xdr:to>
      <xdr:col>5</xdr:col>
      <xdr:colOff>469691</xdr:colOff>
      <xdr:row>15</xdr:row>
      <xdr:rowOff>44670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209550" y="178569"/>
          <a:ext cx="3043822" cy="2152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662782</xdr:colOff>
      <xdr:row>37</xdr:row>
      <xdr:rowOff>76992</xdr:rowOff>
    </xdr:from>
    <xdr:to>
      <xdr:col>15</xdr:col>
      <xdr:colOff>653258</xdr:colOff>
      <xdr:row>56</xdr:row>
      <xdr:rowOff>96042</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75459" name="Chart 2">
          <a:extLst>
            <a:ext uri="{FF2B5EF4-FFF2-40B4-BE49-F238E27FC236}">
              <a16:creationId xmlns:a16="http://schemas.microsoft.com/office/drawing/2014/main" id="{00000000-0008-0000-7800-000063F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676275</xdr:colOff>
      <xdr:row>28</xdr:row>
      <xdr:rowOff>66675</xdr:rowOff>
    </xdr:from>
    <xdr:to>
      <xdr:col>15</xdr:col>
      <xdr:colOff>666750</xdr:colOff>
      <xdr:row>47</xdr:row>
      <xdr:rowOff>66675</xdr:rowOff>
    </xdr:to>
    <xdr:graphicFrame macro="">
      <xdr:nvGraphicFramePr>
        <xdr:cNvPr id="8962147" name="Chart 2">
          <a:extLst>
            <a:ext uri="{FF2B5EF4-FFF2-40B4-BE49-F238E27FC236}">
              <a16:creationId xmlns:a16="http://schemas.microsoft.com/office/drawing/2014/main" id="{00000000-0008-0000-7A00-000063C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9</xdr:col>
      <xdr:colOff>57150</xdr:colOff>
      <xdr:row>28</xdr:row>
      <xdr:rowOff>123825</xdr:rowOff>
    </xdr:from>
    <xdr:to>
      <xdr:col>16</xdr:col>
      <xdr:colOff>47625</xdr:colOff>
      <xdr:row>47</xdr:row>
      <xdr:rowOff>123825</xdr:rowOff>
    </xdr:to>
    <xdr:graphicFrame macro="">
      <xdr:nvGraphicFramePr>
        <xdr:cNvPr id="8965219" name="Chart 2">
          <a:extLst>
            <a:ext uri="{FF2B5EF4-FFF2-40B4-BE49-F238E27FC236}">
              <a16:creationId xmlns:a16="http://schemas.microsoft.com/office/drawing/2014/main" id="{00000000-0008-0000-7B00-000063C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9</xdr:col>
      <xdr:colOff>38100</xdr:colOff>
      <xdr:row>28</xdr:row>
      <xdr:rowOff>133350</xdr:rowOff>
    </xdr:from>
    <xdr:to>
      <xdr:col>16</xdr:col>
      <xdr:colOff>28575</xdr:colOff>
      <xdr:row>47</xdr:row>
      <xdr:rowOff>133350</xdr:rowOff>
    </xdr:to>
    <xdr:graphicFrame macro="">
      <xdr:nvGraphicFramePr>
        <xdr:cNvPr id="8995941" name="Chart 2">
          <a:extLst>
            <a:ext uri="{FF2B5EF4-FFF2-40B4-BE49-F238E27FC236}">
              <a16:creationId xmlns:a16="http://schemas.microsoft.com/office/drawing/2014/main" id="{00000000-0008-0000-7C00-0000654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8</xdr:col>
      <xdr:colOff>666750</xdr:colOff>
      <xdr:row>28</xdr:row>
      <xdr:rowOff>133350</xdr:rowOff>
    </xdr:from>
    <xdr:to>
      <xdr:col>15</xdr:col>
      <xdr:colOff>657225</xdr:colOff>
      <xdr:row>47</xdr:row>
      <xdr:rowOff>133350</xdr:rowOff>
    </xdr:to>
    <xdr:graphicFrame macro="">
      <xdr:nvGraphicFramePr>
        <xdr:cNvPr id="9000035" name="Chart 2">
          <a:extLst>
            <a:ext uri="{FF2B5EF4-FFF2-40B4-BE49-F238E27FC236}">
              <a16:creationId xmlns:a16="http://schemas.microsoft.com/office/drawing/2014/main" id="{00000000-0008-0000-7D00-0000635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62597501" name="Chart 2">
          <a:extLst>
            <a:ext uri="{FF2B5EF4-FFF2-40B4-BE49-F238E27FC236}">
              <a16:creationId xmlns:a16="http://schemas.microsoft.com/office/drawing/2014/main" id="{00000000-0008-0000-7E00-00007D2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38100</xdr:colOff>
      <xdr:row>28</xdr:row>
      <xdr:rowOff>38100</xdr:rowOff>
    </xdr:from>
    <xdr:to>
      <xdr:col>16</xdr:col>
      <xdr:colOff>28575</xdr:colOff>
      <xdr:row>47</xdr:row>
      <xdr:rowOff>38100</xdr:rowOff>
    </xdr:to>
    <xdr:graphicFrame macro="">
      <xdr:nvGraphicFramePr>
        <xdr:cNvPr id="62596477" name="Chart 2">
          <a:extLst>
            <a:ext uri="{FF2B5EF4-FFF2-40B4-BE49-F238E27FC236}">
              <a16:creationId xmlns:a16="http://schemas.microsoft.com/office/drawing/2014/main" id="{00000000-0008-0000-7F00-00007D2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62593405" name="Chart 2">
          <a:extLst>
            <a:ext uri="{FF2B5EF4-FFF2-40B4-BE49-F238E27FC236}">
              <a16:creationId xmlns:a16="http://schemas.microsoft.com/office/drawing/2014/main" id="{00000000-0008-0000-8000-00007D1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9</xdr:col>
      <xdr:colOff>19050</xdr:colOff>
      <xdr:row>28</xdr:row>
      <xdr:rowOff>38100</xdr:rowOff>
    </xdr:from>
    <xdr:to>
      <xdr:col>16</xdr:col>
      <xdr:colOff>9525</xdr:colOff>
      <xdr:row>47</xdr:row>
      <xdr:rowOff>38100</xdr:rowOff>
    </xdr:to>
    <xdr:graphicFrame macro="">
      <xdr:nvGraphicFramePr>
        <xdr:cNvPr id="62598525" name="Chart 2">
          <a:extLst>
            <a:ext uri="{FF2B5EF4-FFF2-40B4-BE49-F238E27FC236}">
              <a16:creationId xmlns:a16="http://schemas.microsoft.com/office/drawing/2014/main" id="{00000000-0008-0000-8100-00007D2D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650359</xdr:colOff>
      <xdr:row>30</xdr:row>
      <xdr:rowOff>112527</xdr:rowOff>
    </xdr:from>
    <xdr:to>
      <xdr:col>15</xdr:col>
      <xdr:colOff>640833</xdr:colOff>
      <xdr:row>49</xdr:row>
      <xdr:rowOff>112527</xdr:rowOff>
    </xdr:to>
    <xdr:graphicFrame macro="">
      <xdr:nvGraphicFramePr>
        <xdr:cNvPr id="63596476" name="Chart 2">
          <a:extLst>
            <a:ext uri="{FF2B5EF4-FFF2-40B4-BE49-F238E27FC236}">
              <a16:creationId xmlns:a16="http://schemas.microsoft.com/office/drawing/2014/main" id="{00000000-0008-0000-0B00-0000BC6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28575</xdr:colOff>
      <xdr:row>28</xdr:row>
      <xdr:rowOff>57150</xdr:rowOff>
    </xdr:from>
    <xdr:to>
      <xdr:col>16</xdr:col>
      <xdr:colOff>19050</xdr:colOff>
      <xdr:row>47</xdr:row>
      <xdr:rowOff>57150</xdr:rowOff>
    </xdr:to>
    <xdr:graphicFrame macro="">
      <xdr:nvGraphicFramePr>
        <xdr:cNvPr id="62599550" name="Chart 2">
          <a:extLst>
            <a:ext uri="{FF2B5EF4-FFF2-40B4-BE49-F238E27FC236}">
              <a16:creationId xmlns:a16="http://schemas.microsoft.com/office/drawing/2014/main" id="{00000000-0008-0000-8400-00007E31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47625</xdr:colOff>
      <xdr:row>28</xdr:row>
      <xdr:rowOff>38100</xdr:rowOff>
    </xdr:from>
    <xdr:to>
      <xdr:col>16</xdr:col>
      <xdr:colOff>38100</xdr:colOff>
      <xdr:row>47</xdr:row>
      <xdr:rowOff>38100</xdr:rowOff>
    </xdr:to>
    <xdr:graphicFrame macro="">
      <xdr:nvGraphicFramePr>
        <xdr:cNvPr id="9044067" name="Chart 2">
          <a:extLst>
            <a:ext uri="{FF2B5EF4-FFF2-40B4-BE49-F238E27FC236}">
              <a16:creationId xmlns:a16="http://schemas.microsoft.com/office/drawing/2014/main" id="{00000000-0008-0000-8500-00006300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9</xdr:col>
      <xdr:colOff>19050</xdr:colOff>
      <xdr:row>28</xdr:row>
      <xdr:rowOff>47625</xdr:rowOff>
    </xdr:from>
    <xdr:to>
      <xdr:col>16</xdr:col>
      <xdr:colOff>9525</xdr:colOff>
      <xdr:row>47</xdr:row>
      <xdr:rowOff>47625</xdr:rowOff>
    </xdr:to>
    <xdr:graphicFrame macro="">
      <xdr:nvGraphicFramePr>
        <xdr:cNvPr id="9046115" name="Chart 2">
          <a:extLst>
            <a:ext uri="{FF2B5EF4-FFF2-40B4-BE49-F238E27FC236}">
              <a16:creationId xmlns:a16="http://schemas.microsoft.com/office/drawing/2014/main" id="{00000000-0008-0000-8600-00006308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8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62600573" name="Chart 2">
          <a:extLst>
            <a:ext uri="{FF2B5EF4-FFF2-40B4-BE49-F238E27FC236}">
              <a16:creationId xmlns:a16="http://schemas.microsoft.com/office/drawing/2014/main" id="{00000000-0008-0000-8900-00007D3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17</xdr:col>
      <xdr:colOff>361949</xdr:colOff>
      <xdr:row>28</xdr:row>
      <xdr:rowOff>28576</xdr:rowOff>
    </xdr:from>
    <xdr:to>
      <xdr:col>24</xdr:col>
      <xdr:colOff>0</xdr:colOff>
      <xdr:row>45</xdr:row>
      <xdr:rowOff>9526</xdr:rowOff>
    </xdr:to>
    <xdr:graphicFrame macro="">
      <xdr:nvGraphicFramePr>
        <xdr:cNvPr id="3" name="Chart 2">
          <a:extLst>
            <a:ext uri="{FF2B5EF4-FFF2-40B4-BE49-F238E27FC236}">
              <a16:creationId xmlns:a16="http://schemas.microsoft.com/office/drawing/2014/main" id="{00000000-0008-0000-8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18</xdr:col>
      <xdr:colOff>0</xdr:colOff>
      <xdr:row>23</xdr:row>
      <xdr:rowOff>142875</xdr:rowOff>
    </xdr:from>
    <xdr:to>
      <xdr:col>24</xdr:col>
      <xdr:colOff>47625</xdr:colOff>
      <xdr:row>39</xdr:row>
      <xdr:rowOff>66675</xdr:rowOff>
    </xdr:to>
    <xdr:graphicFrame macro="">
      <xdr:nvGraphicFramePr>
        <xdr:cNvPr id="2" name="Chart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17</xdr:col>
      <xdr:colOff>680477</xdr:colOff>
      <xdr:row>24</xdr:row>
      <xdr:rowOff>35718</xdr:rowOff>
    </xdr:from>
    <xdr:to>
      <xdr:col>25</xdr:col>
      <xdr:colOff>11905</xdr:colOff>
      <xdr:row>42</xdr:row>
      <xdr:rowOff>146685</xdr:rowOff>
    </xdr:to>
    <xdr:graphicFrame macro="">
      <xdr:nvGraphicFramePr>
        <xdr:cNvPr id="2" name="Chart 2">
          <a:extLst>
            <a:ext uri="{FF2B5EF4-FFF2-40B4-BE49-F238E27FC236}">
              <a16:creationId xmlns:a16="http://schemas.microsoft.com/office/drawing/2014/main" id="{0F0164D8-2D55-4949-A4D3-341F0458D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18</xdr:col>
      <xdr:colOff>165177</xdr:colOff>
      <xdr:row>22</xdr:row>
      <xdr:rowOff>6505</xdr:rowOff>
    </xdr:from>
    <xdr:to>
      <xdr:col>23</xdr:col>
      <xdr:colOff>670002</xdr:colOff>
      <xdr:row>36</xdr:row>
      <xdr:rowOff>109886</xdr:rowOff>
    </xdr:to>
    <xdr:graphicFrame macro="">
      <xdr:nvGraphicFramePr>
        <xdr:cNvPr id="62534495" name="Chart 2">
          <a:extLst>
            <a:ext uri="{FF2B5EF4-FFF2-40B4-BE49-F238E27FC236}">
              <a16:creationId xmlns:a16="http://schemas.microsoft.com/office/drawing/2014/main" id="{00000000-0008-0000-8E00-00005F3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18</xdr:col>
      <xdr:colOff>239677</xdr:colOff>
      <xdr:row>19</xdr:row>
      <xdr:rowOff>88605</xdr:rowOff>
    </xdr:from>
    <xdr:to>
      <xdr:col>24</xdr:col>
      <xdr:colOff>0</xdr:colOff>
      <xdr:row>33</xdr:row>
      <xdr:rowOff>151956</xdr:rowOff>
    </xdr:to>
    <xdr:graphicFrame macro="">
      <xdr:nvGraphicFramePr>
        <xdr:cNvPr id="62538591" name="Chart 2">
          <a:extLst>
            <a:ext uri="{FF2B5EF4-FFF2-40B4-BE49-F238E27FC236}">
              <a16:creationId xmlns:a16="http://schemas.microsoft.com/office/drawing/2014/main" id="{00000000-0008-0000-8F00-00005F4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18</xdr:col>
      <xdr:colOff>158540</xdr:colOff>
      <xdr:row>29</xdr:row>
      <xdr:rowOff>18258</xdr:rowOff>
    </xdr:from>
    <xdr:to>
      <xdr:col>23</xdr:col>
      <xdr:colOff>653840</xdr:colOff>
      <xdr:row>51</xdr:row>
      <xdr:rowOff>149045</xdr:rowOff>
    </xdr:to>
    <xdr:graphicFrame macro="">
      <xdr:nvGraphicFramePr>
        <xdr:cNvPr id="62542687" name="Chart 2">
          <a:extLst>
            <a:ext uri="{FF2B5EF4-FFF2-40B4-BE49-F238E27FC236}">
              <a16:creationId xmlns:a16="http://schemas.microsoft.com/office/drawing/2014/main" id="{00000000-0008-0000-9000-00005F5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17</xdr:col>
      <xdr:colOff>595313</xdr:colOff>
      <xdr:row>22</xdr:row>
      <xdr:rowOff>76200</xdr:rowOff>
    </xdr:from>
    <xdr:to>
      <xdr:col>24</xdr:col>
      <xdr:colOff>57150</xdr:colOff>
      <xdr:row>41</xdr:row>
      <xdr:rowOff>26194</xdr:rowOff>
    </xdr:to>
    <xdr:graphicFrame macro="">
      <xdr:nvGraphicFramePr>
        <xdr:cNvPr id="62548831" name="Chart 2">
          <a:extLst>
            <a:ext uri="{FF2B5EF4-FFF2-40B4-BE49-F238E27FC236}">
              <a16:creationId xmlns:a16="http://schemas.microsoft.com/office/drawing/2014/main" id="{00000000-0008-0000-9100-00005F6B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18</xdr:col>
      <xdr:colOff>217260</xdr:colOff>
      <xdr:row>18</xdr:row>
      <xdr:rowOff>78013</xdr:rowOff>
    </xdr:from>
    <xdr:to>
      <xdr:col>23</xdr:col>
      <xdr:colOff>723899</xdr:colOff>
      <xdr:row>34</xdr:row>
      <xdr:rowOff>68035</xdr:rowOff>
    </xdr:to>
    <xdr:graphicFrame macro="">
      <xdr:nvGraphicFramePr>
        <xdr:cNvPr id="62547807" name="Chart 2">
          <a:extLst>
            <a:ext uri="{FF2B5EF4-FFF2-40B4-BE49-F238E27FC236}">
              <a16:creationId xmlns:a16="http://schemas.microsoft.com/office/drawing/2014/main" id="{00000000-0008-0000-9200-00005F67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18</xdr:col>
      <xdr:colOff>214893</xdr:colOff>
      <xdr:row>43</xdr:row>
      <xdr:rowOff>128007</xdr:rowOff>
    </xdr:from>
    <xdr:to>
      <xdr:col>24</xdr:col>
      <xdr:colOff>0</xdr:colOff>
      <xdr:row>58</xdr:row>
      <xdr:rowOff>166107</xdr:rowOff>
    </xdr:to>
    <xdr:graphicFrame macro="">
      <xdr:nvGraphicFramePr>
        <xdr:cNvPr id="62537593" name="Chart 2">
          <a:extLst>
            <a:ext uri="{FF2B5EF4-FFF2-40B4-BE49-F238E27FC236}">
              <a16:creationId xmlns:a16="http://schemas.microsoft.com/office/drawing/2014/main" id="{00000000-0008-0000-9300-0000793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18</xdr:col>
      <xdr:colOff>173173</xdr:colOff>
      <xdr:row>22</xdr:row>
      <xdr:rowOff>112578</xdr:rowOff>
    </xdr:from>
    <xdr:to>
      <xdr:col>23</xdr:col>
      <xdr:colOff>677080</xdr:colOff>
      <xdr:row>39</xdr:row>
      <xdr:rowOff>64953</xdr:rowOff>
    </xdr:to>
    <xdr:graphicFrame macro="">
      <xdr:nvGraphicFramePr>
        <xdr:cNvPr id="62553951" name="Chart 2">
          <a:extLst>
            <a:ext uri="{FF2B5EF4-FFF2-40B4-BE49-F238E27FC236}">
              <a16:creationId xmlns:a16="http://schemas.microsoft.com/office/drawing/2014/main" id="{00000000-0008-0000-9400-00005F7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18</xdr:col>
      <xdr:colOff>14763</xdr:colOff>
      <xdr:row>30</xdr:row>
      <xdr:rowOff>123825</xdr:rowOff>
    </xdr:from>
    <xdr:to>
      <xdr:col>23</xdr:col>
      <xdr:colOff>552450</xdr:colOff>
      <xdr:row>42</xdr:row>
      <xdr:rowOff>114300</xdr:rowOff>
    </xdr:to>
    <xdr:graphicFrame macro="">
      <xdr:nvGraphicFramePr>
        <xdr:cNvPr id="62585532" name="Chart 2">
          <a:extLst>
            <a:ext uri="{FF2B5EF4-FFF2-40B4-BE49-F238E27FC236}">
              <a16:creationId xmlns:a16="http://schemas.microsoft.com/office/drawing/2014/main" id="{00000000-0008-0000-9500-0000BCF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18</xdr:col>
      <xdr:colOff>235322</xdr:colOff>
      <xdr:row>17</xdr:row>
      <xdr:rowOff>100853</xdr:rowOff>
    </xdr:from>
    <xdr:to>
      <xdr:col>24</xdr:col>
      <xdr:colOff>0</xdr:colOff>
      <xdr:row>30</xdr:row>
      <xdr:rowOff>134470</xdr:rowOff>
    </xdr:to>
    <xdr:graphicFrame macro="">
      <xdr:nvGraphicFramePr>
        <xdr:cNvPr id="10" name="Chart 2">
          <a:extLst>
            <a:ext uri="{FF2B5EF4-FFF2-40B4-BE49-F238E27FC236}">
              <a16:creationId xmlns:a16="http://schemas.microsoft.com/office/drawing/2014/main" id="{00000000-0008-0000-9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17</xdr:col>
      <xdr:colOff>652463</xdr:colOff>
      <xdr:row>33</xdr:row>
      <xdr:rowOff>90488</xdr:rowOff>
    </xdr:from>
    <xdr:to>
      <xdr:col>23</xdr:col>
      <xdr:colOff>647700</xdr:colOff>
      <xdr:row>50</xdr:row>
      <xdr:rowOff>42863</xdr:rowOff>
    </xdr:to>
    <xdr:graphicFrame macro="">
      <xdr:nvGraphicFramePr>
        <xdr:cNvPr id="2" name="Chart 1">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19</xdr:col>
      <xdr:colOff>1</xdr:colOff>
      <xdr:row>22</xdr:row>
      <xdr:rowOff>92448</xdr:rowOff>
    </xdr:from>
    <xdr:to>
      <xdr:col>24</xdr:col>
      <xdr:colOff>0</xdr:colOff>
      <xdr:row>42</xdr:row>
      <xdr:rowOff>31750</xdr:rowOff>
    </xdr:to>
    <xdr:graphicFrame macro="">
      <xdr:nvGraphicFramePr>
        <xdr:cNvPr id="62564963" name="Chart 2">
          <a:extLst>
            <a:ext uri="{FF2B5EF4-FFF2-40B4-BE49-F238E27FC236}">
              <a16:creationId xmlns:a16="http://schemas.microsoft.com/office/drawing/2014/main" id="{00000000-0008-0000-9800-000063A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66675</xdr:rowOff>
    </xdr:to>
    <xdr:graphicFrame macro="">
      <xdr:nvGraphicFramePr>
        <xdr:cNvPr id="63598519" name="Chart 2">
          <a:extLst>
            <a:ext uri="{FF2B5EF4-FFF2-40B4-BE49-F238E27FC236}">
              <a16:creationId xmlns:a16="http://schemas.microsoft.com/office/drawing/2014/main" id="{00000000-0008-0000-0D00-0000B76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18</xdr:col>
      <xdr:colOff>198344</xdr:colOff>
      <xdr:row>42</xdr:row>
      <xdr:rowOff>101974</xdr:rowOff>
    </xdr:from>
    <xdr:to>
      <xdr:col>23</xdr:col>
      <xdr:colOff>672354</xdr:colOff>
      <xdr:row>59</xdr:row>
      <xdr:rowOff>193523</xdr:rowOff>
    </xdr:to>
    <xdr:graphicFrame macro="">
      <xdr:nvGraphicFramePr>
        <xdr:cNvPr id="62570083" name="Chart 2">
          <a:extLst>
            <a:ext uri="{FF2B5EF4-FFF2-40B4-BE49-F238E27FC236}">
              <a16:creationId xmlns:a16="http://schemas.microsoft.com/office/drawing/2014/main" id="{00000000-0008-0000-9A00-000063BE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19</xdr:col>
      <xdr:colOff>1</xdr:colOff>
      <xdr:row>46</xdr:row>
      <xdr:rowOff>128588</xdr:rowOff>
    </xdr:from>
    <xdr:to>
      <xdr:col>23</xdr:col>
      <xdr:colOff>704851</xdr:colOff>
      <xdr:row>64</xdr:row>
      <xdr:rowOff>176213</xdr:rowOff>
    </xdr:to>
    <xdr:graphicFrame macro="">
      <xdr:nvGraphicFramePr>
        <xdr:cNvPr id="62572131" name="Chart 2">
          <a:extLst>
            <a:ext uri="{FF2B5EF4-FFF2-40B4-BE49-F238E27FC236}">
              <a16:creationId xmlns:a16="http://schemas.microsoft.com/office/drawing/2014/main" id="{00000000-0008-0000-9B00-000063C6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666750</xdr:colOff>
      <xdr:row>30</xdr:row>
      <xdr:rowOff>38100</xdr:rowOff>
    </xdr:from>
    <xdr:to>
      <xdr:col>15</xdr:col>
      <xdr:colOff>657225</xdr:colOff>
      <xdr:row>49</xdr:row>
      <xdr:rowOff>28575</xdr:rowOff>
    </xdr:to>
    <xdr:graphicFrame macro="">
      <xdr:nvGraphicFramePr>
        <xdr:cNvPr id="63600567" name="Chart 2">
          <a:extLst>
            <a:ext uri="{FF2B5EF4-FFF2-40B4-BE49-F238E27FC236}">
              <a16:creationId xmlns:a16="http://schemas.microsoft.com/office/drawing/2014/main" id="{00000000-0008-0000-0E00-0000B77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30</xdr:row>
      <xdr:rowOff>38100</xdr:rowOff>
    </xdr:from>
    <xdr:to>
      <xdr:col>15</xdr:col>
      <xdr:colOff>657225</xdr:colOff>
      <xdr:row>49</xdr:row>
      <xdr:rowOff>38100</xdr:rowOff>
    </xdr:to>
    <xdr:graphicFrame macro="">
      <xdr:nvGraphicFramePr>
        <xdr:cNvPr id="63605688" name="Chart 2">
          <a:extLst>
            <a:ext uri="{FF2B5EF4-FFF2-40B4-BE49-F238E27FC236}">
              <a16:creationId xmlns:a16="http://schemas.microsoft.com/office/drawing/2014/main" id="{00000000-0008-0000-0F00-0000B88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6" name="Chart 2">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30</xdr:row>
      <xdr:rowOff>47625</xdr:rowOff>
    </xdr:from>
    <xdr:to>
      <xdr:col>15</xdr:col>
      <xdr:colOff>666750</xdr:colOff>
      <xdr:row>49</xdr:row>
      <xdr:rowOff>66675</xdr:rowOff>
    </xdr:to>
    <xdr:graphicFrame macro="">
      <xdr:nvGraphicFramePr>
        <xdr:cNvPr id="2" name="Chart 2">
          <a:extLst>
            <a:ext uri="{FF2B5EF4-FFF2-40B4-BE49-F238E27FC236}">
              <a16:creationId xmlns:a16="http://schemas.microsoft.com/office/drawing/2014/main" id="{DA5DCBE4-C954-4A58-A450-24BC8FA54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30</xdr:row>
      <xdr:rowOff>47625</xdr:rowOff>
    </xdr:from>
    <xdr:to>
      <xdr:col>15</xdr:col>
      <xdr:colOff>666750</xdr:colOff>
      <xdr:row>49</xdr:row>
      <xdr:rowOff>66675</xdr:rowOff>
    </xdr:to>
    <xdr:graphicFrame macro="">
      <xdr:nvGraphicFramePr>
        <xdr:cNvPr id="62596049" name="Chart 2">
          <a:extLst>
            <a:ext uri="{FF2B5EF4-FFF2-40B4-BE49-F238E27FC236}">
              <a16:creationId xmlns:a16="http://schemas.microsoft.com/office/drawing/2014/main" id="{00000000-0008-0000-1100-0000D123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47625</xdr:colOff>
      <xdr:row>37</xdr:row>
      <xdr:rowOff>57150</xdr:rowOff>
    </xdr:from>
    <xdr:to>
      <xdr:col>16</xdr:col>
      <xdr:colOff>38100</xdr:colOff>
      <xdr:row>56</xdr:row>
      <xdr:rowOff>76200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1616608</xdr:colOff>
      <xdr:row>2</xdr:row>
      <xdr:rowOff>91917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838200</xdr:colOff>
      <xdr:row>29</xdr:row>
      <xdr:rowOff>114300</xdr:rowOff>
    </xdr:from>
    <xdr:to>
      <xdr:col>15</xdr:col>
      <xdr:colOff>152400</xdr:colOff>
      <xdr:row>47</xdr:row>
      <xdr:rowOff>95250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23093" name="Chart 2">
          <a:extLst>
            <a:ext uri="{FF2B5EF4-FFF2-40B4-BE49-F238E27FC236}">
              <a16:creationId xmlns:a16="http://schemas.microsoft.com/office/drawing/2014/main" id="{00000000-0008-0000-1600-0000B5C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47625</xdr:colOff>
      <xdr:row>37</xdr:row>
      <xdr:rowOff>85725</xdr:rowOff>
    </xdr:from>
    <xdr:to>
      <xdr:col>16</xdr:col>
      <xdr:colOff>19050</xdr:colOff>
      <xdr:row>55</xdr:row>
      <xdr:rowOff>0</xdr:rowOff>
    </xdr:to>
    <xdr:graphicFrame macro="">
      <xdr:nvGraphicFramePr>
        <xdr:cNvPr id="4" name="Chart 2">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xdr:colOff>
      <xdr:row>29</xdr:row>
      <xdr:rowOff>123825</xdr:rowOff>
    </xdr:from>
    <xdr:to>
      <xdr:col>16</xdr:col>
      <xdr:colOff>9525</xdr:colOff>
      <xdr:row>48</xdr:row>
      <xdr:rowOff>123825</xdr:rowOff>
    </xdr:to>
    <xdr:graphicFrame macro="">
      <xdr:nvGraphicFramePr>
        <xdr:cNvPr id="63620042" name="Chart 2">
          <a:extLst>
            <a:ext uri="{FF2B5EF4-FFF2-40B4-BE49-F238E27FC236}">
              <a16:creationId xmlns:a16="http://schemas.microsoft.com/office/drawing/2014/main" id="{00000000-0008-0000-1900-0000CAC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26165" name="Chart 2">
          <a:extLst>
            <a:ext uri="{FF2B5EF4-FFF2-40B4-BE49-F238E27FC236}">
              <a16:creationId xmlns:a16="http://schemas.microsoft.com/office/drawing/2014/main" id="{00000000-0008-0000-1A00-0000B5D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32309" name="Chart 2">
          <a:extLst>
            <a:ext uri="{FF2B5EF4-FFF2-40B4-BE49-F238E27FC236}">
              <a16:creationId xmlns:a16="http://schemas.microsoft.com/office/drawing/2014/main" id="{00000000-0008-0000-1B00-0000B5F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38453" name="Chart 2">
          <a:extLst>
            <a:ext uri="{FF2B5EF4-FFF2-40B4-BE49-F238E27FC236}">
              <a16:creationId xmlns:a16="http://schemas.microsoft.com/office/drawing/2014/main" id="{00000000-0008-0000-1C00-0000B50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666750</xdr:colOff>
      <xdr:row>30</xdr:row>
      <xdr:rowOff>60512</xdr:rowOff>
    </xdr:from>
    <xdr:to>
      <xdr:col>15</xdr:col>
      <xdr:colOff>657225</xdr:colOff>
      <xdr:row>49</xdr:row>
      <xdr:rowOff>60513</xdr:rowOff>
    </xdr:to>
    <xdr:graphicFrame macro="">
      <xdr:nvGraphicFramePr>
        <xdr:cNvPr id="62215131" name="Chart 2">
          <a:extLst>
            <a:ext uri="{FF2B5EF4-FFF2-40B4-BE49-F238E27FC236}">
              <a16:creationId xmlns:a16="http://schemas.microsoft.com/office/drawing/2014/main" id="{00000000-0008-0000-1F00-0000DB53B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1</xdr:row>
      <xdr:rowOff>0</xdr:rowOff>
    </xdr:from>
    <xdr:to>
      <xdr:col>2</xdr:col>
      <xdr:colOff>1631847</xdr:colOff>
      <xdr:row>2</xdr:row>
      <xdr:rowOff>133349</xdr:rowOff>
    </xdr:to>
    <xdr:pic>
      <xdr:nvPicPr>
        <xdr:cNvPr id="3" name="Picture 2">
          <a:extLst>
            <a:ext uri="{FF2B5EF4-FFF2-40B4-BE49-F238E27FC236}">
              <a16:creationId xmlns:a16="http://schemas.microsoft.com/office/drawing/2014/main" id="{C82CD39E-53E2-4F3A-8B81-0EB0E0F01BA4}"/>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43050" y="152400"/>
          <a:ext cx="1620417" cy="28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53813" name="Chart 2">
          <a:extLst>
            <a:ext uri="{FF2B5EF4-FFF2-40B4-BE49-F238E27FC236}">
              <a16:creationId xmlns:a16="http://schemas.microsoft.com/office/drawing/2014/main" id="{00000000-0008-0000-2000-0000B54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2" name="Chart 1">
          <a:extLst>
            <a:ext uri="{FF2B5EF4-FFF2-40B4-BE49-F238E27FC236}">
              <a16:creationId xmlns:a16="http://schemas.microsoft.com/office/drawing/2014/main" id="{68D72C9A-2901-4283-A451-A12B3593C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95250</xdr:colOff>
      <xdr:row>37</xdr:row>
      <xdr:rowOff>123825</xdr:rowOff>
    </xdr:from>
    <xdr:to>
      <xdr:col>16</xdr:col>
      <xdr:colOff>66675</xdr:colOff>
      <xdr:row>54</xdr:row>
      <xdr:rowOff>19049</xdr:rowOff>
    </xdr:to>
    <xdr:graphicFrame macro="">
      <xdr:nvGraphicFramePr>
        <xdr:cNvPr id="2" name="Chart 2">
          <a:extLst>
            <a:ext uri="{FF2B5EF4-FFF2-40B4-BE49-F238E27FC236}">
              <a16:creationId xmlns:a16="http://schemas.microsoft.com/office/drawing/2014/main" id="{ADBF6430-C060-4192-B664-BAF6F8AA5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1222" name="Chart 2">
          <a:extLst>
            <a:ext uri="{FF2B5EF4-FFF2-40B4-BE49-F238E27FC236}">
              <a16:creationId xmlns:a16="http://schemas.microsoft.com/office/drawing/2014/main" id="{00000000-0008-0000-2600-0000B68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95250</xdr:colOff>
      <xdr:row>37</xdr:row>
      <xdr:rowOff>123825</xdr:rowOff>
    </xdr:from>
    <xdr:to>
      <xdr:col>16</xdr:col>
      <xdr:colOff>66675</xdr:colOff>
      <xdr:row>54</xdr:row>
      <xdr:rowOff>19049</xdr:rowOff>
    </xdr:to>
    <xdr:graphicFrame macro="">
      <xdr:nvGraphicFramePr>
        <xdr:cNvPr id="4" name="Chart 2">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7366" name="Chart 2">
          <a:extLst>
            <a:ext uri="{FF2B5EF4-FFF2-40B4-BE49-F238E27FC236}">
              <a16:creationId xmlns:a16="http://schemas.microsoft.com/office/drawing/2014/main" id="{00000000-0008-0000-2900-0000B6A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86582" name="Chart 2">
          <a:extLst>
            <a:ext uri="{FF2B5EF4-FFF2-40B4-BE49-F238E27FC236}">
              <a16:creationId xmlns:a16="http://schemas.microsoft.com/office/drawing/2014/main" id="{00000000-0008-0000-2A00-0000B6C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30</xdr:row>
      <xdr:rowOff>66675</xdr:rowOff>
    </xdr:from>
    <xdr:to>
      <xdr:col>16</xdr:col>
      <xdr:colOff>28575</xdr:colOff>
      <xdr:row>49</xdr:row>
      <xdr:rowOff>57150</xdr:rowOff>
    </xdr:to>
    <xdr:graphicFrame macro="">
      <xdr:nvGraphicFramePr>
        <xdr:cNvPr id="63322043" name="Chart 2">
          <a:extLst>
            <a:ext uri="{FF2B5EF4-FFF2-40B4-BE49-F238E27FC236}">
              <a16:creationId xmlns:a16="http://schemas.microsoft.com/office/drawing/2014/main" id="{00000000-0008-0000-2B00-0000BB37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142875</xdr:rowOff>
    </xdr:from>
    <xdr:to>
      <xdr:col>2</xdr:col>
      <xdr:colOff>1620417</xdr:colOff>
      <xdr:row>2</xdr:row>
      <xdr:rowOff>123824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33525" y="142875"/>
          <a:ext cx="1620417" cy="28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9</xdr:col>
      <xdr:colOff>52181</xdr:colOff>
      <xdr:row>30</xdr:row>
      <xdr:rowOff>110572</xdr:rowOff>
    </xdr:from>
    <xdr:to>
      <xdr:col>16</xdr:col>
      <xdr:colOff>42656</xdr:colOff>
      <xdr:row>49</xdr:row>
      <xdr:rowOff>110572</xdr:rowOff>
    </xdr:to>
    <xdr:graphicFrame macro="">
      <xdr:nvGraphicFramePr>
        <xdr:cNvPr id="63691702" name="Chart 2">
          <a:extLst>
            <a:ext uri="{FF2B5EF4-FFF2-40B4-BE49-F238E27FC236}">
              <a16:creationId xmlns:a16="http://schemas.microsoft.com/office/drawing/2014/main" id="{00000000-0008-0000-2C00-0000B6D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94774" name="Chart 2">
          <a:extLst>
            <a:ext uri="{FF2B5EF4-FFF2-40B4-BE49-F238E27FC236}">
              <a16:creationId xmlns:a16="http://schemas.microsoft.com/office/drawing/2014/main" id="{00000000-0008-0000-2D00-0000B6E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97846" name="Chart 2">
          <a:extLst>
            <a:ext uri="{FF2B5EF4-FFF2-40B4-BE49-F238E27FC236}">
              <a16:creationId xmlns:a16="http://schemas.microsoft.com/office/drawing/2014/main" id="{00000000-0008-0000-2E00-0000B6F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581025</xdr:colOff>
      <xdr:row>31</xdr:row>
      <xdr:rowOff>85725</xdr:rowOff>
    </xdr:from>
    <xdr:to>
      <xdr:col>15</xdr:col>
      <xdr:colOff>571500</xdr:colOff>
      <xdr:row>50</xdr:row>
      <xdr:rowOff>95250</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07062" name="Chart 2">
          <a:extLst>
            <a:ext uri="{FF2B5EF4-FFF2-40B4-BE49-F238E27FC236}">
              <a16:creationId xmlns:a16="http://schemas.microsoft.com/office/drawing/2014/main" id="{00000000-0008-0000-3100-0000B61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63710134" name="Chart 2">
          <a:extLst>
            <a:ext uri="{FF2B5EF4-FFF2-40B4-BE49-F238E27FC236}">
              <a16:creationId xmlns:a16="http://schemas.microsoft.com/office/drawing/2014/main" id="{00000000-0008-0000-3400-0000B62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657225</xdr:colOff>
      <xdr:row>34</xdr:row>
      <xdr:rowOff>152400</xdr:rowOff>
    </xdr:from>
    <xdr:to>
      <xdr:col>15</xdr:col>
      <xdr:colOff>628650</xdr:colOff>
      <xdr:row>53</xdr:row>
      <xdr:rowOff>142875</xdr:rowOff>
    </xdr:to>
    <xdr:graphicFrame macro="">
      <xdr:nvGraphicFramePr>
        <xdr:cNvPr id="4" name="Chart 2">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713207" name="Chart 2">
          <a:extLst>
            <a:ext uri="{FF2B5EF4-FFF2-40B4-BE49-F238E27FC236}">
              <a16:creationId xmlns:a16="http://schemas.microsoft.com/office/drawing/2014/main" id="{00000000-0008-0000-3600-0000B72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102053</xdr:colOff>
      <xdr:row>30</xdr:row>
      <xdr:rowOff>57150</xdr:rowOff>
    </xdr:from>
    <xdr:to>
      <xdr:col>16</xdr:col>
      <xdr:colOff>92528</xdr:colOff>
      <xdr:row>49</xdr:row>
      <xdr:rowOff>76200</xdr:rowOff>
    </xdr:to>
    <xdr:graphicFrame macro="">
      <xdr:nvGraphicFramePr>
        <xdr:cNvPr id="63857593" name="Chart 2">
          <a:extLst>
            <a:ext uri="{FF2B5EF4-FFF2-40B4-BE49-F238E27FC236}">
              <a16:creationId xmlns:a16="http://schemas.microsoft.com/office/drawing/2014/main" id="{00000000-0008-0000-3900-0000B96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1</xdr:col>
      <xdr:colOff>1639467</xdr:colOff>
      <xdr:row>2</xdr:row>
      <xdr:rowOff>95249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80975" y="123825"/>
          <a:ext cx="1620417" cy="2857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31638" name="Chart 2">
          <a:extLst>
            <a:ext uri="{FF2B5EF4-FFF2-40B4-BE49-F238E27FC236}">
              <a16:creationId xmlns:a16="http://schemas.microsoft.com/office/drawing/2014/main" id="{00000000-0008-0000-3A00-0000B67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19350" name="Chart 2">
          <a:extLst>
            <a:ext uri="{FF2B5EF4-FFF2-40B4-BE49-F238E27FC236}">
              <a16:creationId xmlns:a16="http://schemas.microsoft.com/office/drawing/2014/main" id="{00000000-0008-0000-3700-0000B64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581025</xdr:colOff>
      <xdr:row>46</xdr:row>
      <xdr:rowOff>123825</xdr:rowOff>
    </xdr:to>
    <xdr:graphicFrame macro="">
      <xdr:nvGraphicFramePr>
        <xdr:cNvPr id="63302587" name="Chart 2">
          <a:extLst>
            <a:ext uri="{FF2B5EF4-FFF2-40B4-BE49-F238E27FC236}">
              <a16:creationId xmlns:a16="http://schemas.microsoft.com/office/drawing/2014/main" id="{00000000-0008-0000-3C00-0000BBEB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356860" name="Chart 2">
          <a:extLst>
            <a:ext uri="{FF2B5EF4-FFF2-40B4-BE49-F238E27FC236}">
              <a16:creationId xmlns:a16="http://schemas.microsoft.com/office/drawing/2014/main" id="{00000000-0008-0000-3E00-0000BCBF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9525</xdr:colOff>
      <xdr:row>30</xdr:row>
      <xdr:rowOff>66675</xdr:rowOff>
    </xdr:from>
    <xdr:to>
      <xdr:col>16</xdr:col>
      <xdr:colOff>0</xdr:colOff>
      <xdr:row>49</xdr:row>
      <xdr:rowOff>85725</xdr:rowOff>
    </xdr:to>
    <xdr:graphicFrame macro="">
      <xdr:nvGraphicFramePr>
        <xdr:cNvPr id="63602617" name="Chart 2">
          <a:extLst>
            <a:ext uri="{FF2B5EF4-FFF2-40B4-BE49-F238E27FC236}">
              <a16:creationId xmlns:a16="http://schemas.microsoft.com/office/drawing/2014/main" id="{00000000-0008-0000-4000-0000B97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45975" name="Chart 2">
          <a:extLst>
            <a:ext uri="{FF2B5EF4-FFF2-40B4-BE49-F238E27FC236}">
              <a16:creationId xmlns:a16="http://schemas.microsoft.com/office/drawing/2014/main" id="{00000000-0008-0000-4100-0000B7A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3" name="Chart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8</xdr:col>
      <xdr:colOff>571500</xdr:colOff>
      <xdr:row>28</xdr:row>
      <xdr:rowOff>28575</xdr:rowOff>
    </xdr:from>
    <xdr:to>
      <xdr:col>16</xdr:col>
      <xdr:colOff>0</xdr:colOff>
      <xdr:row>48</xdr:row>
      <xdr:rowOff>9525</xdr:rowOff>
    </xdr:to>
    <xdr:graphicFrame macro="">
      <xdr:nvGraphicFramePr>
        <xdr:cNvPr id="63641525" name="Chart 2">
          <a:extLst>
            <a:ext uri="{FF2B5EF4-FFF2-40B4-BE49-F238E27FC236}">
              <a16:creationId xmlns:a16="http://schemas.microsoft.com/office/drawing/2014/main" id="{00000000-0008-0000-1D00-0000B51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88446</xdr:colOff>
      <xdr:row>37</xdr:row>
      <xdr:rowOff>57150</xdr:rowOff>
    </xdr:from>
    <xdr:to>
      <xdr:col>16</xdr:col>
      <xdr:colOff>78921</xdr:colOff>
      <xdr:row>56</xdr:row>
      <xdr:rowOff>76200</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218337</xdr:colOff>
      <xdr:row>2</xdr:row>
      <xdr:rowOff>99059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79070" y="123825"/>
          <a:ext cx="1620417" cy="2857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63716278" name="Chart 2">
          <a:extLst>
            <a:ext uri="{FF2B5EF4-FFF2-40B4-BE49-F238E27FC236}">
              <a16:creationId xmlns:a16="http://schemas.microsoft.com/office/drawing/2014/main" id="{00000000-0008-0000-4500-0000B63B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8" name="Chart 1">
          <a:extLst>
            <a:ext uri="{FF2B5EF4-FFF2-40B4-BE49-F238E27FC236}">
              <a16:creationId xmlns:a16="http://schemas.microsoft.com/office/drawing/2014/main" id="{A8485B10-62E3-4234-8554-F2C019D99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755191" name="Chart 2">
          <a:extLst>
            <a:ext uri="{FF2B5EF4-FFF2-40B4-BE49-F238E27FC236}">
              <a16:creationId xmlns:a16="http://schemas.microsoft.com/office/drawing/2014/main" id="{00000000-0008-0000-4600-0000B7D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45243</xdr:colOff>
      <xdr:row>37</xdr:row>
      <xdr:rowOff>35719</xdr:rowOff>
    </xdr:from>
    <xdr:to>
      <xdr:col>16</xdr:col>
      <xdr:colOff>35718</xdr:colOff>
      <xdr:row>56</xdr:row>
      <xdr:rowOff>35719</xdr:rowOff>
    </xdr:to>
    <xdr:graphicFrame macro="">
      <xdr:nvGraphicFramePr>
        <xdr:cNvPr id="4" name="Chart 2">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71575" name="Chart 2">
          <a:extLst>
            <a:ext uri="{FF2B5EF4-FFF2-40B4-BE49-F238E27FC236}">
              <a16:creationId xmlns:a16="http://schemas.microsoft.com/office/drawing/2014/main" id="{00000000-0008-0000-4800-0000B713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2" name="Chart 2">
          <a:extLst>
            <a:ext uri="{FF2B5EF4-FFF2-40B4-BE49-F238E27FC236}">
              <a16:creationId xmlns:a16="http://schemas.microsoft.com/office/drawing/2014/main" id="{59896DE5-167B-4100-BBAD-372830B26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384508" name="Chart 2">
          <a:extLst>
            <a:ext uri="{FF2B5EF4-FFF2-40B4-BE49-F238E27FC236}">
              <a16:creationId xmlns:a16="http://schemas.microsoft.com/office/drawing/2014/main" id="{00000000-0008-0000-4C00-0000BC2B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19050</xdr:colOff>
      <xdr:row>37</xdr:row>
      <xdr:rowOff>57150</xdr:rowOff>
    </xdr:from>
    <xdr:to>
      <xdr:col>16</xdr:col>
      <xdr:colOff>9525</xdr:colOff>
      <xdr:row>56</xdr:row>
      <xdr:rowOff>57150</xdr:rowOff>
    </xdr:to>
    <xdr:graphicFrame macro="">
      <xdr:nvGraphicFramePr>
        <xdr:cNvPr id="3" name="Chart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395772" name="Chart 2">
          <a:extLst>
            <a:ext uri="{FF2B5EF4-FFF2-40B4-BE49-F238E27FC236}">
              <a16:creationId xmlns:a16="http://schemas.microsoft.com/office/drawing/2014/main" id="{00000000-0008-0000-5000-0000BC5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85911" name="Chart 2">
          <a:extLst>
            <a:ext uri="{FF2B5EF4-FFF2-40B4-BE49-F238E27FC236}">
              <a16:creationId xmlns:a16="http://schemas.microsoft.com/office/drawing/2014/main" id="{00000000-0008-0000-4F00-0000B74B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1620418</xdr:colOff>
      <xdr:row>2</xdr:row>
      <xdr:rowOff>95250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427517" name="Chart 2">
          <a:extLst>
            <a:ext uri="{FF2B5EF4-FFF2-40B4-BE49-F238E27FC236}">
              <a16:creationId xmlns:a16="http://schemas.microsoft.com/office/drawing/2014/main" id="{00000000-0008-0000-5D00-0000BDD3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01916" name="Chart 2">
          <a:extLst>
            <a:ext uri="{FF2B5EF4-FFF2-40B4-BE49-F238E27FC236}">
              <a16:creationId xmlns:a16="http://schemas.microsoft.com/office/drawing/2014/main" id="{00000000-0008-0000-5100-0000BC6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7844</xdr:colOff>
      <xdr:row>30</xdr:row>
      <xdr:rowOff>68355</xdr:rowOff>
    </xdr:from>
    <xdr:to>
      <xdr:col>15</xdr:col>
      <xdr:colOff>670672</xdr:colOff>
      <xdr:row>49</xdr:row>
      <xdr:rowOff>68355</xdr:rowOff>
    </xdr:to>
    <xdr:graphicFrame macro="">
      <xdr:nvGraphicFramePr>
        <xdr:cNvPr id="63795090" name="Chart 2">
          <a:extLst>
            <a:ext uri="{FF2B5EF4-FFF2-40B4-BE49-F238E27FC236}">
              <a16:creationId xmlns:a16="http://schemas.microsoft.com/office/drawing/2014/main" id="{00000000-0008-0000-5200-0000926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0184" name="Chart 2">
          <a:extLst>
            <a:ext uri="{FF2B5EF4-FFF2-40B4-BE49-F238E27FC236}">
              <a16:creationId xmlns:a16="http://schemas.microsoft.com/office/drawing/2014/main" id="{00000000-0008-0000-5700-0000B81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424445" name="Chart 2">
          <a:extLst>
            <a:ext uri="{FF2B5EF4-FFF2-40B4-BE49-F238E27FC236}">
              <a16:creationId xmlns:a16="http://schemas.microsoft.com/office/drawing/2014/main" id="{00000000-0008-0000-5900-0000BDC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8</xdr:col>
      <xdr:colOff>664633</xdr:colOff>
      <xdr:row>37</xdr:row>
      <xdr:rowOff>35983</xdr:rowOff>
    </xdr:from>
    <xdr:to>
      <xdr:col>15</xdr:col>
      <xdr:colOff>655108</xdr:colOff>
      <xdr:row>56</xdr:row>
      <xdr:rowOff>35983</xdr:rowOff>
    </xdr:to>
    <xdr:graphicFrame macro="">
      <xdr:nvGraphicFramePr>
        <xdr:cNvPr id="3" name="Chart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333375</xdr:colOff>
      <xdr:row>29</xdr:row>
      <xdr:rowOff>57150</xdr:rowOff>
    </xdr:from>
    <xdr:to>
      <xdr:col>15</xdr:col>
      <xdr:colOff>495300</xdr:colOff>
      <xdr:row>47</xdr:row>
      <xdr:rowOff>38100</xdr:rowOff>
    </xdr:to>
    <xdr:graphicFrame macro="">
      <xdr:nvGraphicFramePr>
        <xdr:cNvPr id="2" name="Chart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3" name="Chart 2">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31992" name="Chart 2">
          <a:extLst>
            <a:ext uri="{FF2B5EF4-FFF2-40B4-BE49-F238E27FC236}">
              <a16:creationId xmlns:a16="http://schemas.microsoft.com/office/drawing/2014/main" id="{00000000-0008-0000-6000-0000B8F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650359</xdr:colOff>
      <xdr:row>28</xdr:row>
      <xdr:rowOff>112527</xdr:rowOff>
    </xdr:from>
    <xdr:to>
      <xdr:col>15</xdr:col>
      <xdr:colOff>640833</xdr:colOff>
      <xdr:row>47</xdr:row>
      <xdr:rowOff>112527</xdr:rowOff>
    </xdr:to>
    <xdr:graphicFrame macro="">
      <xdr:nvGraphicFramePr>
        <xdr:cNvPr id="4" name="Chart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38780" name="Chart 2">
          <a:extLst>
            <a:ext uri="{FF2B5EF4-FFF2-40B4-BE49-F238E27FC236}">
              <a16:creationId xmlns:a16="http://schemas.microsoft.com/office/drawing/2014/main" id="{00000000-0008-0000-6100-0000BCF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843256" name="Chart 2">
          <a:extLst>
            <a:ext uri="{FF2B5EF4-FFF2-40B4-BE49-F238E27FC236}">
              <a16:creationId xmlns:a16="http://schemas.microsoft.com/office/drawing/2014/main" id="{00000000-0008-0000-6200-0000B82B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6329" name="Chart 2">
          <a:extLst>
            <a:ext uri="{FF2B5EF4-FFF2-40B4-BE49-F238E27FC236}">
              <a16:creationId xmlns:a16="http://schemas.microsoft.com/office/drawing/2014/main" id="{00000000-0008-0000-6300-0000B937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61383</xdr:colOff>
      <xdr:row>28</xdr:row>
      <xdr:rowOff>78316</xdr:rowOff>
    </xdr:from>
    <xdr:to>
      <xdr:col>16</xdr:col>
      <xdr:colOff>51858</xdr:colOff>
      <xdr:row>47</xdr:row>
      <xdr:rowOff>78316</xdr:rowOff>
    </xdr:to>
    <xdr:graphicFrame macro="">
      <xdr:nvGraphicFramePr>
        <xdr:cNvPr id="63849400" name="Chart 2">
          <a:extLst>
            <a:ext uri="{FF2B5EF4-FFF2-40B4-BE49-F238E27FC236}">
              <a16:creationId xmlns:a16="http://schemas.microsoft.com/office/drawing/2014/main" id="{00000000-0008-0000-6500-0000B84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2" name="Chart 2">
          <a:extLst>
            <a:ext uri="{FF2B5EF4-FFF2-40B4-BE49-F238E27FC236}">
              <a16:creationId xmlns:a16="http://schemas.microsoft.com/office/drawing/2014/main" id="{8922F47C-D34A-4B31-BD09-68767C53D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852472" name="Chart 2">
          <a:extLst>
            <a:ext uri="{FF2B5EF4-FFF2-40B4-BE49-F238E27FC236}">
              <a16:creationId xmlns:a16="http://schemas.microsoft.com/office/drawing/2014/main" id="{00000000-0008-0000-6600-0000B84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9525</xdr:colOff>
      <xdr:row>29</xdr:row>
      <xdr:rowOff>47625</xdr:rowOff>
    </xdr:from>
    <xdr:to>
      <xdr:col>16</xdr:col>
      <xdr:colOff>0</xdr:colOff>
      <xdr:row>48</xdr:row>
      <xdr:rowOff>47625</xdr:rowOff>
    </xdr:to>
    <xdr:graphicFrame macro="">
      <xdr:nvGraphicFramePr>
        <xdr:cNvPr id="8928358" name="Chart 2">
          <a:extLst>
            <a:ext uri="{FF2B5EF4-FFF2-40B4-BE49-F238E27FC236}">
              <a16:creationId xmlns:a16="http://schemas.microsoft.com/office/drawing/2014/main" id="{00000000-0008-0000-6800-0000663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676275</xdr:colOff>
      <xdr:row>28</xdr:row>
      <xdr:rowOff>85725</xdr:rowOff>
    </xdr:from>
    <xdr:to>
      <xdr:col>15</xdr:col>
      <xdr:colOff>666750</xdr:colOff>
      <xdr:row>47</xdr:row>
      <xdr:rowOff>85725</xdr:rowOff>
    </xdr:to>
    <xdr:graphicFrame macro="">
      <xdr:nvGraphicFramePr>
        <xdr:cNvPr id="8931429" name="Chart 2">
          <a:extLst>
            <a:ext uri="{FF2B5EF4-FFF2-40B4-BE49-F238E27FC236}">
              <a16:creationId xmlns:a16="http://schemas.microsoft.com/office/drawing/2014/main" id="{00000000-0008-0000-6900-0000654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3" name="Chart 2">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8937568" name="Chart 2">
          <a:extLst>
            <a:ext uri="{FF2B5EF4-FFF2-40B4-BE49-F238E27FC236}">
              <a16:creationId xmlns:a16="http://schemas.microsoft.com/office/drawing/2014/main" id="{00000000-0008-0000-6C00-0000606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568139</xdr:colOff>
      <xdr:row>28</xdr:row>
      <xdr:rowOff>101974</xdr:rowOff>
    </xdr:from>
    <xdr:to>
      <xdr:col>15</xdr:col>
      <xdr:colOff>558614</xdr:colOff>
      <xdr:row>47</xdr:row>
      <xdr:rowOff>101974</xdr:rowOff>
    </xdr:to>
    <xdr:graphicFrame macro="">
      <xdr:nvGraphicFramePr>
        <xdr:cNvPr id="63594355" name="Chart 2">
          <a:extLst>
            <a:ext uri="{FF2B5EF4-FFF2-40B4-BE49-F238E27FC236}">
              <a16:creationId xmlns:a16="http://schemas.microsoft.com/office/drawing/2014/main" id="{00000000-0008-0000-0900-0000735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8940648" name="Chart 2">
          <a:extLst>
            <a:ext uri="{FF2B5EF4-FFF2-40B4-BE49-F238E27FC236}">
              <a16:creationId xmlns:a16="http://schemas.microsoft.com/office/drawing/2014/main" id="{00000000-0008-0000-6D00-0000686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9</xdr:col>
      <xdr:colOff>28575</xdr:colOff>
      <xdr:row>28</xdr:row>
      <xdr:rowOff>47625</xdr:rowOff>
    </xdr:from>
    <xdr:to>
      <xdr:col>16</xdr:col>
      <xdr:colOff>19050</xdr:colOff>
      <xdr:row>47</xdr:row>
      <xdr:rowOff>47625</xdr:rowOff>
    </xdr:to>
    <xdr:graphicFrame macro="">
      <xdr:nvGraphicFramePr>
        <xdr:cNvPr id="8943715" name="Chart 2">
          <a:extLst>
            <a:ext uri="{FF2B5EF4-FFF2-40B4-BE49-F238E27FC236}">
              <a16:creationId xmlns:a16="http://schemas.microsoft.com/office/drawing/2014/main" id="{00000000-0008-0000-6E00-0000637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6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8956003" name="Chart 2">
          <a:extLst>
            <a:ext uri="{FF2B5EF4-FFF2-40B4-BE49-F238E27FC236}">
              <a16:creationId xmlns:a16="http://schemas.microsoft.com/office/drawing/2014/main" id="{00000000-0008-0000-7000-000063A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3" name="Chart 2">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9</xdr:col>
      <xdr:colOff>9525</xdr:colOff>
      <xdr:row>28</xdr:row>
      <xdr:rowOff>57150</xdr:rowOff>
    </xdr:from>
    <xdr:to>
      <xdr:col>15</xdr:col>
      <xdr:colOff>676275</xdr:colOff>
      <xdr:row>47</xdr:row>
      <xdr:rowOff>57150</xdr:rowOff>
    </xdr:to>
    <xdr:graphicFrame macro="">
      <xdr:nvGraphicFramePr>
        <xdr:cNvPr id="8979557" name="Chart 2">
          <a:extLst>
            <a:ext uri="{FF2B5EF4-FFF2-40B4-BE49-F238E27FC236}">
              <a16:creationId xmlns:a16="http://schemas.microsoft.com/office/drawing/2014/main" id="{00000000-0008-0000-7200-0000650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83653" name="Chart 2">
          <a:extLst>
            <a:ext uri="{FF2B5EF4-FFF2-40B4-BE49-F238E27FC236}">
              <a16:creationId xmlns:a16="http://schemas.microsoft.com/office/drawing/2014/main" id="{00000000-0008-0000-7300-0000651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9</xdr:col>
      <xdr:colOff>28575</xdr:colOff>
      <xdr:row>28</xdr:row>
      <xdr:rowOff>76200</xdr:rowOff>
    </xdr:from>
    <xdr:to>
      <xdr:col>16</xdr:col>
      <xdr:colOff>19050</xdr:colOff>
      <xdr:row>47</xdr:row>
      <xdr:rowOff>76200</xdr:rowOff>
    </xdr:to>
    <xdr:graphicFrame macro="">
      <xdr:nvGraphicFramePr>
        <xdr:cNvPr id="62592381" name="Chart 2">
          <a:extLst>
            <a:ext uri="{FF2B5EF4-FFF2-40B4-BE49-F238E27FC236}">
              <a16:creationId xmlns:a16="http://schemas.microsoft.com/office/drawing/2014/main" id="{00000000-0008-0000-7400-00007D1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8</xdr:col>
      <xdr:colOff>666750</xdr:colOff>
      <xdr:row>28</xdr:row>
      <xdr:rowOff>66675</xdr:rowOff>
    </xdr:from>
    <xdr:to>
      <xdr:col>15</xdr:col>
      <xdr:colOff>657225</xdr:colOff>
      <xdr:row>47</xdr:row>
      <xdr:rowOff>66675</xdr:rowOff>
    </xdr:to>
    <xdr:graphicFrame macro="">
      <xdr:nvGraphicFramePr>
        <xdr:cNvPr id="8968291" name="Chart 2">
          <a:extLst>
            <a:ext uri="{FF2B5EF4-FFF2-40B4-BE49-F238E27FC236}">
              <a16:creationId xmlns:a16="http://schemas.microsoft.com/office/drawing/2014/main" id="{00000000-0008-0000-7500-000063D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9</xdr:col>
      <xdr:colOff>28575</xdr:colOff>
      <xdr:row>28</xdr:row>
      <xdr:rowOff>66675</xdr:rowOff>
    </xdr:from>
    <xdr:to>
      <xdr:col>16</xdr:col>
      <xdr:colOff>19050</xdr:colOff>
      <xdr:row>47</xdr:row>
      <xdr:rowOff>66675</xdr:rowOff>
    </xdr:to>
    <xdr:graphicFrame macro="">
      <xdr:nvGraphicFramePr>
        <xdr:cNvPr id="8971363" name="Chart 2">
          <a:extLst>
            <a:ext uri="{FF2B5EF4-FFF2-40B4-BE49-F238E27FC236}">
              <a16:creationId xmlns:a16="http://schemas.microsoft.com/office/drawing/2014/main" id="{00000000-0008-0000-7600-000063E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X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I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New Street Research">
  <a:themeElements>
    <a:clrScheme name="New Street Research Colours">
      <a:dk1>
        <a:sysClr val="windowText" lastClr="000000"/>
      </a:dk1>
      <a:lt1>
        <a:sysClr val="window" lastClr="FFFFFF"/>
      </a:lt1>
      <a:dk2>
        <a:srgbClr val="38464F"/>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New Street Research" id="{8C27A2A4-9FF4-435C-9C93-C5F34403D250}" vid="{90E13F94-FF82-4402-86B3-2E8E28C59F2E}"/>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A7B4E34-1B7C-4959-84BD-2C690EFC20E1}">
  <we:reference id="wa200001456" version="3.0.0.0" store="en-US" storeType="OMEX"/>
  <we:alternateReferences>
    <we:reference id="wa200001456" version="3.0.0.0" store="" storeType="OMEX"/>
  </we:alternateReferences>
  <we:properties>
    <we:property name="Office.DisableTrustUX" value="true"/>
  </we:properties>
  <we:bindings/>
  <we:snapshot xmlns:r="http://schemas.openxmlformats.org/officeDocument/2006/relationships"/>
  <we:extLst>
    <a:ext xmlns:a="http://schemas.openxmlformats.org/drawingml/2006/main" uri="{D87F86FE-615C-45B5-9D79-34F1136793EB}">
      <we:containsCustomFunctions val="1"/>
    </a:ext>
    <a:ext xmlns:a="http://schemas.openxmlformats.org/drawingml/2006/main" uri="{7C84B067-C214-45C3-A712-C9D94CD141B2}">
      <we:customFunctionIdList>
        <we:customFunctionIds>FDS</we:customFunctionIds>
        <we:customFunctionIds>FDSN</we:customFunctionIds>
        <we:customFunctionIds>FDSZ</we:customFunctionIds>
        <we:customFunctionIds>FDSB</we:customFunctionIds>
        <we:customFunctionIds>FDSC</we:customFunctionIds>
        <we:customFunctionIds>FDSR</we:customFunctionIds>
        <we:customFunctionIds>FDSRN</we:customFunctionIds>
        <we:customFunctionIds>FDSRZ</we:customFunctionIds>
        <we:customFunctionIds>FDSRB</we:customFunctionIds>
        <we:customFunctionIds>FDSRC</we:customFunctionIds>
        <we:customFunctionIds>FDSLIVE</we:customFunctionIds>
        <we:customFunctionIds>FactSetLive.RTDFunction.1.FDSLIVE</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0.xml"/><Relationship Id="rId1" Type="http://schemas.openxmlformats.org/officeDocument/2006/relationships/printerSettings" Target="../printerSettings/printerSettings122.bin"/><Relationship Id="rId4" Type="http://schemas.openxmlformats.org/officeDocument/2006/relationships/comments" Target="../comments2.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2.xml"/><Relationship Id="rId1" Type="http://schemas.openxmlformats.org/officeDocument/2006/relationships/printerSettings" Target="../printerSettings/printerSettings124.bin"/><Relationship Id="rId4" Type="http://schemas.openxmlformats.org/officeDocument/2006/relationships/comments" Target="../comments3.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4.xml"/><Relationship Id="rId1" Type="http://schemas.openxmlformats.org/officeDocument/2006/relationships/printerSettings" Target="../printerSettings/printerSettings126.bin"/><Relationship Id="rId4" Type="http://schemas.openxmlformats.org/officeDocument/2006/relationships/comments" Target="../comments4.xm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7.xml"/><Relationship Id="rId1" Type="http://schemas.openxmlformats.org/officeDocument/2006/relationships/printerSettings" Target="../printerSettings/printerSettings129.bin"/><Relationship Id="rId4" Type="http://schemas.openxmlformats.org/officeDocument/2006/relationships/comments" Target="../comments5.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1.xml"/><Relationship Id="rId1" Type="http://schemas.openxmlformats.org/officeDocument/2006/relationships/printerSettings" Target="../printerSettings/printerSettings133.bin"/><Relationship Id="rId4" Type="http://schemas.openxmlformats.org/officeDocument/2006/relationships/comments" Target="../comments6.xm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EDBB6-5DBF-4D52-A8AC-268FF9C6F3CC}">
  <sheetPr codeName="Sheet2"/>
  <dimension ref="A1:B1"/>
  <sheetViews>
    <sheetView topLeftCell="A34" zoomScale="70" zoomScaleNormal="70" workbookViewId="0">
      <selection activeCell="H57" sqref="H57"/>
    </sheetView>
  </sheetViews>
  <sheetFormatPr defaultRowHeight="14.4"/>
  <sheetData>
    <row r="1" spans="1:2">
      <c r="B1" t="s">
        <v>994</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7">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461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176</v>
      </c>
      <c r="C9" s="241">
        <f>Prices!C74</f>
        <v>349</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2974</v>
      </c>
      <c r="E10" s="408">
        <v>2974</v>
      </c>
      <c r="F10" s="408">
        <v>2974</v>
      </c>
      <c r="G10" s="408">
        <v>2974</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227</v>
      </c>
      <c r="C11" s="5"/>
      <c r="D11" s="409">
        <f>$C$9*D10</f>
        <v>1037926</v>
      </c>
      <c r="E11" s="409">
        <f>$C$9*E10</f>
        <v>1037926</v>
      </c>
      <c r="F11" s="409">
        <f>$C$9*F10</f>
        <v>1037926</v>
      </c>
      <c r="G11" s="409">
        <f>$C$9*G10</f>
        <v>1037926</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190129.41808292898</v>
      </c>
      <c r="E12" s="410">
        <v>161909.32866042323</v>
      </c>
      <c r="F12" s="410">
        <v>136012.18864707407</v>
      </c>
      <c r="G12" s="410">
        <v>111755.6178357966</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c r="E14" s="410">
        <f t="shared" ref="E14:G15" si="2">D14</f>
        <v>0</v>
      </c>
      <c r="F14" s="410">
        <f t="shared" si="2"/>
        <v>0</v>
      </c>
      <c r="G14" s="410">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c r="E15" s="410">
        <f t="shared" si="2"/>
        <v>0</v>
      </c>
      <c r="F15" s="410">
        <f t="shared" si="2"/>
        <v>0</v>
      </c>
      <c r="G15" s="410">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43240.018353214276</v>
      </c>
      <c r="F16" s="410">
        <v>90323.557931320262</v>
      </c>
      <c r="G16" s="410">
        <v>142523.89232779606</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1228055.418082929</v>
      </c>
      <c r="E18" s="411">
        <f>E11+E12+E13-E14+E15-E16-E17</f>
        <v>1156595.3103072089</v>
      </c>
      <c r="F18" s="411">
        <f>F11+F12+F13-F14+F15-F16-F17</f>
        <v>1083614.6307157539</v>
      </c>
      <c r="G18" s="411">
        <f>G11+G12+G13-G14+G15-G16-G17</f>
        <v>1007157.7255080006</v>
      </c>
      <c r="H18" s="230">
        <f>IF(D18=0,"nm",IF(G18=0,"nm",(G18/D18)^(1/3)-1))</f>
        <v>-6.3962658892193547E-2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754</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213568.87999999995</v>
      </c>
      <c r="D23" s="416">
        <v>228235.2431083523</v>
      </c>
      <c r="E23" s="416">
        <v>235924.04614469377</v>
      </c>
      <c r="F23" s="416">
        <v>241749.71526847029</v>
      </c>
      <c r="G23" s="416">
        <v>247619.96462006771</v>
      </c>
      <c r="H23" s="233">
        <f t="shared" ref="H23:H30" si="4">IF(D23=0,"nm",IF(G23=0,"nm",(G23/D23)^(1/3)-1))</f>
        <v>2.7545314735976323E-2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113482.14720778748</v>
      </c>
      <c r="D24" s="416">
        <v>120262.01986826945</v>
      </c>
      <c r="E24" s="416">
        <v>124678.91084455501</v>
      </c>
      <c r="F24" s="416">
        <v>127938.539624091</v>
      </c>
      <c r="G24" s="416">
        <v>131215.38103117264</v>
      </c>
      <c r="H24" s="233">
        <f t="shared" si="4"/>
        <v>2.94819836797513E-2</v>
      </c>
      <c r="I24" s="209"/>
      <c r="J24" s="13"/>
      <c r="K24" s="13"/>
      <c r="L24" s="13"/>
      <c r="M24" s="13"/>
      <c r="N24" s="13"/>
      <c r="O24" s="208"/>
      <c r="S24" s="72"/>
      <c r="T24" s="26"/>
      <c r="U24" s="26"/>
      <c r="V24" s="26"/>
      <c r="W24" s="26" t="s">
        <v>462</v>
      </c>
      <c r="X24" s="26" t="s">
        <v>209</v>
      </c>
    </row>
    <row r="25" spans="2:24">
      <c r="B25" s="5" t="s">
        <v>157</v>
      </c>
      <c r="C25" s="422">
        <v>88475.147207787479</v>
      </c>
      <c r="D25" s="416">
        <v>94262.019868269446</v>
      </c>
      <c r="E25" s="416">
        <v>96368.025307191754</v>
      </c>
      <c r="F25" s="416">
        <v>100137.32236821692</v>
      </c>
      <c r="G25" s="416">
        <v>103977.1849229652</v>
      </c>
      <c r="H25" s="233">
        <f t="shared" si="4"/>
        <v>3.3238161140883182E-2</v>
      </c>
      <c r="I25" s="208"/>
      <c r="J25" s="207" t="s">
        <v>8</v>
      </c>
      <c r="K25" s="207"/>
      <c r="L25" s="252">
        <v>0</v>
      </c>
      <c r="M25" s="252">
        <v>0</v>
      </c>
      <c r="N25" s="252">
        <v>0</v>
      </c>
      <c r="O25" s="252">
        <v>0</v>
      </c>
      <c r="P25" s="233" t="str">
        <f>IF(L25=0,"nm",IF(O25=0,"nm",(O25/L25)^(1/3)-1))</f>
        <v>nm</v>
      </c>
      <c r="S25" s="72"/>
      <c r="T25" s="26"/>
      <c r="U25" s="26"/>
      <c r="V25" s="113" t="s">
        <v>225</v>
      </c>
      <c r="W25" s="242">
        <f t="shared" ref="W25:W33" si="6">D37/L9</f>
        <v>2.5939685053432893</v>
      </c>
      <c r="X25" s="242">
        <v>1</v>
      </c>
    </row>
    <row r="26" spans="2:24">
      <c r="B26" s="5" t="s">
        <v>487</v>
      </c>
      <c r="C26" s="422">
        <v>72057.383618260079</v>
      </c>
      <c r="D26" s="416">
        <v>75409.615894615563</v>
      </c>
      <c r="E26" s="416">
        <v>77094.420245753412</v>
      </c>
      <c r="F26" s="416">
        <v>80109.857894573535</v>
      </c>
      <c r="G26" s="416">
        <v>83181.747938372166</v>
      </c>
      <c r="H26" s="233">
        <f t="shared" si="4"/>
        <v>3.3238161140883182E-2</v>
      </c>
      <c r="I26" s="209"/>
      <c r="J26" s="209" t="s">
        <v>9</v>
      </c>
      <c r="K26" s="209"/>
      <c r="L26" s="235">
        <f>D11+L25</f>
        <v>1037926</v>
      </c>
      <c r="M26" s="235">
        <f>E11+M25</f>
        <v>1037926</v>
      </c>
      <c r="N26" s="235">
        <f>F11+N25</f>
        <v>1037926</v>
      </c>
      <c r="O26" s="235">
        <f>G11+O25</f>
        <v>1037926</v>
      </c>
      <c r="P26" s="233">
        <f>IF(L26=0,"nm",IF(O26=0,"nm",(O26/L26)^(1/3)-1))</f>
        <v>0</v>
      </c>
      <c r="Q26" s="5"/>
      <c r="S26" s="72"/>
      <c r="T26" s="26"/>
      <c r="U26" s="26"/>
      <c r="V26" s="113" t="s">
        <v>158</v>
      </c>
      <c r="W26" s="242">
        <f t="shared" si="6"/>
        <v>1.6439284858085874</v>
      </c>
      <c r="X26" s="242">
        <v>1</v>
      </c>
    </row>
    <row r="27" spans="2:24">
      <c r="B27" s="5" t="s">
        <v>488</v>
      </c>
      <c r="C27" s="423">
        <v>278667.944128</v>
      </c>
      <c r="D27" s="416">
        <v>291887.01842935808</v>
      </c>
      <c r="E27" s="416">
        <v>268494.2983691009</v>
      </c>
      <c r="F27" s="416">
        <v>247853.6232020178</v>
      </c>
      <c r="G27" s="416">
        <v>229424.76256667619</v>
      </c>
      <c r="H27" s="233">
        <f t="shared" si="4"/>
        <v>-7.7127219696330407E-2</v>
      </c>
      <c r="I27" s="209"/>
      <c r="J27" s="208"/>
      <c r="K27" s="208"/>
      <c r="L27" s="208"/>
      <c r="M27" s="208"/>
      <c r="N27" s="208"/>
      <c r="O27" s="208"/>
      <c r="Q27" s="25"/>
      <c r="S27" s="72"/>
      <c r="T27" s="26"/>
      <c r="U27" s="26"/>
      <c r="V27" s="113" t="s">
        <v>159</v>
      </c>
      <c r="W27" s="242">
        <f t="shared" si="6"/>
        <v>1.2594855832814744</v>
      </c>
      <c r="X27" s="242">
        <v>1</v>
      </c>
    </row>
    <row r="28" spans="2:24" ht="12.6" thickBot="1">
      <c r="B28" s="5" t="s">
        <v>492</v>
      </c>
      <c r="C28" s="422">
        <v>126998.571591</v>
      </c>
      <c r="D28" s="416">
        <v>127598.8572728</v>
      </c>
      <c r="E28" s="416">
        <v>130389.97135560325</v>
      </c>
      <c r="F28" s="416">
        <v>132113.19434035668</v>
      </c>
      <c r="G28" s="416">
        <v>132928.7515804928</v>
      </c>
      <c r="H28" s="233">
        <f t="shared" si="4"/>
        <v>1.3734080062852705E-2</v>
      </c>
      <c r="I28" s="208"/>
      <c r="J28" s="249" t="s">
        <v>1073</v>
      </c>
      <c r="K28" s="249"/>
      <c r="L28" s="249"/>
      <c r="M28" s="249"/>
      <c r="N28" s="220"/>
      <c r="O28" s="220"/>
      <c r="P28" s="220"/>
      <c r="Q28" s="5"/>
      <c r="S28" s="72"/>
      <c r="T28" s="26"/>
      <c r="U28" s="26"/>
      <c r="V28" s="113" t="s">
        <v>381</v>
      </c>
      <c r="W28" s="242">
        <f t="shared" si="6"/>
        <v>1.2018519960724876</v>
      </c>
      <c r="X28" s="242">
        <v>1</v>
      </c>
    </row>
    <row r="29" spans="2:24" ht="12.6" thickTop="1">
      <c r="B29" s="5" t="s">
        <v>489</v>
      </c>
      <c r="C29" s="422">
        <v>46232.440393787481</v>
      </c>
      <c r="D29" s="416">
        <v>46289.21905384204</v>
      </c>
      <c r="E29" s="416">
        <v>57019.457860607356</v>
      </c>
      <c r="F29" s="416">
        <v>59822.597651569755</v>
      </c>
      <c r="G29" s="416">
        <v>64358.361562269711</v>
      </c>
      <c r="H29" s="233">
        <f t="shared" si="4"/>
        <v>0.11611353584540085</v>
      </c>
      <c r="I29" s="212"/>
      <c r="J29" s="209"/>
      <c r="K29" s="209"/>
      <c r="L29" s="209"/>
      <c r="M29" s="209"/>
      <c r="N29" s="209"/>
      <c r="O29" s="211"/>
      <c r="Q29" s="5"/>
      <c r="S29" s="72"/>
      <c r="T29" s="26"/>
      <c r="U29" s="26"/>
      <c r="V29" s="113" t="s">
        <v>434</v>
      </c>
      <c r="W29" s="242">
        <f t="shared" si="6"/>
        <v>2.4355479744136255</v>
      </c>
      <c r="X29" s="242">
        <v>1</v>
      </c>
    </row>
    <row r="30" spans="2:24">
      <c r="B30" s="5" t="s">
        <v>490</v>
      </c>
      <c r="C30" s="423">
        <v>36768.74720778747</v>
      </c>
      <c r="D30" s="416">
        <v>42275.35123326617</v>
      </c>
      <c r="E30" s="416">
        <v>46194.956828485607</v>
      </c>
      <c r="F30" s="416">
        <v>50467.344127365453</v>
      </c>
      <c r="G30" s="416">
        <v>56155.078866905831</v>
      </c>
      <c r="H30" s="233">
        <f t="shared" si="4"/>
        <v>9.9260457061303375E-2</v>
      </c>
      <c r="I30" s="214"/>
      <c r="J30" s="208"/>
      <c r="K30" s="208"/>
      <c r="L30" s="208"/>
      <c r="M30" s="208"/>
      <c r="N30" s="208"/>
      <c r="O30" s="5"/>
      <c r="Q30" s="5"/>
      <c r="S30" s="72"/>
      <c r="T30" s="26"/>
      <c r="U30" s="26"/>
      <c r="V30" s="113" t="s">
        <v>493</v>
      </c>
      <c r="W30" s="242">
        <f t="shared" si="6"/>
        <v>2.9511322889302103</v>
      </c>
      <c r="X30" s="242">
        <v>1</v>
      </c>
    </row>
    <row r="31" spans="2:24">
      <c r="B31" s="5" t="s">
        <v>491</v>
      </c>
      <c r="C31" s="423">
        <v>31554.14</v>
      </c>
      <c r="D31" s="416">
        <v>39713.866287744924</v>
      </c>
      <c r="E31" s="416">
        <v>43240.018353214276</v>
      </c>
      <c r="F31" s="416">
        <v>47083.539578105985</v>
      </c>
      <c r="G31" s="416">
        <v>52200.334396475788</v>
      </c>
      <c r="H31" s="233">
        <f>IF(D31=0,"nm",IF(G31=0,"nm",(G31/D31)^(1/3)-1))</f>
        <v>9.541085084835732E-2</v>
      </c>
      <c r="I31" s="214"/>
      <c r="J31" s="212"/>
      <c r="K31" s="212"/>
      <c r="L31" s="212"/>
      <c r="M31" s="212"/>
      <c r="N31" s="212"/>
      <c r="O31" s="5"/>
      <c r="Q31" s="5"/>
      <c r="S31" s="72"/>
      <c r="T31" s="26"/>
      <c r="U31" s="26"/>
      <c r="V31" s="113" t="s">
        <v>390</v>
      </c>
      <c r="W31" s="242">
        <f t="shared" si="6"/>
        <v>1.3936317947811767</v>
      </c>
      <c r="X31" s="242">
        <v>1</v>
      </c>
    </row>
    <row r="32" spans="2:24">
      <c r="B32" s="5" t="s">
        <v>506</v>
      </c>
      <c r="C32" s="424">
        <v>0</v>
      </c>
      <c r="D32" s="416">
        <v>0</v>
      </c>
      <c r="E32" s="416">
        <v>0</v>
      </c>
      <c r="F32" s="416">
        <v>0</v>
      </c>
      <c r="G32" s="416">
        <v>0</v>
      </c>
      <c r="H32" s="233"/>
      <c r="I32" s="214"/>
      <c r="J32" s="214"/>
      <c r="K32" s="214"/>
      <c r="L32" s="214"/>
      <c r="M32" s="214"/>
      <c r="N32" s="214"/>
      <c r="O32" s="211"/>
      <c r="Q32" s="5"/>
      <c r="S32" s="72"/>
      <c r="T32" s="26"/>
      <c r="U32" s="26"/>
      <c r="V32" s="113" t="s">
        <v>437</v>
      </c>
      <c r="W32" s="242">
        <f t="shared" si="6"/>
        <v>1.4228326608119475</v>
      </c>
      <c r="X32" s="242">
        <v>1</v>
      </c>
    </row>
    <row r="33" spans="2:24">
      <c r="B33" s="5" t="s">
        <v>3</v>
      </c>
      <c r="C33" s="423">
        <v>9185</v>
      </c>
      <c r="D33" s="416">
        <v>8869.1831565603788</v>
      </c>
      <c r="E33" s="416">
        <v>7705.0290389853917</v>
      </c>
      <c r="F33" s="416">
        <v>8552.2997964542701</v>
      </c>
      <c r="G33" s="416">
        <v>7303.6311169278151</v>
      </c>
      <c r="H33" s="233">
        <f>IF(D33=0,"nm",IF(G33=0,"nm",(G33/D33)^(1/3)-1))</f>
        <v>-6.2686075383142859E-2</v>
      </c>
      <c r="I33" s="5"/>
      <c r="J33" s="214"/>
      <c r="K33" s="214"/>
      <c r="L33" s="214"/>
      <c r="M33" s="214"/>
      <c r="N33" s="214"/>
      <c r="O33" s="211"/>
      <c r="Q33" s="5"/>
      <c r="S33" s="72"/>
      <c r="T33" s="26"/>
      <c r="U33" s="26"/>
      <c r="V33" s="113" t="s">
        <v>481</v>
      </c>
      <c r="W33" s="242">
        <f t="shared" si="6"/>
        <v>0.89683336851266504</v>
      </c>
      <c r="X33" s="242">
        <v>1</v>
      </c>
    </row>
    <row r="34" spans="2:24">
      <c r="H34" s="230"/>
      <c r="I34" s="33"/>
      <c r="J34" s="214"/>
      <c r="K34" s="214"/>
      <c r="L34" s="214"/>
      <c r="M34" s="214"/>
      <c r="N34" s="214"/>
      <c r="O34" s="211"/>
      <c r="Q34" s="5"/>
      <c r="S34" s="72"/>
      <c r="T34" s="26"/>
      <c r="U34" s="26"/>
      <c r="V34" s="113" t="s">
        <v>482</v>
      </c>
      <c r="W34" s="242">
        <f>D47/L19</f>
        <v>0.71754964528275311</v>
      </c>
      <c r="X34" s="242">
        <v>1</v>
      </c>
    </row>
    <row r="35" spans="2:24" ht="12.6" thickBot="1">
      <c r="B35" s="249" t="s">
        <v>542</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8">D$18/D23</f>
        <v>5.3806563848683195</v>
      </c>
      <c r="E37" s="406">
        <f t="shared" si="8"/>
        <v>4.9024053681999904</v>
      </c>
      <c r="F37" s="406">
        <f t="shared" si="8"/>
        <v>4.4823822419495611</v>
      </c>
      <c r="G37" s="406">
        <f t="shared" si="8"/>
        <v>4.0673526751096958</v>
      </c>
      <c r="H37" s="13">
        <f t="shared" ref="H37:H45" si="9">H23</f>
        <v>2.7545314735976323E-2</v>
      </c>
      <c r="I37" s="5"/>
      <c r="J37" s="217"/>
      <c r="K37" s="217"/>
      <c r="L37" s="217"/>
      <c r="M37" s="217"/>
      <c r="N37" s="217"/>
      <c r="O37" s="14"/>
      <c r="Q37" s="5"/>
      <c r="R37" s="5"/>
      <c r="S37" s="26"/>
      <c r="T37" s="26"/>
      <c r="U37" s="26"/>
      <c r="V37" s="26"/>
      <c r="W37" s="26"/>
      <c r="X37" s="26"/>
    </row>
    <row r="38" spans="2:24">
      <c r="B38" s="5" t="s">
        <v>158</v>
      </c>
      <c r="C38" s="207"/>
      <c r="D38" s="406">
        <f t="shared" si="8"/>
        <v>10.211498355242123</v>
      </c>
      <c r="E38" s="406">
        <f t="shared" si="8"/>
        <v>9.2765913856049682</v>
      </c>
      <c r="F38" s="406">
        <f t="shared" si="8"/>
        <v>8.4698061577037702</v>
      </c>
      <c r="G38" s="406">
        <f t="shared" si="8"/>
        <v>7.6756072161138764</v>
      </c>
      <c r="H38" s="13">
        <f t="shared" si="9"/>
        <v>2.94819836797513E-2</v>
      </c>
      <c r="I38" s="217"/>
      <c r="J38" s="13"/>
      <c r="K38" s="13"/>
      <c r="L38" s="13"/>
      <c r="M38" s="13"/>
      <c r="N38" s="13"/>
      <c r="O38" s="5"/>
      <c r="Q38" s="5"/>
      <c r="R38" s="5"/>
      <c r="S38" s="26"/>
      <c r="T38" s="26"/>
      <c r="U38" s="26"/>
      <c r="V38" s="26"/>
      <c r="W38" s="26"/>
      <c r="X38" s="26"/>
    </row>
    <row r="39" spans="2:24">
      <c r="B39" s="5" t="s">
        <v>159</v>
      </c>
      <c r="C39" s="207"/>
      <c r="D39" s="406">
        <f t="shared" si="8"/>
        <v>13.028104212058349</v>
      </c>
      <c r="E39" s="406">
        <f t="shared" si="8"/>
        <v>12.001857531274894</v>
      </c>
      <c r="F39" s="406">
        <f t="shared" si="8"/>
        <v>10.821286260592961</v>
      </c>
      <c r="G39" s="406">
        <f t="shared" si="8"/>
        <v>9.6863338457776607</v>
      </c>
      <c r="H39" s="13">
        <f t="shared" si="9"/>
        <v>3.3238161140883182E-2</v>
      </c>
      <c r="I39" s="13"/>
      <c r="J39" s="5"/>
      <c r="K39" s="5"/>
      <c r="L39" s="5"/>
      <c r="M39" s="5"/>
      <c r="N39" s="5"/>
      <c r="O39" s="5"/>
      <c r="Q39" s="5"/>
      <c r="R39" s="5"/>
      <c r="S39" s="26"/>
      <c r="T39" s="26"/>
      <c r="U39" s="26"/>
      <c r="V39" s="26"/>
      <c r="W39" s="26"/>
      <c r="X39" s="26"/>
    </row>
    <row r="40" spans="2:24">
      <c r="B40" s="5" t="s">
        <v>381</v>
      </c>
      <c r="C40" s="207"/>
      <c r="D40" s="406">
        <f t="shared" si="8"/>
        <v>16.285130265072937</v>
      </c>
      <c r="E40" s="406">
        <f t="shared" si="8"/>
        <v>15.002321914093615</v>
      </c>
      <c r="F40" s="406">
        <f t="shared" si="8"/>
        <v>13.5266078257412</v>
      </c>
      <c r="G40" s="406">
        <f t="shared" si="8"/>
        <v>12.107917307222076</v>
      </c>
      <c r="H40" s="13">
        <f t="shared" si="9"/>
        <v>3.3238161140883182E-2</v>
      </c>
      <c r="I40" s="5"/>
      <c r="J40" s="217"/>
      <c r="K40" s="217"/>
      <c r="L40" s="217"/>
      <c r="M40" s="217"/>
      <c r="N40" s="217"/>
      <c r="O40" s="14"/>
      <c r="Q40" s="5"/>
      <c r="R40" s="5"/>
      <c r="S40" s="26"/>
      <c r="T40" s="26"/>
      <c r="U40" s="26"/>
      <c r="V40" s="26"/>
      <c r="W40" s="242"/>
      <c r="X40" s="242"/>
    </row>
    <row r="41" spans="2:24">
      <c r="B41" s="5" t="s">
        <v>434</v>
      </c>
      <c r="C41" s="207"/>
      <c r="D41" s="406">
        <f t="shared" si="8"/>
        <v>4.2072971408289623</v>
      </c>
      <c r="E41" s="406">
        <f t="shared" si="8"/>
        <v>4.3077090177804429</v>
      </c>
      <c r="F41" s="406">
        <f t="shared" si="8"/>
        <v>4.3719943114671889</v>
      </c>
      <c r="G41" s="406">
        <f t="shared" si="8"/>
        <v>4.389925979395084</v>
      </c>
      <c r="H41" s="13">
        <f t="shared" si="9"/>
        <v>-7.7127219696330407E-2</v>
      </c>
      <c r="I41" s="207"/>
      <c r="J41" s="13"/>
      <c r="K41" s="13"/>
      <c r="L41" s="13"/>
      <c r="M41" s="13"/>
      <c r="N41" s="13"/>
      <c r="O41" s="5"/>
      <c r="Q41" s="5"/>
      <c r="R41" s="5"/>
      <c r="S41" s="26"/>
      <c r="T41" s="26"/>
      <c r="U41" s="26"/>
      <c r="V41" s="26"/>
      <c r="W41" s="242"/>
      <c r="X41" s="242"/>
    </row>
    <row r="42" spans="2:24">
      <c r="B42" s="5" t="s">
        <v>493</v>
      </c>
      <c r="C42" s="207"/>
      <c r="D42" s="406">
        <f>D18/D28</f>
        <v>9.6243449536339316</v>
      </c>
      <c r="E42" s="406">
        <f>E18/E28</f>
        <v>8.8702781224861926</v>
      </c>
      <c r="F42" s="406">
        <f>F18/F28</f>
        <v>8.2021681189850817</v>
      </c>
      <c r="G42" s="406">
        <f>G18/G28</f>
        <v>7.5766733196025911</v>
      </c>
      <c r="H42" s="13">
        <f t="shared" si="9"/>
        <v>1.3734080062852705E-2</v>
      </c>
      <c r="I42" s="208"/>
      <c r="J42" s="5"/>
      <c r="K42" s="5"/>
      <c r="L42" s="5"/>
      <c r="M42" s="5"/>
      <c r="N42" s="5"/>
      <c r="O42" s="5"/>
      <c r="Q42" s="5"/>
      <c r="R42" s="5"/>
      <c r="S42" s="26"/>
      <c r="T42" s="26"/>
      <c r="U42" s="26"/>
      <c r="V42" s="26"/>
      <c r="W42" s="242"/>
      <c r="X42" s="242"/>
    </row>
    <row r="43" spans="2:24">
      <c r="B43" s="5" t="s">
        <v>390</v>
      </c>
      <c r="C43" s="207"/>
      <c r="D43" s="406">
        <f>L26/D29</f>
        <v>22.422629312296667</v>
      </c>
      <c r="E43" s="406">
        <f>M26/E29</f>
        <v>18.203014180481446</v>
      </c>
      <c r="F43" s="406">
        <f>N26/F29</f>
        <v>17.350065706696451</v>
      </c>
      <c r="G43" s="406">
        <f>O26/G29</f>
        <v>16.127290608474521</v>
      </c>
      <c r="H43" s="13">
        <f t="shared" si="9"/>
        <v>0.11611353584540085</v>
      </c>
      <c r="I43" s="207"/>
      <c r="J43" s="207"/>
      <c r="K43" s="207"/>
      <c r="L43" s="207"/>
      <c r="M43" s="207"/>
      <c r="N43" s="207"/>
      <c r="O43" s="14"/>
      <c r="Q43" s="5"/>
      <c r="R43" s="5"/>
      <c r="S43" s="26"/>
      <c r="T43" s="26"/>
      <c r="U43" s="26"/>
      <c r="V43" s="26"/>
      <c r="W43" s="242"/>
      <c r="X43" s="242"/>
    </row>
    <row r="44" spans="2:24">
      <c r="B44" s="5" t="s">
        <v>437</v>
      </c>
      <c r="C44" s="53"/>
      <c r="D44" s="406">
        <f>D11/D30</f>
        <v>24.551564202812902</v>
      </c>
      <c r="E44" s="406">
        <f>E11/E30</f>
        <v>22.468383374697179</v>
      </c>
      <c r="F44" s="406">
        <f>F11/F30</f>
        <v>20.566289309391141</v>
      </c>
      <c r="G44" s="406">
        <f>G11/G30</f>
        <v>18.483207947405919</v>
      </c>
      <c r="H44" s="13">
        <f t="shared" si="9"/>
        <v>9.9260457061303375E-2</v>
      </c>
      <c r="I44" s="207"/>
      <c r="J44" s="208"/>
      <c r="K44" s="208"/>
      <c r="L44" s="208"/>
      <c r="M44" s="208"/>
      <c r="N44" s="208"/>
      <c r="O44" s="208"/>
      <c r="Q44" s="5"/>
      <c r="R44" s="5"/>
      <c r="S44" s="26"/>
      <c r="T44" s="26"/>
      <c r="U44" s="26"/>
      <c r="V44" s="26"/>
      <c r="W44" s="255"/>
      <c r="X44" s="255"/>
    </row>
    <row r="45" spans="2:24">
      <c r="B45" s="5" t="s">
        <v>481</v>
      </c>
      <c r="C45" s="207"/>
      <c r="D45" s="208">
        <f>D31/D11</f>
        <v>3.8262714574781753E-2</v>
      </c>
      <c r="E45" s="208">
        <f>E31/E11</f>
        <v>4.1660020418810471E-2</v>
      </c>
      <c r="F45" s="208">
        <f>F31/F11</f>
        <v>4.5363098696926354E-2</v>
      </c>
      <c r="G45" s="208">
        <f>G31/G11</f>
        <v>5.029292492574209E-2</v>
      </c>
      <c r="H45" s="13">
        <f t="shared" si="9"/>
        <v>9.541085084835732E-2</v>
      </c>
      <c r="I45" s="208"/>
      <c r="J45" s="207"/>
      <c r="K45" s="207"/>
      <c r="L45" s="207"/>
      <c r="M45" s="207"/>
      <c r="N45" s="207"/>
      <c r="O45" s="208"/>
      <c r="Q45" s="5"/>
      <c r="R45" s="5"/>
      <c r="S45" s="26"/>
      <c r="T45" s="26"/>
      <c r="U45" s="26"/>
      <c r="V45" s="26"/>
      <c r="W45" s="26"/>
      <c r="X45" s="26"/>
    </row>
    <row r="46" spans="2:24">
      <c r="B46" s="5" t="s">
        <v>505</v>
      </c>
      <c r="C46" s="207"/>
      <c r="D46" s="208">
        <f>(D31+D32)/D11</f>
        <v>3.8262714574781753E-2</v>
      </c>
      <c r="E46" s="208">
        <f>(E31+E32)/E11</f>
        <v>4.1660020418810471E-2</v>
      </c>
      <c r="F46" s="208">
        <f>(F31+F32)/F11</f>
        <v>4.5363098696926354E-2</v>
      </c>
      <c r="G46" s="208">
        <f>(G31+G32)/G11</f>
        <v>5.029292492574209E-2</v>
      </c>
      <c r="H46" s="233">
        <f>((G31+G32)/(D31+D32))^(1/3)-1</f>
        <v>9.541085084835732E-2</v>
      </c>
      <c r="I46" s="207"/>
      <c r="J46" s="207"/>
      <c r="K46" s="207"/>
      <c r="L46" s="207"/>
      <c r="M46" s="207"/>
      <c r="N46" s="207"/>
      <c r="O46" s="14"/>
      <c r="Q46" s="5"/>
      <c r="R46" s="5"/>
      <c r="S46" s="26"/>
      <c r="T46" s="26"/>
      <c r="U46" s="26"/>
      <c r="V46" s="26"/>
      <c r="W46" s="26"/>
      <c r="X46" s="26"/>
    </row>
    <row r="47" spans="2:24">
      <c r="B47" s="5" t="s">
        <v>482</v>
      </c>
      <c r="C47" s="5"/>
      <c r="D47" s="208">
        <f>1/D43</f>
        <v>4.4597802785402853E-2</v>
      </c>
      <c r="E47" s="208">
        <f>1/E43</f>
        <v>5.4935956764362158E-2</v>
      </c>
      <c r="F47" s="208">
        <f>1/F43</f>
        <v>5.7636669330539701E-2</v>
      </c>
      <c r="G47" s="208">
        <f>1/G43</f>
        <v>6.2006695624032653E-2</v>
      </c>
      <c r="H47" s="13">
        <f>H29</f>
        <v>0.11611353584540085</v>
      </c>
      <c r="I47" s="13"/>
      <c r="J47" s="208"/>
      <c r="K47" s="208"/>
      <c r="L47" s="208"/>
      <c r="M47" s="208"/>
      <c r="N47" s="208"/>
      <c r="O47" s="208"/>
      <c r="Q47" s="5"/>
      <c r="R47" s="5"/>
      <c r="S47" s="26"/>
      <c r="T47" s="26"/>
      <c r="U47" s="26"/>
      <c r="V47" s="26"/>
      <c r="W47" s="26"/>
      <c r="X47" s="26"/>
    </row>
    <row r="48" spans="2:24">
      <c r="B48" s="5" t="s">
        <v>518</v>
      </c>
      <c r="C48" s="216"/>
      <c r="D48" s="248">
        <f>D31/D29</f>
        <v>0.85795066539254228</v>
      </c>
      <c r="E48" s="248">
        <f>E31/E29</f>
        <v>0.75833794244275365</v>
      </c>
      <c r="F48" s="248">
        <f>F31/F29</f>
        <v>0.78705274305102835</v>
      </c>
      <c r="G48" s="248">
        <f>G31/G29</f>
        <v>0.8110886158276347</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pageMargins left="0.75" right="0.75" top="1" bottom="1" header="0.5" footer="0.5"/>
  <pageSetup scale="71"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147</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416</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INCUMB'!D37</f>
        <v>1.0008369084307251</v>
      </c>
      <c r="M9" s="48">
        <f>'EM INCUMB'!E37</f>
        <v>0.88734774101548086</v>
      </c>
      <c r="N9" s="48">
        <f>'EM INCUMB'!F37</f>
        <v>0.82417780916097816</v>
      </c>
      <c r="O9" s="48">
        <f>'EM INCUMB'!G37</f>
        <v>0.72297901613799298</v>
      </c>
      <c r="P9" s="13">
        <f>'EM INCUMB'!H37</f>
        <v>3.3156379224546617E-2</v>
      </c>
    </row>
    <row r="10" spans="2:63">
      <c r="B10" s="5" t="s">
        <v>226</v>
      </c>
      <c r="C10" s="5"/>
      <c r="D10" s="258"/>
      <c r="E10" s="258"/>
      <c r="F10" s="258"/>
      <c r="G10" s="258"/>
      <c r="H10" s="207"/>
      <c r="I10" s="207"/>
      <c r="J10" s="5" t="s">
        <v>158</v>
      </c>
      <c r="L10" s="48">
        <f>'EM INCUMB'!D38</f>
        <v>3.2583306501424838</v>
      </c>
      <c r="M10" s="48">
        <f>'EM INCUMB'!E38</f>
        <v>2.8572876171214863</v>
      </c>
      <c r="N10" s="48">
        <f>'EM INCUMB'!F38</f>
        <v>2.6452129034272849</v>
      </c>
      <c r="O10" s="48">
        <f>'EM INCUMB'!G38</f>
        <v>2.3114210372923396</v>
      </c>
      <c r="P10" s="13">
        <f>'EM INCUMB'!H38</f>
        <v>3.9422751898065433E-2</v>
      </c>
    </row>
    <row r="11" spans="2:63">
      <c r="B11" s="25" t="s">
        <v>290</v>
      </c>
      <c r="C11" s="5"/>
      <c r="D11" s="225">
        <f>AMX!D11+(VIVO!D11/Prices!$C$140)+TVIS!D11</f>
        <v>96182.574981844751</v>
      </c>
      <c r="E11" s="225">
        <f>AMX!E11+(VIVO!E11/Prices!$C$140)+TVIS!E11</f>
        <v>94053.425061837988</v>
      </c>
      <c r="F11" s="225">
        <f>AMX!F11+(VIVO!F11/Prices!$C$140)+TVIS!F11</f>
        <v>91978.756401830382</v>
      </c>
      <c r="G11" s="225">
        <f>AMX!G11+(VIVO!G11/Prices!$C$140)+TVIS!G11</f>
        <v>89901.569001821932</v>
      </c>
      <c r="H11" s="209"/>
      <c r="I11" s="209"/>
      <c r="J11" s="5" t="s">
        <v>159</v>
      </c>
      <c r="L11" s="48">
        <f>'EM INCUMB'!D39</f>
        <v>6.1317261959843918</v>
      </c>
      <c r="M11" s="48">
        <f>'EM INCUMB'!E39</f>
        <v>5.1790241774087162</v>
      </c>
      <c r="N11" s="48">
        <f>'EM INCUMB'!F39</f>
        <v>4.6616800694291367</v>
      </c>
      <c r="O11" s="48">
        <f>'EM INCUMB'!G39</f>
        <v>3.9355802283020958</v>
      </c>
      <c r="P11" s="13">
        <f>'EM INCUMB'!H39</f>
        <v>7.4677565269395396E-2</v>
      </c>
    </row>
    <row r="12" spans="2:63">
      <c r="B12" s="5" t="s">
        <v>191</v>
      </c>
      <c r="C12" s="209"/>
      <c r="D12" s="188">
        <f>AMX!D12+(VIVO!D12/Prices!$C$140)+TVIS!D12</f>
        <v>41552.576711870002</v>
      </c>
      <c r="E12" s="188">
        <f>AMX!E12+(VIVO!E12/Prices!$C$140)+TVIS!E12</f>
        <v>38700.962995787319</v>
      </c>
      <c r="F12" s="188">
        <f>AMX!F12+(VIVO!F12/Prices!$C$140)+TVIS!F12</f>
        <v>35719.704852120507</v>
      </c>
      <c r="G12" s="188">
        <f>AMX!G12+(VIVO!G12/Prices!$C$140)+TVIS!G12</f>
        <v>32198.250295309474</v>
      </c>
      <c r="H12" s="207"/>
      <c r="I12" s="207"/>
      <c r="J12" s="5" t="s">
        <v>381</v>
      </c>
      <c r="L12" s="48">
        <f>'EM INCUMB'!D40</f>
        <v>8.2266961919310386</v>
      </c>
      <c r="M12" s="48">
        <f>'EM INCUMB'!E40</f>
        <v>6.9552647505778777</v>
      </c>
      <c r="N12" s="48">
        <f>'EM INCUMB'!F40</f>
        <v>6.2566651104334197</v>
      </c>
      <c r="O12" s="48">
        <f>'EM INCUMB'!G40</f>
        <v>5.2790882385458708</v>
      </c>
      <c r="P12" s="13">
        <f>'EM INCUMB'!H40</f>
        <v>7.4753911091564262E-2</v>
      </c>
    </row>
    <row r="13" spans="2:63">
      <c r="B13" s="5" t="s">
        <v>433</v>
      </c>
      <c r="C13" s="216"/>
      <c r="D13" s="188">
        <f>AMX!D13+(VIVO!D13/Prices!$C$140)+TVIS!D13</f>
        <v>-237.13292819072913</v>
      </c>
      <c r="E13" s="188">
        <f>AMX!E13+(VIVO!E13/Prices!$C$140)+TVIS!E13</f>
        <v>-237.13292819072913</v>
      </c>
      <c r="F13" s="188">
        <f>AMX!F13+(VIVO!F13/Prices!$C$140)+TVIS!F13</f>
        <v>-237.13292819072913</v>
      </c>
      <c r="G13" s="188">
        <f>AMX!G13+(VIVO!G13/Prices!$C$140)+TVIS!G13</f>
        <v>-237.13292819072913</v>
      </c>
      <c r="H13" s="207"/>
      <c r="I13" s="207"/>
      <c r="J13" s="5" t="s">
        <v>434</v>
      </c>
      <c r="L13" s="48">
        <f>'EM INCUMB'!D41</f>
        <v>1.0175258165160963</v>
      </c>
      <c r="M13" s="48">
        <f>'EM INCUMB'!E41</f>
        <v>0.94869638104642462</v>
      </c>
      <c r="N13" s="48">
        <f>'EM INCUMB'!F41</f>
        <v>0.89045537906663963</v>
      </c>
      <c r="O13" s="48">
        <f>'EM INCUMB'!G41</f>
        <v>0.82231946513225684</v>
      </c>
      <c r="P13" s="13">
        <f>'EM INCUMB'!H41</f>
        <v>-4.7737778021701427E-3</v>
      </c>
    </row>
    <row r="14" spans="2:63">
      <c r="B14" s="5" t="s">
        <v>436</v>
      </c>
      <c r="C14" s="228"/>
      <c r="D14" s="188">
        <f>AMX!D14+(VIVO!D14/Prices!$C$140)+TVIS!D14</f>
        <v>2677</v>
      </c>
      <c r="E14" s="188">
        <f>AMX!E14+(VIVO!E14/Prices!$C$140)+TVIS!E14</f>
        <v>2677</v>
      </c>
      <c r="F14" s="188">
        <f>AMX!F14+(VIVO!F14/Prices!$C$140)+TVIS!F14</f>
        <v>2677</v>
      </c>
      <c r="G14" s="188">
        <f>AMX!G14+(VIVO!G14/Prices!$C$140)+TVIS!G14</f>
        <v>2677</v>
      </c>
      <c r="H14" s="207"/>
      <c r="I14" s="207"/>
      <c r="J14" s="5" t="s">
        <v>493</v>
      </c>
      <c r="L14" s="48">
        <f>'EM INCUMB'!D42</f>
        <v>1.3694878531362229</v>
      </c>
      <c r="M14" s="48">
        <f>'EM INCUMB'!E42</f>
        <v>1.3458387543955599</v>
      </c>
      <c r="N14" s="48">
        <f>'EM INCUMB'!F42</f>
        <v>1.3892691442527436</v>
      </c>
      <c r="O14" s="48">
        <f>'EM INCUMB'!G42</f>
        <v>1.3693243761126275</v>
      </c>
      <c r="P14" s="13">
        <f>'EM INCUMB'!H42</f>
        <v>-7.2947911627430417E-2</v>
      </c>
    </row>
    <row r="15" spans="2:63">
      <c r="B15" s="5" t="s">
        <v>435</v>
      </c>
      <c r="C15" s="216"/>
      <c r="D15" s="188">
        <f>AMX!D15+(VIVO!D15/Prices!$C$140)+TVIS!D15</f>
        <v>3045.316098280839</v>
      </c>
      <c r="E15" s="188">
        <f>AMX!E15+(VIVO!E15/Prices!$C$140)+TVIS!E15</f>
        <v>3045.316098280839</v>
      </c>
      <c r="F15" s="188">
        <f>AMX!F15+(VIVO!F15/Prices!$C$140)+TVIS!F15</f>
        <v>3045.316098280839</v>
      </c>
      <c r="G15" s="188">
        <f>AMX!G15+(VIVO!G15/Prices!$C$140)+TVIS!G15</f>
        <v>3045.316098280839</v>
      </c>
      <c r="H15" s="207"/>
      <c r="I15" s="207"/>
      <c r="J15" s="5" t="s">
        <v>390</v>
      </c>
      <c r="L15" s="48">
        <f>'EM INCUMB'!D43</f>
        <v>10.31495058526585</v>
      </c>
      <c r="M15" s="48">
        <f>'EM INCUMB'!E43</f>
        <v>8.8042165247473836</v>
      </c>
      <c r="N15" s="48">
        <f>'EM INCUMB'!F43</f>
        <v>8.0617180025386705</v>
      </c>
      <c r="O15" s="48">
        <f>'EM INCUMB'!G43</f>
        <v>7.2956611469195627</v>
      </c>
      <c r="P15" s="13">
        <f>'EM INCUMB'!H43</f>
        <v>0.11011215571418109</v>
      </c>
    </row>
    <row r="16" spans="2:63">
      <c r="B16" s="5" t="s">
        <v>438</v>
      </c>
      <c r="C16" s="216"/>
      <c r="D16" s="188">
        <f>AMX!D16+(VIVO!D16/Prices!$C$140)+TVIS!D16</f>
        <v>1652.0833333333335</v>
      </c>
      <c r="E16" s="188">
        <f>AMX!E16+(VIVO!E16/Prices!$C$140)+TVIS!E16</f>
        <v>5168.994740637113</v>
      </c>
      <c r="F16" s="188">
        <f>AMX!F16+(VIVO!F16/Prices!$C$140)+TVIS!F16</f>
        <v>9151.696238046261</v>
      </c>
      <c r="G16" s="188">
        <f>AMX!G16+(VIVO!G16/Prices!$C$140)+TVIS!G16</f>
        <v>13450.265093909096</v>
      </c>
      <c r="H16" s="207"/>
      <c r="I16" s="207"/>
      <c r="J16" s="5" t="s">
        <v>437</v>
      </c>
      <c r="L16" s="48">
        <f>'EM INCUMB'!D44</f>
        <v>12.526047767737827</v>
      </c>
      <c r="M16" s="48">
        <f>'EM INCUMB'!E44</f>
        <v>10.883476131044869</v>
      </c>
      <c r="N16" s="48">
        <f>'EM INCUMB'!F44</f>
        <v>9.7425288213442798</v>
      </c>
      <c r="O16" s="48">
        <f>'EM INCUMB'!G44</f>
        <v>8.8253152950096752</v>
      </c>
      <c r="P16" s="13">
        <f>'EM INCUMB'!H44</f>
        <v>0.11132061006560745</v>
      </c>
    </row>
    <row r="17" spans="2:24">
      <c r="B17" s="5" t="s">
        <v>4</v>
      </c>
      <c r="C17" s="216"/>
      <c r="D17" s="188">
        <f>AMX!D17+(VIVO!D17/Prices!$C$140)+TVIS!D17</f>
        <v>0</v>
      </c>
      <c r="E17" s="188">
        <f>AMX!E17+(VIVO!E17/Prices!$C$140)+TVIS!E17</f>
        <v>0</v>
      </c>
      <c r="F17" s="188">
        <f>AMX!F17+(VIVO!F17/Prices!$C$140)+TVIS!F17</f>
        <v>0</v>
      </c>
      <c r="G17" s="188">
        <f>AMX!G17+(VIVO!G17/Prices!$C$140)+TVIS!G17</f>
        <v>0</v>
      </c>
      <c r="H17" s="207"/>
      <c r="I17" s="207"/>
      <c r="J17" s="5" t="s">
        <v>481</v>
      </c>
      <c r="L17" s="208">
        <f>'EM INCUMB'!D45</f>
        <v>4.6713014887079352E-2</v>
      </c>
      <c r="M17" s="208">
        <f>'EM INCUMB'!E45</f>
        <v>5.5860921075657842E-2</v>
      </c>
      <c r="N17" s="208">
        <f>'EM INCUMB'!F45</f>
        <v>6.2062147024960539E-2</v>
      </c>
      <c r="O17" s="208">
        <f>'EM INCUMB'!G45</f>
        <v>6.9652282078822819E-2</v>
      </c>
      <c r="P17" s="13">
        <f>'EM INCUMB'!H45</f>
        <v>0.12973671135672182</v>
      </c>
      <c r="S17" s="72"/>
      <c r="T17" s="72"/>
      <c r="U17" s="72"/>
      <c r="V17" s="26"/>
      <c r="W17" s="26"/>
      <c r="X17" s="26"/>
    </row>
    <row r="18" spans="2:24" ht="12.6" thickBot="1">
      <c r="B18" s="25" t="s">
        <v>291</v>
      </c>
      <c r="C18" s="209"/>
      <c r="D18" s="229">
        <f>AMX!D18+(VIVO!D18/Prices!$C$140)+TVIS!D18</f>
        <v>136214.25153047152</v>
      </c>
      <c r="E18" s="229">
        <f>AMX!E18+(VIVO!E18/Prices!$C$140)+TVIS!E18</f>
        <v>127716.57648707829</v>
      </c>
      <c r="F18" s="229">
        <f>AMX!F18+(VIVO!F18/Prices!$C$140)+TVIS!F18</f>
        <v>118677.94818599474</v>
      </c>
      <c r="G18" s="229">
        <f>AMX!G18+(VIVO!G18/Prices!$C$140)+TVIS!G18</f>
        <v>108780.73737331241</v>
      </c>
      <c r="H18" s="230">
        <f>IF(D18=0,"nm",IF(G18=0,"nm",(G18/D18)^(1/3)-1))</f>
        <v>-7.2223965534345624E-2</v>
      </c>
      <c r="I18" s="214"/>
      <c r="J18" s="5" t="s">
        <v>33</v>
      </c>
      <c r="L18" s="208">
        <f>'EM INCUMB'!D46</f>
        <v>5.1640678432129626E-2</v>
      </c>
      <c r="M18" s="208">
        <f>'EM INCUMB'!E46</f>
        <v>6.4232928591480415E-2</v>
      </c>
      <c r="N18" s="208">
        <f>'EM INCUMB'!F46</f>
        <v>7.0809807018395565E-2</v>
      </c>
      <c r="O18" s="208">
        <f>'EM INCUMB'!G46</f>
        <v>7.8958400472973839E-2</v>
      </c>
      <c r="P18" s="13">
        <f>'EM INCUMB'!H46</f>
        <v>0.13923562780326715</v>
      </c>
      <c r="S18" s="72"/>
      <c r="T18" s="72"/>
      <c r="U18" s="72"/>
      <c r="V18" s="26"/>
      <c r="W18" s="26"/>
      <c r="X18" s="26"/>
    </row>
    <row r="19" spans="2:24" ht="12.6" thickTop="1">
      <c r="B19" s="25"/>
      <c r="C19" s="209"/>
      <c r="D19" s="189"/>
      <c r="E19" s="189"/>
      <c r="F19" s="189"/>
      <c r="G19" s="189"/>
      <c r="H19" s="230"/>
      <c r="I19" s="13"/>
      <c r="J19" s="5" t="s">
        <v>482</v>
      </c>
      <c r="L19" s="208">
        <f>'EM INCUMB'!D47</f>
        <v>9.6946659291652512E-2</v>
      </c>
      <c r="M19" s="208">
        <f>'EM INCUMB'!E47</f>
        <v>0.11358194078816032</v>
      </c>
      <c r="N19" s="208">
        <f>'EM INCUMB'!F47</f>
        <v>0.12404303892608196</v>
      </c>
      <c r="O19" s="208">
        <f>'EM INCUMB'!G47</f>
        <v>0.137067769440228</v>
      </c>
      <c r="P19" s="13">
        <f>'EM INCUMB'!H47</f>
        <v>0.11011215571418109</v>
      </c>
      <c r="S19" s="72"/>
      <c r="T19" s="72"/>
      <c r="U19" s="72"/>
      <c r="V19" s="26"/>
      <c r="W19" s="26"/>
      <c r="X19" s="26"/>
    </row>
    <row r="20" spans="2:24">
      <c r="H20" s="231"/>
      <c r="I20" s="33"/>
      <c r="J20" s="5" t="s">
        <v>504</v>
      </c>
      <c r="L20" s="208">
        <f>'EM INCUMB'!D48</f>
        <v>0.48589803724549191</v>
      </c>
      <c r="M20" s="208">
        <f>'EM INCUMB'!E48</f>
        <v>0.49556464546321294</v>
      </c>
      <c r="N20" s="208">
        <f>'EM INCUMB'!F48</f>
        <v>0.50418841009000548</v>
      </c>
      <c r="O20" s="208">
        <f>'EM INCUMB'!G48</f>
        <v>0.51212537499532951</v>
      </c>
      <c r="P20" s="13" t="str">
        <f>'EM INCUMB'!H48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AMX!C23+(VIVO!C23/Prices!$C$140)+TVIS!C23</f>
        <v>61718.20813560766</v>
      </c>
      <c r="D23" s="188">
        <f>AMX!D23+(VIVO!D23/Prices!$C$140)+TVIS!D23</f>
        <v>64588.885440665726</v>
      </c>
      <c r="E23" s="188">
        <f>AMX!E23+(VIVO!E23/Prices!$C$140)+TVIS!E23</f>
        <v>70994.924201520887</v>
      </c>
      <c r="F23" s="188">
        <f>AMX!F23+(VIVO!F23/Prices!$C$140)+TVIS!F23</f>
        <v>73052.526122811876</v>
      </c>
      <c r="G23" s="188">
        <f>AMX!G23+(VIVO!G23/Prices!$C$140)+TVIS!G23</f>
        <v>74912.061918287407</v>
      </c>
      <c r="H23" s="233">
        <f t="shared" ref="H23:H33" si="0">IF(D23=0,"nm",IF(G23=0,"nm",(G23/D23)^(1/3)-1))</f>
        <v>5.0665939566617801E-2</v>
      </c>
      <c r="I23" s="209"/>
      <c r="J23" s="249" t="s">
        <v>7</v>
      </c>
      <c r="K23" s="249"/>
      <c r="L23" s="219" t="str">
        <f>L5</f>
        <v>2025E</v>
      </c>
      <c r="M23" s="219" t="str">
        <f>M5</f>
        <v>2026E</v>
      </c>
      <c r="N23" s="219" t="str">
        <f>N5</f>
        <v>2027E</v>
      </c>
      <c r="O23" s="219" t="str">
        <f>O5</f>
        <v>2028E</v>
      </c>
      <c r="P23" s="236" t="str">
        <f>P5</f>
        <v>2025-28</v>
      </c>
      <c r="S23" s="26"/>
      <c r="T23" s="26"/>
      <c r="U23" s="26"/>
      <c r="V23" s="26"/>
      <c r="W23" s="26" t="s">
        <v>148</v>
      </c>
      <c r="X23" s="26" t="s">
        <v>463</v>
      </c>
    </row>
    <row r="24" spans="2:24" ht="12.6" thickTop="1">
      <c r="B24" s="5" t="s">
        <v>397</v>
      </c>
      <c r="C24" s="288">
        <f>AMX!C24+(VIVO!C24/Prices!$C$140)+TVIS!C24</f>
        <v>24210.329099972736</v>
      </c>
      <c r="D24" s="188">
        <f>AMX!D24+(VIVO!D24/Prices!$C$140)+TVIS!D24</f>
        <v>25568.719659223894</v>
      </c>
      <c r="E24" s="188">
        <f>AMX!E24+(VIVO!E24/Prices!$C$140)+TVIS!E24</f>
        <v>28658.581478708664</v>
      </c>
      <c r="F24" s="188">
        <f>AMX!F24+(VIVO!F24/Prices!$C$140)+TVIS!F24</f>
        <v>29701.815057144904</v>
      </c>
      <c r="G24" s="188">
        <f>AMX!G24+(VIVO!G24/Prices!$C$140)+TVIS!G24</f>
        <v>30528.315699318187</v>
      </c>
      <c r="H24" s="233">
        <f t="shared" si="0"/>
        <v>6.0875991046259958E-2</v>
      </c>
      <c r="I24" s="208"/>
      <c r="J24" s="13"/>
      <c r="K24" s="13"/>
      <c r="L24" s="13"/>
      <c r="M24" s="13"/>
      <c r="N24" s="13"/>
      <c r="O24" s="208"/>
      <c r="S24" s="26"/>
      <c r="T24" s="26"/>
      <c r="U24" s="26"/>
      <c r="V24" s="113" t="s">
        <v>225</v>
      </c>
      <c r="W24" s="242">
        <f t="shared" ref="W24:W31" si="1">E37/M9</f>
        <v>2.0273378126773292</v>
      </c>
      <c r="X24" s="242">
        <v>1</v>
      </c>
    </row>
    <row r="25" spans="2:24">
      <c r="B25" s="5" t="s">
        <v>157</v>
      </c>
      <c r="C25" s="288">
        <f>AMX!C25+(VIVO!C25/Prices!$C$140)+TVIS!C25</f>
        <v>15186.375631950539</v>
      </c>
      <c r="D25" s="188">
        <f>AMX!D25+(VIVO!D25/Prices!$C$140)+TVIS!D25</f>
        <v>16497.025532161311</v>
      </c>
      <c r="E25" s="188">
        <f>AMX!E25+(VIVO!E25/Prices!$C$140)+TVIS!E25</f>
        <v>18472.627628857361</v>
      </c>
      <c r="F25" s="188">
        <f>AMX!F25+(VIVO!F25/Prices!$C$140)+TVIS!F25</f>
        <v>19318.521228796813</v>
      </c>
      <c r="G25" s="188">
        <f>AMX!G25+(VIVO!G25/Prices!$C$140)+TVIS!G25</f>
        <v>20451.069569777213</v>
      </c>
      <c r="H25" s="233">
        <f t="shared" si="0"/>
        <v>7.4245294052326605E-2</v>
      </c>
      <c r="I25" s="209"/>
      <c r="J25" s="207" t="s">
        <v>8</v>
      </c>
      <c r="K25" s="207"/>
      <c r="L25" s="258">
        <f>AMX!L25+(VIVO!L25/Prices!$C$140)+TVIS!L25</f>
        <v>-930.77696632078516</v>
      </c>
      <c r="M25" s="258">
        <f>AMX!M25+(VIVO!M25/Prices!$C$140)+TVIS!M25</f>
        <v>-930.77696632078516</v>
      </c>
      <c r="N25" s="258">
        <f>AMX!N25+(VIVO!N25/Prices!$C$140)+TVIS!N25</f>
        <v>-930.77696632078516</v>
      </c>
      <c r="O25" s="258">
        <f>AMX!O25+(VIVO!O25/Prices!$C$140)+TVIS!O25</f>
        <v>-930.77696632078516</v>
      </c>
      <c r="P25" s="233">
        <f>IF(L25=0,"nm",IF(O25=0,"nm",(O25/L25)^(1/3)-1))</f>
        <v>0</v>
      </c>
      <c r="Q25" s="5"/>
      <c r="S25" s="26"/>
      <c r="T25" s="26"/>
      <c r="U25" s="26"/>
      <c r="V25" s="113" t="s">
        <v>158</v>
      </c>
      <c r="W25" s="242">
        <f t="shared" si="1"/>
        <v>1.5596911908546562</v>
      </c>
      <c r="X25" s="242">
        <v>1</v>
      </c>
    </row>
    <row r="26" spans="2:24">
      <c r="B26" s="5" t="s">
        <v>487</v>
      </c>
      <c r="C26" s="288">
        <f>AMX!C26+(VIVO!C26/Prices!$C$140)+TVIS!C26</f>
        <v>11564.692843073264</v>
      </c>
      <c r="D26" s="188">
        <f>AMX!D26+(VIVO!D26/Prices!$C$140)+TVIS!D26</f>
        <v>11434.304137663028</v>
      </c>
      <c r="E26" s="188">
        <f>AMX!E26+(VIVO!E26/Prices!$C$140)+TVIS!E26</f>
        <v>12788.399994617308</v>
      </c>
      <c r="F26" s="188">
        <f>AMX!F26+(VIVO!F26/Prices!$C$140)+TVIS!F26</f>
        <v>13365.285630239923</v>
      </c>
      <c r="G26" s="188">
        <f>AMX!G26+(VIVO!G26/Prices!$C$140)+TVIS!G26</f>
        <v>14148.155488594539</v>
      </c>
      <c r="H26" s="233">
        <f t="shared" si="0"/>
        <v>7.3569162293801948E-2</v>
      </c>
      <c r="I26" s="209"/>
      <c r="J26" s="209" t="s">
        <v>9</v>
      </c>
      <c r="K26" s="209"/>
      <c r="L26" s="235">
        <f>AMX!L26+(VIVO!L26/Prices!$C$140)+TVIS!L26</f>
        <v>95251.798015523964</v>
      </c>
      <c r="M26" s="235">
        <f>AMX!M26+(VIVO!M26/Prices!$C$140)+TVIS!M26</f>
        <v>93122.648095517201</v>
      </c>
      <c r="N26" s="235">
        <f>AMX!N26+(VIVO!N26/Prices!$C$140)+TVIS!N26</f>
        <v>91047.979435509595</v>
      </c>
      <c r="O26" s="235">
        <f>AMX!O26+(VIVO!O26/Prices!$C$140)+TVIS!O26</f>
        <v>88970.792035501145</v>
      </c>
      <c r="P26" s="233">
        <f>IF(L26=0,"nm",IF(O26=0,"nm",(O26/L26)^(1/3)-1))</f>
        <v>-2.2482011479063368E-2</v>
      </c>
      <c r="Q26" s="25"/>
      <c r="S26" s="26"/>
      <c r="T26" s="26"/>
      <c r="U26" s="26"/>
      <c r="V26" s="113" t="s">
        <v>159</v>
      </c>
      <c r="W26" s="242">
        <f t="shared" si="1"/>
        <v>1.3349673813223106</v>
      </c>
      <c r="X26" s="242">
        <v>1</v>
      </c>
    </row>
    <row r="27" spans="2:24">
      <c r="B27" s="5" t="s">
        <v>488</v>
      </c>
      <c r="C27" s="288">
        <f>AMX!C27+(VIVO!C27/Prices!$C$140)+TVIS!C27</f>
        <v>84728.04272308838</v>
      </c>
      <c r="D27" s="188">
        <f>AMX!D27+(VIVO!D27/Prices!$C$140)+TVIS!D27</f>
        <v>79610.296110427007</v>
      </c>
      <c r="E27" s="188">
        <f>AMX!E27+(VIVO!E27/Prices!$C$140)+TVIS!E27</f>
        <v>81123.775526831305</v>
      </c>
      <c r="F27" s="188">
        <f>AMX!F27+(VIVO!F27/Prices!$C$140)+TVIS!F27</f>
        <v>79803.677862806871</v>
      </c>
      <c r="G27" s="188">
        <f>AMX!G27+(VIVO!G27/Prices!$C$140)+TVIS!G27</f>
        <v>78363.760505576545</v>
      </c>
      <c r="H27" s="233">
        <f t="shared" si="0"/>
        <v>-5.2468040419312301E-3</v>
      </c>
      <c r="I27" s="208"/>
      <c r="J27" s="208"/>
      <c r="K27" s="208"/>
      <c r="L27" s="208"/>
      <c r="M27" s="208"/>
      <c r="N27" s="208"/>
      <c r="O27" s="208"/>
      <c r="Q27" s="5"/>
      <c r="S27" s="26"/>
      <c r="T27" s="26"/>
      <c r="U27" s="26"/>
      <c r="V27" s="113" t="s">
        <v>381</v>
      </c>
      <c r="W27" s="242">
        <f t="shared" si="1"/>
        <v>1.4358775022847368</v>
      </c>
      <c r="X27" s="242">
        <v>1</v>
      </c>
    </row>
    <row r="28" spans="2:24" ht="12.6" thickBot="1">
      <c r="B28" s="5" t="s">
        <v>492</v>
      </c>
      <c r="C28" s="288">
        <f>AMX!C28+(VIVO!C28/Prices!$C$140)+TVIS!C28</f>
        <v>45022.727829883384</v>
      </c>
      <c r="D28" s="188">
        <f>AMX!D28+(VIVO!D28/Prices!$C$140)+TVIS!D28</f>
        <v>41376.912164537163</v>
      </c>
      <c r="E28" s="188">
        <f>AMX!E28+(VIVO!E28/Prices!$C$140)+TVIS!E28</f>
        <v>40422.948707648771</v>
      </c>
      <c r="F28" s="188">
        <f>AMX!F28+(VIVO!F28/Prices!$C$140)+TVIS!F28</f>
        <v>37500.416643767763</v>
      </c>
      <c r="G28" s="188">
        <f>AMX!G28+(VIVO!G28/Prices!$C$140)+TVIS!G28</f>
        <v>34291.276285152009</v>
      </c>
      <c r="H28" s="233">
        <f t="shared" si="0"/>
        <v>-6.0690912550466325E-2</v>
      </c>
      <c r="I28" s="212"/>
      <c r="J28" s="249" t="s">
        <v>628</v>
      </c>
      <c r="K28" s="249"/>
      <c r="L28" s="249"/>
      <c r="M28" s="249"/>
      <c r="N28" s="220"/>
      <c r="O28" s="220"/>
      <c r="P28" s="220"/>
      <c r="Q28" s="5"/>
      <c r="S28" s="26"/>
      <c r="T28" s="26"/>
      <c r="U28" s="26"/>
      <c r="V28" s="113" t="s">
        <v>434</v>
      </c>
      <c r="W28" s="242">
        <f t="shared" si="1"/>
        <v>1.6594794164601196</v>
      </c>
      <c r="X28" s="242">
        <v>1</v>
      </c>
    </row>
    <row r="29" spans="2:24" ht="12.6" thickTop="1">
      <c r="B29" s="5" t="s">
        <v>489</v>
      </c>
      <c r="C29" s="288">
        <f>AMX!C29+(VIVO!C29/Prices!$C$140)+TVIS!C29</f>
        <v>6401.891468601174</v>
      </c>
      <c r="D29" s="188">
        <f>AMX!D29+(VIVO!D29/Prices!$C$140)+TVIS!D29</f>
        <v>8052.5665127757602</v>
      </c>
      <c r="E29" s="188">
        <f>AMX!E29+(VIVO!E29/Prices!$C$140)+TVIS!E29</f>
        <v>9232.2080874883904</v>
      </c>
      <c r="F29" s="188">
        <f>AMX!F29+(VIVO!F29/Prices!$C$140)+TVIS!F29</f>
        <v>9875.7221615953749</v>
      </c>
      <c r="G29" s="188">
        <f>AMX!G29+(VIVO!G29/Prices!$C$140)+TVIS!G29</f>
        <v>10853.863211099228</v>
      </c>
      <c r="H29" s="233">
        <f t="shared" si="0"/>
        <v>0.10462959461893884</v>
      </c>
      <c r="I29" s="214"/>
      <c r="J29" s="209"/>
      <c r="K29" s="209"/>
      <c r="L29" s="209"/>
      <c r="M29" s="209"/>
      <c r="N29" s="209"/>
      <c r="O29" s="211"/>
      <c r="Q29" s="5"/>
      <c r="S29" s="26"/>
      <c r="T29" s="26"/>
      <c r="U29" s="26"/>
      <c r="V29" s="113" t="s">
        <v>493</v>
      </c>
      <c r="W29" s="242">
        <f t="shared" si="1"/>
        <v>2.3476116066466552</v>
      </c>
      <c r="X29" s="242">
        <v>1</v>
      </c>
    </row>
    <row r="30" spans="2:24">
      <c r="B30" s="5" t="s">
        <v>490</v>
      </c>
      <c r="C30" s="288">
        <f>AMX!C30+(VIVO!C30/Prices!$C$140)+TVIS!C30</f>
        <v>5934.3059429157456</v>
      </c>
      <c r="D30" s="188">
        <f>AMX!D30+(VIVO!D30/Prices!$C$140)+TVIS!D30</f>
        <v>6012.5712944864663</v>
      </c>
      <c r="E30" s="188">
        <f>AMX!E30+(VIVO!E30/Prices!$C$140)+TVIS!E30</f>
        <v>7703.1894399775738</v>
      </c>
      <c r="F30" s="188">
        <f>AMX!F30+(VIVO!F30/Prices!$C$140)+TVIS!F30</f>
        <v>8667.6670924557693</v>
      </c>
      <c r="G30" s="188">
        <f>AMX!G30+(VIVO!G30/Prices!$C$140)+TVIS!G30</f>
        <v>9402.2483329360839</v>
      </c>
      <c r="H30" s="233">
        <f t="shared" si="0"/>
        <v>0.16071026751292017</v>
      </c>
      <c r="I30" s="214"/>
      <c r="J30" s="208"/>
      <c r="K30" s="208"/>
      <c r="L30" s="208"/>
      <c r="M30" s="208"/>
      <c r="N30" s="208"/>
      <c r="O30" s="5"/>
      <c r="Q30" s="5"/>
      <c r="S30" s="26"/>
      <c r="T30" s="26"/>
      <c r="U30" s="26"/>
      <c r="V30" s="113" t="s">
        <v>390</v>
      </c>
      <c r="W30" s="242">
        <f t="shared" si="1"/>
        <v>1.1456686203115247</v>
      </c>
      <c r="X30" s="242">
        <v>1</v>
      </c>
    </row>
    <row r="31" spans="2:24">
      <c r="B31" s="5" t="s">
        <v>491</v>
      </c>
      <c r="C31" s="288">
        <f>AMX!C31+(VIVO!C31/Prices!$C$140)+TVIS!C31</f>
        <v>2506.718431371215</v>
      </c>
      <c r="D31" s="188">
        <f>AMX!D31+(VIVO!D31/Prices!$C$140)+TVIS!D31</f>
        <v>2510.8550121608905</v>
      </c>
      <c r="E31" s="188">
        <f>AMX!E31+(VIVO!E31/Prices!$C$140)+TVIS!E31</f>
        <v>3475.9735604548432</v>
      </c>
      <c r="F31" s="188">
        <f>AMX!F31+(VIVO!F31/Prices!$C$140)+TVIS!F31</f>
        <v>3898.2710774345383</v>
      </c>
      <c r="G31" s="188">
        <f>AMX!G31+(VIVO!G31/Prices!$C$140)+TVIS!G31</f>
        <v>4288.6599850934372</v>
      </c>
      <c r="H31" s="233">
        <f t="shared" si="0"/>
        <v>0.19536350766533772</v>
      </c>
      <c r="I31" s="214"/>
      <c r="J31" s="212"/>
      <c r="K31" s="212"/>
      <c r="L31" s="212"/>
      <c r="M31" s="212"/>
      <c r="N31" s="212"/>
      <c r="O31" s="5"/>
      <c r="Q31" s="5"/>
      <c r="S31" s="26"/>
      <c r="T31" s="26"/>
      <c r="U31" s="26"/>
      <c r="V31" s="113" t="s">
        <v>437</v>
      </c>
      <c r="W31" s="242">
        <f t="shared" si="1"/>
        <v>1.1218541737363399</v>
      </c>
      <c r="X31" s="242">
        <v>1</v>
      </c>
    </row>
    <row r="32" spans="2:24">
      <c r="B32" s="5" t="s">
        <v>506</v>
      </c>
      <c r="C32" s="288">
        <f>AMX!C32+(VIVO!C32/Prices!$C$140)+TVIS!C32</f>
        <v>1502.0381885318202</v>
      </c>
      <c r="D32" s="188">
        <f>AMX!D32+(VIVO!D32/Prices!$C$140)+TVIS!D32</f>
        <v>873.13632598675599</v>
      </c>
      <c r="E32" s="188">
        <f>AMX!E32+(VIVO!E32/Prices!$C$140)+TVIS!E32</f>
        <v>1514.317736455007</v>
      </c>
      <c r="F32" s="188">
        <f>AMX!F32+(VIVO!F32/Prices!$C$140)+TVIS!F32</f>
        <v>1570.291578511883</v>
      </c>
      <c r="G32" s="188">
        <f>AMX!G32+(VIVO!G32/Prices!$C$140)+TVIS!G32</f>
        <v>1664.9866605687589</v>
      </c>
      <c r="H32" s="233">
        <f t="shared" si="0"/>
        <v>0.24006057554260818</v>
      </c>
      <c r="I32" s="5"/>
      <c r="J32" s="214"/>
      <c r="K32" s="214"/>
      <c r="L32" s="214"/>
      <c r="M32" s="214"/>
      <c r="N32" s="214"/>
      <c r="O32" s="211"/>
      <c r="Q32" s="5"/>
      <c r="S32" s="26"/>
      <c r="T32" s="26"/>
      <c r="U32" s="26"/>
      <c r="V32" s="113" t="s">
        <v>481</v>
      </c>
      <c r="W32" s="242">
        <f>M17/E45</f>
        <v>1.5114933594567213</v>
      </c>
      <c r="X32" s="242">
        <v>1</v>
      </c>
    </row>
    <row r="33" spans="2:24">
      <c r="B33" s="5" t="s">
        <v>3</v>
      </c>
      <c r="C33" s="288">
        <f>AMX!C33+(VIVO!C33/Prices!$C$140)+TVIS!C33</f>
        <v>-1955.2766949465372</v>
      </c>
      <c r="D33" s="188">
        <f>AMX!D33+(VIVO!D33/Prices!$C$140)+TVIS!D33</f>
        <v>-2024.6028425771681</v>
      </c>
      <c r="E33" s="188">
        <f>AMX!E33+(VIVO!E33/Prices!$C$140)+TVIS!E33</f>
        <v>-1891.3928538616869</v>
      </c>
      <c r="F33" s="188">
        <f>AMX!F33+(VIVO!F33/Prices!$C$140)+TVIS!F33</f>
        <v>-1647.8891955424745</v>
      </c>
      <c r="G33" s="188">
        <f>AMX!G33+(VIVO!G33/Prices!$C$140)+TVIS!G33</f>
        <v>-1509.033067917303</v>
      </c>
      <c r="H33" s="233">
        <f t="shared" si="0"/>
        <v>-9.332222230069176E-2</v>
      </c>
      <c r="I33" s="33"/>
      <c r="J33" s="214"/>
      <c r="K33" s="214"/>
      <c r="L33" s="214"/>
      <c r="M33" s="214"/>
      <c r="N33" s="214"/>
      <c r="O33" s="211"/>
      <c r="Q33" s="5"/>
      <c r="S33" s="26"/>
      <c r="T33" s="26"/>
      <c r="U33" s="26"/>
      <c r="V33" s="113" t="s">
        <v>482</v>
      </c>
      <c r="W33" s="242">
        <f>M19/E47</f>
        <v>1.1456686203115247</v>
      </c>
      <c r="X33" s="242">
        <v>1</v>
      </c>
    </row>
    <row r="34" spans="2:24">
      <c r="H34" s="231"/>
      <c r="I34" s="214"/>
      <c r="J34" s="214"/>
      <c r="K34" s="214"/>
      <c r="L34" s="214"/>
      <c r="M34" s="214"/>
      <c r="N34" s="214"/>
      <c r="O34" s="211"/>
      <c r="Q34" s="5"/>
      <c r="S34" s="26"/>
      <c r="T34" s="26"/>
      <c r="U34" s="26"/>
      <c r="V34" s="26"/>
      <c r="W34" s="26"/>
      <c r="X34" s="26"/>
    </row>
    <row r="35" spans="2:24" ht="12.6" thickBot="1">
      <c r="B35" s="249" t="s">
        <v>511</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2.108942592849107</v>
      </c>
      <c r="E37" s="430">
        <f t="shared" si="2"/>
        <v>1.7989536283544942</v>
      </c>
      <c r="F37" s="430">
        <f t="shared" si="2"/>
        <v>1.6245563909245235</v>
      </c>
      <c r="G37" s="430">
        <f t="shared" si="2"/>
        <v>1.452112444748461</v>
      </c>
      <c r="H37" s="13">
        <f t="shared" ref="H37:H45" si="3">H23</f>
        <v>5.0665939566617801E-2</v>
      </c>
      <c r="I37" s="217"/>
      <c r="J37" s="217"/>
      <c r="K37" s="217"/>
      <c r="L37" s="217"/>
      <c r="M37" s="217"/>
      <c r="N37" s="217"/>
      <c r="O37" s="14"/>
      <c r="Q37" s="5"/>
      <c r="R37" s="5"/>
      <c r="S37" s="26"/>
      <c r="T37" s="26"/>
      <c r="U37" s="26"/>
      <c r="V37" s="26"/>
      <c r="W37" s="26"/>
      <c r="X37" s="26"/>
    </row>
    <row r="38" spans="2:24">
      <c r="B38" s="5" t="s">
        <v>158</v>
      </c>
      <c r="C38" s="207"/>
      <c r="D38" s="430">
        <f t="shared" si="2"/>
        <v>5.3273786621275869</v>
      </c>
      <c r="E38" s="430">
        <f t="shared" si="2"/>
        <v>4.4564863261624739</v>
      </c>
      <c r="F38" s="430">
        <f t="shared" si="2"/>
        <v>3.9956463252385053</v>
      </c>
      <c r="G38" s="430">
        <f t="shared" si="2"/>
        <v>3.563273468629057</v>
      </c>
      <c r="H38" s="13">
        <f t="shared" si="3"/>
        <v>6.0875991046259958E-2</v>
      </c>
      <c r="I38" s="13"/>
      <c r="J38" s="13"/>
      <c r="K38" s="13"/>
      <c r="L38" s="13"/>
      <c r="M38" s="13"/>
      <c r="N38" s="13"/>
      <c r="O38" s="5"/>
      <c r="Q38" s="5"/>
      <c r="R38" s="5"/>
      <c r="S38" s="26"/>
      <c r="T38" s="26"/>
      <c r="U38" s="26"/>
      <c r="V38" s="26"/>
      <c r="W38" s="26"/>
      <c r="X38" s="26"/>
    </row>
    <row r="39" spans="2:24">
      <c r="B39" s="5" t="s">
        <v>159</v>
      </c>
      <c r="C39" s="207"/>
      <c r="D39" s="430">
        <f t="shared" si="2"/>
        <v>8.2568976610310063</v>
      </c>
      <c r="E39" s="430">
        <f t="shared" si="2"/>
        <v>6.9138283439202475</v>
      </c>
      <c r="F39" s="430">
        <f t="shared" si="2"/>
        <v>6.1432211493025433</v>
      </c>
      <c r="G39" s="430">
        <f t="shared" si="2"/>
        <v>5.3190732642203526</v>
      </c>
      <c r="H39" s="13">
        <f t="shared" si="3"/>
        <v>7.4245294052326605E-2</v>
      </c>
      <c r="I39" s="5"/>
      <c r="J39" s="5"/>
      <c r="K39" s="5"/>
      <c r="L39" s="5"/>
      <c r="M39" s="5"/>
      <c r="N39" s="5"/>
      <c r="O39" s="5"/>
      <c r="Q39" s="5"/>
      <c r="R39" s="5"/>
      <c r="S39" s="26"/>
      <c r="T39" s="26"/>
      <c r="U39" s="26"/>
      <c r="V39" s="26"/>
      <c r="W39" s="242"/>
      <c r="X39" s="242"/>
    </row>
    <row r="40" spans="2:24">
      <c r="B40" s="5" t="s">
        <v>381</v>
      </c>
      <c r="C40" s="207"/>
      <c r="D40" s="430">
        <f t="shared" si="2"/>
        <v>11.912771419276883</v>
      </c>
      <c r="E40" s="430">
        <f t="shared" si="2"/>
        <v>9.9869081777888358</v>
      </c>
      <c r="F40" s="430">
        <f t="shared" si="2"/>
        <v>8.8795669220474664</v>
      </c>
      <c r="G40" s="430">
        <f t="shared" si="2"/>
        <v>7.6886868723633572</v>
      </c>
      <c r="H40" s="13">
        <f t="shared" si="3"/>
        <v>7.3569162293801948E-2</v>
      </c>
      <c r="I40" s="207"/>
      <c r="J40" s="217"/>
      <c r="K40" s="217"/>
      <c r="L40" s="217"/>
      <c r="M40" s="217"/>
      <c r="N40" s="217"/>
      <c r="O40" s="14"/>
      <c r="Q40" s="5"/>
      <c r="R40" s="5"/>
      <c r="S40" s="26"/>
      <c r="T40" s="26"/>
      <c r="U40" s="26"/>
      <c r="V40" s="26"/>
      <c r="W40" s="242"/>
      <c r="X40" s="242"/>
    </row>
    <row r="41" spans="2:24">
      <c r="B41" s="5" t="s">
        <v>434</v>
      </c>
      <c r="C41" s="207"/>
      <c r="D41" s="430">
        <f t="shared" si="2"/>
        <v>1.7110129993930618</v>
      </c>
      <c r="E41" s="430">
        <f t="shared" si="2"/>
        <v>1.574342116816748</v>
      </c>
      <c r="F41" s="430">
        <f t="shared" si="2"/>
        <v>1.4871237938434103</v>
      </c>
      <c r="G41" s="430">
        <f t="shared" si="2"/>
        <v>1.3881510620661361</v>
      </c>
      <c r="H41" s="13">
        <f t="shared" si="3"/>
        <v>-5.2468040419312301E-3</v>
      </c>
      <c r="I41" s="208"/>
      <c r="J41" s="13"/>
      <c r="K41" s="13"/>
      <c r="L41" s="13"/>
      <c r="M41" s="13"/>
      <c r="N41" s="13"/>
      <c r="O41" s="5"/>
      <c r="Q41" s="5"/>
      <c r="R41" s="5"/>
      <c r="S41" s="26"/>
      <c r="T41" s="26"/>
      <c r="U41" s="26"/>
      <c r="V41" s="26"/>
      <c r="W41" s="242"/>
      <c r="X41" s="242"/>
    </row>
    <row r="42" spans="2:24">
      <c r="B42" s="5" t="s">
        <v>493</v>
      </c>
      <c r="C42" s="207"/>
      <c r="D42" s="430">
        <f>D18/D28</f>
        <v>3.2920352052567234</v>
      </c>
      <c r="E42" s="430">
        <f>E18/E28</f>
        <v>3.1595066804938936</v>
      </c>
      <c r="F42" s="430">
        <f>F18/F28</f>
        <v>3.1647101234465342</v>
      </c>
      <c r="G42" s="430">
        <f>G18/G28</f>
        <v>3.1722568874000778</v>
      </c>
      <c r="H42" s="13">
        <f t="shared" si="3"/>
        <v>-6.0690912550466325E-2</v>
      </c>
      <c r="I42" s="207"/>
      <c r="J42" s="5"/>
      <c r="K42" s="5"/>
      <c r="L42" s="5"/>
      <c r="M42" s="5"/>
      <c r="N42" s="5"/>
      <c r="O42" s="5"/>
      <c r="Q42" s="5"/>
      <c r="R42" s="5"/>
      <c r="S42" s="26"/>
      <c r="T42" s="26"/>
      <c r="U42" s="26"/>
      <c r="V42" s="26"/>
      <c r="W42" s="242"/>
      <c r="X42" s="242"/>
    </row>
    <row r="43" spans="2:24">
      <c r="B43" s="5" t="s">
        <v>390</v>
      </c>
      <c r="C43" s="207"/>
      <c r="D43" s="430">
        <f>L26/D29</f>
        <v>11.828750233158917</v>
      </c>
      <c r="E43" s="430">
        <f>M26/E29</f>
        <v>10.086714598831263</v>
      </c>
      <c r="F43" s="430">
        <f>N26/F29</f>
        <v>9.2193743349297748</v>
      </c>
      <c r="G43" s="430">
        <f>O26/G29</f>
        <v>8.197154350030786</v>
      </c>
      <c r="H43" s="13">
        <f t="shared" si="3"/>
        <v>0.10462959461893884</v>
      </c>
      <c r="I43" s="207"/>
      <c r="J43" s="207"/>
      <c r="K43" s="207"/>
      <c r="L43" s="207"/>
      <c r="M43" s="207"/>
      <c r="N43" s="207"/>
      <c r="O43" s="14"/>
      <c r="Q43" s="5"/>
      <c r="R43" s="5"/>
      <c r="S43" s="26"/>
      <c r="T43" s="26"/>
      <c r="U43" s="26"/>
      <c r="V43" s="26"/>
      <c r="W43" s="255"/>
      <c r="X43" s="255"/>
    </row>
    <row r="44" spans="2:24">
      <c r="B44" s="5" t="s">
        <v>437</v>
      </c>
      <c r="C44" s="53"/>
      <c r="D44" s="430">
        <f>D11/D30</f>
        <v>15.9969121813232</v>
      </c>
      <c r="E44" s="430">
        <f>E11/E30</f>
        <v>12.209673122372518</v>
      </c>
      <c r="F44" s="430">
        <f>F11/F30</f>
        <v>10.611708481730632</v>
      </c>
      <c r="G44" s="430">
        <f>G11/G30</f>
        <v>9.5617096909572847</v>
      </c>
      <c r="H44" s="13">
        <f t="shared" si="3"/>
        <v>0.16071026751292017</v>
      </c>
      <c r="I44" s="208"/>
      <c r="J44" s="208"/>
      <c r="K44" s="208"/>
      <c r="L44" s="208"/>
      <c r="M44" s="208"/>
      <c r="N44" s="208"/>
      <c r="O44" s="208"/>
      <c r="Q44" s="5"/>
      <c r="R44" s="5"/>
      <c r="S44" s="26"/>
      <c r="T44" s="26"/>
      <c r="U44" s="26"/>
      <c r="V44" s="26"/>
      <c r="W44" s="26"/>
      <c r="X44" s="26"/>
    </row>
    <row r="45" spans="2:24">
      <c r="B45" s="5" t="s">
        <v>481</v>
      </c>
      <c r="C45" s="207"/>
      <c r="D45" s="208">
        <f>D31/D11</f>
        <v>2.6105092451879509E-2</v>
      </c>
      <c r="E45" s="208">
        <f>E31/E11</f>
        <v>3.695743730937464E-2</v>
      </c>
      <c r="F45" s="208">
        <f>F31/F11</f>
        <v>4.2382298151586693E-2</v>
      </c>
      <c r="G45" s="208">
        <f>G31/G11</f>
        <v>4.7703950361606302E-2</v>
      </c>
      <c r="H45" s="13">
        <f t="shared" si="3"/>
        <v>0.19536350766533772</v>
      </c>
      <c r="I45" s="207"/>
      <c r="J45" s="207"/>
      <c r="K45" s="207"/>
      <c r="L45" s="207"/>
      <c r="M45" s="207"/>
      <c r="N45" s="207"/>
      <c r="O45" s="208"/>
      <c r="Q45" s="5"/>
      <c r="R45" s="5"/>
      <c r="S45" s="26"/>
      <c r="T45" s="26"/>
      <c r="U45" s="26"/>
      <c r="V45" s="26"/>
      <c r="W45" s="26"/>
      <c r="X45" s="26"/>
    </row>
    <row r="46" spans="2:24">
      <c r="B46" s="5" t="s">
        <v>505</v>
      </c>
      <c r="C46" s="207"/>
      <c r="D46" s="208">
        <f>(D31+D32)/D11</f>
        <v>3.5182997947251902E-2</v>
      </c>
      <c r="E46" s="208">
        <f>(E31+E32)/E11</f>
        <v>5.3058049652406042E-2</v>
      </c>
      <c r="F46" s="208">
        <f>(F31+F32)/F11</f>
        <v>5.9454627023393818E-2</v>
      </c>
      <c r="G46" s="208">
        <f>(G31+G32)/G11</f>
        <v>6.6224057174592149E-2</v>
      </c>
      <c r="H46" s="233">
        <f>((G31+G32)/(D31+D32))^(1/3)-1</f>
        <v>0.20721494761880854</v>
      </c>
      <c r="I46" s="13"/>
      <c r="J46" s="207"/>
      <c r="K46" s="207"/>
      <c r="L46" s="207"/>
      <c r="M46" s="207"/>
      <c r="N46" s="207"/>
      <c r="O46" s="14"/>
      <c r="Q46" s="5"/>
      <c r="R46" s="5"/>
      <c r="S46" s="26"/>
      <c r="T46" s="26"/>
      <c r="U46" s="26"/>
      <c r="V46" s="26"/>
      <c r="W46" s="26"/>
      <c r="X46" s="26"/>
    </row>
    <row r="47" spans="2:24">
      <c r="B47" s="5" t="s">
        <v>482</v>
      </c>
      <c r="C47" s="5"/>
      <c r="D47" s="208">
        <f>1/D43</f>
        <v>8.4539784870657955E-2</v>
      </c>
      <c r="E47" s="208">
        <f>1/E43</f>
        <v>9.914030878953084E-2</v>
      </c>
      <c r="F47" s="208">
        <f>1/F43</f>
        <v>0.10846723038582608</v>
      </c>
      <c r="G47" s="208">
        <f>1/G43</f>
        <v>0.12199355499463595</v>
      </c>
      <c r="H47" s="13">
        <f>H29</f>
        <v>0.10462959461893884</v>
      </c>
      <c r="I47" s="207"/>
      <c r="J47" s="208"/>
      <c r="K47" s="208"/>
      <c r="L47" s="208"/>
      <c r="M47" s="208"/>
      <c r="N47" s="208"/>
      <c r="O47" s="208"/>
      <c r="Q47" s="5"/>
      <c r="R47" s="5"/>
      <c r="S47" s="5"/>
      <c r="T47" s="5"/>
      <c r="U47" s="5"/>
    </row>
    <row r="48" spans="2:24">
      <c r="B48" s="5" t="s">
        <v>518</v>
      </c>
      <c r="C48" s="5"/>
      <c r="D48" s="248">
        <f>D31/D29</f>
        <v>0.31180804383016342</v>
      </c>
      <c r="E48" s="248">
        <f>E31/E29</f>
        <v>0.37650511421699084</v>
      </c>
      <c r="F48" s="248">
        <f>F31/F29</f>
        <v>0.39473276117407413</v>
      </c>
      <c r="G48" s="248">
        <f>G31/G29</f>
        <v>0.39512751374163507</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02">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1333</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27</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CELLULAR'!D37</f>
        <v>2.239709172657927</v>
      </c>
      <c r="M9" s="48">
        <f>'EM CELLULAR'!E37</f>
        <v>1.9919837105195604</v>
      </c>
      <c r="N9" s="48">
        <f>'EM CELLULAR'!F37</f>
        <v>1.7860822104646199</v>
      </c>
      <c r="O9" s="48">
        <f>'EM CELLULAR'!G37</f>
        <v>1.5549525143191023</v>
      </c>
      <c r="P9" s="13">
        <f>'EM CELLULAR'!H37</f>
        <v>5.3451961576052032E-2</v>
      </c>
    </row>
    <row r="10" spans="2:63">
      <c r="B10" s="5" t="s">
        <v>226</v>
      </c>
      <c r="C10" s="5"/>
      <c r="D10" s="258"/>
      <c r="E10" s="258"/>
      <c r="F10" s="258"/>
      <c r="G10" s="258"/>
      <c r="H10" s="207"/>
      <c r="I10" s="207"/>
      <c r="J10" s="5" t="s">
        <v>158</v>
      </c>
      <c r="L10" s="48">
        <f>'EM CELLULAR'!D38</f>
        <v>6.1220764616233714</v>
      </c>
      <c r="M10" s="48">
        <f>'EM CELLULAR'!E38</f>
        <v>5.3795042390333068</v>
      </c>
      <c r="N10" s="48">
        <f>'EM CELLULAR'!F38</f>
        <v>4.6552437207240072</v>
      </c>
      <c r="O10" s="48">
        <f>'EM CELLULAR'!G38</f>
        <v>3.9836210001066563</v>
      </c>
      <c r="P10" s="13">
        <f>'EM CELLULAR'!H38</f>
        <v>7.6457320810068063E-2</v>
      </c>
    </row>
    <row r="11" spans="2:63">
      <c r="B11" s="25" t="s">
        <v>290</v>
      </c>
      <c r="C11" s="5"/>
      <c r="D11" s="225">
        <f>MILLI!D11+(TIMP!D11/Prices!$C$140)+(ENTEL!D11/Prices!$C$145) + MEGA!D11/Prices!$C$160 + LiLAC!D11</f>
        <v>26255.990380988111</v>
      </c>
      <c r="E11" s="225">
        <f>MILLI!E11+(TIMP!E11/Prices!$C$140)+(ENTEL!E11/Prices!$C$145) + MEGA!E11/Prices!$C$160 + LiLAC!E11</f>
        <v>25793.55404362081</v>
      </c>
      <c r="F11" s="225">
        <f>MILLI!F11+(TIMP!F11/Prices!$C$140)+(ENTEL!F11/Prices!$C$145) + MEGA!F11/Prices!$C$160 + LiLAC!F11</f>
        <v>25331.11770625351</v>
      </c>
      <c r="G11" s="225">
        <f>MILLI!G11+(TIMP!G11/Prices!$C$140)+(ENTEL!G11/Prices!$C$145) + MEGA!G11/Prices!$C$160 + LiLAC!G11</f>
        <v>24868.681368886209</v>
      </c>
      <c r="H11" s="209"/>
      <c r="I11" s="209"/>
      <c r="J11" s="5" t="s">
        <v>159</v>
      </c>
      <c r="L11" s="48">
        <f>'EM CELLULAR'!D39</f>
        <v>10.433086026607876</v>
      </c>
      <c r="M11" s="48">
        <f>'EM CELLULAR'!E39</f>
        <v>8.8988378278018754</v>
      </c>
      <c r="N11" s="48">
        <f>'EM CELLULAR'!F39</f>
        <v>7.3589044668838444</v>
      </c>
      <c r="O11" s="48">
        <f>'EM CELLULAR'!G39</f>
        <v>6.1226973075467326</v>
      </c>
      <c r="P11" s="13">
        <f>'EM CELLULAR'!H39</f>
        <v>0.11415745332884453</v>
      </c>
    </row>
    <row r="12" spans="2:63">
      <c r="B12" s="5" t="s">
        <v>191</v>
      </c>
      <c r="C12" s="209"/>
      <c r="D12" s="188">
        <f>MILLI!D12+(TIMP!D12/Prices!$C$140)+(ENTEL!D12/Prices!$C$145) + MEGA!D12/Prices!$C$160 + LiLAC!D12</f>
        <v>19186.399181381472</v>
      </c>
      <c r="E12" s="188">
        <f>MILLI!E12+(TIMP!E12/Prices!$C$140)+(ENTEL!E12/Prices!$C$145) + MEGA!E12/Prices!$C$160 + LiLAC!E12</f>
        <v>20532.281086612937</v>
      </c>
      <c r="F12" s="188">
        <f>MILLI!F12+(TIMP!F12/Prices!$C$140)+(ENTEL!F12/Prices!$C$145) + MEGA!F12/Prices!$C$160 + LiLAC!F12</f>
        <v>20158.800345295636</v>
      </c>
      <c r="G12" s="188">
        <f>MILLI!G12+(TIMP!G12/Prices!$C$140)+(ENTEL!G12/Prices!$C$145) + MEGA!G12/Prices!$C$160 + LiLAC!G12</f>
        <v>19440.831676460959</v>
      </c>
      <c r="H12" s="207"/>
      <c r="I12" s="207"/>
      <c r="J12" s="5" t="s">
        <v>381</v>
      </c>
      <c r="L12" s="48">
        <f>'EM CELLULAR'!D40</f>
        <v>13.552484405676964</v>
      </c>
      <c r="M12" s="48">
        <f>'EM CELLULAR'!E40</f>
        <v>11.645452796226719</v>
      </c>
      <c r="N12" s="48">
        <f>'EM CELLULAR'!F40</f>
        <v>9.6817606816492958</v>
      </c>
      <c r="O12" s="48">
        <f>'EM CELLULAR'!G40</f>
        <v>8.0595976726627114</v>
      </c>
      <c r="P12" s="13">
        <f>'EM CELLULAR'!H40</f>
        <v>0.10923889124747621</v>
      </c>
    </row>
    <row r="13" spans="2:63">
      <c r="B13" s="5" t="s">
        <v>433</v>
      </c>
      <c r="C13" s="216"/>
      <c r="D13" s="188">
        <f>MILLI!D13+(TIMP!D13/Prices!$C$140)+(ENTEL!D13/Prices!$C$145) + MEGA!D13/Prices!$C$160 + LiLAC!D13</f>
        <v>2411.9055010957545</v>
      </c>
      <c r="E13" s="188">
        <f>MILLI!E13+(TIMP!E13/Prices!$C$140)+(ENTEL!E13/Prices!$C$145) + MEGA!E13/Prices!$C$160 + LiLAC!E13</f>
        <v>2411.9055010957545</v>
      </c>
      <c r="F13" s="188">
        <f>MILLI!F13+(TIMP!F13/Prices!$C$140)+(ENTEL!F13/Prices!$C$145) + MEGA!F13/Prices!$C$160 + LiLAC!F13</f>
        <v>2411.9055010957545</v>
      </c>
      <c r="G13" s="188">
        <f>MILLI!G13+(TIMP!G13/Prices!$C$140)+(ENTEL!G13/Prices!$C$145) + MEGA!G13/Prices!$C$160 + LiLAC!G13</f>
        <v>2411.9055010957545</v>
      </c>
      <c r="H13" s="207"/>
      <c r="I13" s="207"/>
      <c r="J13" s="5" t="s">
        <v>434</v>
      </c>
      <c r="L13" s="48">
        <f>'EM CELLULAR'!D41</f>
        <v>1.7316281819454988</v>
      </c>
      <c r="M13" s="48">
        <f>'EM CELLULAR'!E41</f>
        <v>1.6274347173545567</v>
      </c>
      <c r="N13" s="48">
        <f>'EM CELLULAR'!F41</f>
        <v>1.5075313204539067</v>
      </c>
      <c r="O13" s="48">
        <f>'EM CELLULAR'!G41</f>
        <v>1.3807838715614738</v>
      </c>
      <c r="P13" s="13">
        <f>'EM CELLULAR'!H41</f>
        <v>5.92642475520333E-3</v>
      </c>
    </row>
    <row r="14" spans="2:63">
      <c r="B14" s="5" t="s">
        <v>436</v>
      </c>
      <c r="C14" s="228"/>
      <c r="D14" s="188">
        <f>MILLI!D14+(TIMP!D14/Prices!$C$140)+(ENTEL!D14/Prices!$C$145) + MEGA!D14/Prices!$C$160 + LiLAC!D14</f>
        <v>2785.706251990865</v>
      </c>
      <c r="E14" s="188">
        <f>MILLI!E14+(TIMP!E14/Prices!$C$140)+(ENTEL!E14/Prices!$C$145) + MEGA!E14/Prices!$C$160 + LiLAC!E14</f>
        <v>2785.706251990865</v>
      </c>
      <c r="F14" s="188">
        <f>MILLI!F14+(TIMP!F14/Prices!$C$140)+(ENTEL!F14/Prices!$C$145) + MEGA!F14/Prices!$C$160 + LiLAC!F14</f>
        <v>2785.706251990865</v>
      </c>
      <c r="G14" s="188">
        <f>MILLI!G14+(TIMP!G14/Prices!$C$140)+(ENTEL!G14/Prices!$C$145) + MEGA!G14/Prices!$C$160 + LiLAC!G14</f>
        <v>2785.706251990865</v>
      </c>
      <c r="H14" s="207"/>
      <c r="I14" s="207"/>
      <c r="J14" s="5" t="s">
        <v>493</v>
      </c>
      <c r="L14" s="48">
        <f>'EM CELLULAR'!D42</f>
        <v>2.8476078348824898</v>
      </c>
      <c r="M14" s="48">
        <f>'EM CELLULAR'!E42</f>
        <v>2.7389386672761598</v>
      </c>
      <c r="N14" s="48">
        <f>'EM CELLULAR'!F42</f>
        <v>2.6614191649071781</v>
      </c>
      <c r="O14" s="48">
        <f>'EM CELLULAR'!G42</f>
        <v>2.498938826921691</v>
      </c>
      <c r="P14" s="13">
        <f>'EM CELLULAR'!H42</f>
        <v>-2.5687917394514592E-2</v>
      </c>
    </row>
    <row r="15" spans="2:63">
      <c r="B15" s="5" t="s">
        <v>435</v>
      </c>
      <c r="C15" s="216"/>
      <c r="D15" s="188">
        <f>MILLI!D15+(TIMP!D15/Prices!$C$140)+(ENTEL!D15/Prices!$C$145) + MEGA!D15/Prices!$C$160 + LiLAC!D15</f>
        <v>1851.7472717300141</v>
      </c>
      <c r="E15" s="188">
        <f>MILLI!E15+(TIMP!E15/Prices!$C$140)+(ENTEL!E15/Prices!$C$145) + MEGA!E15/Prices!$C$160 + LiLAC!E15</f>
        <v>1851.7472717300141</v>
      </c>
      <c r="F15" s="188">
        <f>MILLI!F15+(TIMP!F15/Prices!$C$140)+(ENTEL!F15/Prices!$C$145) + MEGA!F15/Prices!$C$160 + LiLAC!F15</f>
        <v>1851.7472717300141</v>
      </c>
      <c r="G15" s="188">
        <f>MILLI!G15+(TIMP!G15/Prices!$C$140)+(ENTEL!G15/Prices!$C$145) + MEGA!G15/Prices!$C$160 + LiLAC!G15</f>
        <v>1851.7472717300141</v>
      </c>
      <c r="H15" s="207"/>
      <c r="I15" s="207"/>
      <c r="J15" s="5" t="s">
        <v>390</v>
      </c>
      <c r="L15" s="48">
        <f>'EM CELLULAR'!D43</f>
        <v>18.381101039950888</v>
      </c>
      <c r="M15" s="48">
        <f>'EM CELLULAR'!E43</f>
        <v>15.028892583111164</v>
      </c>
      <c r="N15" s="48">
        <f>'EM CELLULAR'!F43</f>
        <v>13.137557719627742</v>
      </c>
      <c r="O15" s="48">
        <f>'EM CELLULAR'!G43</f>
        <v>11.750300540337538</v>
      </c>
      <c r="P15" s="13">
        <f>'EM CELLULAR'!H43</f>
        <v>0.15850771455356516</v>
      </c>
    </row>
    <row r="16" spans="2:63">
      <c r="B16" s="5" t="s">
        <v>438</v>
      </c>
      <c r="C16" s="216"/>
      <c r="D16" s="188">
        <f>MILLI!D16+(TIMP!D16/Prices!$C$140)+(ENTEL!D16/Prices!$C$145) + MEGA!D16/Prices!$C$160 + LiLAC!D16</f>
        <v>0</v>
      </c>
      <c r="E16" s="188">
        <f>MILLI!E16+(TIMP!E16/Prices!$C$140)+(ENTEL!E16/Prices!$C$145) + MEGA!E16/Prices!$C$160 + LiLAC!E16</f>
        <v>1875.6137054679482</v>
      </c>
      <c r="F16" s="188">
        <f>MILLI!F16+(TIMP!F16/Prices!$C$140)+(ENTEL!F16/Prices!$C$145) + MEGA!F16/Prices!$C$160 + LiLAC!F16</f>
        <v>3782.7912952336342</v>
      </c>
      <c r="G16" s="188">
        <f>MILLI!G16+(TIMP!G16/Prices!$C$140)+(ENTEL!G16/Prices!$C$145) + MEGA!G16/Prices!$C$160 + LiLAC!G16</f>
        <v>5792.92645860213</v>
      </c>
      <c r="H16" s="207"/>
      <c r="I16" s="207"/>
      <c r="J16" s="5" t="s">
        <v>437</v>
      </c>
      <c r="L16" s="48">
        <f>'EM CELLULAR'!D44</f>
        <v>16.43937684695549</v>
      </c>
      <c r="M16" s="48">
        <f>'EM CELLULAR'!E44</f>
        <v>14.058003846915186</v>
      </c>
      <c r="N16" s="48">
        <f>'EM CELLULAR'!F44</f>
        <v>12.117032841381851</v>
      </c>
      <c r="O16" s="48">
        <f>'EM CELLULAR'!G44</f>
        <v>10.664032838564383</v>
      </c>
      <c r="P16" s="13">
        <f>'EM CELLULAR'!H44</f>
        <v>0.1529577493733687</v>
      </c>
    </row>
    <row r="17" spans="2:24">
      <c r="B17" s="5" t="s">
        <v>4</v>
      </c>
      <c r="C17" s="216"/>
      <c r="D17" s="188">
        <f>MILLI!D17+(TIMP!D17/Prices!$C$140)+(ENTEL!D17/Prices!$C$145) + MEGA!D17/Prices!$C$160 + LiLAC!D17</f>
        <v>196.06774196589191</v>
      </c>
      <c r="E17" s="188">
        <f>MILLI!E17+(TIMP!E17/Prices!$C$140)+(ENTEL!E17/Prices!$C$145) + MEGA!E17/Prices!$C$160 + LiLAC!E17</f>
        <v>196.06774196589191</v>
      </c>
      <c r="F17" s="188">
        <f>MILLI!F17+(TIMP!F17/Prices!$C$140)+(ENTEL!F17/Prices!$C$145) + MEGA!F17/Prices!$C$160 + LiLAC!F17</f>
        <v>196.06774196589191</v>
      </c>
      <c r="G17" s="188">
        <f>MILLI!G17+(TIMP!G17/Prices!$C$140)+(ENTEL!G17/Prices!$C$145) + MEGA!G17/Prices!$C$160 + LiLAC!G17</f>
        <v>196.06774196589191</v>
      </c>
      <c r="H17" s="207"/>
      <c r="I17" s="207"/>
      <c r="J17" s="5" t="s">
        <v>481</v>
      </c>
      <c r="L17" s="208">
        <f>'EM CELLULAR'!D45</f>
        <v>4.4773753286733282E-2</v>
      </c>
      <c r="M17" s="208">
        <f>'EM CELLULAR'!E45</f>
        <v>5.1270510042755547E-2</v>
      </c>
      <c r="N17" s="208">
        <f>'EM CELLULAR'!F45</f>
        <v>5.7757402808661602E-2</v>
      </c>
      <c r="O17" s="208">
        <f>'EM CELLULAR'!G45</f>
        <v>6.4371917923240166E-2</v>
      </c>
      <c r="P17" s="13">
        <f>'EM CELLULAR'!H45</f>
        <v>0.12646166295875116</v>
      </c>
      <c r="S17" s="72"/>
      <c r="T17" s="72"/>
      <c r="U17" s="72"/>
      <c r="V17" s="26"/>
      <c r="W17" s="26"/>
      <c r="X17" s="26"/>
    </row>
    <row r="18" spans="2:24" ht="12.6" thickBot="1">
      <c r="B18" s="25" t="s">
        <v>291</v>
      </c>
      <c r="C18" s="209"/>
      <c r="D18" s="229">
        <f>MILLI!D18+(TIMP!D18/Prices!$C$140)+(ENTEL!D18/Prices!$C$145) + MEGA!D18/Prices!$C$160 + LiLAC!D18</f>
        <v>50232.828547079669</v>
      </c>
      <c r="E18" s="229">
        <f>MILLI!E18+(TIMP!E18/Prices!$C$140)+(ENTEL!E18/Prices!$C$145) + MEGA!E18/Prices!$C$160 + LiLAC!E18</f>
        <v>49240.660409475888</v>
      </c>
      <c r="F18" s="229">
        <f>MILLI!F18+(TIMP!F18/Prices!$C$140)+(ENTEL!F18/Prices!$C$145) + MEGA!F18/Prices!$C$160 + LiLAC!F18</f>
        <v>46497.565741025603</v>
      </c>
      <c r="G18" s="229">
        <f>MILLI!G18+(TIMP!G18/Prices!$C$140)+(ENTEL!G18/Prices!$C$145) + MEGA!G18/Prices!$C$160 + LiLAC!G18</f>
        <v>43307.025571455124</v>
      </c>
      <c r="H18" s="230">
        <f>IF(D18=0,"nm",IF(G18=0,"nm",(G18/D18)^(1/3)-1))</f>
        <v>-4.8248490426733626E-2</v>
      </c>
      <c r="I18" s="214"/>
      <c r="J18" s="5" t="s">
        <v>33</v>
      </c>
      <c r="L18" s="208">
        <f>'EM CELLULAR'!D46</f>
        <v>4.4631599349891395E-2</v>
      </c>
      <c r="M18" s="208">
        <f>'EM CELLULAR'!E46</f>
        <v>4.0585362540698167E-2</v>
      </c>
      <c r="N18" s="208">
        <f>'EM CELLULAR'!F46</f>
        <v>5.9791635569141438E-2</v>
      </c>
      <c r="O18" s="208">
        <f>'EM CELLULAR'!G46</f>
        <v>6.4959566810449218E-2</v>
      </c>
      <c r="P18" s="13">
        <f>'EM CELLULAR'!H46</f>
        <v>0.13107739688292019</v>
      </c>
      <c r="S18" s="72"/>
      <c r="T18" s="26"/>
      <c r="U18" s="26"/>
      <c r="V18" s="26"/>
      <c r="W18" s="26"/>
      <c r="X18" s="26"/>
    </row>
    <row r="19" spans="2:24" ht="12.6" thickTop="1">
      <c r="B19" s="25"/>
      <c r="C19" s="209"/>
      <c r="D19" s="189"/>
      <c r="E19" s="189"/>
      <c r="F19" s="189"/>
      <c r="G19" s="189"/>
      <c r="H19" s="230"/>
      <c r="I19" s="13"/>
      <c r="J19" s="5" t="s">
        <v>482</v>
      </c>
      <c r="L19" s="208">
        <f>'EM CELLULAR'!D47</f>
        <v>5.4403705078739498E-2</v>
      </c>
      <c r="M19" s="208">
        <f>'EM CELLULAR'!E47</f>
        <v>6.6538502053288873E-2</v>
      </c>
      <c r="N19" s="208">
        <f>'EM CELLULAR'!F47</f>
        <v>7.6117648450440861E-2</v>
      </c>
      <c r="O19" s="208">
        <f>'EM CELLULAR'!G47</f>
        <v>8.5104206191757042E-2</v>
      </c>
      <c r="P19" s="13">
        <f>'EM CELLULAR'!H47</f>
        <v>0.15850771455356516</v>
      </c>
      <c r="S19" s="72"/>
      <c r="T19" s="26"/>
      <c r="U19" s="26"/>
      <c r="V19" s="26"/>
      <c r="W19" s="26"/>
      <c r="X19" s="26"/>
    </row>
    <row r="20" spans="2:24">
      <c r="H20" s="231"/>
      <c r="I20" s="33"/>
      <c r="J20" s="5" t="s">
        <v>504</v>
      </c>
      <c r="L20" s="208">
        <f>'EM CELLULAR'!D48</f>
        <v>0.82969409531968419</v>
      </c>
      <c r="M20" s="208">
        <f>'EM CELLULAR'!E48</f>
        <v>0.77670729011082085</v>
      </c>
      <c r="N20" s="208">
        <f>'EM CELLULAR'!F48</f>
        <v>0.76519916663593923</v>
      </c>
      <c r="O20" s="208">
        <f>'EM CELLULAR'!G48</f>
        <v>0.76272934690556904</v>
      </c>
      <c r="P20" s="13" t="str">
        <f>'EM CELLULAR'!H48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MILLI!C23+(TIMP!C23/Prices!$C$140)+(ENTEL!C23/Prices!$C$145)+MEGA!C23/Prices!$C$160+LiLAC!C23</f>
        <v>20283.109194529185</v>
      </c>
      <c r="D23" s="188">
        <f>MILLI!D23+(TIMP!D23/Prices!$C$140)+(ENTEL!D23/Prices!$C$145)+MEGA!D23/Prices!$C$160+LiLAC!D23</f>
        <v>20826.413766764999</v>
      </c>
      <c r="E23" s="188">
        <f>MILLI!E23+(TIMP!E23/Prices!$C$140)+(ENTEL!E23/Prices!$C$145)+MEGA!E23/Prices!$C$160+LiLAC!E23</f>
        <v>23276.249102427781</v>
      </c>
      <c r="F23" s="188">
        <f>MILLI!F23+(TIMP!F23/Prices!$C$140)+(ENTEL!F23/Prices!$C$145)+MEGA!F23/Prices!$C$160+LiLAC!F23</f>
        <v>24339.727977299855</v>
      </c>
      <c r="G23" s="188">
        <f>MILLI!G23+(TIMP!G23/Prices!$C$140)+(ENTEL!G23/Prices!$C$145)+MEGA!G23/Prices!$C$160+LiLAC!G23</f>
        <v>25117.030087208845</v>
      </c>
      <c r="H23" s="233">
        <f t="shared" ref="H23:H33" si="0">IF(D23=0,"nm",IF(G23=0,"nm",(G23/D23)^(1/3)-1))</f>
        <v>6.4432021722839572E-2</v>
      </c>
      <c r="I23" s="209"/>
      <c r="J23" s="249" t="s">
        <v>7</v>
      </c>
      <c r="K23" s="249"/>
      <c r="L23" s="219" t="str">
        <f>L5</f>
        <v>2025E</v>
      </c>
      <c r="M23" s="219" t="str">
        <f>M5</f>
        <v>2026E</v>
      </c>
      <c r="N23" s="219" t="str">
        <f>N5</f>
        <v>2027E</v>
      </c>
      <c r="O23" s="219" t="str">
        <f>O5</f>
        <v>2028E</v>
      </c>
      <c r="P23" s="236" t="str">
        <f>P5</f>
        <v>2025-28</v>
      </c>
      <c r="S23" s="26"/>
      <c r="T23" s="26"/>
      <c r="U23" s="26"/>
      <c r="V23" s="26"/>
      <c r="W23" s="26" t="s">
        <v>144</v>
      </c>
      <c r="X23" s="26" t="s">
        <v>465</v>
      </c>
    </row>
    <row r="24" spans="2:24" ht="12.6" thickTop="1">
      <c r="B24" s="5" t="s">
        <v>397</v>
      </c>
      <c r="C24" s="288">
        <f>MILLI!C24+(TIMP!C24/Prices!$C$140)+(ENTEL!C24/Prices!$C$145)+MEGA!C24/Prices!$C$160+LiLAC!C24</f>
        <v>8083.0538996705473</v>
      </c>
      <c r="D24" s="188">
        <f>MILLI!D24+(TIMP!D24/Prices!$C$140)+(ENTEL!D24/Prices!$C$145)+MEGA!D24/Prices!$C$160+LiLAC!D24</f>
        <v>8584.9695007851224</v>
      </c>
      <c r="E24" s="188">
        <f>MILLI!E24+(TIMP!E24/Prices!$C$140)+(ENTEL!E24/Prices!$C$145)+MEGA!E24/Prices!$C$160+LiLAC!E24</f>
        <v>9465.2388357837935</v>
      </c>
      <c r="F24" s="188">
        <f>MILLI!F24+(TIMP!F24/Prices!$C$140)+(ENTEL!F24/Prices!$C$145)+MEGA!F24/Prices!$C$160+LiLAC!F24</f>
        <v>10133.052986720124</v>
      </c>
      <c r="G24" s="188">
        <f>MILLI!G24+(TIMP!G24/Prices!$C$140)+(ENTEL!G24/Prices!$C$145)+MEGA!G24/Prices!$C$160+LiLAC!G24</f>
        <v>10644.124410966753</v>
      </c>
      <c r="H24" s="233">
        <f t="shared" si="0"/>
        <v>7.4295430516063243E-2</v>
      </c>
      <c r="I24" s="208"/>
      <c r="J24" s="13"/>
      <c r="K24" s="13"/>
      <c r="L24" s="13"/>
      <c r="M24" s="13"/>
      <c r="N24" s="13"/>
      <c r="O24" s="208"/>
      <c r="S24" s="26"/>
      <c r="T24" s="26"/>
      <c r="U24" s="26"/>
      <c r="V24" s="113" t="s">
        <v>225</v>
      </c>
      <c r="W24" s="242">
        <f t="shared" ref="W24:W29" si="1">E37/M9</f>
        <v>1.0620014017646924</v>
      </c>
      <c r="X24" s="242">
        <v>1</v>
      </c>
    </row>
    <row r="25" spans="2:24">
      <c r="B25" s="5" t="s">
        <v>157</v>
      </c>
      <c r="C25" s="288">
        <f>MILLI!C25+(TIMP!C25/Prices!$C$140)+(ENTEL!C25/Prices!$C$145)+MEGA!C25/Prices!$C$160+LiLAC!C25</f>
        <v>4650.1028089117199</v>
      </c>
      <c r="D25" s="188">
        <f>MILLI!D25+(TIMP!D25/Prices!$C$140)+(ENTEL!D25/Prices!$C$145)+MEGA!D25/Prices!$C$160+LiLAC!D25</f>
        <v>5139.2245077099487</v>
      </c>
      <c r="E25" s="188">
        <f>MILLI!E25+(TIMP!E25/Prices!$C$140)+(ENTEL!E25/Prices!$C$145)+MEGA!E25/Prices!$C$160+LiLAC!E25</f>
        <v>5791.8739293063445</v>
      </c>
      <c r="F25" s="188">
        <f>MILLI!F25+(TIMP!F25/Prices!$C$140)+(ENTEL!F25/Prices!$C$145)+MEGA!F25/Prices!$C$160+LiLAC!F25</f>
        <v>6489.3085631694612</v>
      </c>
      <c r="G25" s="188">
        <f>MILLI!G25+(TIMP!G25/Prices!$C$140)+(ENTEL!G25/Prices!$C$145)+MEGA!G25/Prices!$C$160+LiLAC!G25</f>
        <v>7042.1071020248401</v>
      </c>
      <c r="H25" s="233">
        <f t="shared" si="0"/>
        <v>0.11071254875259684</v>
      </c>
      <c r="I25" s="209"/>
      <c r="J25" s="207" t="s">
        <v>8</v>
      </c>
      <c r="K25" s="207"/>
      <c r="L25" s="258">
        <f>MILLI!L25+(TIMP!L25/Prices!$C$140)+(ENTEL!L25/Prices!$C$145)</f>
        <v>228.56787752876636</v>
      </c>
      <c r="M25" s="258">
        <f>MILLI!M25+(TIMP!M25/Prices!$C$140)+(ENTEL!M25/Prices!$C$145)</f>
        <v>268.77272445617689</v>
      </c>
      <c r="N25" s="258">
        <f>MILLI!N25+(TIMP!N25/Prices!$C$140)+(ENTEL!N25/Prices!$C$145)</f>
        <v>0</v>
      </c>
      <c r="O25" s="258">
        <f>MILLI!O25+(TIMP!O25/Prices!$C$140)+(ENTEL!O25/Prices!$C$145)</f>
        <v>0</v>
      </c>
      <c r="P25" s="233" t="str">
        <f>IF(L25=0,"nm",IF(O25=0,"nm",(O25/L25)^(1/3)-1))</f>
        <v>nm</v>
      </c>
      <c r="Q25" s="5"/>
      <c r="S25" s="26"/>
      <c r="T25" s="26"/>
      <c r="U25" s="26"/>
      <c r="V25" s="113" t="s">
        <v>158</v>
      </c>
      <c r="W25" s="242">
        <f t="shared" si="1"/>
        <v>0.96705246875581974</v>
      </c>
      <c r="X25" s="242">
        <v>1</v>
      </c>
    </row>
    <row r="26" spans="2:24">
      <c r="B26" s="5" t="s">
        <v>487</v>
      </c>
      <c r="C26" s="288">
        <f>MILLI!C26+(TIMP!C26/Prices!$C$140)+(ENTEL!C26/Prices!$C$145)+MEGA!C26/Prices!$C$160+LiLAC!C26</f>
        <v>3371.6488461008184</v>
      </c>
      <c r="D26" s="188">
        <f>MILLI!D26+(TIMP!D26/Prices!$C$140)+(ENTEL!D26/Prices!$C$145)+MEGA!D26/Prices!$C$160+LiLAC!D26</f>
        <v>3880.8563531417849</v>
      </c>
      <c r="E26" s="188">
        <f>MILLI!E26+(TIMP!E26/Prices!$C$140)+(ENTEL!E26/Prices!$C$145)+MEGA!E26/Prices!$C$160+LiLAC!E26</f>
        <v>4372.2298064459128</v>
      </c>
      <c r="F26" s="188">
        <f>MILLI!F26+(TIMP!F26/Prices!$C$140)+(ENTEL!F26/Prices!$C$145)+MEGA!F26/Prices!$C$160+LiLAC!F26</f>
        <v>4720.1021334365032</v>
      </c>
      <c r="G26" s="188">
        <f>MILLI!G26+(TIMP!G26/Prices!$C$140)+(ENTEL!G26/Prices!$C$145)+MEGA!G26/Prices!$C$160+LiLAC!G26</f>
        <v>5122.1636473729686</v>
      </c>
      <c r="H26" s="233">
        <f t="shared" si="0"/>
        <v>9.692085592490618E-2</v>
      </c>
      <c r="I26" s="209"/>
      <c r="J26" s="209" t="s">
        <v>9</v>
      </c>
      <c r="K26" s="209"/>
      <c r="L26" s="235">
        <f>MILLI!L26+(TIMP!L26/Prices!$C$140)+(ENTEL!L26/Prices!$C$145)</f>
        <v>21856.456563327647</v>
      </c>
      <c r="M26" s="235">
        <f>MILLI!M26+(TIMP!M26/Prices!$C$140)+(ENTEL!M26/Prices!$C$145)</f>
        <v>21476.850072887755</v>
      </c>
      <c r="N26" s="235">
        <f>MILLI!N26+(TIMP!N26/Prices!$C$140)+(ENTEL!N26/Prices!$C$145)</f>
        <v>20788.266011064279</v>
      </c>
      <c r="O26" s="235">
        <f>MILLI!O26+(TIMP!O26/Prices!$C$140)+(ENTEL!O26/Prices!$C$145)</f>
        <v>20368.454673696979</v>
      </c>
      <c r="P26" s="233">
        <f>IF(L26=0,"nm",IF(O26=0,"nm",(O26/L26)^(1/3)-1))</f>
        <v>-2.3228958342007E-2</v>
      </c>
      <c r="Q26" s="25"/>
      <c r="S26" s="26"/>
      <c r="T26" s="26"/>
      <c r="U26" s="26"/>
      <c r="V26" s="113" t="s">
        <v>159</v>
      </c>
      <c r="W26" s="242">
        <f t="shared" si="1"/>
        <v>0.95536972933950604</v>
      </c>
      <c r="X26" s="242">
        <v>1</v>
      </c>
    </row>
    <row r="27" spans="2:24">
      <c r="B27" s="5" t="s">
        <v>488</v>
      </c>
      <c r="C27" s="288">
        <f>MILLI!C27+(TIMP!C27/Prices!$C$140)+(ENTEL!C27/Prices!$C$145)+MEGA!C27/Prices!$C$160+LiLAC!C27</f>
        <v>31210.495351571921</v>
      </c>
      <c r="D27" s="188">
        <f>MILLI!D27+(TIMP!D27/Prices!$C$140)+(ENTEL!D27/Prices!$C$145)+MEGA!D27/Prices!$C$160+LiLAC!D27</f>
        <v>31875.351303219839</v>
      </c>
      <c r="E27" s="188">
        <f>MILLI!E27+(TIMP!E27/Prices!$C$140)+(ENTEL!E27/Prices!$C$145)+MEGA!E27/Prices!$C$160+LiLAC!E27</f>
        <v>33084.503140852641</v>
      </c>
      <c r="F27" s="188">
        <f>MILLI!F27+(TIMP!F27/Prices!$C$140)+(ENTEL!F27/Prices!$C$145)+MEGA!F27/Prices!$C$160+LiLAC!F27</f>
        <v>32998.705129818256</v>
      </c>
      <c r="G27" s="188">
        <f>MILLI!G27+(TIMP!G27/Prices!$C$140)+(ENTEL!G27/Prices!$C$145)+MEGA!G27/Prices!$C$160+LiLAC!G27</f>
        <v>32772.866474954804</v>
      </c>
      <c r="H27" s="233">
        <f t="shared" si="0"/>
        <v>9.2989378591046279E-3</v>
      </c>
      <c r="I27" s="208"/>
      <c r="J27" s="208"/>
      <c r="K27" s="208"/>
      <c r="L27" s="208"/>
      <c r="M27" s="208"/>
      <c r="N27" s="208"/>
      <c r="O27" s="208"/>
      <c r="Q27" s="5"/>
      <c r="S27" s="26"/>
      <c r="T27" s="26"/>
      <c r="U27" s="26"/>
      <c r="V27" s="113" t="s">
        <v>381</v>
      </c>
      <c r="W27" s="242">
        <f t="shared" si="1"/>
        <v>0.96708469235652827</v>
      </c>
      <c r="X27" s="242">
        <v>1</v>
      </c>
    </row>
    <row r="28" spans="2:24" ht="12.6" thickBot="1">
      <c r="B28" s="5" t="s">
        <v>492</v>
      </c>
      <c r="C28" s="288">
        <f>MILLI!C28+(TIMP!C28/Prices!$C$140)+(ENTEL!C28/Prices!$C$145)+MEGA!C28/Prices!$C$160+LiLAC!C28</f>
        <v>25440.45753335024</v>
      </c>
      <c r="D28" s="188">
        <f>MILLI!D28+(TIMP!D28/Prices!$C$140)+(ENTEL!D28/Prices!$C$145)+MEGA!D28/Prices!$C$160+LiLAC!D28</f>
        <v>25111.75680603995</v>
      </c>
      <c r="E28" s="188">
        <f>MILLI!E28+(TIMP!E28/Prices!$C$140)+(ENTEL!E28/Prices!$C$145)+MEGA!E28/Prices!$C$160+LiLAC!E28</f>
        <v>26249.435316817588</v>
      </c>
      <c r="F28" s="188">
        <f>MILLI!F28+(TIMP!F28/Prices!$C$140)+(ENTEL!F28/Prices!$C$145)+MEGA!F28/Prices!$C$160+LiLAC!F28</f>
        <v>26248.413830156194</v>
      </c>
      <c r="G28" s="188">
        <f>MILLI!G28+(TIMP!G28/Prices!$C$140)+(ENTEL!G28/Prices!$C$145)+MEGA!G28/Prices!$C$160+LiLAC!G28</f>
        <v>26245.717953081228</v>
      </c>
      <c r="H28" s="233">
        <f t="shared" si="0"/>
        <v>1.4831144278901309E-2</v>
      </c>
      <c r="I28" s="212"/>
      <c r="J28" s="249" t="s">
        <v>628</v>
      </c>
      <c r="K28" s="249"/>
      <c r="L28" s="249"/>
      <c r="M28" s="249"/>
      <c r="N28" s="220"/>
      <c r="O28" s="220"/>
      <c r="P28" s="220"/>
      <c r="Q28" s="5"/>
      <c r="S28" s="26"/>
      <c r="T28" s="26"/>
      <c r="U28" s="26"/>
      <c r="V28" s="113" t="s">
        <v>434</v>
      </c>
      <c r="W28" s="242">
        <f t="shared" si="1"/>
        <v>0.91452519725782266</v>
      </c>
      <c r="X28" s="242">
        <v>1</v>
      </c>
    </row>
    <row r="29" spans="2:24" ht="12.6" thickTop="1">
      <c r="B29" s="5" t="s">
        <v>489</v>
      </c>
      <c r="C29" s="288">
        <f>MILLI!C29+(TIMP!C29/Prices!$C$140)+(ENTEL!C29/Prices!$C$145)+MEGA!C29/Prices!$C$160+LiLAC!C29</f>
        <v>1581.0662568179368</v>
      </c>
      <c r="D29" s="188">
        <f>MILLI!D29+(TIMP!D29/Prices!$C$140)+(ENTEL!D29/Prices!$C$145)+MEGA!D29/Prices!$C$160+LiLAC!D29</f>
        <v>1883.2987034496109</v>
      </c>
      <c r="E29" s="188">
        <f>MILLI!E29+(TIMP!E29/Prices!$C$140)+(ENTEL!E29/Prices!$C$145)+MEGA!E29/Prices!$C$160+LiLAC!E29</f>
        <v>2229.1058956196762</v>
      </c>
      <c r="F29" s="188">
        <f>MILLI!F29+(TIMP!F29/Prices!$C$140)+(ENTEL!F29/Prices!$C$145)+MEGA!F29/Prices!$C$160+LiLAC!F29</f>
        <v>2761.6981418192127</v>
      </c>
      <c r="G29" s="188">
        <f>MILLI!G29+(TIMP!G29/Prices!$C$140)+(ENTEL!G29/Prices!$C$145)+MEGA!G29/Prices!$C$160+LiLAC!G29</f>
        <v>3119.8667789533424</v>
      </c>
      <c r="H29" s="233">
        <f t="shared" si="0"/>
        <v>0.18323846876090721</v>
      </c>
      <c r="I29" s="214"/>
      <c r="J29" s="209"/>
      <c r="K29" s="209"/>
      <c r="L29" s="209"/>
      <c r="M29" s="209"/>
      <c r="N29" s="209"/>
      <c r="O29" s="211"/>
      <c r="Q29" s="5"/>
      <c r="S29" s="26"/>
      <c r="T29" s="26"/>
      <c r="U29" s="26"/>
      <c r="V29" s="113" t="s">
        <v>493</v>
      </c>
      <c r="W29" s="242">
        <f t="shared" si="1"/>
        <v>0.68489121644620488</v>
      </c>
      <c r="X29" s="242">
        <v>1</v>
      </c>
    </row>
    <row r="30" spans="2:24">
      <c r="B30" s="5" t="s">
        <v>490</v>
      </c>
      <c r="C30" s="288">
        <f>MILLI!C30+(TIMP!C30/Prices!$C$140)+(ENTEL!C30/Prices!$C$145)+MEGA!C30/Prices!$C$160+LiLAC!C30</f>
        <v>1518.9643759541584</v>
      </c>
      <c r="D30" s="188">
        <f>MILLI!D30+(TIMP!D30/Prices!$C$140)+(ENTEL!D30/Prices!$C$145)+MEGA!D30/Prices!$C$160+LiLAC!D30</f>
        <v>2085.8909838140239</v>
      </c>
      <c r="E30" s="188">
        <f>MILLI!E30+(TIMP!E30/Prices!$C$140)+(ENTEL!E30/Prices!$C$145)+MEGA!E30/Prices!$C$160+LiLAC!E30</f>
        <v>2442.9819438606205</v>
      </c>
      <c r="F30" s="188">
        <f>MILLI!F30+(TIMP!F30/Prices!$C$140)+(ENTEL!F30/Prices!$C$145)+MEGA!F30/Prices!$C$160+LiLAC!F30</f>
        <v>2861.9229032045109</v>
      </c>
      <c r="G30" s="188">
        <f>MILLI!G30+(TIMP!G30/Prices!$C$140)+(ENTEL!G30/Prices!$C$145)+MEGA!G30/Prices!$C$160+LiLAC!G30</f>
        <v>3215.2500293451026</v>
      </c>
      <c r="H30" s="233">
        <f t="shared" si="0"/>
        <v>0.15515708992416144</v>
      </c>
      <c r="I30" s="214"/>
      <c r="J30" s="208"/>
      <c r="K30" s="208"/>
      <c r="L30" s="208"/>
      <c r="M30" s="208"/>
      <c r="N30" s="208"/>
      <c r="O30" s="5"/>
      <c r="Q30" s="5"/>
      <c r="S30" s="26"/>
      <c r="T30" s="26"/>
      <c r="U30" s="26"/>
      <c r="V30" s="113" t="s">
        <v>310</v>
      </c>
      <c r="W30" s="242">
        <f>F43/N15</f>
        <v>0.57296411224801558</v>
      </c>
      <c r="X30" s="242">
        <v>1</v>
      </c>
    </row>
    <row r="31" spans="2:24">
      <c r="B31" s="5" t="s">
        <v>491</v>
      </c>
      <c r="C31" s="288">
        <f>MILLI!C31+(TIMP!C31/Prices!$C$140)+(ENTEL!C31/Prices!$C$145)+MEGA!C31/Prices!$C$160+LiLAC!C31</f>
        <v>1683.1650304017755</v>
      </c>
      <c r="D31" s="188">
        <f>MILLI!D31+(TIMP!D31/Prices!$C$140)+(ENTEL!D31/Prices!$C$145)+MEGA!D31/Prices!$C$160+LiLAC!D31</f>
        <v>1753.856897601717</v>
      </c>
      <c r="E31" s="188">
        <f>MILLI!E31+(TIMP!E31/Prices!$C$140)+(ENTEL!E31/Prices!$C$145)+MEGA!E31/Prices!$C$160+LiLAC!E31</f>
        <v>1773.2381229835776</v>
      </c>
      <c r="F31" s="188">
        <f>MILLI!F31+(TIMP!F31/Prices!$C$140)+(ENTEL!F31/Prices!$C$145)+MEGA!F31/Prices!$C$160+LiLAC!F31</f>
        <v>1980.8411752737848</v>
      </c>
      <c r="G31" s="188">
        <f>MILLI!G31+(TIMP!G31/Prices!$C$140)+(ENTEL!G31/Prices!$C$145)+MEGA!G31/Prices!$C$160+LiLAC!G31</f>
        <v>2099.2314575791393</v>
      </c>
      <c r="H31" s="233">
        <f t="shared" si="0"/>
        <v>6.1749479822025055E-2</v>
      </c>
      <c r="I31" s="214"/>
      <c r="J31" s="212"/>
      <c r="K31" s="212"/>
      <c r="L31" s="212"/>
      <c r="M31" s="212"/>
      <c r="N31" s="212"/>
      <c r="O31" s="5"/>
      <c r="Q31" s="5"/>
      <c r="S31" s="26"/>
      <c r="T31" s="26"/>
      <c r="U31" s="26"/>
      <c r="V31" s="113" t="s">
        <v>437</v>
      </c>
      <c r="W31" s="242">
        <f>E44/M16</f>
        <v>0.75104727016429451</v>
      </c>
      <c r="X31" s="242">
        <v>1</v>
      </c>
    </row>
    <row r="32" spans="2:24">
      <c r="B32" s="5" t="s">
        <v>506</v>
      </c>
      <c r="C32" s="288">
        <f>MILLI!C32+(TIMP!C32/Prices!$C$140)+(ENTEL!C32/Prices!$C$145)+MEGA!C32/Prices!$C$160+LiLAC!C32</f>
        <v>82.9</v>
      </c>
      <c r="D32" s="188">
        <f>MILLI!D32+(TIMP!D32/Prices!$C$140)+(ENTEL!D32/Prices!$C$145)+MEGA!D32/Prices!$C$160+LiLAC!D32</f>
        <v>356.56049730669702</v>
      </c>
      <c r="E32" s="188">
        <f>MILLI!E32+(TIMP!E32/Prices!$C$140)+(ENTEL!E32/Prices!$C$145)+MEGA!E32/Prices!$C$160+LiLAC!E32</f>
        <v>408.71514291052154</v>
      </c>
      <c r="F32" s="188">
        <f>MILLI!F32+(TIMP!F32/Prices!$C$140)+(ENTEL!F32/Prices!$C$145)+MEGA!F32/Prices!$C$160+LiLAC!F32</f>
        <v>408.71514291052154</v>
      </c>
      <c r="G32" s="188">
        <f>MILLI!G32+(TIMP!G32/Prices!$C$140)+(ENTEL!G32/Prices!$C$145)+MEGA!G32/Prices!$C$160+LiLAC!G32</f>
        <v>408.71514291052154</v>
      </c>
      <c r="H32" s="233">
        <f t="shared" si="0"/>
        <v>4.6556069207364326E-2</v>
      </c>
      <c r="I32" s="5"/>
      <c r="J32" s="214"/>
      <c r="K32" s="214"/>
      <c r="L32" s="214"/>
      <c r="M32" s="214"/>
      <c r="N32" s="214"/>
      <c r="O32" s="211"/>
      <c r="Q32" s="5"/>
      <c r="S32" s="26"/>
      <c r="T32" s="26"/>
      <c r="U32" s="26"/>
      <c r="V32" s="113" t="s">
        <v>481</v>
      </c>
      <c r="W32" s="242">
        <f>M17/E45</f>
        <v>0.74578177318155148</v>
      </c>
      <c r="X32" s="242">
        <v>1</v>
      </c>
    </row>
    <row r="33" spans="2:24">
      <c r="B33" s="5" t="s">
        <v>3</v>
      </c>
      <c r="C33" s="288">
        <f>MILLI!C33+(TIMP!C33/Prices!$C$140)+(ENTEL!C33/Prices!$C$145)+MEGA!C33/Prices!$C$160+LiLAC!C33</f>
        <v>1641.2400107187309</v>
      </c>
      <c r="D33" s="188">
        <f>MILLI!D33+(TIMP!D33/Prices!$C$140)+(ENTEL!D33/Prices!$C$145)+MEGA!D33/Prices!$C$160+LiLAC!D33</f>
        <v>1775.5615157232887</v>
      </c>
      <c r="E33" s="188">
        <f>MILLI!E33+(TIMP!E33/Prices!$C$140)+(ENTEL!E33/Prices!$C$145)+MEGA!E33/Prices!$C$160+LiLAC!E33</f>
        <v>1830.9479973063499</v>
      </c>
      <c r="F33" s="188">
        <f>MILLI!F33+(TIMP!F33/Prices!$C$140)+(ENTEL!F33/Prices!$C$145)+MEGA!F33/Prices!$C$160+LiLAC!F33</f>
        <v>1895.4782079893334</v>
      </c>
      <c r="G33" s="188">
        <f>MILLI!G33+(TIMP!G33/Prices!$C$140)+(ENTEL!G33/Prices!$C$145)+MEGA!G33/Prices!$C$160+LiLAC!G33</f>
        <v>1907.7095960240949</v>
      </c>
      <c r="H33" s="233">
        <f t="shared" si="0"/>
        <v>2.4217472377900062E-2</v>
      </c>
      <c r="I33" s="33"/>
      <c r="J33" s="214"/>
      <c r="K33" s="214"/>
      <c r="L33" s="214"/>
      <c r="M33" s="214"/>
      <c r="N33" s="214"/>
      <c r="O33" s="211"/>
      <c r="Q33" s="5"/>
      <c r="S33" s="26"/>
      <c r="T33" s="26"/>
      <c r="U33" s="26"/>
      <c r="V33" s="113" t="s">
        <v>218</v>
      </c>
      <c r="W33" s="242">
        <f>N19/F47</f>
        <v>0.57296411224801558</v>
      </c>
      <c r="X33" s="242">
        <v>1</v>
      </c>
    </row>
    <row r="34" spans="2:24">
      <c r="H34" s="231"/>
      <c r="I34" s="214"/>
      <c r="J34" s="214"/>
      <c r="K34" s="214"/>
      <c r="L34" s="214"/>
      <c r="M34" s="214"/>
      <c r="N34" s="214"/>
      <c r="O34" s="211"/>
      <c r="Q34" s="5"/>
      <c r="S34" s="26"/>
      <c r="T34" s="26"/>
      <c r="U34" s="26"/>
      <c r="V34" s="26"/>
      <c r="W34" s="26"/>
      <c r="X34" s="26"/>
    </row>
    <row r="35" spans="2:24" ht="12.6" thickBot="1">
      <c r="B35" s="249" t="s">
        <v>512</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2.4119768823205523</v>
      </c>
      <c r="E37" s="48">
        <f t="shared" si="2"/>
        <v>2.1154894928642065</v>
      </c>
      <c r="F37" s="48">
        <f t="shared" si="2"/>
        <v>1.9103568365427492</v>
      </c>
      <c r="G37" s="48">
        <f t="shared" si="2"/>
        <v>1.724209646645674</v>
      </c>
      <c r="H37" s="13">
        <f t="shared" ref="H37:H45" si="3">H23</f>
        <v>6.4432021722839572E-2</v>
      </c>
      <c r="I37" s="217"/>
      <c r="J37" s="217"/>
      <c r="K37" s="217"/>
      <c r="L37" s="217"/>
      <c r="M37" s="217"/>
      <c r="N37" s="217"/>
      <c r="O37" s="14"/>
      <c r="Q37" s="5"/>
      <c r="R37" s="5"/>
      <c r="S37" s="26"/>
      <c r="T37" s="26"/>
      <c r="U37" s="26"/>
      <c r="V37" s="26"/>
      <c r="W37" s="26"/>
      <c r="X37" s="26"/>
    </row>
    <row r="38" spans="2:24">
      <c r="B38" s="5" t="s">
        <v>158</v>
      </c>
      <c r="C38" s="207"/>
      <c r="D38" s="48">
        <f t="shared" si="2"/>
        <v>5.8512530000817966</v>
      </c>
      <c r="E38" s="48">
        <f t="shared" si="2"/>
        <v>5.2022628550395567</v>
      </c>
      <c r="F38" s="48">
        <f t="shared" si="2"/>
        <v>4.5887025166021536</v>
      </c>
      <c r="G38" s="48">
        <f t="shared" si="2"/>
        <v>4.0686320357957708</v>
      </c>
      <c r="H38" s="13">
        <f t="shared" si="3"/>
        <v>7.4295430516063243E-2</v>
      </c>
      <c r="I38" s="13"/>
      <c r="J38" s="13"/>
      <c r="K38" s="13"/>
      <c r="L38" s="13"/>
      <c r="M38" s="13"/>
      <c r="N38" s="13"/>
      <c r="O38" s="5"/>
      <c r="Q38" s="5"/>
      <c r="R38" s="5"/>
      <c r="S38" s="26"/>
      <c r="T38" s="26"/>
      <c r="U38" s="26"/>
      <c r="V38" s="26"/>
      <c r="W38" s="26"/>
      <c r="X38" s="26"/>
    </row>
    <row r="39" spans="2:24">
      <c r="B39" s="5" t="s">
        <v>159</v>
      </c>
      <c r="C39" s="207"/>
      <c r="D39" s="48">
        <f t="shared" si="2"/>
        <v>9.7743985443172523</v>
      </c>
      <c r="E39" s="48">
        <f t="shared" si="2"/>
        <v>8.5016802869832357</v>
      </c>
      <c r="F39" s="48">
        <f t="shared" si="2"/>
        <v>7.1652573287893704</v>
      </c>
      <c r="G39" s="48">
        <f t="shared" si="2"/>
        <v>6.1497254932409238</v>
      </c>
      <c r="H39" s="13">
        <f t="shared" si="3"/>
        <v>0.11071254875259684</v>
      </c>
      <c r="I39" s="5"/>
      <c r="J39" s="5"/>
      <c r="K39" s="5"/>
      <c r="L39" s="5"/>
      <c r="M39" s="5"/>
      <c r="N39" s="5"/>
      <c r="O39" s="5"/>
      <c r="Q39" s="5"/>
      <c r="R39" s="5"/>
      <c r="S39" s="26"/>
      <c r="T39" s="26"/>
      <c r="U39" s="26"/>
      <c r="V39" s="26"/>
      <c r="W39" s="242"/>
      <c r="X39" s="242"/>
    </row>
    <row r="40" spans="2:24">
      <c r="B40" s="5" t="s">
        <v>381</v>
      </c>
      <c r="C40" s="207"/>
      <c r="D40" s="48">
        <f t="shared" si="2"/>
        <v>12.943748486442482</v>
      </c>
      <c r="E40" s="48">
        <f t="shared" si="2"/>
        <v>11.262139134791388</v>
      </c>
      <c r="F40" s="48">
        <f t="shared" si="2"/>
        <v>9.8509660228840694</v>
      </c>
      <c r="G40" s="48">
        <f t="shared" si="2"/>
        <v>8.4548305272648268</v>
      </c>
      <c r="H40" s="13">
        <f t="shared" si="3"/>
        <v>9.692085592490618E-2</v>
      </c>
      <c r="I40" s="207"/>
      <c r="J40" s="217"/>
      <c r="K40" s="217"/>
      <c r="L40" s="217"/>
      <c r="M40" s="217"/>
      <c r="N40" s="217"/>
      <c r="O40" s="14"/>
      <c r="Q40" s="5"/>
      <c r="R40" s="5"/>
      <c r="S40" s="26"/>
      <c r="T40" s="26"/>
      <c r="U40" s="26"/>
      <c r="V40" s="26"/>
      <c r="W40" s="242"/>
      <c r="X40" s="242"/>
    </row>
    <row r="41" spans="2:24">
      <c r="B41" s="5" t="s">
        <v>434</v>
      </c>
      <c r="C41" s="207"/>
      <c r="D41" s="48">
        <f t="shared" si="2"/>
        <v>1.5759145073957344</v>
      </c>
      <c r="E41" s="48">
        <f t="shared" si="2"/>
        <v>1.4883300559129049</v>
      </c>
      <c r="F41" s="48">
        <f t="shared" si="2"/>
        <v>1.4090724335425369</v>
      </c>
      <c r="G41" s="48">
        <f t="shared" si="2"/>
        <v>1.3214292867714388</v>
      </c>
      <c r="H41" s="13">
        <f t="shared" si="3"/>
        <v>9.2989378591046279E-3</v>
      </c>
      <c r="I41" s="208"/>
      <c r="J41" s="13"/>
      <c r="K41" s="13"/>
      <c r="L41" s="13"/>
      <c r="M41" s="13"/>
      <c r="N41" s="13"/>
      <c r="O41" s="5"/>
      <c r="Q41" s="5"/>
      <c r="R41" s="5"/>
      <c r="S41" s="26"/>
      <c r="T41" s="26"/>
      <c r="U41" s="26"/>
      <c r="V41" s="26"/>
      <c r="W41" s="242"/>
      <c r="X41" s="242"/>
    </row>
    <row r="42" spans="2:24">
      <c r="B42" s="5" t="s">
        <v>493</v>
      </c>
      <c r="C42" s="207"/>
      <c r="D42" s="48">
        <f>D18/D28</f>
        <v>2.0003709392007782</v>
      </c>
      <c r="E42" s="48">
        <f>E18/E28</f>
        <v>1.8758750356023162</v>
      </c>
      <c r="F42" s="48">
        <f>F18/F28</f>
        <v>1.771442878106624</v>
      </c>
      <c r="G42" s="48">
        <f>G18/G28</f>
        <v>1.6500606174643018</v>
      </c>
      <c r="H42" s="13">
        <f t="shared" si="3"/>
        <v>1.4831144278901309E-2</v>
      </c>
      <c r="I42" s="207"/>
      <c r="J42" s="5"/>
      <c r="K42" s="5"/>
      <c r="L42" s="5"/>
      <c r="M42" s="5"/>
      <c r="N42" s="5"/>
      <c r="O42" s="5"/>
      <c r="Q42" s="5"/>
      <c r="R42" s="5"/>
      <c r="S42" s="26"/>
      <c r="T42" s="26"/>
      <c r="U42" s="26"/>
      <c r="V42" s="26"/>
      <c r="W42" s="242"/>
      <c r="X42" s="242"/>
    </row>
    <row r="43" spans="2:24">
      <c r="B43" s="5" t="s">
        <v>390</v>
      </c>
      <c r="C43" s="207"/>
      <c r="D43" s="48">
        <f>L26/D29</f>
        <v>11.60541157029073</v>
      </c>
      <c r="E43" s="48">
        <f>M26/E29</f>
        <v>9.6347374591270096</v>
      </c>
      <c r="F43" s="48">
        <f>N26/F29</f>
        <v>7.5273490959335732</v>
      </c>
      <c r="G43" s="48">
        <f>O26/G29</f>
        <v>6.5286296232591763</v>
      </c>
      <c r="H43" s="13">
        <f t="shared" si="3"/>
        <v>0.18323846876090721</v>
      </c>
      <c r="I43" s="207"/>
      <c r="J43" s="207"/>
      <c r="K43" s="207"/>
      <c r="L43" s="207"/>
      <c r="M43" s="207"/>
      <c r="N43" s="207"/>
      <c r="O43" s="14"/>
      <c r="Q43" s="5"/>
      <c r="R43" s="5"/>
      <c r="S43" s="26"/>
      <c r="T43" s="26"/>
      <c r="U43" s="26"/>
      <c r="V43" s="26"/>
      <c r="W43" s="255"/>
      <c r="X43" s="255"/>
    </row>
    <row r="44" spans="2:24">
      <c r="B44" s="5" t="s">
        <v>437</v>
      </c>
      <c r="C44" s="53"/>
      <c r="D44" s="48">
        <f>D11/D30</f>
        <v>12.587422154239039</v>
      </c>
      <c r="E44" s="48">
        <f>E11/E30</f>
        <v>10.558225413184802</v>
      </c>
      <c r="F44" s="48">
        <f>F11/F30</f>
        <v>8.851083192314551</v>
      </c>
      <c r="G44" s="48">
        <f>G11/G30</f>
        <v>7.7346026411363038</v>
      </c>
      <c r="H44" s="13">
        <f t="shared" si="3"/>
        <v>0.15515708992416144</v>
      </c>
      <c r="I44" s="208"/>
      <c r="J44" s="208"/>
      <c r="K44" s="208"/>
      <c r="L44" s="208"/>
      <c r="M44" s="208"/>
      <c r="N44" s="208"/>
      <c r="O44" s="208"/>
      <c r="Q44" s="5"/>
      <c r="R44" s="5"/>
      <c r="S44" s="26"/>
      <c r="T44" s="26"/>
      <c r="U44" s="26"/>
      <c r="V44" s="26"/>
      <c r="W44" s="26"/>
      <c r="X44" s="26"/>
    </row>
    <row r="45" spans="2:24">
      <c r="B45" s="5" t="s">
        <v>481</v>
      </c>
      <c r="C45" s="207"/>
      <c r="D45" s="208">
        <f>D31/D11</f>
        <v>6.6798352381774173E-2</v>
      </c>
      <c r="E45" s="208">
        <f>E31/E11</f>
        <v>6.8747335864796422E-2</v>
      </c>
      <c r="F45" s="208">
        <f>F31/F11</f>
        <v>7.8197938134596134E-2</v>
      </c>
      <c r="G45" s="208">
        <f>G31/G11</f>
        <v>8.4412656483087073E-2</v>
      </c>
      <c r="H45" s="13">
        <f t="shared" si="3"/>
        <v>6.1749479822025055E-2</v>
      </c>
      <c r="I45" s="207"/>
      <c r="J45" s="207"/>
      <c r="K45" s="207"/>
      <c r="L45" s="207"/>
      <c r="M45" s="207"/>
      <c r="N45" s="207"/>
      <c r="O45" s="208"/>
      <c r="Q45" s="5"/>
      <c r="R45" s="5"/>
      <c r="S45" s="26"/>
      <c r="T45" s="26"/>
      <c r="U45" s="26"/>
      <c r="V45" s="26"/>
      <c r="W45" s="26"/>
      <c r="X45" s="26"/>
    </row>
    <row r="46" spans="2:24">
      <c r="B46" s="5" t="s">
        <v>505</v>
      </c>
      <c r="C46" s="207"/>
      <c r="D46" s="208">
        <f>(D31+D32)/D11</f>
        <v>8.0378510362212871E-2</v>
      </c>
      <c r="E46" s="208">
        <f>(E31+E32)/E11</f>
        <v>8.4592966994935445E-2</v>
      </c>
      <c r="F46" s="208">
        <f>(F31+F32)/F11</f>
        <v>9.433284175985629E-2</v>
      </c>
      <c r="G46" s="208">
        <f>(G31+G32)/G11</f>
        <v>0.10084759072217683</v>
      </c>
      <c r="H46" s="233">
        <f>((G31+G32)/(D31+D32))^(1/3)-1</f>
        <v>5.9213016537436713E-2</v>
      </c>
      <c r="I46" s="13"/>
      <c r="J46" s="207"/>
      <c r="K46" s="207"/>
      <c r="L46" s="207"/>
      <c r="M46" s="207"/>
      <c r="N46" s="207"/>
      <c r="O46" s="14"/>
      <c r="Q46" s="5"/>
      <c r="R46" s="5"/>
      <c r="S46" s="26"/>
      <c r="T46" s="26"/>
      <c r="U46" s="26"/>
      <c r="V46" s="26"/>
      <c r="W46" s="26"/>
      <c r="X46" s="26"/>
    </row>
    <row r="47" spans="2:24">
      <c r="B47" s="5" t="s">
        <v>482</v>
      </c>
      <c r="C47" s="5"/>
      <c r="D47" s="208">
        <f>1/D43</f>
        <v>8.6166698521916246E-2</v>
      </c>
      <c r="E47" s="208">
        <f>1/E43</f>
        <v>0.10379110009403501</v>
      </c>
      <c r="F47" s="208">
        <f>1/F43</f>
        <v>0.13284889371481659</v>
      </c>
      <c r="G47" s="208">
        <f>1/G43</f>
        <v>0.15317150117344031</v>
      </c>
      <c r="H47" s="13">
        <f>H29</f>
        <v>0.18323846876090721</v>
      </c>
      <c r="I47" s="207"/>
      <c r="J47" s="208"/>
      <c r="K47" s="208"/>
      <c r="L47" s="208"/>
      <c r="M47" s="208"/>
      <c r="N47" s="208"/>
      <c r="O47" s="208"/>
      <c r="Q47" s="5"/>
      <c r="R47" s="5"/>
      <c r="S47" s="5"/>
      <c r="T47" s="5"/>
      <c r="U47" s="5"/>
    </row>
    <row r="48" spans="2:24">
      <c r="B48" s="5" t="s">
        <v>518</v>
      </c>
      <c r="C48" s="5"/>
      <c r="D48" s="248">
        <f>D31/D29</f>
        <v>0.93126857380042938</v>
      </c>
      <c r="E48" s="248">
        <f>E31/E29</f>
        <v>0.79549299406012719</v>
      </c>
      <c r="F48" s="248">
        <f>F31/F29</f>
        <v>0.71725477353181899</v>
      </c>
      <c r="G48" s="248">
        <f>G31/G29</f>
        <v>0.67285932583422448</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8">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145</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427</v>
      </c>
      <c r="C11" s="5"/>
      <c r="D11" s="225">
        <f>'LATAM INCUMB'!D11+'LATAM OTHER'!D11</f>
        <v>122438.56536283286</v>
      </c>
      <c r="E11" s="225">
        <f>'LATAM INCUMB'!E11+'LATAM OTHER'!E11</f>
        <v>119846.9791054588</v>
      </c>
      <c r="F11" s="225">
        <f>'LATAM INCUMB'!F11+'LATAM OTHER'!F11</f>
        <v>117309.8741080839</v>
      </c>
      <c r="G11" s="225">
        <f>'LATAM INCUMB'!G11+'LATAM OTHER'!G11</f>
        <v>114770.25037070815</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'LATAM INCUMB'!D12+'LATAM OTHER'!D12</f>
        <v>60738.975893251474</v>
      </c>
      <c r="E12" s="188">
        <f>'LATAM INCUMB'!E12+'LATAM OTHER'!E12</f>
        <v>59233.244082400255</v>
      </c>
      <c r="F12" s="188">
        <f>'LATAM INCUMB'!F12+'LATAM OTHER'!F12</f>
        <v>55878.505197416147</v>
      </c>
      <c r="G12" s="188">
        <f>'LATAM INCUMB'!G12+'LATAM OTHER'!G12</f>
        <v>51639.081971770429</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'LATAM INCUMB'!D13+'LATAM OTHER'!D13</f>
        <v>2174.7725729050253</v>
      </c>
      <c r="E13" s="188">
        <f>'LATAM INCUMB'!E13+'LATAM OTHER'!E13</f>
        <v>2174.7725729050253</v>
      </c>
      <c r="F13" s="188">
        <f>'LATAM INCUMB'!F13+'LATAM OTHER'!F13</f>
        <v>2174.7725729050253</v>
      </c>
      <c r="G13" s="188">
        <f>'LATAM INCUMB'!G13+'LATAM OTHER'!G13</f>
        <v>2174.7725729050253</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'LATAM INCUMB'!D14+'LATAM OTHER'!D14</f>
        <v>5462.706251990865</v>
      </c>
      <c r="E14" s="188">
        <f>'LATAM INCUMB'!E14+'LATAM OTHER'!E14</f>
        <v>5462.706251990865</v>
      </c>
      <c r="F14" s="188">
        <f>'LATAM INCUMB'!F14+'LATAM OTHER'!F14</f>
        <v>5462.706251990865</v>
      </c>
      <c r="G14" s="188">
        <f>'LATAM INCUMB'!G14+'LATAM OTHER'!G14</f>
        <v>5462.706251990865</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'LATAM INCUMB'!D15+'LATAM OTHER'!D15</f>
        <v>4897.0633700108529</v>
      </c>
      <c r="E15" s="188">
        <f>'LATAM INCUMB'!E15+'LATAM OTHER'!E15</f>
        <v>4897.0633700108529</v>
      </c>
      <c r="F15" s="188">
        <f>'LATAM INCUMB'!F15+'LATAM OTHER'!F15</f>
        <v>4897.0633700108529</v>
      </c>
      <c r="G15" s="188">
        <f>'LATAM INCUMB'!G15+'LATAM OTHER'!G15</f>
        <v>4897.0633700108529</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'LATAM INCUMB'!D16+'LATAM OTHER'!D16</f>
        <v>1652.0833333333335</v>
      </c>
      <c r="E16" s="188">
        <f>'LATAM INCUMB'!E16+'LATAM OTHER'!E16</f>
        <v>7044.6084461050614</v>
      </c>
      <c r="F16" s="188">
        <f>'LATAM INCUMB'!F16+'LATAM OTHER'!F16</f>
        <v>12934.487533279895</v>
      </c>
      <c r="G16" s="188">
        <f>'LATAM INCUMB'!G16+'LATAM OTHER'!G16</f>
        <v>19243.191552511227</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'LATAM INCUMB'!D17+'LATAM OTHER'!D17</f>
        <v>196.06774196589191</v>
      </c>
      <c r="E17" s="188">
        <f>'LATAM INCUMB'!E17+'LATAM OTHER'!E17</f>
        <v>196.06774196589191</v>
      </c>
      <c r="F17" s="188">
        <f>'LATAM INCUMB'!F17+'LATAM OTHER'!F17</f>
        <v>196.06774196589191</v>
      </c>
      <c r="G17" s="188">
        <f>'LATAM INCUMB'!G17+'LATAM OTHER'!G17</f>
        <v>196.06774196589191</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76</v>
      </c>
      <c r="C18" s="209"/>
      <c r="D18" s="229">
        <f>'LATAM INCUMB'!D18+'LATAM OTHER'!D18</f>
        <v>186447.08007755119</v>
      </c>
      <c r="E18" s="229">
        <f>'LATAM INCUMB'!E18+'LATAM OTHER'!E18</f>
        <v>176957.23689655418</v>
      </c>
      <c r="F18" s="229">
        <f>'LATAM INCUMB'!F18+'LATAM OTHER'!F18</f>
        <v>165175.51392702034</v>
      </c>
      <c r="G18" s="229">
        <f>'LATAM INCUMB'!G18+'LATAM OTHER'!G18</f>
        <v>152087.76294476754</v>
      </c>
      <c r="H18" s="230">
        <f>IF(D18=0,"nm",IF(G18=0,"nm",(G18/D18)^(1/3)-1))</f>
        <v>-6.5642888954259848E-2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'LATAM INCUMB'!C23+'LATAM OTHER'!C23</f>
        <v>82001.317330136837</v>
      </c>
      <c r="D23" s="188">
        <f>'LATAM INCUMB'!D23+'LATAM OTHER'!D23</f>
        <v>85415.299207430726</v>
      </c>
      <c r="E23" s="188">
        <f>'LATAM INCUMB'!E23+'LATAM OTHER'!E23</f>
        <v>94271.173303948672</v>
      </c>
      <c r="F23" s="188">
        <f>'LATAM INCUMB'!F23+'LATAM OTHER'!F23</f>
        <v>97392.254100111735</v>
      </c>
      <c r="G23" s="188">
        <f>'LATAM INCUMB'!G23+'LATAM OTHER'!G23</f>
        <v>100029.09200549625</v>
      </c>
      <c r="H23" s="233">
        <f t="shared" ref="H23:H33" si="0">IF(D23=0,"nm",IF(G23=0,"nm",(G23/D23)^(1/3)-1))</f>
        <v>5.4055681128372557E-2</v>
      </c>
      <c r="I23" s="209"/>
      <c r="J23" s="249" t="s">
        <v>7</v>
      </c>
      <c r="K23" s="249"/>
      <c r="L23" s="219" t="str">
        <f>L5</f>
        <v>2025E</v>
      </c>
      <c r="M23" s="219" t="str">
        <f>M5</f>
        <v>2026E</v>
      </c>
      <c r="N23" s="219" t="str">
        <f>N5</f>
        <v>2027E</v>
      </c>
      <c r="O23" s="219" t="str">
        <f>O5</f>
        <v>2028E</v>
      </c>
      <c r="P23" s="236" t="str">
        <f>P5</f>
        <v>2025-28</v>
      </c>
      <c r="S23" s="26"/>
      <c r="T23" s="26"/>
      <c r="U23" s="26"/>
      <c r="V23" s="26"/>
      <c r="W23" s="26" t="s">
        <v>146</v>
      </c>
      <c r="X23" s="26" t="s">
        <v>24</v>
      </c>
    </row>
    <row r="24" spans="2:24" ht="12.6" thickTop="1">
      <c r="B24" s="5" t="s">
        <v>397</v>
      </c>
      <c r="C24" s="288">
        <f>'LATAM INCUMB'!C24+'LATAM OTHER'!C24</f>
        <v>32293.382999643283</v>
      </c>
      <c r="D24" s="188">
        <f>'LATAM INCUMB'!D24+'LATAM OTHER'!D24</f>
        <v>34153.689160009017</v>
      </c>
      <c r="E24" s="188">
        <f>'LATAM INCUMB'!E24+'LATAM OTHER'!E24</f>
        <v>38123.820314492456</v>
      </c>
      <c r="F24" s="188">
        <f>'LATAM INCUMB'!F24+'LATAM OTHER'!F24</f>
        <v>39834.868043865026</v>
      </c>
      <c r="G24" s="188">
        <f>'LATAM INCUMB'!G24+'LATAM OTHER'!G24</f>
        <v>41172.440110284937</v>
      </c>
      <c r="H24" s="233">
        <f t="shared" si="0"/>
        <v>6.4281047352787501E-2</v>
      </c>
      <c r="I24" s="208"/>
      <c r="J24" s="13"/>
      <c r="K24" s="13"/>
      <c r="L24" s="13"/>
      <c r="M24" s="13"/>
      <c r="N24" s="13"/>
      <c r="O24" s="208"/>
      <c r="S24" s="26"/>
      <c r="T24" s="26"/>
      <c r="U24" s="26"/>
      <c r="V24" s="113" t="s">
        <v>225</v>
      </c>
      <c r="W24" s="242">
        <f t="shared" ref="W24:W31" si="1">E37/M9</f>
        <v>1.2453724562439683</v>
      </c>
      <c r="X24" s="242">
        <v>1</v>
      </c>
    </row>
    <row r="25" spans="2:24">
      <c r="B25" s="5" t="s">
        <v>157</v>
      </c>
      <c r="C25" s="288">
        <f>'LATAM INCUMB'!C25+'LATAM OTHER'!C25</f>
        <v>19836.478440862258</v>
      </c>
      <c r="D25" s="188">
        <f>'LATAM INCUMB'!D25+'LATAM OTHER'!D25</f>
        <v>21636.250039871258</v>
      </c>
      <c r="E25" s="188">
        <f>'LATAM INCUMB'!E25+'LATAM OTHER'!E25</f>
        <v>24264.501558163705</v>
      </c>
      <c r="F25" s="188">
        <f>'LATAM INCUMB'!F25+'LATAM OTHER'!F25</f>
        <v>25807.829791966273</v>
      </c>
      <c r="G25" s="188">
        <f>'LATAM INCUMB'!G25+'LATAM OTHER'!G25</f>
        <v>27493.176671802052</v>
      </c>
      <c r="H25" s="233">
        <f t="shared" si="0"/>
        <v>8.3130978070602657E-2</v>
      </c>
      <c r="I25" s="209"/>
      <c r="J25" s="207" t="s">
        <v>8</v>
      </c>
      <c r="K25" s="207"/>
      <c r="L25" s="258">
        <f>'LATAM INCUMB'!L25+'LATAM OTHER'!L25</f>
        <v>-702.20908879201875</v>
      </c>
      <c r="M25" s="258">
        <f>'LATAM INCUMB'!M25+'LATAM OTHER'!M25</f>
        <v>-662.00424186460828</v>
      </c>
      <c r="N25" s="258">
        <f>'LATAM INCUMB'!N25+'LATAM OTHER'!N25</f>
        <v>-930.77696632078516</v>
      </c>
      <c r="O25" s="258">
        <f>'LATAM INCUMB'!O25+'LATAM OTHER'!O25</f>
        <v>-930.77696632078516</v>
      </c>
      <c r="P25" s="233">
        <f>IF(L25=0,"nm",IF(O25=0,"nm",(O25/L25)^(1/3)-1))</f>
        <v>9.8482292148483364E-2</v>
      </c>
      <c r="Q25" s="5"/>
      <c r="S25" s="26"/>
      <c r="T25" s="26"/>
      <c r="U25" s="26"/>
      <c r="V25" s="113" t="s">
        <v>158</v>
      </c>
      <c r="W25" s="242">
        <f t="shared" si="1"/>
        <v>1.0595960099770485</v>
      </c>
      <c r="X25" s="242">
        <v>1</v>
      </c>
    </row>
    <row r="26" spans="2:24">
      <c r="B26" s="5" t="s">
        <v>487</v>
      </c>
      <c r="C26" s="288">
        <f>'LATAM INCUMB'!C26+'LATAM OTHER'!C26</f>
        <v>14936.341689174082</v>
      </c>
      <c r="D26" s="188">
        <f>'LATAM INCUMB'!D26+'LATAM OTHER'!D26</f>
        <v>15315.160490804814</v>
      </c>
      <c r="E26" s="188">
        <f>'LATAM INCUMB'!E26+'LATAM OTHER'!E26</f>
        <v>17160.62980106322</v>
      </c>
      <c r="F26" s="188">
        <f>'LATAM INCUMB'!F26+'LATAM OTHER'!F26</f>
        <v>18085.387763676426</v>
      </c>
      <c r="G26" s="188">
        <f>'LATAM INCUMB'!G26+'LATAM OTHER'!G26</f>
        <v>19270.319135967507</v>
      </c>
      <c r="H26" s="233">
        <f t="shared" si="0"/>
        <v>7.9582372988655781E-2</v>
      </c>
      <c r="I26" s="209"/>
      <c r="J26" s="209" t="s">
        <v>9</v>
      </c>
      <c r="K26" s="209"/>
      <c r="L26" s="235">
        <f>'LATAM INCUMB'!L26+'LATAM OTHER'!L26</f>
        <v>117108.25457885161</v>
      </c>
      <c r="M26" s="235">
        <f>'LATAM INCUMB'!M26+'LATAM OTHER'!M26</f>
        <v>114599.49816840496</v>
      </c>
      <c r="N26" s="235">
        <f>'LATAM INCUMB'!N26+'LATAM OTHER'!N26</f>
        <v>111836.24544657387</v>
      </c>
      <c r="O26" s="235">
        <f>'LATAM INCUMB'!O26+'LATAM OTHER'!O26</f>
        <v>109339.24670919812</v>
      </c>
      <c r="P26" s="233">
        <f>IF(L26=0,"nm",IF(O26=0,"nm",(O26/L26)^(1/3)-1))</f>
        <v>-2.2621330994226474E-2</v>
      </c>
      <c r="Q26" s="25"/>
      <c r="S26" s="26"/>
      <c r="T26" s="26"/>
      <c r="U26" s="26"/>
      <c r="V26" s="113" t="s">
        <v>159</v>
      </c>
      <c r="W26" s="242">
        <f t="shared" si="1"/>
        <v>0.97158582628163548</v>
      </c>
      <c r="X26" s="242">
        <v>1</v>
      </c>
    </row>
    <row r="27" spans="2:24">
      <c r="B27" s="5" t="s">
        <v>488</v>
      </c>
      <c r="C27" s="288">
        <f>'LATAM INCUMB'!C27+'LATAM OTHER'!C27</f>
        <v>115938.5380746603</v>
      </c>
      <c r="D27" s="188">
        <f>'LATAM INCUMB'!D27+'LATAM OTHER'!D27</f>
        <v>111485.64741364685</v>
      </c>
      <c r="E27" s="188">
        <f>'LATAM INCUMB'!E27+'LATAM OTHER'!E27</f>
        <v>114208.27866768395</v>
      </c>
      <c r="F27" s="188">
        <f>'LATAM INCUMB'!F27+'LATAM OTHER'!F27</f>
        <v>112802.38299262512</v>
      </c>
      <c r="G27" s="188">
        <f>'LATAM INCUMB'!G27+'LATAM OTHER'!G27</f>
        <v>111136.62698053135</v>
      </c>
      <c r="H27" s="233">
        <f t="shared" si="0"/>
        <v>-1.0446345757821884E-3</v>
      </c>
      <c r="I27" s="208"/>
      <c r="J27" s="208"/>
      <c r="K27" s="208"/>
      <c r="L27" s="208"/>
      <c r="M27" s="208"/>
      <c r="N27" s="208"/>
      <c r="O27" s="208"/>
      <c r="Q27" s="5"/>
      <c r="S27" s="26"/>
      <c r="T27" s="26"/>
      <c r="U27" s="26"/>
      <c r="V27" s="113" t="s">
        <v>381</v>
      </c>
      <c r="W27" s="242">
        <f t="shared" si="1"/>
        <v>1.0397309119980795</v>
      </c>
      <c r="X27" s="242">
        <v>1</v>
      </c>
    </row>
    <row r="28" spans="2:24" ht="12.6" thickBot="1">
      <c r="B28" s="5" t="s">
        <v>492</v>
      </c>
      <c r="C28" s="288">
        <f>'LATAM INCUMB'!C28+'LATAM OTHER'!C28</f>
        <v>70463.185363233628</v>
      </c>
      <c r="D28" s="188">
        <f>'LATAM INCUMB'!D28+'LATAM OTHER'!D28</f>
        <v>66488.668970577113</v>
      </c>
      <c r="E28" s="188">
        <f>'LATAM INCUMB'!E28+'LATAM OTHER'!E28</f>
        <v>66672.384024466359</v>
      </c>
      <c r="F28" s="188">
        <f>'LATAM INCUMB'!F28+'LATAM OTHER'!F28</f>
        <v>63748.830473923954</v>
      </c>
      <c r="G28" s="188">
        <f>'LATAM INCUMB'!G28+'LATAM OTHER'!G28</f>
        <v>60536.994238233237</v>
      </c>
      <c r="H28" s="233">
        <f t="shared" si="0"/>
        <v>-3.077545257662806E-2</v>
      </c>
      <c r="I28" s="212"/>
      <c r="J28" s="249" t="s">
        <v>628</v>
      </c>
      <c r="K28" s="249"/>
      <c r="L28" s="249"/>
      <c r="M28" s="249"/>
      <c r="N28" s="220"/>
      <c r="O28" s="220"/>
      <c r="P28" s="220"/>
      <c r="Q28" s="5"/>
      <c r="S28" s="26"/>
      <c r="T28" s="26"/>
      <c r="U28" s="26"/>
      <c r="V28" s="113" t="s">
        <v>434</v>
      </c>
      <c r="W28" s="242">
        <f t="shared" si="1"/>
        <v>1.1280266240668537</v>
      </c>
      <c r="X28" s="242">
        <v>1</v>
      </c>
    </row>
    <row r="29" spans="2:24" ht="12.6" thickTop="1">
      <c r="B29" s="5" t="s">
        <v>489</v>
      </c>
      <c r="C29" s="288">
        <f>'LATAM INCUMB'!C29+'LATAM OTHER'!C29</f>
        <v>7982.9577254191108</v>
      </c>
      <c r="D29" s="188">
        <f>'LATAM INCUMB'!D29+'LATAM OTHER'!D29</f>
        <v>9935.8652162253711</v>
      </c>
      <c r="E29" s="188">
        <f>'LATAM INCUMB'!E29+'LATAM OTHER'!E29</f>
        <v>11461.313983108066</v>
      </c>
      <c r="F29" s="188">
        <f>'LATAM INCUMB'!F29+'LATAM OTHER'!F29</f>
        <v>12637.420303414587</v>
      </c>
      <c r="G29" s="188">
        <f>'LATAM INCUMB'!G29+'LATAM OTHER'!G29</f>
        <v>13973.72999005257</v>
      </c>
      <c r="H29" s="233">
        <f t="shared" si="0"/>
        <v>0.1203891263909862</v>
      </c>
      <c r="I29" s="214"/>
      <c r="J29" s="209"/>
      <c r="K29" s="209"/>
      <c r="L29" s="209"/>
      <c r="M29" s="209"/>
      <c r="N29" s="209"/>
      <c r="O29" s="211"/>
      <c r="Q29" s="5"/>
      <c r="S29" s="26"/>
      <c r="T29" s="26"/>
      <c r="U29" s="26"/>
      <c r="V29" s="113" t="s">
        <v>493</v>
      </c>
      <c r="W29" s="242">
        <f t="shared" si="1"/>
        <v>1.2281568355364321</v>
      </c>
      <c r="X29" s="242">
        <v>1</v>
      </c>
    </row>
    <row r="30" spans="2:24">
      <c r="B30" s="5" t="s">
        <v>490</v>
      </c>
      <c r="C30" s="288">
        <f>'LATAM INCUMB'!C30+'LATAM OTHER'!C30</f>
        <v>7453.2703188699043</v>
      </c>
      <c r="D30" s="188">
        <f>'LATAM INCUMB'!D30+'LATAM OTHER'!D30</f>
        <v>8098.4622783004907</v>
      </c>
      <c r="E30" s="188">
        <f>'LATAM INCUMB'!E30+'LATAM OTHER'!E30</f>
        <v>10146.171383838195</v>
      </c>
      <c r="F30" s="188">
        <f>'LATAM INCUMB'!F30+'LATAM OTHER'!F30</f>
        <v>11529.589995660281</v>
      </c>
      <c r="G30" s="188">
        <f>'LATAM INCUMB'!G30+'LATAM OTHER'!G30</f>
        <v>12617.498362281187</v>
      </c>
      <c r="H30" s="233">
        <f t="shared" si="0"/>
        <v>0.15928503889771584</v>
      </c>
      <c r="I30" s="214"/>
      <c r="J30" s="208"/>
      <c r="K30" s="208"/>
      <c r="L30" s="208"/>
      <c r="M30" s="208"/>
      <c r="N30" s="208"/>
      <c r="O30" s="5"/>
      <c r="Q30" s="5"/>
      <c r="S30" s="26"/>
      <c r="T30" s="26"/>
      <c r="U30" s="26"/>
      <c r="V30" s="113" t="s">
        <v>390</v>
      </c>
      <c r="W30" s="242">
        <f t="shared" si="1"/>
        <v>0.79495273499706909</v>
      </c>
      <c r="X30" s="242">
        <v>1</v>
      </c>
    </row>
    <row r="31" spans="2:24">
      <c r="B31" s="5" t="s">
        <v>491</v>
      </c>
      <c r="C31" s="288">
        <f>'LATAM INCUMB'!C31+'LATAM OTHER'!C31</f>
        <v>4189.8834617729908</v>
      </c>
      <c r="D31" s="188">
        <f>'LATAM INCUMB'!D31+'LATAM OTHER'!D31</f>
        <v>4264.7119097626073</v>
      </c>
      <c r="E31" s="188">
        <f>'LATAM INCUMB'!E31+'LATAM OTHER'!E31</f>
        <v>5249.2116834384206</v>
      </c>
      <c r="F31" s="188">
        <f>'LATAM INCUMB'!F31+'LATAM OTHER'!F31</f>
        <v>5879.1122527083226</v>
      </c>
      <c r="G31" s="188">
        <f>'LATAM INCUMB'!G31+'LATAM OTHER'!G31</f>
        <v>6387.8914426725769</v>
      </c>
      <c r="H31" s="233">
        <f t="shared" si="0"/>
        <v>0.14416662668170765</v>
      </c>
      <c r="I31" s="214"/>
      <c r="J31" s="212"/>
      <c r="K31" s="212"/>
      <c r="L31" s="212"/>
      <c r="M31" s="212"/>
      <c r="N31" s="212"/>
      <c r="O31" s="5"/>
      <c r="Q31" s="5"/>
      <c r="S31" s="26"/>
      <c r="T31" s="26"/>
      <c r="U31" s="26"/>
      <c r="V31" s="113" t="s">
        <v>437</v>
      </c>
      <c r="W31" s="242">
        <f t="shared" si="1"/>
        <v>0.9077680859242051</v>
      </c>
      <c r="X31" s="242">
        <v>1</v>
      </c>
    </row>
    <row r="32" spans="2:24">
      <c r="B32" s="5" t="s">
        <v>506</v>
      </c>
      <c r="C32" s="288">
        <f>'LATAM INCUMB'!C32+'LATAM OTHER'!C32</f>
        <v>1584.9381885318203</v>
      </c>
      <c r="D32" s="188">
        <f>'LATAM INCUMB'!D32+'LATAM OTHER'!D32</f>
        <v>1229.696823293453</v>
      </c>
      <c r="E32" s="188">
        <f>'LATAM INCUMB'!E32+'LATAM OTHER'!E32</f>
        <v>1923.0328793655285</v>
      </c>
      <c r="F32" s="188">
        <f>'LATAM INCUMB'!F32+'LATAM OTHER'!F32</f>
        <v>1979.0067214224046</v>
      </c>
      <c r="G32" s="188">
        <f>'LATAM INCUMB'!G32+'LATAM OTHER'!G32</f>
        <v>2073.7018034792804</v>
      </c>
      <c r="H32" s="233">
        <f t="shared" si="0"/>
        <v>0.19028077227251861</v>
      </c>
      <c r="I32" s="5"/>
      <c r="J32" s="214"/>
      <c r="K32" s="214"/>
      <c r="L32" s="214"/>
      <c r="M32" s="214"/>
      <c r="N32" s="214"/>
      <c r="O32" s="211"/>
      <c r="Q32" s="5"/>
      <c r="S32" s="26"/>
      <c r="T32" s="26"/>
      <c r="U32" s="26"/>
      <c r="V32" s="113" t="s">
        <v>481</v>
      </c>
      <c r="W32" s="242">
        <f>M17/E45</f>
        <v>1.199457796101467</v>
      </c>
      <c r="X32" s="242">
        <v>1</v>
      </c>
    </row>
    <row r="33" spans="2:24">
      <c r="B33" s="5" t="s">
        <v>3</v>
      </c>
      <c r="C33" s="288">
        <f>'LATAM INCUMB'!C33+'LATAM OTHER'!C33</f>
        <v>-314.03668422780629</v>
      </c>
      <c r="D33" s="188">
        <f>'LATAM INCUMB'!D33+'LATAM OTHER'!D33</f>
        <v>-249.04132685387935</v>
      </c>
      <c r="E33" s="188">
        <f>'LATAM INCUMB'!E33+'LATAM OTHER'!E33</f>
        <v>-60.444856555337083</v>
      </c>
      <c r="F33" s="188">
        <f>'LATAM INCUMB'!F33+'LATAM OTHER'!F33</f>
        <v>247.58901244685899</v>
      </c>
      <c r="G33" s="188">
        <f>'LATAM INCUMB'!G33+'LATAM OTHER'!G33</f>
        <v>398.67652810679192</v>
      </c>
      <c r="H33" s="233">
        <f t="shared" si="0"/>
        <v>-2.1698129246130478</v>
      </c>
      <c r="I33" s="33"/>
      <c r="J33" s="214"/>
      <c r="K33" s="214"/>
      <c r="L33" s="214"/>
      <c r="M33" s="214"/>
      <c r="N33" s="214"/>
      <c r="O33" s="211"/>
      <c r="Q33" s="5"/>
      <c r="S33" s="26"/>
      <c r="T33" s="26"/>
      <c r="U33" s="26"/>
      <c r="V33" s="113" t="s">
        <v>482</v>
      </c>
      <c r="W33" s="242">
        <f>M19/E47</f>
        <v>0.79495273499706898</v>
      </c>
      <c r="X33" s="242">
        <v>1</v>
      </c>
    </row>
    <row r="34" spans="2:24">
      <c r="H34" s="231"/>
      <c r="I34" s="214"/>
      <c r="J34" s="214"/>
      <c r="K34" s="214"/>
      <c r="L34" s="214"/>
      <c r="M34" s="214"/>
      <c r="N34" s="214"/>
      <c r="O34" s="211"/>
      <c r="Q34" s="5"/>
      <c r="S34" s="26"/>
      <c r="T34" s="26"/>
      <c r="U34" s="26"/>
      <c r="V34" s="26"/>
      <c r="W34" s="26"/>
      <c r="X34" s="26"/>
    </row>
    <row r="35" spans="2:24" ht="12.6" thickBot="1">
      <c r="B35" s="249" t="s">
        <v>252</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2.1828300293693892</v>
      </c>
      <c r="E37" s="430">
        <f t="shared" si="2"/>
        <v>1.8771086716615852</v>
      </c>
      <c r="F37" s="430">
        <f t="shared" si="2"/>
        <v>1.6959820414181259</v>
      </c>
      <c r="G37" s="430">
        <f t="shared" si="2"/>
        <v>1.5204353043253742</v>
      </c>
      <c r="H37" s="13">
        <f t="shared" ref="H37:H45" si="3">H23</f>
        <v>5.4055681128372557E-2</v>
      </c>
      <c r="I37" s="217"/>
      <c r="J37" s="217"/>
      <c r="K37" s="217"/>
      <c r="L37" s="217"/>
      <c r="M37" s="217"/>
      <c r="N37" s="217"/>
      <c r="O37" s="14"/>
      <c r="Q37" s="5"/>
      <c r="R37" s="5"/>
      <c r="S37" s="26"/>
      <c r="T37" s="26"/>
      <c r="U37" s="26"/>
      <c r="V37" s="26"/>
      <c r="W37" s="26"/>
      <c r="X37" s="26"/>
    </row>
    <row r="38" spans="2:24">
      <c r="B38" s="5" t="s">
        <v>158</v>
      </c>
      <c r="C38" s="207"/>
      <c r="D38" s="430">
        <f t="shared" si="2"/>
        <v>5.459061221880078</v>
      </c>
      <c r="E38" s="430">
        <f t="shared" si="2"/>
        <v>4.6416449200733787</v>
      </c>
      <c r="F38" s="430">
        <f t="shared" si="2"/>
        <v>4.1465058637858103</v>
      </c>
      <c r="G38" s="430">
        <f t="shared" si="2"/>
        <v>3.6939215294838887</v>
      </c>
      <c r="H38" s="13">
        <f t="shared" si="3"/>
        <v>6.4281047352787501E-2</v>
      </c>
      <c r="I38" s="13"/>
      <c r="J38" s="13"/>
      <c r="K38" s="13"/>
      <c r="L38" s="13"/>
      <c r="M38" s="13"/>
      <c r="N38" s="13"/>
      <c r="O38" s="5"/>
      <c r="Q38" s="5"/>
      <c r="R38" s="5"/>
      <c r="S38" s="26"/>
      <c r="T38" s="26"/>
      <c r="U38" s="26"/>
      <c r="V38" s="26"/>
      <c r="W38" s="26"/>
      <c r="X38" s="26"/>
    </row>
    <row r="39" spans="2:24">
      <c r="B39" s="5" t="s">
        <v>159</v>
      </c>
      <c r="C39" s="207"/>
      <c r="D39" s="430">
        <f t="shared" si="2"/>
        <v>8.6173472636878721</v>
      </c>
      <c r="E39" s="430">
        <f t="shared" si="2"/>
        <v>7.2928445067118037</v>
      </c>
      <c r="F39" s="430">
        <f t="shared" si="2"/>
        <v>6.400209365083378</v>
      </c>
      <c r="G39" s="430">
        <f t="shared" si="2"/>
        <v>5.5318366720697645</v>
      </c>
      <c r="H39" s="13">
        <f t="shared" si="3"/>
        <v>8.3130978070602657E-2</v>
      </c>
      <c r="I39" s="5"/>
      <c r="J39" s="5"/>
      <c r="K39" s="5"/>
      <c r="L39" s="5"/>
      <c r="M39" s="5"/>
      <c r="N39" s="5"/>
      <c r="O39" s="5"/>
      <c r="Q39" s="5"/>
      <c r="R39" s="5"/>
      <c r="S39" s="26"/>
      <c r="T39" s="26"/>
      <c r="U39" s="26"/>
      <c r="V39" s="26"/>
      <c r="W39" s="242"/>
      <c r="X39" s="242"/>
    </row>
    <row r="40" spans="2:24">
      <c r="B40" s="5" t="s">
        <v>381</v>
      </c>
      <c r="C40" s="207"/>
      <c r="D40" s="430">
        <f t="shared" si="2"/>
        <v>12.174020650289206</v>
      </c>
      <c r="E40" s="430">
        <f t="shared" si="2"/>
        <v>10.311814831270963</v>
      </c>
      <c r="F40" s="430">
        <f t="shared" si="2"/>
        <v>9.1330922004761703</v>
      </c>
      <c r="G40" s="430">
        <f t="shared" si="2"/>
        <v>7.8923323413414579</v>
      </c>
      <c r="H40" s="13">
        <f t="shared" si="3"/>
        <v>7.9582372988655781E-2</v>
      </c>
      <c r="I40" s="207"/>
      <c r="J40" s="217"/>
      <c r="K40" s="217"/>
      <c r="L40" s="217"/>
      <c r="M40" s="217"/>
      <c r="N40" s="217"/>
      <c r="O40" s="14"/>
      <c r="Q40" s="5"/>
      <c r="R40" s="5"/>
      <c r="S40" s="26"/>
      <c r="T40" s="26"/>
      <c r="U40" s="26"/>
      <c r="V40" s="26"/>
      <c r="W40" s="242"/>
      <c r="X40" s="242"/>
    </row>
    <row r="41" spans="2:24">
      <c r="B41" s="5" t="s">
        <v>434</v>
      </c>
      <c r="C41" s="207"/>
      <c r="D41" s="430">
        <f t="shared" si="2"/>
        <v>1.6723863959436305</v>
      </c>
      <c r="E41" s="430">
        <f t="shared" si="2"/>
        <v>1.5494256542597338</v>
      </c>
      <c r="F41" s="430">
        <f t="shared" si="2"/>
        <v>1.464290997627411</v>
      </c>
      <c r="G41" s="430">
        <f t="shared" si="2"/>
        <v>1.3684756058991236</v>
      </c>
      <c r="H41" s="13">
        <f t="shared" si="3"/>
        <v>-1.0446345757821884E-3</v>
      </c>
      <c r="I41" s="208"/>
      <c r="J41" s="13"/>
      <c r="K41" s="13"/>
      <c r="L41" s="13"/>
      <c r="M41" s="13"/>
      <c r="N41" s="13"/>
      <c r="O41" s="5"/>
      <c r="Q41" s="5"/>
      <c r="R41" s="5"/>
      <c r="S41" s="26"/>
      <c r="T41" s="26"/>
      <c r="U41" s="26"/>
      <c r="V41" s="26"/>
      <c r="W41" s="242"/>
      <c r="X41" s="242"/>
    </row>
    <row r="42" spans="2:24">
      <c r="B42" s="5" t="s">
        <v>493</v>
      </c>
      <c r="C42" s="207"/>
      <c r="D42" s="430">
        <f>D18/D28</f>
        <v>2.8041933003660917</v>
      </c>
      <c r="E42" s="430">
        <f>E18/E28</f>
        <v>2.6541309342053414</v>
      </c>
      <c r="F42" s="430">
        <f>F18/F28</f>
        <v>2.591035987626225</v>
      </c>
      <c r="G42" s="430">
        <f>G18/G28</f>
        <v>2.5123111059371652</v>
      </c>
      <c r="H42" s="13">
        <f t="shared" si="3"/>
        <v>-3.077545257662806E-2</v>
      </c>
      <c r="I42" s="207"/>
      <c r="J42" s="5"/>
      <c r="K42" s="5"/>
      <c r="L42" s="5"/>
      <c r="M42" s="5"/>
      <c r="N42" s="5"/>
      <c r="O42" s="5"/>
      <c r="Q42" s="5"/>
      <c r="R42" s="5"/>
      <c r="S42" s="26"/>
      <c r="T42" s="26"/>
      <c r="U42" s="26"/>
      <c r="V42" s="26"/>
      <c r="W42" s="242"/>
      <c r="X42" s="242"/>
    </row>
    <row r="43" spans="2:24">
      <c r="B43" s="5" t="s">
        <v>390</v>
      </c>
      <c r="C43" s="207"/>
      <c r="D43" s="430">
        <f>L26/D29</f>
        <v>11.7864173909699</v>
      </c>
      <c r="E43" s="430">
        <f>M26/E29</f>
        <v>9.9988097645090424</v>
      </c>
      <c r="F43" s="430">
        <f>N26/F29</f>
        <v>8.8496103446330814</v>
      </c>
      <c r="G43" s="430">
        <f>O26/G29</f>
        <v>7.8246285556564397</v>
      </c>
      <c r="H43" s="13">
        <f t="shared" si="3"/>
        <v>0.1203891263909862</v>
      </c>
      <c r="I43" s="207"/>
      <c r="J43" s="207"/>
      <c r="K43" s="207"/>
      <c r="L43" s="207"/>
      <c r="M43" s="207"/>
      <c r="N43" s="207"/>
      <c r="O43" s="14"/>
      <c r="Q43" s="5"/>
      <c r="R43" s="5"/>
      <c r="S43" s="26"/>
      <c r="T43" s="26"/>
      <c r="U43" s="26"/>
      <c r="V43" s="26"/>
      <c r="W43" s="255"/>
      <c r="X43" s="255"/>
    </row>
    <row r="44" spans="2:24">
      <c r="B44" s="5" t="s">
        <v>437</v>
      </c>
      <c r="C44" s="53"/>
      <c r="D44" s="430">
        <f>D11/D30</f>
        <v>15.11874244211795</v>
      </c>
      <c r="E44" s="430">
        <f>E11/E30</f>
        <v>11.812039691776022</v>
      </c>
      <c r="F44" s="430">
        <f>F11/F30</f>
        <v>10.174678731181173</v>
      </c>
      <c r="G44" s="430">
        <f>G11/G30</f>
        <v>9.0961177148873595</v>
      </c>
      <c r="H44" s="13">
        <f t="shared" si="3"/>
        <v>0.15928503889771584</v>
      </c>
      <c r="I44" s="208"/>
      <c r="J44" s="208"/>
      <c r="K44" s="208"/>
      <c r="L44" s="208"/>
      <c r="M44" s="208"/>
      <c r="N44" s="208"/>
      <c r="O44" s="208"/>
      <c r="Q44" s="5"/>
      <c r="R44" s="5"/>
      <c r="S44" s="26"/>
      <c r="T44" s="26"/>
      <c r="U44" s="26"/>
      <c r="V44" s="26"/>
      <c r="W44" s="26"/>
      <c r="X44" s="26"/>
    </row>
    <row r="45" spans="2:24">
      <c r="B45" s="5" t="s">
        <v>481</v>
      </c>
      <c r="C45" s="207"/>
      <c r="D45" s="208">
        <f>D31/D11</f>
        <v>3.4831442994489648E-2</v>
      </c>
      <c r="E45" s="208">
        <f>E31/E11</f>
        <v>4.3799282406771396E-2</v>
      </c>
      <c r="F45" s="208">
        <f>F31/F11</f>
        <v>5.0116090375236275E-2</v>
      </c>
      <c r="G45" s="208">
        <f>G31/G11</f>
        <v>5.5658077089138294E-2</v>
      </c>
      <c r="H45" s="13">
        <f t="shared" si="3"/>
        <v>0.14416662668170765</v>
      </c>
      <c r="I45" s="207"/>
      <c r="J45" s="207"/>
      <c r="K45" s="207"/>
      <c r="L45" s="207"/>
      <c r="M45" s="207"/>
      <c r="N45" s="207"/>
      <c r="O45" s="208"/>
      <c r="Q45" s="5"/>
      <c r="R45" s="5"/>
      <c r="S45" s="26"/>
      <c r="T45" s="26"/>
      <c r="U45" s="26"/>
      <c r="V45" s="26"/>
      <c r="W45" s="26"/>
      <c r="X45" s="26"/>
    </row>
    <row r="46" spans="2:24">
      <c r="B46" s="5" t="s">
        <v>505</v>
      </c>
      <c r="C46" s="207"/>
      <c r="D46" s="208">
        <f>(D31+D32)/D11</f>
        <v>4.4874821236054185E-2</v>
      </c>
      <c r="E46" s="208">
        <f>(E31+E32)/E11</f>
        <v>5.9845017507640021E-2</v>
      </c>
      <c r="F46" s="208">
        <f>(F31+F32)/F11</f>
        <v>6.6985997844398154E-2</v>
      </c>
      <c r="G46" s="208">
        <f>(G31+G32)/G11</f>
        <v>7.3726363921145885E-2</v>
      </c>
      <c r="H46" s="233">
        <f>((G31+G32)/(D31+D32))^(1/3)-1</f>
        <v>0.15480962155219324</v>
      </c>
      <c r="I46" s="13"/>
      <c r="J46" s="207"/>
      <c r="K46" s="207"/>
      <c r="L46" s="207"/>
      <c r="M46" s="207"/>
      <c r="N46" s="207"/>
      <c r="O46" s="14"/>
      <c r="Q46" s="5"/>
      <c r="R46" s="5"/>
      <c r="S46" s="26"/>
      <c r="T46" s="26"/>
      <c r="U46" s="26"/>
      <c r="V46" s="26"/>
      <c r="W46" s="26"/>
      <c r="X46" s="26"/>
    </row>
    <row r="47" spans="2:24">
      <c r="B47" s="5" t="s">
        <v>482</v>
      </c>
      <c r="C47" s="5"/>
      <c r="D47" s="208">
        <f>1/D43</f>
        <v>8.4843423309117205E-2</v>
      </c>
      <c r="E47" s="208">
        <f>1/E43</f>
        <v>0.10001190377173874</v>
      </c>
      <c r="F47" s="208">
        <f>1/F43</f>
        <v>0.11299932551340616</v>
      </c>
      <c r="G47" s="208">
        <f>1/G43</f>
        <v>0.12780159376090741</v>
      </c>
      <c r="H47" s="13">
        <f>H29</f>
        <v>0.1203891263909862</v>
      </c>
      <c r="I47" s="207"/>
      <c r="J47" s="208"/>
      <c r="K47" s="208"/>
      <c r="L47" s="208"/>
      <c r="M47" s="208"/>
      <c r="N47" s="208"/>
      <c r="O47" s="208"/>
      <c r="Q47" s="5"/>
      <c r="R47" s="5"/>
      <c r="S47" s="5"/>
      <c r="T47" s="5"/>
      <c r="U47" s="5"/>
    </row>
    <row r="48" spans="2:24">
      <c r="B48" s="5" t="s">
        <v>518</v>
      </c>
      <c r="C48" s="5"/>
      <c r="D48" s="248">
        <f>D31/D29</f>
        <v>0.42922400988273157</v>
      </c>
      <c r="E48" s="248">
        <f>E31/E29</f>
        <v>0.45799388195584056</v>
      </c>
      <c r="F48" s="248">
        <f>F31/F29</f>
        <v>0.46521458585339659</v>
      </c>
      <c r="G48" s="248">
        <f>G31/G29</f>
        <v>0.45713574308505334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90">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B6" s="275"/>
      <c r="I6" s="5"/>
      <c r="J6" s="5"/>
      <c r="K6" s="5"/>
      <c r="L6" s="5"/>
      <c r="M6" s="5"/>
      <c r="N6" s="5"/>
      <c r="O6" s="33"/>
    </row>
    <row r="7" spans="2:63" ht="12.6" thickBot="1">
      <c r="B7" s="249" t="s">
        <v>223</v>
      </c>
      <c r="C7" s="219"/>
      <c r="D7" s="219"/>
      <c r="E7" s="219"/>
      <c r="F7" s="219"/>
      <c r="G7" s="219"/>
      <c r="H7" s="219"/>
      <c r="I7" s="33"/>
      <c r="J7" s="249" t="s">
        <v>27</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CELLULAR'!D37</f>
        <v>2.239709172657927</v>
      </c>
      <c r="M9" s="48">
        <f>'EM CELLULAR'!E37</f>
        <v>1.9919837105195604</v>
      </c>
      <c r="N9" s="48">
        <f>'EM CELLULAR'!F37</f>
        <v>1.7860822104646199</v>
      </c>
      <c r="O9" s="48">
        <f>'EM CELLULAR'!G37</f>
        <v>1.5549525143191023</v>
      </c>
      <c r="P9" s="13">
        <f>'EM CELLULAR'!H37</f>
        <v>5.3451961576052032E-2</v>
      </c>
    </row>
    <row r="10" spans="2:63">
      <c r="B10" s="5" t="s">
        <v>226</v>
      </c>
      <c r="C10" s="5"/>
      <c r="D10" s="258"/>
      <c r="E10" s="258"/>
      <c r="F10" s="258"/>
      <c r="G10" s="258"/>
      <c r="H10" s="207"/>
      <c r="I10" s="207"/>
      <c r="J10" s="5" t="s">
        <v>158</v>
      </c>
      <c r="L10" s="48">
        <f>'EM CELLULAR'!D38</f>
        <v>6.1220764616233714</v>
      </c>
      <c r="M10" s="48">
        <f>'EM CELLULAR'!E38</f>
        <v>5.3795042390333068</v>
      </c>
      <c r="N10" s="48">
        <f>'EM CELLULAR'!F38</f>
        <v>4.6552437207240072</v>
      </c>
      <c r="O10" s="48">
        <f>'EM CELLULAR'!G38</f>
        <v>3.9836210001066563</v>
      </c>
      <c r="P10" s="13">
        <f>'EM CELLULAR'!H38</f>
        <v>7.6457320810068063E-2</v>
      </c>
    </row>
    <row r="11" spans="2:63">
      <c r="B11" s="25" t="s">
        <v>290</v>
      </c>
      <c r="C11" s="5"/>
      <c r="D11" s="225">
        <f>AAF!D11 + VIMP!D11+(MTN!D11/Prices!$C$150)+(VODA!D11/Prices!$C$150)+(SAF!D11/Prices!$C$159)</f>
        <v>71300.548483729275</v>
      </c>
      <c r="E11" s="225">
        <f>AAF!E11 + VIMP!E11+(MTN!E11/Prices!$C$150)+(VODA!E11/Prices!$C$150)+(SAF!E11/Prices!$C$159)</f>
        <v>70877.644414185808</v>
      </c>
      <c r="F11" s="225">
        <f>AAF!F11 + VIMP!F11+(MTN!F11/Prices!$C$150)+(VODA!F11/Prices!$C$150)+(SAF!F11/Prices!$C$159)</f>
        <v>70454.74034464237</v>
      </c>
      <c r="G11" s="225">
        <f>AAF!G11 + VIMP!G11+(MTN!G11/Prices!$C$150)+(VODA!G11/Prices!$C$150)+(SAF!G11/Prices!$C$159)</f>
        <v>70037.048919868233</v>
      </c>
      <c r="H11" s="209"/>
      <c r="I11" s="209"/>
      <c r="J11" s="5" t="s">
        <v>159</v>
      </c>
      <c r="L11" s="48">
        <f>'EM CELLULAR'!D39</f>
        <v>10.433086026607876</v>
      </c>
      <c r="M11" s="48">
        <f>'EM CELLULAR'!E39</f>
        <v>8.8988378278018754</v>
      </c>
      <c r="N11" s="48">
        <f>'EM CELLULAR'!F39</f>
        <v>7.3589044668838444</v>
      </c>
      <c r="O11" s="48">
        <f>'EM CELLULAR'!G39</f>
        <v>6.1226973075467326</v>
      </c>
      <c r="P11" s="13">
        <f>'EM CELLULAR'!H39</f>
        <v>0.11415745332884453</v>
      </c>
    </row>
    <row r="12" spans="2:63">
      <c r="B12" s="5" t="s">
        <v>191</v>
      </c>
      <c r="C12" s="209"/>
      <c r="D12" s="188">
        <f>AAF!D12 + VIMP!D12+(MTN!D12/Prices!$C$150)+(VODA!D12/Prices!$C$150)+(SAF!D12/Prices!$C$159)</f>
        <v>10267.93394219589</v>
      </c>
      <c r="E12" s="188">
        <f>AAF!E12 + VIMP!E12+(MTN!E12/Prices!$C$150)+(VODA!E12/Prices!$C$150)+(SAF!E12/Prices!$C$159)</f>
        <v>10125.857846906523</v>
      </c>
      <c r="F12" s="188">
        <f>AAF!F12 + VIMP!F12+(MTN!F12/Prices!$C$150)+(VODA!F12/Prices!$C$150)+(SAF!F12/Prices!$C$159)</f>
        <v>7637.5320451425932</v>
      </c>
      <c r="G12" s="188">
        <f>AAF!G12 + VIMP!G12+(MTN!G12/Prices!$C$150)+(VODA!G12/Prices!$C$150)+(SAF!G12/Prices!$C$159)</f>
        <v>4949.6964105098368</v>
      </c>
      <c r="H12" s="207"/>
      <c r="I12" s="207"/>
      <c r="J12" s="5" t="s">
        <v>381</v>
      </c>
      <c r="L12" s="48">
        <f>'EM CELLULAR'!D40</f>
        <v>13.552484405676964</v>
      </c>
      <c r="M12" s="48">
        <f>'EM CELLULAR'!E40</f>
        <v>11.645452796226719</v>
      </c>
      <c r="N12" s="48">
        <f>'EM CELLULAR'!F40</f>
        <v>9.6817606816492958</v>
      </c>
      <c r="O12" s="48">
        <f>'EM CELLULAR'!G40</f>
        <v>8.0595976726627114</v>
      </c>
      <c r="P12" s="13">
        <f>'EM CELLULAR'!H40</f>
        <v>0.10923889124747621</v>
      </c>
    </row>
    <row r="13" spans="2:63">
      <c r="B13" s="5" t="s">
        <v>433</v>
      </c>
      <c r="C13" s="216"/>
      <c r="D13" s="188">
        <f>AAF!D13 + VIMP!D13+(MTN!D13/Prices!$C$150)+(VODA!D13/Prices!$C$150)+(SAF!D13/Prices!$C$159)</f>
        <v>6760.1846935813337</v>
      </c>
      <c r="E13" s="188">
        <f>AAF!E13 + VIMP!E13+(MTN!E13/Prices!$C$150)+(VODA!E13/Prices!$C$150)+(SAF!E13/Prices!$C$159)</f>
        <v>6760.1846935813337</v>
      </c>
      <c r="F13" s="188">
        <f>AAF!F13 + VIMP!F13+(MTN!F13/Prices!$C$150)+(VODA!F13/Prices!$C$150)+(SAF!F13/Prices!$C$159)</f>
        <v>6760.1846935813337</v>
      </c>
      <c r="G13" s="188">
        <f>AAF!G13 + VIMP!G13+(MTN!G13/Prices!$C$150)+(VODA!G13/Prices!$C$150)+(SAF!G13/Prices!$C$159)</f>
        <v>6760.1846935813337</v>
      </c>
      <c r="H13" s="207"/>
      <c r="I13" s="207"/>
      <c r="J13" s="5" t="s">
        <v>434</v>
      </c>
      <c r="L13" s="48">
        <f>'EM CELLULAR'!D41</f>
        <v>1.7316281819454988</v>
      </c>
      <c r="M13" s="48">
        <f>'EM CELLULAR'!E41</f>
        <v>1.6274347173545567</v>
      </c>
      <c r="N13" s="48">
        <f>'EM CELLULAR'!F41</f>
        <v>1.5075313204539067</v>
      </c>
      <c r="O13" s="48">
        <f>'EM CELLULAR'!G41</f>
        <v>1.3807838715614738</v>
      </c>
      <c r="P13" s="13">
        <f>'EM CELLULAR'!H41</f>
        <v>5.92642475520333E-3</v>
      </c>
    </row>
    <row r="14" spans="2:63">
      <c r="B14" s="5" t="s">
        <v>436</v>
      </c>
      <c r="C14" s="228"/>
      <c r="D14" s="188">
        <f>AAF!D14 + VIMP!D14+(MTN!D14/Prices!$C$150)+(VODA!D14/Prices!$C$150)+(SAF!D14/Prices!$C$159)</f>
        <v>4040.1480436719403</v>
      </c>
      <c r="E14" s="188">
        <f>AAF!E14 + VIMP!E14+(MTN!E14/Prices!$C$150)+(VODA!E14/Prices!$C$150)+(SAF!E14/Prices!$C$159)</f>
        <v>4040.1480436719403</v>
      </c>
      <c r="F14" s="188">
        <f>AAF!F14 + VIMP!F14+(MTN!F14/Prices!$C$150)+(VODA!F14/Prices!$C$150)+(SAF!F14/Prices!$C$159)</f>
        <v>4040.1480436719403</v>
      </c>
      <c r="G14" s="188">
        <f>AAF!G14 + VIMP!G14+(MTN!G14/Prices!$C$150)+(VODA!G14/Prices!$C$150)+(SAF!G14/Prices!$C$159)</f>
        <v>4040.1480436719403</v>
      </c>
      <c r="H14" s="207"/>
      <c r="I14" s="207"/>
      <c r="J14" s="5" t="s">
        <v>493</v>
      </c>
      <c r="L14" s="48">
        <f>'EM CELLULAR'!D42</f>
        <v>2.8476078348824898</v>
      </c>
      <c r="M14" s="48">
        <f>'EM CELLULAR'!E42</f>
        <v>2.7389386672761598</v>
      </c>
      <c r="N14" s="48">
        <f>'EM CELLULAR'!F42</f>
        <v>2.6614191649071781</v>
      </c>
      <c r="O14" s="48">
        <f>'EM CELLULAR'!G42</f>
        <v>2.498938826921691</v>
      </c>
      <c r="P14" s="13">
        <f>'EM CELLULAR'!H42</f>
        <v>-2.5687917394514592E-2</v>
      </c>
    </row>
    <row r="15" spans="2:63">
      <c r="B15" s="5" t="s">
        <v>435</v>
      </c>
      <c r="C15" s="216"/>
      <c r="D15" s="188">
        <f>AAF!D15 + VIMP!D15+(MTN!D15/Prices!$C$150)+(VODA!D15/Prices!$C$150)+(SAF!D15/Prices!$C$159)</f>
        <v>12548.403162061337</v>
      </c>
      <c r="E15" s="188">
        <f>AAF!E15 + VIMP!E15+(MTN!E15/Prices!$C$150)+(VODA!E15/Prices!$C$150)+(SAF!E15/Prices!$C$159)</f>
        <v>12548.403162061337</v>
      </c>
      <c r="F15" s="188">
        <f>AAF!F15 + VIMP!F15+(MTN!F15/Prices!$C$150)+(VODA!F15/Prices!$C$150)+(SAF!F15/Prices!$C$159)</f>
        <v>12548.403162061337</v>
      </c>
      <c r="G15" s="188">
        <f>AAF!G15 + VIMP!G15+(MTN!G15/Prices!$C$150)+(VODA!G15/Prices!$C$150)+(SAF!G15/Prices!$C$159)</f>
        <v>12548.403162061337</v>
      </c>
      <c r="H15" s="207"/>
      <c r="I15" s="207"/>
      <c r="J15" s="5" t="s">
        <v>390</v>
      </c>
      <c r="L15" s="48">
        <f>'EM CELLULAR'!D43</f>
        <v>18.381101039950888</v>
      </c>
      <c r="M15" s="48">
        <f>'EM CELLULAR'!E43</f>
        <v>15.028892583111164</v>
      </c>
      <c r="N15" s="48">
        <f>'EM CELLULAR'!F43</f>
        <v>13.137557719627742</v>
      </c>
      <c r="O15" s="48">
        <f>'EM CELLULAR'!G43</f>
        <v>11.750300540337538</v>
      </c>
      <c r="P15" s="13">
        <f>'EM CELLULAR'!H43</f>
        <v>0.15850771455356516</v>
      </c>
    </row>
    <row r="16" spans="2:63">
      <c r="B16" s="5" t="s">
        <v>438</v>
      </c>
      <c r="C16" s="216"/>
      <c r="D16" s="188">
        <f>AAF!D16 + VIMP!D16+(MTN!D16/Prices!$C$150)+(VODA!D16/Prices!$C$150)+(SAF!D16/Prices!$C$159)</f>
        <v>179.01553391928798</v>
      </c>
      <c r="E16" s="188">
        <f>AAF!E16 + VIMP!E16+(MTN!E16/Prices!$C$150)+(VODA!E16/Prices!$C$150)+(SAF!E16/Prices!$C$159)</f>
        <v>2417.5385661549944</v>
      </c>
      <c r="F16" s="188">
        <f>AAF!F16 + VIMP!F16+(MTN!F16/Prices!$C$150)+(VODA!F16/Prices!$C$150)+(SAF!F16/Prices!$C$159)</f>
        <v>5606.6187139287667</v>
      </c>
      <c r="G16" s="188">
        <f>AAF!G16 + VIMP!G16+(MTN!G16/Prices!$C$150)+(VODA!G16/Prices!$C$150)+(SAF!G16/Prices!$C$159)</f>
        <v>9492.4131653777313</v>
      </c>
      <c r="H16" s="207"/>
      <c r="I16" s="207"/>
      <c r="J16" s="5" t="s">
        <v>437</v>
      </c>
      <c r="L16" s="48">
        <f>'EM CELLULAR'!D44</f>
        <v>16.43937684695549</v>
      </c>
      <c r="M16" s="48">
        <f>'EM CELLULAR'!E44</f>
        <v>14.058003846915186</v>
      </c>
      <c r="N16" s="48">
        <f>'EM CELLULAR'!F44</f>
        <v>12.117032841381851</v>
      </c>
      <c r="O16" s="48">
        <f>'EM CELLULAR'!G44</f>
        <v>10.664032838564383</v>
      </c>
      <c r="P16" s="13">
        <f>'EM CELLULAR'!H44</f>
        <v>0.1529577493733687</v>
      </c>
    </row>
    <row r="17" spans="2:24">
      <c r="B17" s="5" t="s">
        <v>4</v>
      </c>
      <c r="C17" s="216"/>
      <c r="D17" s="188">
        <f>AAF!D17 + VIMP!D17+(MTN!D17/Prices!$C$150)+(VODA!D17/Prices!$C$150)+(SAF!D17/Prices!$C$159)</f>
        <v>0</v>
      </c>
      <c r="E17" s="188">
        <f>AAF!E17 + VIMP!E17+(MTN!E17/Prices!$C$150)+(VODA!E17/Prices!$C$150)+(SAF!E17/Prices!$C$159)</f>
        <v>0</v>
      </c>
      <c r="F17" s="188">
        <f>AAF!F17 + VIMP!F17+(MTN!F17/Prices!$C$150)+(VODA!F17/Prices!$C$150)+(SAF!F17/Prices!$C$159)</f>
        <v>0</v>
      </c>
      <c r="G17" s="188">
        <f>AAF!G17 + VIMP!G17+(MTN!G17/Prices!$C$150)+(VODA!G17/Prices!$C$150)+(SAF!G17/Prices!$C$159)</f>
        <v>0</v>
      </c>
      <c r="H17" s="207"/>
      <c r="I17" s="207"/>
      <c r="J17" s="5" t="s">
        <v>481</v>
      </c>
      <c r="L17" s="208">
        <f>'EM CELLULAR'!D45</f>
        <v>4.4773753286733282E-2</v>
      </c>
      <c r="M17" s="208">
        <f>'EM CELLULAR'!E45</f>
        <v>5.1270510042755547E-2</v>
      </c>
      <c r="N17" s="208">
        <f>'EM CELLULAR'!F45</f>
        <v>5.7757402808661602E-2</v>
      </c>
      <c r="O17" s="208">
        <f>'EM CELLULAR'!G45</f>
        <v>6.4371917923240166E-2</v>
      </c>
      <c r="P17" s="13">
        <f>'EM CELLULAR'!H45</f>
        <v>0.12646166295875116</v>
      </c>
      <c r="S17" s="72"/>
      <c r="T17" s="72"/>
      <c r="U17" s="72"/>
      <c r="V17" s="26"/>
      <c r="W17" s="26"/>
      <c r="X17" s="26"/>
    </row>
    <row r="18" spans="2:24" ht="12.6" thickBot="1">
      <c r="B18" s="25" t="s">
        <v>291</v>
      </c>
      <c r="C18" s="209"/>
      <c r="D18" s="229">
        <f>AAF!D18 + VIMP!D18+(MTN!D18/Prices!$C$150)+(VODA!D18/Prices!$C$150)+(SAF!D18/Prices!$C$159)</f>
        <v>96657.906703976623</v>
      </c>
      <c r="E18" s="229">
        <f>AAF!E18 + VIMP!E18+(MTN!E18/Prices!$C$150)+(VODA!E18/Prices!$C$150)+(SAF!E18/Prices!$C$159)</f>
        <v>93854.403506908071</v>
      </c>
      <c r="F18" s="229">
        <f>AAF!F18 + VIMP!F18+(MTN!F18/Prices!$C$150)+(VODA!F18/Prices!$C$150)+(SAF!F18/Prices!$C$159)</f>
        <v>87754.093487826933</v>
      </c>
      <c r="G18" s="229">
        <f>AAF!G18 + VIMP!G18+(MTN!G18/Prices!$C$150)+(VODA!G18/Prices!$C$150)+(SAF!G18/Prices!$C$159)</f>
        <v>80762.771976971067</v>
      </c>
      <c r="H18" s="230">
        <f>IF(D18=0,"nm",IF(G18=0,"nm",(G18/D18)^(1/3)-1))</f>
        <v>-5.8129321502576436E-2</v>
      </c>
      <c r="I18" s="214"/>
      <c r="J18" s="5" t="s">
        <v>33</v>
      </c>
      <c r="L18" s="208">
        <f>'EM CELLULAR'!D46</f>
        <v>4.4631599349891395E-2</v>
      </c>
      <c r="M18" s="208">
        <f>'EM CELLULAR'!E46</f>
        <v>4.0585362540698167E-2</v>
      </c>
      <c r="N18" s="208">
        <f>'EM CELLULAR'!F46</f>
        <v>5.9791635569141438E-2</v>
      </c>
      <c r="O18" s="208">
        <f>'EM CELLULAR'!G46</f>
        <v>6.4959566810449218E-2</v>
      </c>
      <c r="P18" s="13">
        <f>'EM CELLULAR'!H46</f>
        <v>0.13107739688292019</v>
      </c>
      <c r="S18" s="72"/>
      <c r="T18" s="72"/>
      <c r="U18" s="72"/>
      <c r="V18" s="26"/>
      <c r="W18" s="26"/>
      <c r="X18" s="26"/>
    </row>
    <row r="19" spans="2:24" ht="12.6" thickTop="1">
      <c r="B19" s="25"/>
      <c r="C19" s="209"/>
      <c r="D19" s="189"/>
      <c r="E19" s="189"/>
      <c r="F19" s="189"/>
      <c r="G19" s="189"/>
      <c r="H19" s="230"/>
      <c r="I19" s="13"/>
      <c r="J19" s="5" t="s">
        <v>482</v>
      </c>
      <c r="L19" s="208">
        <f>'EM CELLULAR'!D47</f>
        <v>5.4403705078739498E-2</v>
      </c>
      <c r="M19" s="208">
        <f>'EM CELLULAR'!E47</f>
        <v>6.6538502053288873E-2</v>
      </c>
      <c r="N19" s="208">
        <f>'EM CELLULAR'!F47</f>
        <v>7.6117648450440861E-2</v>
      </c>
      <c r="O19" s="208">
        <f>'EM CELLULAR'!G47</f>
        <v>8.5104206191757042E-2</v>
      </c>
      <c r="P19" s="13">
        <f>'EM CELLULAR'!H47</f>
        <v>0.15850771455356516</v>
      </c>
      <c r="S19" s="72"/>
      <c r="T19" s="72"/>
      <c r="U19" s="72"/>
      <c r="V19" s="26"/>
      <c r="W19" s="26"/>
      <c r="X19" s="26"/>
    </row>
    <row r="20" spans="2:24">
      <c r="H20" s="231"/>
      <c r="I20" s="33"/>
      <c r="J20" s="5" t="s">
        <v>504</v>
      </c>
      <c r="L20" s="208">
        <f>'EM CELLULAR'!D48</f>
        <v>0.82969409531968419</v>
      </c>
      <c r="M20" s="208">
        <f>'EM CELLULAR'!E48</f>
        <v>0.77670729011082085</v>
      </c>
      <c r="N20" s="208">
        <f>'EM CELLULAR'!F48</f>
        <v>0.76519916663593923</v>
      </c>
      <c r="O20" s="208">
        <f>'EM CELLULAR'!G48</f>
        <v>0.76272934690556904</v>
      </c>
      <c r="P20" s="13" t="str">
        <f>'EM CELLULAR'!H48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AAF!C23+VIMP!C23+(MTN!C23/Prices!$C$150)+(VODA!C23/Prices!$C$150)+(SAF!C23/Prices!$C$159)</f>
        <v>32398.945428668681</v>
      </c>
      <c r="D23" s="188">
        <f>AAF!D23+VIMP!D23+(MTN!D23/Prices!$C$150)+(VODA!D23/Prices!$C$150)+(SAF!D23/Prices!$C$159)</f>
        <v>36893.350501388988</v>
      </c>
      <c r="E23" s="188">
        <f>AAF!E23+VIMP!E23+(MTN!E23/Prices!$C$150)+(VODA!E23/Prices!$C$150)+(SAF!E23/Prices!$C$159)</f>
        <v>44651.254319694468</v>
      </c>
      <c r="F23" s="188">
        <f>AAF!F23+VIMP!F23+(MTN!F23/Prices!$C$150)+(VODA!F23/Prices!$C$150)+(SAF!F23/Prices!$C$159)</f>
        <v>49653.882626124156</v>
      </c>
      <c r="G23" s="188">
        <f>AAF!G23+VIMP!G23+(MTN!G23/Prices!$C$150)+(VODA!G23/Prices!$C$150)+(SAF!G23/Prices!$C$159)</f>
        <v>54167.681013100628</v>
      </c>
      <c r="H23" s="233">
        <f t="shared" ref="H23:H33" si="0">IF(D23=0,"nm",IF(G23=0,"nm",(G23/D23)^(1/3)-1))</f>
        <v>0.13657312279124967</v>
      </c>
      <c r="I23" s="209"/>
      <c r="J23" s="249" t="s">
        <v>7</v>
      </c>
      <c r="K23" s="249"/>
      <c r="L23" s="219" t="str">
        <f>L5</f>
        <v>2025E</v>
      </c>
      <c r="M23" s="219" t="str">
        <f>M5</f>
        <v>2026E</v>
      </c>
      <c r="N23" s="219" t="str">
        <f>N5</f>
        <v>2027E</v>
      </c>
      <c r="O23" s="219" t="str">
        <f>O5</f>
        <v>2028E</v>
      </c>
      <c r="P23" s="236" t="str">
        <f>P5</f>
        <v>2025-28</v>
      </c>
      <c r="S23" s="26"/>
      <c r="T23" s="26"/>
      <c r="U23" s="26"/>
      <c r="V23" s="26"/>
      <c r="W23" s="26" t="s">
        <v>464</v>
      </c>
      <c r="X23" s="26" t="s">
        <v>465</v>
      </c>
    </row>
    <row r="24" spans="2:24" ht="12.6" thickTop="1">
      <c r="B24" s="5" t="s">
        <v>397</v>
      </c>
      <c r="C24" s="288">
        <f>AAF!C24+VIMP!C24+(MTN!C24/Prices!$C$150)+(VODA!C24/Prices!$C$150)+(SAF!C24/Prices!$C$159)</f>
        <v>10101.452466066266</v>
      </c>
      <c r="D24" s="188">
        <f>AAF!D24+VIMP!D24+(MTN!D24/Prices!$C$150)+(VODA!D24/Prices!$C$150)+(SAF!D24/Prices!$C$159)</f>
        <v>13053.159908121284</v>
      </c>
      <c r="E24" s="188">
        <f>AAF!E24+VIMP!E24+(MTN!E24/Prices!$C$150)+(VODA!E24/Prices!$C$150)+(SAF!E24/Prices!$C$159)</f>
        <v>15244.920320081954</v>
      </c>
      <c r="F24" s="188">
        <f>AAF!F24+VIMP!F24+(MTN!F24/Prices!$C$150)+(VODA!F24/Prices!$C$150)+(SAF!F24/Prices!$C$159)</f>
        <v>19571.725130758998</v>
      </c>
      <c r="G24" s="188">
        <f>AAF!G24+VIMP!G24+(MTN!G24/Prices!$C$150)+(VODA!G24/Prices!$C$150)+(SAF!G24/Prices!$C$159)</f>
        <v>21852.201777917508</v>
      </c>
      <c r="H24" s="233">
        <f t="shared" si="0"/>
        <v>0.18738943723674595</v>
      </c>
      <c r="I24" s="208"/>
      <c r="J24" s="13"/>
      <c r="K24" s="13"/>
      <c r="L24" s="13"/>
      <c r="M24" s="13"/>
      <c r="N24" s="13"/>
      <c r="O24" s="208"/>
      <c r="S24" s="26"/>
      <c r="T24" s="26"/>
      <c r="U24" s="26"/>
      <c r="V24" s="113" t="s">
        <v>225</v>
      </c>
      <c r="W24" s="242">
        <f t="shared" ref="W24:W29" si="1">E37/M9</f>
        <v>1.0552010333886268</v>
      </c>
      <c r="X24" s="242">
        <v>1</v>
      </c>
    </row>
    <row r="25" spans="2:24">
      <c r="B25" s="5" t="s">
        <v>157</v>
      </c>
      <c r="C25" s="288">
        <f>AAF!C25+VIMP!C25+(MTN!C25/Prices!$C$150)+(VODA!C25/Prices!$C$150)+(SAF!C25/Prices!$C$159)</f>
        <v>4762.8012310782469</v>
      </c>
      <c r="D25" s="188">
        <f>AAF!D25+VIMP!D25+(MTN!D25/Prices!$C$150)+(VODA!D25/Prices!$C$150)+(SAF!D25/Prices!$C$159)</f>
        <v>7016.3665966461067</v>
      </c>
      <c r="E25" s="188">
        <f>AAF!E25+VIMP!E25+(MTN!E25/Prices!$C$150)+(VODA!E25/Prices!$C$150)+(SAF!E25/Prices!$C$159)</f>
        <v>8040.790573056187</v>
      </c>
      <c r="F25" s="188">
        <f>AAF!F25+VIMP!F25+(MTN!F25/Prices!$C$150)+(VODA!F25/Prices!$C$150)+(SAF!F25/Prices!$C$159)</f>
        <v>11779.612621271041</v>
      </c>
      <c r="G25" s="188">
        <f>AAF!G25+VIMP!G25+(MTN!G25/Prices!$C$150)+(VODA!G25/Prices!$C$150)+(SAF!G25/Prices!$C$159)</f>
        <v>13498.033609047941</v>
      </c>
      <c r="H25" s="233">
        <f t="shared" si="0"/>
        <v>0.24371081525857741</v>
      </c>
      <c r="I25" s="209"/>
      <c r="J25" s="207" t="s">
        <v>8</v>
      </c>
      <c r="K25" s="207"/>
      <c r="L25" s="258">
        <f>AAF!L25+VIMP!L25+(MTN!L25/Prices!$C$150)+(VODA!L25/Prices!$C$150)+(SAF!L25/Prices!$C$159)</f>
        <v>0</v>
      </c>
      <c r="M25" s="258">
        <f>AAF!M25+VIMP!M25+(MTN!M25/Prices!$C$150)+(VODA!M25/Prices!$C$150)+(SAF!M25/Prices!$C$159)</f>
        <v>0</v>
      </c>
      <c r="N25" s="258">
        <f>AAF!N25+VIMP!N25+(MTN!N25/Prices!$C$150)+(VODA!N25/Prices!$C$150)+(SAF!N25/Prices!$C$159)</f>
        <v>0</v>
      </c>
      <c r="O25" s="258">
        <f>AAF!O25+VIMP!O25+(MTN!O25/Prices!$C$150)+(VODA!O25/Prices!$C$150)+(SAF!O25/Prices!$C$159)</f>
        <v>0</v>
      </c>
      <c r="P25" s="233" t="str">
        <f>IF(L25=0,"nm",IF(O25=0,"nm",(O25/L25)^(1/3)-1))</f>
        <v>nm</v>
      </c>
      <c r="Q25" s="5"/>
      <c r="S25" s="26"/>
      <c r="T25" s="26"/>
      <c r="U25" s="26"/>
      <c r="V25" s="113" t="s">
        <v>158</v>
      </c>
      <c r="W25" s="242">
        <f t="shared" si="1"/>
        <v>1.1444247485815402</v>
      </c>
      <c r="X25" s="242">
        <v>1</v>
      </c>
    </row>
    <row r="26" spans="2:24">
      <c r="B26" s="5" t="s">
        <v>487</v>
      </c>
      <c r="C26" s="288">
        <f>AAF!C26+VIMP!C26+(MTN!C26/Prices!$C$150)+(VODA!C26/Prices!$C$150)+(SAF!C26/Prices!$C$159)</f>
        <v>3317.8492721716257</v>
      </c>
      <c r="D26" s="188">
        <f>AAF!D26+VIMP!D26+(MTN!D26/Prices!$C$150)+(VODA!D26/Prices!$C$150)+(SAF!D26/Prices!$C$159)</f>
        <v>4933.6444076077778</v>
      </c>
      <c r="E26" s="188">
        <f>AAF!E26+VIMP!E26+(MTN!E26/Prices!$C$150)+(VODA!E26/Prices!$C$150)+(SAF!E26/Prices!$C$159)</f>
        <v>5565.3902223800324</v>
      </c>
      <c r="F26" s="188">
        <f>AAF!F26+VIMP!F26+(MTN!F26/Prices!$C$150)+(VODA!F26/Prices!$C$150)+(SAF!F26/Prices!$C$159)</f>
        <v>8228.5491910810542</v>
      </c>
      <c r="G26" s="188">
        <f>AAF!G26+VIMP!G26+(MTN!G26/Prices!$C$150)+(VODA!G26/Prices!$C$150)+(SAF!G26/Prices!$C$159)</f>
        <v>9437.8719484606954</v>
      </c>
      <c r="H26" s="233">
        <f t="shared" si="0"/>
        <v>0.24137238116561188</v>
      </c>
      <c r="I26" s="209"/>
      <c r="J26" s="209" t="s">
        <v>9</v>
      </c>
      <c r="K26" s="209"/>
      <c r="L26" s="235">
        <f>AAF!L26+VIMP!L26+(MTN!L26/Prices!$C$150)+(VODA!L26/Prices!$C$150)+(SAF!L26/Prices!$C$159)</f>
        <v>71300.548483729275</v>
      </c>
      <c r="M26" s="235">
        <f>AAF!M26+VIMP!M26+(MTN!M26/Prices!$C$150)+(VODA!M26/Prices!$C$150)+(SAF!M26/Prices!$C$159)</f>
        <v>70877.644414185808</v>
      </c>
      <c r="N26" s="235">
        <f>AAF!N26+VIMP!N26+(MTN!N26/Prices!$C$150)+(VODA!N26/Prices!$C$150)+(SAF!N26/Prices!$C$159)</f>
        <v>70454.74034464237</v>
      </c>
      <c r="O26" s="235">
        <f>AAF!O26+VIMP!O26+(MTN!O26/Prices!$C$150)+(VODA!O26/Prices!$C$150)+(SAF!O26/Prices!$C$159)</f>
        <v>70037.048919868233</v>
      </c>
      <c r="P26" s="233">
        <f>IF(L26=0,"nm",IF(O26=0,"nm",(O26/L26)^(1/3)-1))</f>
        <v>-5.9421576936141696E-3</v>
      </c>
      <c r="Q26" s="25"/>
      <c r="S26" s="26"/>
      <c r="T26" s="26"/>
      <c r="U26" s="26"/>
      <c r="V26" s="113" t="s">
        <v>159</v>
      </c>
      <c r="W26" s="242">
        <f t="shared" si="1"/>
        <v>1.3116640354888549</v>
      </c>
      <c r="X26" s="242">
        <v>1</v>
      </c>
    </row>
    <row r="27" spans="2:24">
      <c r="B27" s="5" t="s">
        <v>488</v>
      </c>
      <c r="C27" s="288">
        <f>AAF!C27+VIMP!C27+(MTN!C27/Prices!$C$150)+(VODA!C27/Prices!$C$150)+(SAF!C27/Prices!$C$159)</f>
        <v>37072.823966272372</v>
      </c>
      <c r="D27" s="188">
        <f>AAF!D27+VIMP!D27+(MTN!D27/Prices!$C$150)+(VODA!D27/Prices!$C$150)+(SAF!D27/Prices!$C$159)</f>
        <v>38769.859414081657</v>
      </c>
      <c r="E27" s="188">
        <f>AAF!E27+VIMP!E27+(MTN!E27/Prices!$C$150)+(VODA!E27/Prices!$C$150)+(SAF!E27/Prices!$C$159)</f>
        <v>43662.750497203597</v>
      </c>
      <c r="F27" s="188">
        <f>AAF!F27+VIMP!F27+(MTN!F27/Prices!$C$150)+(VODA!F27/Prices!$C$150)+(SAF!F27/Prices!$C$159)</f>
        <v>43574.95998533933</v>
      </c>
      <c r="G27" s="188">
        <f>AAF!G27+VIMP!G27+(MTN!G27/Prices!$C$150)+(VODA!G27/Prices!$C$150)+(SAF!G27/Prices!$C$159)</f>
        <v>45324.731249444747</v>
      </c>
      <c r="H27" s="233">
        <f t="shared" si="0"/>
        <v>5.3449376644030044E-2</v>
      </c>
      <c r="I27" s="208"/>
      <c r="J27" s="208"/>
      <c r="K27" s="208"/>
      <c r="L27" s="208"/>
      <c r="M27" s="208"/>
      <c r="N27" s="208"/>
      <c r="O27" s="208"/>
      <c r="Q27" s="5"/>
      <c r="S27" s="26"/>
      <c r="T27" s="26"/>
      <c r="U27" s="26"/>
      <c r="V27" s="113" t="s">
        <v>381</v>
      </c>
      <c r="W27" s="242">
        <f t="shared" si="1"/>
        <v>1.448113671984161</v>
      </c>
      <c r="X27" s="242">
        <v>1</v>
      </c>
    </row>
    <row r="28" spans="2:24" ht="12.6" thickBot="1">
      <c r="B28" s="5" t="s">
        <v>492</v>
      </c>
      <c r="C28" s="288">
        <f>AAF!C28+VIMP!C28+(MTN!C28/Prices!$C$150)+(VODA!C28/Prices!$C$150)+(SAF!C28/Prices!$C$159)</f>
        <v>26069.441213792456</v>
      </c>
      <c r="D28" s="188">
        <f>AAF!D28+VIMP!D28+(MTN!D28/Prices!$C$150)+(VODA!D28/Prices!$C$150)+(SAF!D28/Prices!$C$159)</f>
        <v>29654.353692219829</v>
      </c>
      <c r="E28" s="188">
        <f>AAF!E28+VIMP!E28+(MTN!E28/Prices!$C$150)+(VODA!E28/Prices!$C$150)+(SAF!E28/Prices!$C$159)</f>
        <v>34013.686107837457</v>
      </c>
      <c r="F28" s="188">
        <f>AAF!F28+VIMP!F28+(MTN!F28/Prices!$C$150)+(VODA!F28/Prices!$C$150)+(SAF!F28/Prices!$C$159)</f>
        <v>36084.118750003618</v>
      </c>
      <c r="G28" s="188">
        <f>AAF!G28+VIMP!G28+(MTN!G28/Prices!$C$150)+(VODA!G28/Prices!$C$150)+(SAF!G28/Prices!$C$159)</f>
        <v>38407.90142044118</v>
      </c>
      <c r="H28" s="233">
        <f t="shared" si="0"/>
        <v>9.004402418470403E-2</v>
      </c>
      <c r="I28" s="212"/>
      <c r="J28" s="249" t="s">
        <v>628</v>
      </c>
      <c r="K28" s="249"/>
      <c r="L28" s="249"/>
      <c r="M28" s="249"/>
      <c r="N28" s="220"/>
      <c r="O28" s="220"/>
      <c r="P28" s="220"/>
      <c r="Q28" s="5"/>
      <c r="S28" s="26"/>
      <c r="T28" s="26"/>
      <c r="U28" s="26"/>
      <c r="V28" s="113" t="s">
        <v>434</v>
      </c>
      <c r="W28" s="242">
        <f t="shared" si="1"/>
        <v>1.3208089018085509</v>
      </c>
      <c r="X28" s="242">
        <v>1</v>
      </c>
    </row>
    <row r="29" spans="2:24" ht="12.6" thickTop="1">
      <c r="B29" s="5" t="s">
        <v>489</v>
      </c>
      <c r="C29" s="288">
        <f>AAF!C29+VIMP!C29+(MTN!C29/Prices!$C$150)+(VODA!C29/Prices!$C$150)+(SAF!C29/Prices!$C$159)</f>
        <v>128.52676792039205</v>
      </c>
      <c r="D29" s="188">
        <f>AAF!D29+VIMP!D29+(MTN!D29/Prices!$C$150)+(VODA!D29/Prices!$C$150)+(SAF!D29/Prices!$C$159)</f>
        <v>3040.5136904935607</v>
      </c>
      <c r="E29" s="188">
        <f>AAF!E29+VIMP!E29+(MTN!E29/Prices!$C$150)+(VODA!E29/Prices!$C$150)+(SAF!E29/Prices!$C$159)</f>
        <v>4599.352283024471</v>
      </c>
      <c r="F29" s="188">
        <f>AAF!F29+VIMP!F29+(MTN!F29/Prices!$C$150)+(VODA!F29/Prices!$C$150)+(SAF!F29/Prices!$C$159)</f>
        <v>5715.7932208188668</v>
      </c>
      <c r="G29" s="188">
        <f>AAF!G29+VIMP!G29+(MTN!G29/Prices!$C$150)+(VODA!G29/Prices!$C$150)+(SAF!G29/Prices!$C$159)</f>
        <v>6667.8166789338084</v>
      </c>
      <c r="H29" s="233">
        <f t="shared" si="0"/>
        <v>0.29920862771021017</v>
      </c>
      <c r="I29" s="214"/>
      <c r="J29" s="209"/>
      <c r="K29" s="209"/>
      <c r="L29" s="209"/>
      <c r="M29" s="209"/>
      <c r="N29" s="209"/>
      <c r="O29" s="211"/>
      <c r="Q29" s="5"/>
      <c r="S29" s="26"/>
      <c r="T29" s="26"/>
      <c r="U29" s="26"/>
      <c r="V29" s="113" t="s">
        <v>493</v>
      </c>
      <c r="W29" s="242">
        <f t="shared" si="1"/>
        <v>1.0074387397445075</v>
      </c>
      <c r="X29" s="242">
        <v>1</v>
      </c>
    </row>
    <row r="30" spans="2:24">
      <c r="B30" s="5" t="s">
        <v>490</v>
      </c>
      <c r="C30" s="288">
        <f>AAF!C30+VIMP!C30+(MTN!C30/Prices!$C$150)+(VODA!C30/Prices!$C$150)+(SAF!C30/Prices!$C$159)</f>
        <v>2547.4940478378417</v>
      </c>
      <c r="D30" s="188">
        <f>AAF!D30+VIMP!D30+(MTN!D30/Prices!$C$150)+(VODA!D30/Prices!$C$150)+(SAF!D30/Prices!$C$159)</f>
        <v>5097.4458476097807</v>
      </c>
      <c r="E30" s="188">
        <f>AAF!E30+VIMP!E30+(MTN!E30/Prices!$C$150)+(VODA!E30/Prices!$C$150)+(SAF!E30/Prices!$C$159)</f>
        <v>6795.1188048167187</v>
      </c>
      <c r="F30" s="188">
        <f>AAF!F30+VIMP!F30+(MTN!F30/Prices!$C$150)+(VODA!F30/Prices!$C$150)+(SAF!F30/Prices!$C$159)</f>
        <v>8512.3319779581579</v>
      </c>
      <c r="G30" s="188">
        <f>AAF!G30+VIMP!G30+(MTN!G30/Prices!$C$150)+(VODA!G30/Prices!$C$150)+(SAF!G30/Prices!$C$159)</f>
        <v>9998.3619597626548</v>
      </c>
      <c r="H30" s="233">
        <f t="shared" si="0"/>
        <v>0.25177251450443627</v>
      </c>
      <c r="I30" s="214"/>
      <c r="J30" s="208"/>
      <c r="K30" s="208"/>
      <c r="L30" s="208"/>
      <c r="M30" s="208"/>
      <c r="N30" s="208"/>
      <c r="O30" s="5"/>
      <c r="Q30" s="5"/>
      <c r="S30" s="26"/>
      <c r="T30" s="26"/>
      <c r="U30" s="26"/>
      <c r="V30" s="113" t="s">
        <v>310</v>
      </c>
      <c r="W30" s="242">
        <f>F43/N15</f>
        <v>0.93825107907809835</v>
      </c>
      <c r="X30" s="242">
        <v>1</v>
      </c>
    </row>
    <row r="31" spans="2:24">
      <c r="B31" s="5" t="s">
        <v>491</v>
      </c>
      <c r="C31" s="288">
        <f>AAF!C31+VIMP!C31+(MTN!C31/Prices!$C$150)+(VODA!C31/Prices!$C$150)+(SAF!C31/Prices!$C$159)</f>
        <v>1749.8535689141668</v>
      </c>
      <c r="D31" s="188">
        <f>AAF!D31+VIMP!D31+(MTN!D31/Prices!$C$150)+(VODA!D31/Prices!$C$150)+(SAF!D31/Prices!$C$159)</f>
        <v>2177.8244433013092</v>
      </c>
      <c r="E31" s="188">
        <f>AAF!E31+VIMP!E31+(MTN!E31/Prices!$C$150)+(VODA!E31/Prices!$C$150)+(SAF!E31/Prices!$C$159)</f>
        <v>3115.4329128530389</v>
      </c>
      <c r="F31" s="188">
        <f>AAF!F31+VIMP!F31+(MTN!F31/Prices!$C$150)+(VODA!F31/Prices!$C$150)+(SAF!F31/Prices!$C$159)</f>
        <v>3795.5346844178066</v>
      </c>
      <c r="G31" s="188">
        <f>AAF!G31+VIMP!G31+(MTN!G31/Prices!$C$150)+(VODA!G31/Prices!$C$150)+(SAF!G31/Prices!$C$159)</f>
        <v>4451.3613867745225</v>
      </c>
      <c r="H31" s="233">
        <f t="shared" si="0"/>
        <v>0.26908290905415133</v>
      </c>
      <c r="I31" s="214"/>
      <c r="J31" s="212"/>
      <c r="K31" s="212"/>
      <c r="L31" s="212"/>
      <c r="M31" s="212"/>
      <c r="N31" s="212"/>
      <c r="O31" s="5"/>
      <c r="Q31" s="5"/>
      <c r="S31" s="26"/>
      <c r="T31" s="26"/>
      <c r="U31" s="26"/>
      <c r="V31" s="113" t="s">
        <v>437</v>
      </c>
      <c r="W31" s="242">
        <f>E44/M16</f>
        <v>0.74197378866199915</v>
      </c>
      <c r="X31" s="242">
        <v>1</v>
      </c>
    </row>
    <row r="32" spans="2:24">
      <c r="B32" s="5" t="s">
        <v>506</v>
      </c>
      <c r="C32" s="288">
        <f>AAF!C32+VIMP!C32+(MTN!C32/Prices!$C$150)+(VODA!C32/Prices!$C$150)+(SAF!C32/Prices!$C$159)</f>
        <v>-431.31056441587089</v>
      </c>
      <c r="D32" s="188">
        <f>AAF!D32+VIMP!D32+(MTN!D32/Prices!$C$150)+(VODA!D32/Prices!$C$150)+(SAF!D32/Prices!$C$159)</f>
        <v>-288.46065740114381</v>
      </c>
      <c r="E32" s="188">
        <f>AAF!E32+VIMP!E32+(MTN!E32/Prices!$C$150)+(VODA!E32/Prices!$C$150)+(SAF!E32/Prices!$C$159)</f>
        <v>-2349.3698880757643</v>
      </c>
      <c r="F32" s="188">
        <f>AAF!F32+VIMP!F32+(MTN!F32/Prices!$C$150)+(VODA!F32/Prices!$C$150)+(SAF!F32/Prices!$C$159)</f>
        <v>257.03885062419283</v>
      </c>
      <c r="G32" s="188">
        <f>AAF!G32+VIMP!G32+(MTN!G32/Prices!$C$150)+(VODA!G32/Prices!$C$150)+(SAF!G32/Prices!$C$159)</f>
        <v>252.03885062419286</v>
      </c>
      <c r="H32" s="233">
        <f t="shared" si="0"/>
        <v>-1.9560053011649874</v>
      </c>
      <c r="I32" s="5"/>
      <c r="J32" s="214"/>
      <c r="K32" s="214"/>
      <c r="L32" s="214"/>
      <c r="M32" s="214"/>
      <c r="N32" s="214"/>
      <c r="O32" s="211"/>
      <c r="Q32" s="5"/>
      <c r="S32" s="26"/>
      <c r="T32" s="26"/>
      <c r="U32" s="26"/>
      <c r="V32" s="113" t="s">
        <v>481</v>
      </c>
      <c r="W32" s="242">
        <f>M17/E45</f>
        <v>1.1664295400976878</v>
      </c>
      <c r="X32" s="242">
        <v>1</v>
      </c>
    </row>
    <row r="33" spans="2:24">
      <c r="B33" s="5" t="s">
        <v>3</v>
      </c>
      <c r="C33" s="288">
        <f>AAF!C33+VIMP!C33+(MTN!C33/Prices!$C$150)+(VODA!C33/Prices!$C$150)+(SAF!C33/Prices!$C$159)</f>
        <v>-1050.2433391119428</v>
      </c>
      <c r="D33" s="188">
        <f>AAF!D33+VIMP!D33+(MTN!D33/Prices!$C$150)+(VODA!D33/Prices!$C$150)+(SAF!D33/Prices!$C$159)</f>
        <v>-905.03640533090334</v>
      </c>
      <c r="E33" s="188">
        <f>AAF!E33+VIMP!E33+(MTN!E33/Prices!$C$150)+(VODA!E33/Prices!$C$150)+(SAF!E33/Prices!$C$159)</f>
        <v>-1257.1666603184053</v>
      </c>
      <c r="F33" s="188">
        <f>AAF!F33+VIMP!F33+(MTN!F33/Prices!$C$150)+(VODA!F33/Prices!$C$150)+(SAF!F33/Prices!$C$159)</f>
        <v>-1325.6338229087239</v>
      </c>
      <c r="G33" s="188">
        <f>AAF!G33+VIMP!G33+(MTN!G33/Prices!$C$150)+(VODA!G33/Prices!$C$150)+(SAF!G33/Prices!$C$159)</f>
        <v>-1351.3126376639361</v>
      </c>
      <c r="H33" s="233">
        <f t="shared" si="0"/>
        <v>0.14295709982912008</v>
      </c>
      <c r="I33" s="33"/>
      <c r="J33" s="214"/>
      <c r="K33" s="214"/>
      <c r="L33" s="214"/>
      <c r="M33" s="214"/>
      <c r="N33" s="214"/>
      <c r="O33" s="211"/>
      <c r="Q33" s="5"/>
      <c r="S33" s="26"/>
      <c r="T33" s="26"/>
      <c r="U33" s="26"/>
      <c r="V33" s="113" t="s">
        <v>218</v>
      </c>
      <c r="W33" s="242">
        <f>N19/F47</f>
        <v>0.93825107907809824</v>
      </c>
      <c r="X33" s="242">
        <v>1</v>
      </c>
    </row>
    <row r="34" spans="2:24">
      <c r="H34" s="231"/>
      <c r="I34" s="214"/>
      <c r="J34" s="214"/>
      <c r="K34" s="214"/>
      <c r="L34" s="214"/>
      <c r="M34" s="214"/>
      <c r="N34" s="214"/>
      <c r="O34" s="211"/>
      <c r="Q34" s="5"/>
      <c r="S34" s="26"/>
      <c r="T34" s="26"/>
      <c r="U34" s="26"/>
      <c r="V34" s="26"/>
      <c r="W34" s="26"/>
      <c r="X34" s="26"/>
    </row>
    <row r="35" spans="2:24" ht="12.6" thickBot="1">
      <c r="B35" s="249" t="s">
        <v>232</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2.6199275856048252</v>
      </c>
      <c r="E37" s="48">
        <f t="shared" si="2"/>
        <v>2.1019432698335514</v>
      </c>
      <c r="F37" s="48">
        <f t="shared" si="2"/>
        <v>1.7673158441321424</v>
      </c>
      <c r="G37" s="48">
        <f t="shared" si="2"/>
        <v>1.490977100486143</v>
      </c>
      <c r="H37" s="13">
        <f t="shared" ref="H37:H45" si="3">H23</f>
        <v>0.13657312279124967</v>
      </c>
      <c r="I37" s="217"/>
      <c r="J37" s="217"/>
      <c r="K37" s="217"/>
      <c r="L37" s="217"/>
      <c r="M37" s="217"/>
      <c r="N37" s="217"/>
      <c r="O37" s="14"/>
      <c r="Q37" s="5"/>
      <c r="R37" s="5"/>
      <c r="S37" s="26"/>
      <c r="T37" s="26"/>
      <c r="U37" s="26"/>
      <c r="V37" s="26"/>
      <c r="W37" s="26"/>
      <c r="X37" s="26"/>
    </row>
    <row r="38" spans="2:24">
      <c r="B38" s="5" t="s">
        <v>158</v>
      </c>
      <c r="C38" s="207"/>
      <c r="D38" s="48">
        <f t="shared" si="2"/>
        <v>7.4049431236829459</v>
      </c>
      <c r="E38" s="48">
        <f t="shared" si="2"/>
        <v>6.1564377862490218</v>
      </c>
      <c r="F38" s="48">
        <f t="shared" si="2"/>
        <v>4.4837178583666226</v>
      </c>
      <c r="G38" s="48">
        <f t="shared" si="2"/>
        <v>3.6958642793873961</v>
      </c>
      <c r="H38" s="13">
        <f t="shared" si="3"/>
        <v>0.18738943723674595</v>
      </c>
      <c r="I38" s="13"/>
      <c r="J38" s="13"/>
      <c r="K38" s="13"/>
      <c r="L38" s="13"/>
      <c r="M38" s="13"/>
      <c r="N38" s="13"/>
      <c r="O38" s="5"/>
      <c r="Q38" s="5"/>
      <c r="R38" s="5"/>
      <c r="S38" s="26"/>
      <c r="T38" s="26"/>
      <c r="U38" s="26"/>
      <c r="V38" s="26"/>
      <c r="W38" s="26"/>
      <c r="X38" s="26"/>
    </row>
    <row r="39" spans="2:24">
      <c r="B39" s="5" t="s">
        <v>159</v>
      </c>
      <c r="C39" s="207"/>
      <c r="D39" s="48">
        <f t="shared" si="2"/>
        <v>13.77606277730415</v>
      </c>
      <c r="E39" s="48">
        <f t="shared" si="2"/>
        <v>11.672285536375483</v>
      </c>
      <c r="F39" s="48">
        <f t="shared" si="2"/>
        <v>7.4496586865144394</v>
      </c>
      <c r="G39" s="48">
        <f t="shared" si="2"/>
        <v>5.9832990727504578</v>
      </c>
      <c r="H39" s="13">
        <f t="shared" si="3"/>
        <v>0.24371081525857741</v>
      </c>
      <c r="I39" s="5"/>
      <c r="J39" s="5"/>
      <c r="K39" s="5"/>
      <c r="L39" s="5"/>
      <c r="M39" s="5"/>
      <c r="N39" s="5"/>
      <c r="O39" s="5"/>
      <c r="Q39" s="5"/>
      <c r="R39" s="5"/>
      <c r="S39" s="26"/>
      <c r="T39" s="26"/>
      <c r="U39" s="26"/>
      <c r="V39" s="26"/>
      <c r="W39" s="242"/>
      <c r="X39" s="242"/>
    </row>
    <row r="40" spans="2:24">
      <c r="B40" s="5" t="s">
        <v>381</v>
      </c>
      <c r="C40" s="207"/>
      <c r="D40" s="48">
        <f t="shared" si="2"/>
        <v>19.591583567499963</v>
      </c>
      <c r="E40" s="48">
        <f t="shared" si="2"/>
        <v>16.863939410662088</v>
      </c>
      <c r="F40" s="48">
        <f t="shared" si="2"/>
        <v>10.664588793239982</v>
      </c>
      <c r="G40" s="48">
        <f t="shared" si="2"/>
        <v>8.5573074542660397</v>
      </c>
      <c r="H40" s="13">
        <f t="shared" si="3"/>
        <v>0.24137238116561188</v>
      </c>
      <c r="I40" s="207"/>
      <c r="J40" s="217"/>
      <c r="K40" s="217"/>
      <c r="L40" s="217"/>
      <c r="M40" s="217"/>
      <c r="N40" s="217"/>
      <c r="O40" s="14"/>
      <c r="Q40" s="5"/>
      <c r="R40" s="5"/>
      <c r="S40" s="26"/>
      <c r="T40" s="26"/>
      <c r="U40" s="26"/>
      <c r="V40" s="26"/>
      <c r="W40" s="242"/>
      <c r="X40" s="242"/>
    </row>
    <row r="41" spans="2:24">
      <c r="B41" s="5" t="s">
        <v>434</v>
      </c>
      <c r="C41" s="207"/>
      <c r="D41" s="48">
        <f t="shared" si="2"/>
        <v>2.4931198659149474</v>
      </c>
      <c r="E41" s="48">
        <f t="shared" si="2"/>
        <v>2.1495302617941814</v>
      </c>
      <c r="F41" s="48">
        <f t="shared" si="2"/>
        <v>2.0138651536880712</v>
      </c>
      <c r="G41" s="48">
        <f t="shared" si="2"/>
        <v>1.7818698478870838</v>
      </c>
      <c r="H41" s="13">
        <f t="shared" si="3"/>
        <v>5.3449376644030044E-2</v>
      </c>
      <c r="I41" s="208"/>
      <c r="J41" s="13"/>
      <c r="K41" s="13"/>
      <c r="L41" s="13"/>
      <c r="M41" s="13"/>
      <c r="N41" s="13"/>
      <c r="O41" s="5"/>
      <c r="Q41" s="5"/>
      <c r="R41" s="5"/>
      <c r="S41" s="26"/>
      <c r="T41" s="26"/>
      <c r="U41" s="26"/>
      <c r="V41" s="26"/>
      <c r="W41" s="242"/>
      <c r="X41" s="242"/>
    </row>
    <row r="42" spans="2:24">
      <c r="B42" s="5" t="s">
        <v>493</v>
      </c>
      <c r="C42" s="207"/>
      <c r="D42" s="48">
        <f>D18/D28</f>
        <v>3.2594845164113617</v>
      </c>
      <c r="E42" s="48">
        <f>E18/E28</f>
        <v>2.7593129191981953</v>
      </c>
      <c r="F42" s="48">
        <f>F18/F28</f>
        <v>2.4319311799132723</v>
      </c>
      <c r="G42" s="48">
        <f>G18/G28</f>
        <v>2.1027645091274914</v>
      </c>
      <c r="H42" s="13">
        <f t="shared" si="3"/>
        <v>9.004402418470403E-2</v>
      </c>
      <c r="I42" s="207"/>
      <c r="J42" s="5"/>
      <c r="K42" s="5"/>
      <c r="L42" s="5"/>
      <c r="M42" s="5"/>
      <c r="N42" s="5"/>
      <c r="O42" s="5"/>
      <c r="Q42" s="5"/>
      <c r="R42" s="5"/>
      <c r="S42" s="26"/>
      <c r="T42" s="26"/>
      <c r="U42" s="26"/>
      <c r="V42" s="26"/>
      <c r="W42" s="242"/>
      <c r="X42" s="242"/>
    </row>
    <row r="43" spans="2:24">
      <c r="B43" s="5" t="s">
        <v>390</v>
      </c>
      <c r="C43" s="207"/>
      <c r="D43" s="48">
        <f>L26/D29</f>
        <v>23.450165248936997</v>
      </c>
      <c r="E43" s="48">
        <f>M26/E29</f>
        <v>15.410353469940693</v>
      </c>
      <c r="F43" s="48">
        <f>N26/F29</f>
        <v>12.326327706891529</v>
      </c>
      <c r="G43" s="48">
        <f>O26/G29</f>
        <v>10.503745422567203</v>
      </c>
      <c r="H43" s="13">
        <f t="shared" si="3"/>
        <v>0.29920862771021017</v>
      </c>
      <c r="I43" s="207"/>
      <c r="J43" s="207"/>
      <c r="K43" s="207"/>
      <c r="L43" s="207"/>
      <c r="M43" s="207"/>
      <c r="N43" s="207"/>
      <c r="O43" s="14"/>
      <c r="Q43" s="5"/>
      <c r="R43" s="5"/>
      <c r="S43" s="26"/>
      <c r="T43" s="26"/>
      <c r="U43" s="26"/>
      <c r="V43" s="26"/>
      <c r="W43" s="255"/>
      <c r="X43" s="255"/>
    </row>
    <row r="44" spans="2:24">
      <c r="B44" s="5" t="s">
        <v>437</v>
      </c>
      <c r="C44" s="53"/>
      <c r="D44" s="48">
        <f>D11/D30</f>
        <v>13.987504843658609</v>
      </c>
      <c r="E44" s="48">
        <f>E11/E30</f>
        <v>10.43067037532062</v>
      </c>
      <c r="F44" s="48">
        <f>F11/F30</f>
        <v>8.2767848489788651</v>
      </c>
      <c r="G44" s="48">
        <f>G11/G30</f>
        <v>7.004852314981683</v>
      </c>
      <c r="H44" s="13">
        <f t="shared" si="3"/>
        <v>0.25177251450443627</v>
      </c>
      <c r="I44" s="208"/>
      <c r="J44" s="208"/>
      <c r="K44" s="208"/>
      <c r="L44" s="208"/>
      <c r="M44" s="208"/>
      <c r="N44" s="208"/>
      <c r="O44" s="208"/>
      <c r="Q44" s="5"/>
      <c r="R44" s="5"/>
      <c r="S44" s="26"/>
      <c r="T44" s="26"/>
      <c r="U44" s="26"/>
      <c r="V44" s="26"/>
      <c r="W44" s="26"/>
      <c r="X44" s="26"/>
    </row>
    <row r="45" spans="2:24">
      <c r="B45" s="5" t="s">
        <v>481</v>
      </c>
      <c r="C45" s="207"/>
      <c r="D45" s="208">
        <f>D31/D11</f>
        <v>3.0544287380878801E-2</v>
      </c>
      <c r="E45" s="208">
        <f>E31/E11</f>
        <v>4.395508539543818E-2</v>
      </c>
      <c r="F45" s="208">
        <f>F31/F11</f>
        <v>5.3871956178551617E-2</v>
      </c>
      <c r="G45" s="208">
        <f>G31/G11</f>
        <v>6.3557237996527752E-2</v>
      </c>
      <c r="H45" s="13">
        <f t="shared" si="3"/>
        <v>0.26908290905415133</v>
      </c>
      <c r="I45" s="207"/>
      <c r="J45" s="207"/>
      <c r="K45" s="207"/>
      <c r="L45" s="207"/>
      <c r="M45" s="207"/>
      <c r="N45" s="207"/>
      <c r="O45" s="208"/>
      <c r="Q45" s="5"/>
      <c r="R45" s="5"/>
      <c r="S45" s="26"/>
      <c r="T45" s="26"/>
      <c r="U45" s="26"/>
      <c r="V45" s="26"/>
      <c r="W45" s="26"/>
      <c r="X45" s="26"/>
    </row>
    <row r="46" spans="2:24">
      <c r="B46" s="5" t="s">
        <v>505</v>
      </c>
      <c r="C46" s="207"/>
      <c r="D46" s="208">
        <f>(D31+D32)/D11</f>
        <v>2.6498586982557595E-2</v>
      </c>
      <c r="E46" s="208">
        <f>(E31+E32)/E11</f>
        <v>1.0808246113551016E-2</v>
      </c>
      <c r="F46" s="208">
        <f>(F31+F32)/F11</f>
        <v>5.7520239450434246E-2</v>
      </c>
      <c r="G46" s="208">
        <f>(G31+G32)/G11</f>
        <v>6.7155888346752513E-2</v>
      </c>
      <c r="H46" s="233">
        <f>((G31+G32)/(D31+D32))^(1/3)-1</f>
        <v>0.35528963407723091</v>
      </c>
      <c r="I46" s="13"/>
      <c r="J46" s="207"/>
      <c r="K46" s="207"/>
      <c r="L46" s="207"/>
      <c r="M46" s="207"/>
      <c r="N46" s="207"/>
      <c r="O46" s="14"/>
      <c r="Q46" s="5"/>
      <c r="R46" s="5"/>
      <c r="S46" s="26"/>
      <c r="T46" s="26"/>
      <c r="U46" s="26"/>
      <c r="V46" s="26"/>
      <c r="W46" s="26"/>
      <c r="X46" s="26"/>
    </row>
    <row r="47" spans="2:24">
      <c r="B47" s="5" t="s">
        <v>482</v>
      </c>
      <c r="C47" s="5"/>
      <c r="D47" s="208">
        <f>1/D43</f>
        <v>4.2643622737171552E-2</v>
      </c>
      <c r="E47" s="208">
        <f>1/E43</f>
        <v>6.4891438210719285E-2</v>
      </c>
      <c r="F47" s="208">
        <f>1/F43</f>
        <v>8.1127163237831965E-2</v>
      </c>
      <c r="G47" s="208">
        <f>1/G43</f>
        <v>9.5204135265074971E-2</v>
      </c>
      <c r="H47" s="13">
        <f>H29</f>
        <v>0.29920862771021017</v>
      </c>
      <c r="I47" s="207"/>
      <c r="J47" s="208"/>
      <c r="K47" s="208"/>
      <c r="L47" s="208"/>
      <c r="M47" s="208"/>
      <c r="N47" s="208"/>
      <c r="O47" s="208"/>
      <c r="Q47" s="5"/>
      <c r="R47" s="5"/>
      <c r="S47" s="5"/>
      <c r="T47" s="5"/>
      <c r="U47" s="5"/>
    </row>
    <row r="48" spans="2:24">
      <c r="B48" s="5" t="s">
        <v>518</v>
      </c>
      <c r="C48" s="5"/>
      <c r="D48" s="248">
        <f>D31/D29</f>
        <v>0.71626858649262892</v>
      </c>
      <c r="E48" s="248">
        <f>E31/E29</f>
        <v>0.67736340274513018</v>
      </c>
      <c r="F48" s="248">
        <f>F31/F29</f>
        <v>0.66404338606812718</v>
      </c>
      <c r="G48" s="248">
        <f>G31/G29</f>
        <v>0.66758904767704264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63">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278</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427</v>
      </c>
      <c r="C11" s="5"/>
      <c r="D11" s="225">
        <f>'EMEA CELLULAR'!D11</f>
        <v>71300.548483729275</v>
      </c>
      <c r="E11" s="225">
        <f>'EMEA CELLULAR'!E11</f>
        <v>70877.644414185808</v>
      </c>
      <c r="F11" s="225">
        <f>'EMEA CELLULAR'!F11</f>
        <v>70454.74034464237</v>
      </c>
      <c r="G11" s="225">
        <f>'EMEA CELLULAR'!G11</f>
        <v>70037.048919868233</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'EMEA CELLULAR'!D12</f>
        <v>10267.93394219589</v>
      </c>
      <c r="E12" s="188">
        <f>'EMEA CELLULAR'!E12</f>
        <v>10125.857846906523</v>
      </c>
      <c r="F12" s="188">
        <f>'EMEA CELLULAR'!F12</f>
        <v>7637.5320451425932</v>
      </c>
      <c r="G12" s="188">
        <f>'EMEA CELLULAR'!G12</f>
        <v>4949.6964105098368</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'EMEA CELLULAR'!D13</f>
        <v>6760.1846935813337</v>
      </c>
      <c r="E13" s="188">
        <f>'EMEA CELLULAR'!E13</f>
        <v>6760.1846935813337</v>
      </c>
      <c r="F13" s="188">
        <f>'EMEA CELLULAR'!F13</f>
        <v>6760.1846935813337</v>
      </c>
      <c r="G13" s="188">
        <f>'EMEA CELLULAR'!G13</f>
        <v>6760.1846935813337</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'EMEA CELLULAR'!D14</f>
        <v>4040.1480436719403</v>
      </c>
      <c r="E14" s="188">
        <f>'EMEA CELLULAR'!E14</f>
        <v>4040.1480436719403</v>
      </c>
      <c r="F14" s="188">
        <f>'EMEA CELLULAR'!F14</f>
        <v>4040.1480436719403</v>
      </c>
      <c r="G14" s="188">
        <f>'EMEA CELLULAR'!G14</f>
        <v>4040.1480436719403</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'EMEA CELLULAR'!D15</f>
        <v>12548.403162061337</v>
      </c>
      <c r="E15" s="188">
        <f>'EMEA CELLULAR'!E15</f>
        <v>12548.403162061337</v>
      </c>
      <c r="F15" s="188">
        <f>'EMEA CELLULAR'!F15</f>
        <v>12548.403162061337</v>
      </c>
      <c r="G15" s="188">
        <f>'EMEA CELLULAR'!G15</f>
        <v>12548.403162061337</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'EMEA CELLULAR'!D16</f>
        <v>179.01553391928798</v>
      </c>
      <c r="E16" s="188">
        <f>'EMEA CELLULAR'!E16</f>
        <v>2417.5385661549944</v>
      </c>
      <c r="F16" s="188">
        <f>'EMEA CELLULAR'!F16</f>
        <v>5606.6187139287667</v>
      </c>
      <c r="G16" s="188">
        <f>'EMEA CELLULAR'!G16</f>
        <v>9492.4131653777313</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'EMEA CELLULAR'!D17</f>
        <v>0</v>
      </c>
      <c r="E17" s="188">
        <f>'EMEA CELLULAR'!E17</f>
        <v>0</v>
      </c>
      <c r="F17" s="188">
        <f>'EMEA CELLULAR'!F17</f>
        <v>0</v>
      </c>
      <c r="G17" s="188">
        <f>'EMEA CELLULAR'!G17</f>
        <v>0</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76</v>
      </c>
      <c r="C18" s="209"/>
      <c r="D18" s="229">
        <f>'EMEA CELLULAR'!D18</f>
        <v>96657.906703976623</v>
      </c>
      <c r="E18" s="229">
        <f>'EMEA CELLULAR'!E18</f>
        <v>93854.403506908071</v>
      </c>
      <c r="F18" s="229">
        <f>'EMEA CELLULAR'!F18</f>
        <v>87754.093487826933</v>
      </c>
      <c r="G18" s="229">
        <f>'EMEA CELLULAR'!G18</f>
        <v>80762.771976971067</v>
      </c>
      <c r="H18" s="230">
        <f>IF(D18=0,"nm",IF(G18=0,"nm",(G18/D18)^(1/3)-1))</f>
        <v>-5.8129321502576436E-2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'EMEA CELLULAR'!C23</f>
        <v>32398.945428668681</v>
      </c>
      <c r="D23" s="188">
        <f>'EMEA CELLULAR'!D23</f>
        <v>36893.350501388988</v>
      </c>
      <c r="E23" s="188">
        <f>'EMEA CELLULAR'!E23</f>
        <v>44651.254319694468</v>
      </c>
      <c r="F23" s="188">
        <f>'EMEA CELLULAR'!F23</f>
        <v>49653.882626124156</v>
      </c>
      <c r="G23" s="188">
        <f>'EMEA CELLULAR'!G23</f>
        <v>54167.681013100628</v>
      </c>
      <c r="H23" s="233">
        <f t="shared" ref="H23:H33" si="0">IF(D23=0,"nm",IF(G23=0,"nm",(G23/D23)^(1/3)-1))</f>
        <v>0.13657312279124967</v>
      </c>
      <c r="I23" s="209"/>
      <c r="J23" s="249" t="s">
        <v>7</v>
      </c>
      <c r="K23" s="249"/>
      <c r="L23" s="219" t="str">
        <f>L5</f>
        <v>2025E</v>
      </c>
      <c r="M23" s="219" t="str">
        <f>M5</f>
        <v>2026E</v>
      </c>
      <c r="N23" s="219" t="str">
        <f>N5</f>
        <v>2027E</v>
      </c>
      <c r="O23" s="219" t="str">
        <f>O5</f>
        <v>2028E</v>
      </c>
      <c r="P23" s="236" t="str">
        <f>P5</f>
        <v>2025-28</v>
      </c>
      <c r="S23" s="26"/>
      <c r="T23" s="26"/>
      <c r="U23" s="26"/>
      <c r="V23" s="26"/>
      <c r="W23" s="26" t="s">
        <v>292</v>
      </c>
      <c r="X23" s="26" t="s">
        <v>24</v>
      </c>
    </row>
    <row r="24" spans="2:24" ht="12.6" thickTop="1">
      <c r="B24" s="5" t="s">
        <v>397</v>
      </c>
      <c r="C24" s="288">
        <f>'EMEA CELLULAR'!C24</f>
        <v>10101.452466066266</v>
      </c>
      <c r="D24" s="188">
        <f>'EMEA CELLULAR'!D24</f>
        <v>13053.159908121284</v>
      </c>
      <c r="E24" s="188">
        <f>'EMEA CELLULAR'!E24</f>
        <v>15244.920320081954</v>
      </c>
      <c r="F24" s="188">
        <f>'EMEA CELLULAR'!F24</f>
        <v>19571.725130758998</v>
      </c>
      <c r="G24" s="188">
        <f>'EMEA CELLULAR'!G24</f>
        <v>21852.201777917508</v>
      </c>
      <c r="H24" s="233">
        <f t="shared" si="0"/>
        <v>0.18738943723674595</v>
      </c>
      <c r="I24" s="208"/>
      <c r="J24" s="13"/>
      <c r="K24" s="13"/>
      <c r="L24" s="13"/>
      <c r="M24" s="13"/>
      <c r="N24" s="13"/>
      <c r="O24" s="208"/>
      <c r="S24" s="26"/>
      <c r="T24" s="26"/>
      <c r="U24" s="26"/>
      <c r="V24" s="113" t="s">
        <v>225</v>
      </c>
      <c r="W24" s="242">
        <f t="shared" ref="W24:W31" si="1">E37/M9</f>
        <v>1.3945395343152625</v>
      </c>
      <c r="X24" s="242">
        <v>1</v>
      </c>
    </row>
    <row r="25" spans="2:24">
      <c r="B25" s="5" t="s">
        <v>157</v>
      </c>
      <c r="C25" s="288">
        <f>'EMEA CELLULAR'!C25</f>
        <v>4762.8012310782469</v>
      </c>
      <c r="D25" s="188">
        <f>'EMEA CELLULAR'!D25</f>
        <v>7016.3665966461067</v>
      </c>
      <c r="E25" s="188">
        <f>'EMEA CELLULAR'!E25</f>
        <v>8040.790573056187</v>
      </c>
      <c r="F25" s="188">
        <f>'EMEA CELLULAR'!F25</f>
        <v>11779.612621271041</v>
      </c>
      <c r="G25" s="188">
        <f>'EMEA CELLULAR'!G25</f>
        <v>13498.033609047941</v>
      </c>
      <c r="H25" s="233">
        <f t="shared" si="0"/>
        <v>0.24371081525857741</v>
      </c>
      <c r="I25" s="209"/>
      <c r="J25" s="207" t="s">
        <v>8</v>
      </c>
      <c r="K25" s="207"/>
      <c r="L25" s="258">
        <f>'EMEA CELLULAR'!L25</f>
        <v>0</v>
      </c>
      <c r="M25" s="258">
        <f>'EMEA CELLULAR'!M25</f>
        <v>0</v>
      </c>
      <c r="N25" s="258">
        <f>'EMEA CELLULAR'!N25</f>
        <v>0</v>
      </c>
      <c r="O25" s="258">
        <f>'EMEA CELLULAR'!O25</f>
        <v>0</v>
      </c>
      <c r="P25" s="233" t="str">
        <f>IF(L25=0,"nm",IF(O25=0,"nm",(O25/L25)^(1/3)-1))</f>
        <v>nm</v>
      </c>
      <c r="Q25" s="5"/>
      <c r="S25" s="26"/>
      <c r="T25" s="26"/>
      <c r="U25" s="26"/>
      <c r="V25" s="113" t="s">
        <v>158</v>
      </c>
      <c r="W25" s="242">
        <f t="shared" si="1"/>
        <v>1.4053933522080511</v>
      </c>
      <c r="X25" s="242">
        <v>1</v>
      </c>
    </row>
    <row r="26" spans="2:24">
      <c r="B26" s="5" t="s">
        <v>487</v>
      </c>
      <c r="C26" s="288">
        <f>'EMEA CELLULAR'!C26</f>
        <v>3317.8492721716257</v>
      </c>
      <c r="D26" s="188">
        <f>'EMEA CELLULAR'!D26</f>
        <v>4933.6444076077778</v>
      </c>
      <c r="E26" s="188">
        <f>'EMEA CELLULAR'!E26</f>
        <v>5565.3902223800324</v>
      </c>
      <c r="F26" s="188">
        <f>'EMEA CELLULAR'!F26</f>
        <v>8228.5491910810542</v>
      </c>
      <c r="G26" s="188">
        <f>'EMEA CELLULAR'!G26</f>
        <v>9437.8719484606954</v>
      </c>
      <c r="H26" s="233">
        <f t="shared" si="0"/>
        <v>0.24137238116561188</v>
      </c>
      <c r="I26" s="209"/>
      <c r="J26" s="209" t="s">
        <v>9</v>
      </c>
      <c r="K26" s="209"/>
      <c r="L26" s="235">
        <f>'EMEA CELLULAR'!L26</f>
        <v>71300.548483729275</v>
      </c>
      <c r="M26" s="235">
        <f>'EMEA CELLULAR'!M26</f>
        <v>70877.644414185808</v>
      </c>
      <c r="N26" s="235">
        <f>'EMEA CELLULAR'!N26</f>
        <v>70454.74034464237</v>
      </c>
      <c r="O26" s="235">
        <f>'EMEA CELLULAR'!O26</f>
        <v>70037.048919868233</v>
      </c>
      <c r="P26" s="233">
        <f>IF(L26=0,"nm",IF(O26=0,"nm",(O26/L26)^(1/3)-1))</f>
        <v>-5.9421576936141696E-3</v>
      </c>
      <c r="Q26" s="25"/>
      <c r="S26" s="26"/>
      <c r="T26" s="26"/>
      <c r="U26" s="26"/>
      <c r="V26" s="113" t="s">
        <v>159</v>
      </c>
      <c r="W26" s="242">
        <f t="shared" si="1"/>
        <v>1.5550348258512117</v>
      </c>
      <c r="X26" s="242">
        <v>1</v>
      </c>
    </row>
    <row r="27" spans="2:24">
      <c r="B27" s="5" t="s">
        <v>488</v>
      </c>
      <c r="C27" s="288">
        <f>'EMEA CELLULAR'!C27</f>
        <v>37072.823966272372</v>
      </c>
      <c r="D27" s="188">
        <f>'EMEA CELLULAR'!D27</f>
        <v>38769.859414081657</v>
      </c>
      <c r="E27" s="188">
        <f>'EMEA CELLULAR'!E27</f>
        <v>43662.750497203597</v>
      </c>
      <c r="F27" s="188">
        <f>'EMEA CELLULAR'!F27</f>
        <v>43574.95998533933</v>
      </c>
      <c r="G27" s="188">
        <f>'EMEA CELLULAR'!G27</f>
        <v>45324.731249444747</v>
      </c>
      <c r="H27" s="233">
        <f t="shared" si="0"/>
        <v>5.3449376644030044E-2</v>
      </c>
      <c r="I27" s="208"/>
      <c r="J27" s="208"/>
      <c r="K27" s="208"/>
      <c r="L27" s="208"/>
      <c r="M27" s="208"/>
      <c r="N27" s="208"/>
      <c r="O27" s="208"/>
      <c r="Q27" s="5"/>
      <c r="S27" s="26"/>
      <c r="T27" s="26"/>
      <c r="U27" s="26"/>
      <c r="V27" s="113" t="s">
        <v>381</v>
      </c>
      <c r="W27" s="242">
        <f t="shared" si="1"/>
        <v>1.700375674915696</v>
      </c>
      <c r="X27" s="242">
        <v>1</v>
      </c>
    </row>
    <row r="28" spans="2:24" ht="12.6" thickBot="1">
      <c r="B28" s="5" t="s">
        <v>492</v>
      </c>
      <c r="C28" s="288">
        <f>'EMEA CELLULAR'!C28</f>
        <v>26069.441213792456</v>
      </c>
      <c r="D28" s="188">
        <f>'EMEA CELLULAR'!D28</f>
        <v>29654.353692219829</v>
      </c>
      <c r="E28" s="188">
        <f>'EMEA CELLULAR'!E28</f>
        <v>34013.686107837457</v>
      </c>
      <c r="F28" s="188">
        <f>'EMEA CELLULAR'!F28</f>
        <v>36084.118750003618</v>
      </c>
      <c r="G28" s="188">
        <f>'EMEA CELLULAR'!G28</f>
        <v>38407.90142044118</v>
      </c>
      <c r="H28" s="233">
        <f t="shared" si="0"/>
        <v>9.004402418470403E-2</v>
      </c>
      <c r="I28" s="212"/>
      <c r="J28" s="249" t="s">
        <v>628</v>
      </c>
      <c r="K28" s="249"/>
      <c r="L28" s="249"/>
      <c r="M28" s="249"/>
      <c r="N28" s="220"/>
      <c r="O28" s="220"/>
      <c r="P28" s="220"/>
      <c r="Q28" s="5"/>
      <c r="S28" s="26"/>
      <c r="T28" s="26"/>
      <c r="U28" s="26"/>
      <c r="V28" s="113" t="s">
        <v>434</v>
      </c>
      <c r="W28" s="242">
        <f t="shared" si="1"/>
        <v>1.5649201095096674</v>
      </c>
      <c r="X28" s="242">
        <v>1</v>
      </c>
    </row>
    <row r="29" spans="2:24" ht="12.6" thickTop="1">
      <c r="B29" s="5" t="s">
        <v>489</v>
      </c>
      <c r="C29" s="288">
        <f>'EMEA CELLULAR'!C29</f>
        <v>128.52676792039205</v>
      </c>
      <c r="D29" s="188">
        <f>'EMEA CELLULAR'!D29</f>
        <v>3040.5136904935607</v>
      </c>
      <c r="E29" s="188">
        <f>'EMEA CELLULAR'!E29</f>
        <v>4599.352283024471</v>
      </c>
      <c r="F29" s="188">
        <f>'EMEA CELLULAR'!F29</f>
        <v>5715.7932208188668</v>
      </c>
      <c r="G29" s="188">
        <f>'EMEA CELLULAR'!G29</f>
        <v>6667.8166789338084</v>
      </c>
      <c r="H29" s="233">
        <f t="shared" si="0"/>
        <v>0.29920862771021017</v>
      </c>
      <c r="I29" s="214"/>
      <c r="J29" s="209"/>
      <c r="K29" s="209"/>
      <c r="L29" s="209"/>
      <c r="M29" s="209"/>
      <c r="N29" s="209"/>
      <c r="O29" s="211"/>
      <c r="Q29" s="5"/>
      <c r="S29" s="26"/>
      <c r="T29" s="26"/>
      <c r="U29" s="26"/>
      <c r="V29" s="113" t="s">
        <v>493</v>
      </c>
      <c r="W29" s="242">
        <f t="shared" si="1"/>
        <v>1.2768281245747557</v>
      </c>
      <c r="X29" s="242">
        <v>1</v>
      </c>
    </row>
    <row r="30" spans="2:24">
      <c r="B30" s="5" t="s">
        <v>490</v>
      </c>
      <c r="C30" s="288">
        <f>'EMEA CELLULAR'!C30</f>
        <v>2547.4940478378417</v>
      </c>
      <c r="D30" s="188">
        <f>'EMEA CELLULAR'!D30</f>
        <v>5097.4458476097807</v>
      </c>
      <c r="E30" s="188">
        <f>'EMEA CELLULAR'!E30</f>
        <v>6795.1188048167187</v>
      </c>
      <c r="F30" s="188">
        <f>'EMEA CELLULAR'!F30</f>
        <v>8512.3319779581579</v>
      </c>
      <c r="G30" s="188">
        <f>'EMEA CELLULAR'!G30</f>
        <v>9998.3619597626548</v>
      </c>
      <c r="H30" s="233">
        <f t="shared" si="0"/>
        <v>0.25177251450443627</v>
      </c>
      <c r="I30" s="214"/>
      <c r="J30" s="208"/>
      <c r="K30" s="208"/>
      <c r="L30" s="208"/>
      <c r="M30" s="208"/>
      <c r="N30" s="208"/>
      <c r="O30" s="5"/>
      <c r="Q30" s="5"/>
      <c r="S30" s="26"/>
      <c r="T30" s="26"/>
      <c r="U30" s="26"/>
      <c r="V30" s="113" t="s">
        <v>390</v>
      </c>
      <c r="W30" s="242">
        <f t="shared" si="1"/>
        <v>1.2251960910071826</v>
      </c>
      <c r="X30" s="242">
        <v>1</v>
      </c>
    </row>
    <row r="31" spans="2:24">
      <c r="B31" s="5" t="s">
        <v>491</v>
      </c>
      <c r="C31" s="288">
        <f>'EMEA CELLULAR'!C31</f>
        <v>1749.8535689141668</v>
      </c>
      <c r="D31" s="188">
        <f>'EMEA CELLULAR'!D31</f>
        <v>2177.8244433013092</v>
      </c>
      <c r="E31" s="188">
        <f>'EMEA CELLULAR'!E31</f>
        <v>3115.4329128530389</v>
      </c>
      <c r="F31" s="188">
        <f>'EMEA CELLULAR'!F31</f>
        <v>3795.5346844178066</v>
      </c>
      <c r="G31" s="188">
        <f>'EMEA CELLULAR'!G31</f>
        <v>4451.3613867745225</v>
      </c>
      <c r="H31" s="233">
        <f t="shared" si="0"/>
        <v>0.26908290905415133</v>
      </c>
      <c r="I31" s="214"/>
      <c r="J31" s="212"/>
      <c r="K31" s="212"/>
      <c r="L31" s="212"/>
      <c r="M31" s="212"/>
      <c r="N31" s="212"/>
      <c r="O31" s="5"/>
      <c r="Q31" s="5"/>
      <c r="S31" s="26"/>
      <c r="T31" s="26"/>
      <c r="U31" s="26"/>
      <c r="V31" s="113" t="s">
        <v>437</v>
      </c>
      <c r="W31" s="242">
        <f t="shared" si="1"/>
        <v>0.80160835288282339</v>
      </c>
      <c r="X31" s="242">
        <v>1</v>
      </c>
    </row>
    <row r="32" spans="2:24">
      <c r="B32" s="5" t="s">
        <v>506</v>
      </c>
      <c r="C32" s="288">
        <f>'EMEA CELLULAR'!C32</f>
        <v>-431.31056441587089</v>
      </c>
      <c r="D32" s="188">
        <f>'EMEA CELLULAR'!D32</f>
        <v>-288.46065740114381</v>
      </c>
      <c r="E32" s="188">
        <f>'EMEA CELLULAR'!E32</f>
        <v>-2349.3698880757643</v>
      </c>
      <c r="F32" s="188">
        <f>'EMEA CELLULAR'!F32</f>
        <v>257.03885062419283</v>
      </c>
      <c r="G32" s="188">
        <f>'EMEA CELLULAR'!G32</f>
        <v>252.03885062419286</v>
      </c>
      <c r="H32" s="233">
        <f t="shared" si="0"/>
        <v>-1.9560053011649874</v>
      </c>
      <c r="I32" s="5"/>
      <c r="J32" s="214"/>
      <c r="K32" s="214"/>
      <c r="L32" s="214"/>
      <c r="M32" s="214"/>
      <c r="N32" s="214"/>
      <c r="O32" s="211"/>
      <c r="Q32" s="5"/>
      <c r="S32" s="26"/>
      <c r="T32" s="26"/>
      <c r="U32" s="26"/>
      <c r="V32" s="113" t="s">
        <v>481</v>
      </c>
      <c r="W32" s="242">
        <f>M17/E45</f>
        <v>1.1952062036467819</v>
      </c>
      <c r="X32" s="242">
        <v>1</v>
      </c>
    </row>
    <row r="33" spans="2:24">
      <c r="B33" s="5" t="s">
        <v>3</v>
      </c>
      <c r="C33" s="288">
        <f>'EMEA CELLULAR'!C33</f>
        <v>-1050.2433391119428</v>
      </c>
      <c r="D33" s="188">
        <f>'EMEA CELLULAR'!D33</f>
        <v>-905.03640533090334</v>
      </c>
      <c r="E33" s="188">
        <f>'EMEA CELLULAR'!E33</f>
        <v>-1257.1666603184053</v>
      </c>
      <c r="F33" s="188">
        <f>'EMEA CELLULAR'!F33</f>
        <v>-1325.6338229087239</v>
      </c>
      <c r="G33" s="188">
        <f>'EMEA CELLULAR'!G33</f>
        <v>-1351.3126376639361</v>
      </c>
      <c r="H33" s="233">
        <f t="shared" si="0"/>
        <v>0.14295709982912008</v>
      </c>
      <c r="I33" s="33"/>
      <c r="J33" s="214"/>
      <c r="K33" s="214"/>
      <c r="L33" s="214"/>
      <c r="M33" s="214"/>
      <c r="N33" s="214"/>
      <c r="O33" s="211"/>
      <c r="Q33" s="5"/>
      <c r="S33" s="26"/>
      <c r="T33" s="26"/>
      <c r="U33" s="26"/>
      <c r="V33" s="113" t="s">
        <v>482</v>
      </c>
      <c r="W33" s="242">
        <f>M19/E47</f>
        <v>1.2251960910071826</v>
      </c>
      <c r="X33" s="242">
        <v>1</v>
      </c>
    </row>
    <row r="34" spans="2:24">
      <c r="H34" s="231"/>
      <c r="I34" s="214"/>
      <c r="J34" s="214"/>
      <c r="K34" s="214"/>
      <c r="L34" s="214"/>
      <c r="M34" s="214"/>
      <c r="N34" s="214"/>
      <c r="O34" s="211"/>
      <c r="Q34" s="5"/>
      <c r="S34" s="26"/>
      <c r="T34" s="26"/>
      <c r="U34" s="26"/>
      <c r="V34" s="26"/>
      <c r="W34" s="26"/>
      <c r="X34" s="26"/>
    </row>
    <row r="35" spans="2:24" ht="12.6" thickBot="1">
      <c r="B35" s="249" t="s">
        <v>25</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2.6199275856048252</v>
      </c>
      <c r="E37" s="430">
        <f t="shared" si="2"/>
        <v>2.1019432698335514</v>
      </c>
      <c r="F37" s="430">
        <f t="shared" si="2"/>
        <v>1.7673158441321424</v>
      </c>
      <c r="G37" s="430">
        <f t="shared" si="2"/>
        <v>1.490977100486143</v>
      </c>
      <c r="H37" s="13">
        <f t="shared" ref="H37:H45" si="3">H23</f>
        <v>0.13657312279124967</v>
      </c>
      <c r="I37" s="217"/>
      <c r="J37" s="217"/>
      <c r="K37" s="217"/>
      <c r="L37" s="217"/>
      <c r="M37" s="217"/>
      <c r="N37" s="217"/>
      <c r="O37" s="14"/>
      <c r="Q37" s="5"/>
      <c r="R37" s="5"/>
      <c r="S37" s="26"/>
      <c r="T37" s="26"/>
      <c r="U37" s="26"/>
      <c r="V37" s="26"/>
      <c r="W37" s="26"/>
      <c r="X37" s="26"/>
    </row>
    <row r="38" spans="2:24">
      <c r="B38" s="5" t="s">
        <v>158</v>
      </c>
      <c r="C38" s="207"/>
      <c r="D38" s="430">
        <f t="shared" si="2"/>
        <v>7.4049431236829459</v>
      </c>
      <c r="E38" s="430">
        <f t="shared" si="2"/>
        <v>6.1564377862490218</v>
      </c>
      <c r="F38" s="430">
        <f t="shared" si="2"/>
        <v>4.4837178583666226</v>
      </c>
      <c r="G38" s="430">
        <f t="shared" si="2"/>
        <v>3.6958642793873961</v>
      </c>
      <c r="H38" s="13">
        <f t="shared" si="3"/>
        <v>0.18738943723674595</v>
      </c>
      <c r="I38" s="13"/>
      <c r="J38" s="13"/>
      <c r="K38" s="13"/>
      <c r="L38" s="13"/>
      <c r="M38" s="13"/>
      <c r="N38" s="13"/>
      <c r="O38" s="5"/>
      <c r="Q38" s="5"/>
      <c r="R38" s="5"/>
      <c r="S38" s="26"/>
      <c r="T38" s="26"/>
      <c r="U38" s="26"/>
      <c r="V38" s="26"/>
      <c r="W38" s="26"/>
      <c r="X38" s="26"/>
    </row>
    <row r="39" spans="2:24">
      <c r="B39" s="5" t="s">
        <v>159</v>
      </c>
      <c r="C39" s="207"/>
      <c r="D39" s="430">
        <f t="shared" si="2"/>
        <v>13.77606277730415</v>
      </c>
      <c r="E39" s="430">
        <f t="shared" si="2"/>
        <v>11.672285536375483</v>
      </c>
      <c r="F39" s="430">
        <f t="shared" si="2"/>
        <v>7.4496586865144394</v>
      </c>
      <c r="G39" s="430">
        <f t="shared" si="2"/>
        <v>5.9832990727504578</v>
      </c>
      <c r="H39" s="13">
        <f t="shared" si="3"/>
        <v>0.24371081525857741</v>
      </c>
      <c r="I39" s="5"/>
      <c r="J39" s="5"/>
      <c r="K39" s="5"/>
      <c r="L39" s="5"/>
      <c r="M39" s="5"/>
      <c r="N39" s="5"/>
      <c r="O39" s="5"/>
      <c r="Q39" s="5"/>
      <c r="R39" s="5"/>
      <c r="S39" s="26"/>
      <c r="T39" s="26"/>
      <c r="U39" s="26"/>
      <c r="V39" s="26"/>
      <c r="W39" s="242"/>
      <c r="X39" s="242"/>
    </row>
    <row r="40" spans="2:24">
      <c r="B40" s="5" t="s">
        <v>381</v>
      </c>
      <c r="C40" s="207"/>
      <c r="D40" s="430">
        <f t="shared" si="2"/>
        <v>19.591583567499963</v>
      </c>
      <c r="E40" s="430">
        <f t="shared" si="2"/>
        <v>16.863939410662088</v>
      </c>
      <c r="F40" s="430">
        <f t="shared" si="2"/>
        <v>10.664588793239982</v>
      </c>
      <c r="G40" s="430">
        <f t="shared" si="2"/>
        <v>8.5573074542660397</v>
      </c>
      <c r="H40" s="13">
        <f t="shared" si="3"/>
        <v>0.24137238116561188</v>
      </c>
      <c r="I40" s="207"/>
      <c r="J40" s="217"/>
      <c r="K40" s="217"/>
      <c r="L40" s="217"/>
      <c r="M40" s="217"/>
      <c r="N40" s="217"/>
      <c r="O40" s="14"/>
      <c r="Q40" s="5"/>
      <c r="R40" s="5"/>
      <c r="S40" s="26"/>
      <c r="T40" s="26"/>
      <c r="U40" s="26"/>
      <c r="V40" s="26"/>
      <c r="W40" s="242"/>
      <c r="X40" s="242"/>
    </row>
    <row r="41" spans="2:24">
      <c r="B41" s="5" t="s">
        <v>434</v>
      </c>
      <c r="C41" s="207"/>
      <c r="D41" s="430">
        <f t="shared" si="2"/>
        <v>2.4931198659149474</v>
      </c>
      <c r="E41" s="430">
        <f t="shared" si="2"/>
        <v>2.1495302617941814</v>
      </c>
      <c r="F41" s="430">
        <f t="shared" si="2"/>
        <v>2.0138651536880712</v>
      </c>
      <c r="G41" s="430">
        <f t="shared" si="2"/>
        <v>1.7818698478870838</v>
      </c>
      <c r="H41" s="13">
        <f t="shared" si="3"/>
        <v>5.3449376644030044E-2</v>
      </c>
      <c r="I41" s="208"/>
      <c r="J41" s="13"/>
      <c r="K41" s="13"/>
      <c r="L41" s="13"/>
      <c r="M41" s="13"/>
      <c r="N41" s="13"/>
      <c r="O41" s="5"/>
      <c r="Q41" s="5"/>
      <c r="R41" s="5"/>
      <c r="S41" s="26"/>
      <c r="T41" s="26"/>
      <c r="U41" s="26"/>
      <c r="V41" s="26"/>
      <c r="W41" s="242"/>
      <c r="X41" s="242"/>
    </row>
    <row r="42" spans="2:24">
      <c r="B42" s="5" t="s">
        <v>493</v>
      </c>
      <c r="C42" s="207"/>
      <c r="D42" s="430">
        <f>D18/D28</f>
        <v>3.2594845164113617</v>
      </c>
      <c r="E42" s="430">
        <f>E18/E28</f>
        <v>2.7593129191981953</v>
      </c>
      <c r="F42" s="430">
        <f>F18/F28</f>
        <v>2.4319311799132723</v>
      </c>
      <c r="G42" s="430">
        <f>G18/G28</f>
        <v>2.1027645091274914</v>
      </c>
      <c r="H42" s="13">
        <f t="shared" si="3"/>
        <v>9.004402418470403E-2</v>
      </c>
      <c r="I42" s="207"/>
      <c r="J42" s="5"/>
      <c r="K42" s="5"/>
      <c r="L42" s="5"/>
      <c r="M42" s="5"/>
      <c r="N42" s="5"/>
      <c r="O42" s="5"/>
      <c r="Q42" s="5"/>
      <c r="R42" s="5"/>
      <c r="S42" s="26"/>
      <c r="T42" s="26"/>
      <c r="U42" s="26"/>
      <c r="V42" s="26"/>
      <c r="W42" s="242"/>
      <c r="X42" s="242"/>
    </row>
    <row r="43" spans="2:24">
      <c r="B43" s="5" t="s">
        <v>390</v>
      </c>
      <c r="C43" s="207"/>
      <c r="D43" s="430">
        <f>L26/D29</f>
        <v>23.450165248936997</v>
      </c>
      <c r="E43" s="430">
        <f>M26/E29</f>
        <v>15.410353469940693</v>
      </c>
      <c r="F43" s="430">
        <f>N26/F29</f>
        <v>12.326327706891529</v>
      </c>
      <c r="G43" s="430">
        <f>O26/G29</f>
        <v>10.503745422567203</v>
      </c>
      <c r="H43" s="13">
        <f t="shared" si="3"/>
        <v>0.29920862771021017</v>
      </c>
      <c r="I43" s="207"/>
      <c r="J43" s="207"/>
      <c r="K43" s="207"/>
      <c r="L43" s="207"/>
      <c r="M43" s="207"/>
      <c r="N43" s="207"/>
      <c r="O43" s="14"/>
      <c r="Q43" s="5"/>
      <c r="R43" s="5"/>
      <c r="S43" s="26"/>
      <c r="T43" s="26"/>
      <c r="U43" s="26"/>
      <c r="V43" s="26"/>
      <c r="W43" s="255"/>
      <c r="X43" s="255"/>
    </row>
    <row r="44" spans="2:24">
      <c r="B44" s="5" t="s">
        <v>437</v>
      </c>
      <c r="C44" s="53"/>
      <c r="D44" s="430">
        <f>D11/D30</f>
        <v>13.987504843658609</v>
      </c>
      <c r="E44" s="430">
        <f>E11/E30</f>
        <v>10.43067037532062</v>
      </c>
      <c r="F44" s="430">
        <f>F11/F30</f>
        <v>8.2767848489788651</v>
      </c>
      <c r="G44" s="430">
        <f>G11/G30</f>
        <v>7.004852314981683</v>
      </c>
      <c r="H44" s="13">
        <f t="shared" si="3"/>
        <v>0.25177251450443627</v>
      </c>
      <c r="I44" s="208"/>
      <c r="J44" s="208"/>
      <c r="K44" s="208"/>
      <c r="L44" s="208"/>
      <c r="M44" s="208"/>
      <c r="N44" s="208"/>
      <c r="O44" s="208"/>
      <c r="Q44" s="5"/>
      <c r="R44" s="5"/>
      <c r="S44" s="26"/>
      <c r="T44" s="26"/>
      <c r="U44" s="26"/>
      <c r="V44" s="26"/>
      <c r="W44" s="26"/>
      <c r="X44" s="26"/>
    </row>
    <row r="45" spans="2:24">
      <c r="B45" s="5" t="s">
        <v>481</v>
      </c>
      <c r="C45" s="207"/>
      <c r="D45" s="208">
        <f>D31/D11</f>
        <v>3.0544287380878801E-2</v>
      </c>
      <c r="E45" s="208">
        <f>E31/E11</f>
        <v>4.395508539543818E-2</v>
      </c>
      <c r="F45" s="208">
        <f>F31/F11</f>
        <v>5.3871956178551617E-2</v>
      </c>
      <c r="G45" s="208">
        <f>G31/G11</f>
        <v>6.3557237996527752E-2</v>
      </c>
      <c r="H45" s="13">
        <f t="shared" si="3"/>
        <v>0.26908290905415133</v>
      </c>
      <c r="I45" s="207"/>
      <c r="J45" s="207"/>
      <c r="K45" s="207"/>
      <c r="L45" s="207"/>
      <c r="M45" s="207"/>
      <c r="N45" s="207"/>
      <c r="O45" s="208"/>
      <c r="Q45" s="5"/>
      <c r="R45" s="5"/>
      <c r="S45" s="26"/>
      <c r="T45" s="26"/>
      <c r="U45" s="26"/>
      <c r="V45" s="26"/>
      <c r="W45" s="26"/>
      <c r="X45" s="26"/>
    </row>
    <row r="46" spans="2:24">
      <c r="B46" s="5" t="s">
        <v>505</v>
      </c>
      <c r="C46" s="207"/>
      <c r="D46" s="208">
        <f>(D31+D32)/D11</f>
        <v>2.6498586982557595E-2</v>
      </c>
      <c r="E46" s="208">
        <f>(E31+E32)/E11</f>
        <v>1.0808246113551016E-2</v>
      </c>
      <c r="F46" s="208">
        <f>(F31+F32)/F11</f>
        <v>5.7520239450434246E-2</v>
      </c>
      <c r="G46" s="208">
        <f>(G31+G32)/G11</f>
        <v>6.7155888346752513E-2</v>
      </c>
      <c r="H46" s="233">
        <f>((G31+G32)/(D31+D32))^(1/3)-1</f>
        <v>0.35528963407723091</v>
      </c>
      <c r="I46" s="13"/>
      <c r="J46" s="207"/>
      <c r="K46" s="207"/>
      <c r="L46" s="207"/>
      <c r="M46" s="207"/>
      <c r="N46" s="207"/>
      <c r="O46" s="14"/>
      <c r="Q46" s="5"/>
      <c r="R46" s="5"/>
      <c r="S46" s="26"/>
      <c r="T46" s="26"/>
      <c r="U46" s="26"/>
      <c r="V46" s="26"/>
      <c r="W46" s="26"/>
      <c r="X46" s="26"/>
    </row>
    <row r="47" spans="2:24">
      <c r="B47" s="5" t="s">
        <v>482</v>
      </c>
      <c r="C47" s="5"/>
      <c r="D47" s="208">
        <f>1/D43</f>
        <v>4.2643622737171552E-2</v>
      </c>
      <c r="E47" s="208">
        <f>1/E43</f>
        <v>6.4891438210719285E-2</v>
      </c>
      <c r="F47" s="208">
        <f>1/F43</f>
        <v>8.1127163237831965E-2</v>
      </c>
      <c r="G47" s="208">
        <f>1/G43</f>
        <v>9.5204135265074971E-2</v>
      </c>
      <c r="H47" s="13">
        <f>H29</f>
        <v>0.29920862771021017</v>
      </c>
      <c r="I47" s="207"/>
      <c r="J47" s="208"/>
      <c r="K47" s="208"/>
      <c r="L47" s="208"/>
      <c r="M47" s="208"/>
      <c r="N47" s="208"/>
      <c r="O47" s="208"/>
      <c r="Q47" s="5"/>
      <c r="R47" s="5"/>
      <c r="S47" s="5"/>
      <c r="T47" s="5"/>
      <c r="U47" s="5"/>
    </row>
    <row r="48" spans="2:24">
      <c r="B48" s="5" t="s">
        <v>518</v>
      </c>
      <c r="C48" s="5"/>
      <c r="D48" s="248">
        <f>D31/D29</f>
        <v>0.71626858649262892</v>
      </c>
      <c r="E48" s="248">
        <f>E31/E29</f>
        <v>0.67736340274513018</v>
      </c>
      <c r="F48" s="248">
        <f>F31/F29</f>
        <v>0.66404338606812718</v>
      </c>
      <c r="G48" s="248">
        <f>G31/G29</f>
        <v>0.66758904767704264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5">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689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416</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INCUMB'!D37</f>
        <v>1.0008369084307251</v>
      </c>
      <c r="M9" s="48">
        <f>'EM INCUMB'!E37</f>
        <v>0.88734774101548086</v>
      </c>
      <c r="N9" s="48">
        <f>'EM INCUMB'!F37</f>
        <v>0.82417780916097816</v>
      </c>
      <c r="O9" s="48">
        <f>'EM INCUMB'!G37</f>
        <v>0.72297901613799298</v>
      </c>
      <c r="P9" s="13">
        <f>'EM INCUMB'!H37</f>
        <v>3.3156379224546617E-2</v>
      </c>
    </row>
    <row r="10" spans="2:63">
      <c r="B10" s="5" t="s">
        <v>226</v>
      </c>
      <c r="C10" s="5"/>
      <c r="D10" s="258"/>
      <c r="E10" s="258"/>
      <c r="F10" s="258"/>
      <c r="G10" s="258"/>
      <c r="H10" s="207"/>
      <c r="I10" s="207"/>
      <c r="J10" s="5" t="s">
        <v>158</v>
      </c>
      <c r="L10" s="48">
        <f>'EM INCUMB'!D38</f>
        <v>3.2583306501424838</v>
      </c>
      <c r="M10" s="48">
        <f>'EM INCUMB'!E38</f>
        <v>2.8572876171214863</v>
      </c>
      <c r="N10" s="48">
        <f>'EM INCUMB'!F38</f>
        <v>2.6452129034272849</v>
      </c>
      <c r="O10" s="48">
        <f>'EM INCUMB'!G38</f>
        <v>2.3114210372923396</v>
      </c>
      <c r="P10" s="13">
        <f>'EM INCUMB'!H38</f>
        <v>3.9422751898065433E-2</v>
      </c>
    </row>
    <row r="11" spans="2:63">
      <c r="B11" s="25" t="s">
        <v>290</v>
      </c>
      <c r="C11" s="5"/>
      <c r="D11" s="225">
        <f>((PTT!D11/Prices!$C$152)*1000)+(_CT!D11/Prices!$C$155)+(_CU!D11/Prices!$C$155)+(_KT!D11*1000/Prices!$C$153)</f>
        <v>112895.43981657249</v>
      </c>
      <c r="E11" s="225">
        <f>((PTT!E11/Prices!$C$152)*1000)+(_CT!E11/Prices!$C$155)+(_CU!E11/Prices!$C$155)+(_KT!E11*1000/Prices!$C$153)</f>
        <v>112690.46045954654</v>
      </c>
      <c r="F11" s="225">
        <f>((PTT!F11/Prices!$C$152)*1000)+(_CT!F11/Prices!$C$155)+(_CU!F11/Prices!$C$155)+(_KT!F11*1000/Prices!$C$153)</f>
        <v>112485.48110252057</v>
      </c>
      <c r="G11" s="225">
        <f>((PTT!G11/Prices!$C$152)*1000)+(_CT!G11/Prices!$C$155)+(_CU!G11/Prices!$C$155)+(_KT!G11*1000/Prices!$C$153)</f>
        <v>112280.50174549462</v>
      </c>
      <c r="H11" s="209"/>
      <c r="I11" s="209"/>
      <c r="J11" s="5" t="s">
        <v>159</v>
      </c>
      <c r="L11" s="48">
        <f>'EM INCUMB'!D39</f>
        <v>6.1317261959843918</v>
      </c>
      <c r="M11" s="48">
        <f>'EM INCUMB'!E39</f>
        <v>5.1790241774087162</v>
      </c>
      <c r="N11" s="48">
        <f>'EM INCUMB'!F39</f>
        <v>4.6616800694291367</v>
      </c>
      <c r="O11" s="48">
        <f>'EM INCUMB'!G39</f>
        <v>3.9355802283020958</v>
      </c>
      <c r="P11" s="13">
        <f>'EM INCUMB'!H39</f>
        <v>7.4677565269395396E-2</v>
      </c>
    </row>
    <row r="12" spans="2:63">
      <c r="B12" s="5" t="s">
        <v>191</v>
      </c>
      <c r="C12" s="209"/>
      <c r="D12" s="188">
        <f>((PTT!D12/Prices!$C$152)*1000)+(_CT!D12/Prices!$C$155)+(_CU!D12/Prices!$C$155)+(_KT!D12*1000/Prices!$C$153)</f>
        <v>-166.23924213809551</v>
      </c>
      <c r="E12" s="188">
        <f>((PTT!E12/Prices!$C$152)*1000)+(_CT!E12/Prices!$C$155)+(_CU!E12/Prices!$C$155)+(_KT!E12*1000/Prices!$C$153)</f>
        <v>-6609.5920401578487</v>
      </c>
      <c r="F12" s="188">
        <f>((PTT!F12/Prices!$C$152)*1000)+(_CT!F12/Prices!$C$155)+(_CU!F12/Prices!$C$155)+(_KT!F12*1000/Prices!$C$153)</f>
        <v>-5404.7323171004828</v>
      </c>
      <c r="G12" s="188">
        <f>((PTT!G12/Prices!$C$152)*1000)+(_CT!G12/Prices!$C$155)+(_CU!G12/Prices!$C$155)+(_KT!G12*1000/Prices!$C$153)</f>
        <v>-13613.225502626265</v>
      </c>
      <c r="H12" s="207"/>
      <c r="I12" s="207"/>
      <c r="J12" s="5" t="s">
        <v>381</v>
      </c>
      <c r="L12" s="48">
        <f>'EM INCUMB'!D40</f>
        <v>8.2266961919310386</v>
      </c>
      <c r="M12" s="48">
        <f>'EM INCUMB'!E40</f>
        <v>6.9552647505778777</v>
      </c>
      <c r="N12" s="48">
        <f>'EM INCUMB'!F40</f>
        <v>6.2566651104334197</v>
      </c>
      <c r="O12" s="48">
        <f>'EM INCUMB'!G40</f>
        <v>5.2790882385458708</v>
      </c>
      <c r="P12" s="13">
        <f>'EM INCUMB'!H40</f>
        <v>7.4753911091564262E-2</v>
      </c>
    </row>
    <row r="13" spans="2:63">
      <c r="B13" s="5" t="s">
        <v>433</v>
      </c>
      <c r="C13" s="216"/>
      <c r="D13" s="188">
        <f>((PTT!D13/Prices!$C$152)*1000)+(_CT!D13/Prices!$C$155)+(_CU!D13/Prices!$C$155)+(_KT!D13*1000/Prices!$C$153)</f>
        <v>830.52038360352844</v>
      </c>
      <c r="E13" s="188">
        <f>((PTT!E13/Prices!$C$152)*1000)+(_CT!E13/Prices!$C$155)+(_CU!E13/Prices!$C$155)+(_KT!E13*1000/Prices!$C$153)</f>
        <v>762.98688423258284</v>
      </c>
      <c r="F13" s="188">
        <f>((PTT!F13/Prices!$C$152)*1000)+(_CT!F13/Prices!$C$155)+(_CU!F13/Prices!$C$155)+(_KT!F13*1000/Prices!$C$153)</f>
        <v>712.51748256892563</v>
      </c>
      <c r="G13" s="188">
        <f>((PTT!G13/Prices!$C$152)*1000)+(_CT!G13/Prices!$C$155)+(_CU!G13/Prices!$C$155)+(_KT!G13*1000/Prices!$C$153)</f>
        <v>657.75818176385735</v>
      </c>
      <c r="H13" s="207"/>
      <c r="I13" s="207"/>
      <c r="J13" s="5" t="s">
        <v>434</v>
      </c>
      <c r="L13" s="48">
        <f>'EM INCUMB'!D41</f>
        <v>1.0175258165160963</v>
      </c>
      <c r="M13" s="48">
        <f>'EM INCUMB'!E41</f>
        <v>0.94869638104642462</v>
      </c>
      <c r="N13" s="48">
        <f>'EM INCUMB'!F41</f>
        <v>0.89045537906663963</v>
      </c>
      <c r="O13" s="48">
        <f>'EM INCUMB'!G41</f>
        <v>0.82231946513225684</v>
      </c>
      <c r="P13" s="13">
        <f>'EM INCUMB'!H41</f>
        <v>-4.7737778021701427E-3</v>
      </c>
    </row>
    <row r="14" spans="2:63">
      <c r="B14" s="5" t="s">
        <v>436</v>
      </c>
      <c r="C14" s="228"/>
      <c r="D14" s="188">
        <f>((PTT!D14/Prices!$C$152)*1000)+(_CT!D14/Prices!$C$155)+(_CU!D14/Prices!$C$155)+(_KT!D14*1000/Prices!$C$153)</f>
        <v>21220.727527350078</v>
      </c>
      <c r="E14" s="188">
        <f>((PTT!E14/Prices!$C$152)*1000)+(_CT!E14/Prices!$C$155)+(_CU!E14/Prices!$C$155)+(_KT!E14*1000/Prices!$C$153)</f>
        <v>21220.727527350078</v>
      </c>
      <c r="F14" s="188">
        <f>((PTT!F14/Prices!$C$152)*1000)+(_CT!F14/Prices!$C$155)+(_CU!F14/Prices!$C$155)+(_KT!F14*1000/Prices!$C$153)</f>
        <v>21220.727527350078</v>
      </c>
      <c r="G14" s="188">
        <f>((PTT!G14/Prices!$C$152)*1000)+(_CT!G14/Prices!$C$155)+(_CU!G14/Prices!$C$155)+(_KT!G14*1000/Prices!$C$153)</f>
        <v>21220.727527350078</v>
      </c>
      <c r="H14" s="207"/>
      <c r="I14" s="207"/>
      <c r="J14" s="5" t="s">
        <v>493</v>
      </c>
      <c r="L14" s="48">
        <f>'EM INCUMB'!D42</f>
        <v>1.3694878531362229</v>
      </c>
      <c r="M14" s="48">
        <f>'EM INCUMB'!E42</f>
        <v>1.3458387543955599</v>
      </c>
      <c r="N14" s="48">
        <f>'EM INCUMB'!F42</f>
        <v>1.3892691442527436</v>
      </c>
      <c r="O14" s="48">
        <f>'EM INCUMB'!G42</f>
        <v>1.3693243761126275</v>
      </c>
      <c r="P14" s="13">
        <f>'EM INCUMB'!H42</f>
        <v>-7.2947911627430417E-2</v>
      </c>
    </row>
    <row r="15" spans="2:63">
      <c r="B15" s="5" t="s">
        <v>435</v>
      </c>
      <c r="C15" s="216"/>
      <c r="D15" s="188">
        <f>((PTT!D15/Prices!$C$152)*1000)+(_CT!D15/Prices!$C$155)+(_CU!D15/Prices!$C$155)+(_KT!D15*1000/Prices!$C$153)</f>
        <v>10611.174340836071</v>
      </c>
      <c r="E15" s="188">
        <f>((PTT!E15/Prices!$C$152)*1000)+(_CT!E15/Prices!$C$155)+(_CU!E15/Prices!$C$155)+(_KT!E15*1000/Prices!$C$153)</f>
        <v>10611.174340836071</v>
      </c>
      <c r="F15" s="188">
        <f>((PTT!F15/Prices!$C$152)*1000)+(_CT!F15/Prices!$C$155)+(_CU!F15/Prices!$C$155)+(_KT!F15*1000/Prices!$C$153)</f>
        <v>10611.174340836071</v>
      </c>
      <c r="G15" s="188">
        <f>((PTT!G15/Prices!$C$152)*1000)+(_CT!G15/Prices!$C$155)+(_CU!G15/Prices!$C$155)+(_KT!G15*1000/Prices!$C$153)</f>
        <v>10611.174340836071</v>
      </c>
      <c r="H15" s="207"/>
      <c r="I15" s="207"/>
      <c r="J15" s="5" t="s">
        <v>390</v>
      </c>
      <c r="L15" s="48">
        <f>'EM INCUMB'!D43</f>
        <v>10.31495058526585</v>
      </c>
      <c r="M15" s="48">
        <f>'EM INCUMB'!E43</f>
        <v>8.8042165247473836</v>
      </c>
      <c r="N15" s="48">
        <f>'EM INCUMB'!F43</f>
        <v>8.0617180025386705</v>
      </c>
      <c r="O15" s="48">
        <f>'EM INCUMB'!G43</f>
        <v>7.2956611469195627</v>
      </c>
      <c r="P15" s="13">
        <f>'EM INCUMB'!H43</f>
        <v>0.11011215571418109</v>
      </c>
    </row>
    <row r="16" spans="2:63">
      <c r="B16" s="5" t="s">
        <v>438</v>
      </c>
      <c r="C16" s="216"/>
      <c r="D16" s="188">
        <f>((PTT!D16/Prices!$C$152)*1000)+(_CT!D16/Prices!$C$155)+(_CU!D16/Prices!$C$155)+(_KT!D16*1000/Prices!$C$153)</f>
        <v>8476.9566360297504</v>
      </c>
      <c r="E16" s="188">
        <f>((PTT!E16/Prices!$C$152)*1000)+(_CT!E16/Prices!$C$155)+(_CU!E16/Prices!$C$155)+(_KT!E16*1000/Prices!$C$153)</f>
        <v>10003.168266017157</v>
      </c>
      <c r="F16" s="188">
        <f>((PTT!F16/Prices!$C$152)*1000)+(_CT!F16/Prices!$C$155)+(_CU!F16/Prices!$C$155)+(_KT!F16*1000/Prices!$C$153)</f>
        <v>11596.246654015891</v>
      </c>
      <c r="G16" s="188">
        <f>((PTT!G16/Prices!$C$152)*1000)+(_CT!G16/Prices!$C$155)+(_CU!G16/Prices!$C$155)+(_KT!G16*1000/Prices!$C$153)</f>
        <v>13351.306624827212</v>
      </c>
      <c r="H16" s="207"/>
      <c r="I16" s="207"/>
      <c r="J16" s="5" t="s">
        <v>437</v>
      </c>
      <c r="L16" s="48">
        <f>'EM INCUMB'!D44</f>
        <v>12.526047767737827</v>
      </c>
      <c r="M16" s="48">
        <f>'EM INCUMB'!E44</f>
        <v>10.883476131044869</v>
      </c>
      <c r="N16" s="48">
        <f>'EM INCUMB'!F44</f>
        <v>9.7425288213442798</v>
      </c>
      <c r="O16" s="48">
        <f>'EM INCUMB'!G44</f>
        <v>8.8253152950096752</v>
      </c>
      <c r="P16" s="13">
        <f>'EM INCUMB'!H44</f>
        <v>0.11132061006560745</v>
      </c>
    </row>
    <row r="17" spans="2:24">
      <c r="B17" s="5" t="s">
        <v>4</v>
      </c>
      <c r="C17" s="216"/>
      <c r="D17" s="188">
        <f>((PTT!D17/Prices!$C$152)*1000)+(_CT!D17/Prices!$C$155)+(_CU!D17/Prices!$C$155)+(_KT!D17*1000/Prices!$C$153)</f>
        <v>1822.8761560093294</v>
      </c>
      <c r="E17" s="188">
        <f>((PTT!E17/Prices!$C$152)*1000)+(_CT!E17/Prices!$C$155)+(_CU!E17/Prices!$C$155)+(_KT!E17*1000/Prices!$C$153)</f>
        <v>1822.8761560093294</v>
      </c>
      <c r="F17" s="188">
        <f>((PTT!F17/Prices!$C$152)*1000)+(_CT!F17/Prices!$C$155)+(_CU!F17/Prices!$C$155)+(_KT!F17*1000/Prices!$C$153)</f>
        <v>1822.8761560093294</v>
      </c>
      <c r="G17" s="188">
        <f>((PTT!G17/Prices!$C$152)*1000)+(_CT!G17/Prices!$C$155)+(_CU!G17/Prices!$C$155)+(_KT!G17*1000/Prices!$C$153)</f>
        <v>1822.8761560093294</v>
      </c>
      <c r="H17" s="207"/>
      <c r="I17" s="207"/>
      <c r="J17" s="5" t="s">
        <v>481</v>
      </c>
      <c r="L17" s="208">
        <f>'EM INCUMB'!D45</f>
        <v>4.6713014887079352E-2</v>
      </c>
      <c r="M17" s="208">
        <f>'EM INCUMB'!E45</f>
        <v>5.5860921075657842E-2</v>
      </c>
      <c r="N17" s="208">
        <f>'EM INCUMB'!F45</f>
        <v>6.2062147024960539E-2</v>
      </c>
      <c r="O17" s="208">
        <f>'EM INCUMB'!G45</f>
        <v>6.9652282078822819E-2</v>
      </c>
      <c r="P17" s="13">
        <f>'EM INCUMB'!H45</f>
        <v>0.12973671135672182</v>
      </c>
      <c r="S17" s="72"/>
      <c r="T17" s="72"/>
      <c r="U17" s="72"/>
      <c r="V17" s="26"/>
      <c r="W17" s="26"/>
      <c r="X17" s="26"/>
    </row>
    <row r="18" spans="2:24" ht="12.6" thickBot="1">
      <c r="B18" s="25" t="s">
        <v>291</v>
      </c>
      <c r="C18" s="209"/>
      <c r="D18" s="229">
        <f>((PTT!D18/Prices!$C$152)*1000)+(_CT!D18/Prices!$C$155)+(_CU!D18/Prices!$C$155)+(_KT!D18*1000/Prices!$C$153)</f>
        <v>92650.334979484818</v>
      </c>
      <c r="E18" s="229">
        <f>((PTT!E18/Prices!$C$152)*1000)+(_CT!E18/Prices!$C$155)+(_CU!E18/Prices!$C$155)+(_KT!E18*1000/Prices!$C$153)</f>
        <v>84408.257695080771</v>
      </c>
      <c r="F18" s="229">
        <f>((PTT!F18/Prices!$C$152)*1000)+(_CT!F18/Prices!$C$155)+(_CU!F18/Prices!$C$155)+(_KT!F18*1000/Prices!$C$153)</f>
        <v>83764.590271449793</v>
      </c>
      <c r="G18" s="229">
        <f>((PTT!G18/Prices!$C$152)*1000)+(_CT!G18/Prices!$C$155)+(_CU!G18/Prices!$C$155)+(_KT!G18*1000/Prices!$C$153)</f>
        <v>73541.298457281679</v>
      </c>
      <c r="H18" s="230">
        <f>IF(D18=0,"nm",IF(G18=0,"nm",(G18/D18)^(1/3)-1))</f>
        <v>-7.4105651516936377E-2</v>
      </c>
      <c r="I18" s="214"/>
      <c r="J18" s="5" t="s">
        <v>33</v>
      </c>
      <c r="L18" s="208">
        <f>'EM INCUMB'!D46</f>
        <v>5.1640678432129626E-2</v>
      </c>
      <c r="M18" s="208">
        <f>'EM INCUMB'!E46</f>
        <v>6.4232928591480415E-2</v>
      </c>
      <c r="N18" s="208">
        <f>'EM INCUMB'!F46</f>
        <v>7.0809807018395565E-2</v>
      </c>
      <c r="O18" s="208">
        <f>'EM INCUMB'!G46</f>
        <v>7.8958400472973839E-2</v>
      </c>
      <c r="P18" s="13">
        <f>'EM INCUMB'!H46</f>
        <v>0.13923562780326715</v>
      </c>
      <c r="S18" s="72"/>
      <c r="T18" s="72"/>
      <c r="U18" s="72"/>
      <c r="V18" s="26"/>
      <c r="W18" s="26"/>
      <c r="X18" s="26"/>
    </row>
    <row r="19" spans="2:24" ht="12.6" thickTop="1">
      <c r="B19" s="25"/>
      <c r="C19" s="209"/>
      <c r="D19" s="189"/>
      <c r="E19" s="189"/>
      <c r="F19" s="189"/>
      <c r="G19" s="189"/>
      <c r="H19" s="230"/>
      <c r="I19" s="13"/>
      <c r="J19" s="5" t="s">
        <v>482</v>
      </c>
      <c r="L19" s="208">
        <f>'EM INCUMB'!D47</f>
        <v>9.6946659291652512E-2</v>
      </c>
      <c r="M19" s="208">
        <f>'EM INCUMB'!E47</f>
        <v>0.11358194078816032</v>
      </c>
      <c r="N19" s="208">
        <f>'EM INCUMB'!F47</f>
        <v>0.12404303892608196</v>
      </c>
      <c r="O19" s="208">
        <f>'EM INCUMB'!G47</f>
        <v>0.137067769440228</v>
      </c>
      <c r="P19" s="13">
        <f>'EM INCUMB'!H47</f>
        <v>0.11011215571418109</v>
      </c>
      <c r="S19" s="72"/>
      <c r="T19" s="72"/>
      <c r="U19" s="72"/>
      <c r="V19" s="26"/>
      <c r="W19" s="26"/>
      <c r="X19" s="26"/>
    </row>
    <row r="20" spans="2:24">
      <c r="H20" s="231"/>
      <c r="I20" s="33"/>
      <c r="J20" s="5" t="s">
        <v>504</v>
      </c>
      <c r="L20" s="208">
        <f>'EM INCUMB'!D48</f>
        <v>0.48589803724549191</v>
      </c>
      <c r="M20" s="208">
        <f>'EM INCUMB'!E48</f>
        <v>0.49556464546321294</v>
      </c>
      <c r="N20" s="208">
        <f>'EM INCUMB'!F48</f>
        <v>0.50418841009000548</v>
      </c>
      <c r="O20" s="208">
        <f>'EM INCUMB'!G48</f>
        <v>0.51212537499532951</v>
      </c>
      <c r="P20" s="13" t="str">
        <f>'EM INCUMB'!H48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((PTT!C23/Prices!$C$152)*1000)+(_CT!C23/Prices!$C$155)+(_CU!C23/Prices!$C$155)+(_KT!C23*1000/Prices!$C$153)</f>
        <v>160999.32739190324</v>
      </c>
      <c r="D23" s="188">
        <f>((PTT!D23/Prices!$C$152)*1000)+(_CT!D23/Prices!$C$155)+(_CU!D23/Prices!$C$155)+(_KT!D23*1000/Prices!$C$153)</f>
        <v>164084.32253365591</v>
      </c>
      <c r="E23" s="188">
        <f>((PTT!E23/Prices!$C$152)*1000)+(_CT!E23/Prices!$C$155)+(_CU!E23/Prices!$C$155)+(_KT!E23*1000/Prices!$C$153)</f>
        <v>168059.9855899926</v>
      </c>
      <c r="F23" s="188">
        <f>((PTT!F23/Prices!$C$152)*1000)+(_CT!F23/Prices!$C$155)+(_CU!F23/Prices!$C$155)+(_KT!F23*1000/Prices!$C$153)</f>
        <v>172577.1622857285</v>
      </c>
      <c r="G23" s="188">
        <f>((PTT!G23/Prices!$C$152)*1000)+(_CT!G23/Prices!$C$155)+(_CU!G23/Prices!$C$155)+(_KT!G23*1000/Prices!$C$153)</f>
        <v>177269.58064793996</v>
      </c>
      <c r="H23" s="233">
        <f t="shared" ref="H23:H33" si="0">IF(D23=0,"nm",IF(G23=0,"nm",(G23/D23)^(1/3)-1))</f>
        <v>2.6098477020344735E-2</v>
      </c>
      <c r="I23" s="209"/>
      <c r="J23" s="249" t="s">
        <v>7</v>
      </c>
      <c r="K23" s="249"/>
      <c r="L23" s="219" t="str">
        <f>L5</f>
        <v>2025E</v>
      </c>
      <c r="M23" s="219" t="str">
        <f>M5</f>
        <v>2026E</v>
      </c>
      <c r="N23" s="219" t="str">
        <f>N5</f>
        <v>2027E</v>
      </c>
      <c r="O23" s="219" t="str">
        <f>O5</f>
        <v>2028E</v>
      </c>
      <c r="P23" s="236" t="str">
        <f>P5</f>
        <v>2025-28</v>
      </c>
      <c r="S23" s="26"/>
      <c r="T23" s="26"/>
      <c r="U23" s="26"/>
      <c r="V23" s="26"/>
      <c r="W23" s="26" t="s">
        <v>513</v>
      </c>
      <c r="X23" s="26" t="s">
        <v>463</v>
      </c>
    </row>
    <row r="24" spans="2:24" ht="12.6" thickTop="1">
      <c r="B24" s="5" t="s">
        <v>397</v>
      </c>
      <c r="C24" s="288">
        <f>((PTT!C24/Prices!$C$152)*1000)+(_CT!C24/Prices!$C$155)+(_CU!C24/Prices!$C$155)+(_KT!C24*1000/Prices!$C$153)</f>
        <v>42678.473395870438</v>
      </c>
      <c r="D24" s="188">
        <f>((PTT!D24/Prices!$C$152)*1000)+(_CT!D24/Prices!$C$155)+(_CU!D24/Prices!$C$155)+(_KT!D24*1000/Prices!$C$153)</f>
        <v>44671.108978163866</v>
      </c>
      <c r="E24" s="188">
        <f>((PTT!E24/Prices!$C$152)*1000)+(_CT!E24/Prices!$C$155)+(_CU!E24/Prices!$C$155)+(_KT!E24*1000/Prices!$C$153)</f>
        <v>45581.349045282375</v>
      </c>
      <c r="F24" s="188">
        <f>((PTT!F24/Prices!$C$152)*1000)+(_CT!F24/Prices!$C$155)+(_CU!F24/Prices!$C$155)+(_KT!F24*1000/Prices!$C$153)</f>
        <v>46829.846419006484</v>
      </c>
      <c r="G24" s="188">
        <f>((PTT!G24/Prices!$C$152)*1000)+(_CT!G24/Prices!$C$155)+(_CU!G24/Prices!$C$155)+(_KT!G24*1000/Prices!$C$153)</f>
        <v>48350.448874085101</v>
      </c>
      <c r="H24" s="233">
        <f t="shared" si="0"/>
        <v>2.673395649564414E-2</v>
      </c>
      <c r="I24" s="208"/>
      <c r="J24" s="13"/>
      <c r="K24" s="13"/>
      <c r="L24" s="13"/>
      <c r="M24" s="13"/>
      <c r="N24" s="13"/>
      <c r="O24" s="208"/>
      <c r="S24" s="26"/>
      <c r="T24" s="26"/>
      <c r="U24" s="26"/>
      <c r="V24" s="113" t="s">
        <v>225</v>
      </c>
      <c r="W24" s="242">
        <f t="shared" ref="W24:W31" si="1">E37/M9</f>
        <v>0.5660134690340809</v>
      </c>
      <c r="X24" s="242">
        <v>1</v>
      </c>
    </row>
    <row r="25" spans="2:24">
      <c r="B25" s="5" t="s">
        <v>157</v>
      </c>
      <c r="C25" s="288">
        <f>((PTT!C25/Prices!$C$152)*1000)+(_CT!C25/Prices!$C$155)+(_CU!C25/Prices!$C$155)+(_KT!C25*1000/Prices!$C$153)</f>
        <v>16483.117419795217</v>
      </c>
      <c r="D25" s="188">
        <f>((PTT!D25/Prices!$C$152)*1000)+(_CT!D25/Prices!$C$155)+(_CU!D25/Prices!$C$155)+(_KT!D25*1000/Prices!$C$153)</f>
        <v>20827.633005240044</v>
      </c>
      <c r="E25" s="188">
        <f>((PTT!E25/Prices!$C$152)*1000)+(_CT!E25/Prices!$C$155)+(_CU!E25/Prices!$C$155)+(_KT!E25*1000/Prices!$C$153)</f>
        <v>22485.828426911434</v>
      </c>
      <c r="F25" s="188">
        <f>((PTT!F25/Prices!$C$152)*1000)+(_CT!F25/Prices!$C$155)+(_CU!F25/Prices!$C$155)+(_KT!F25*1000/Prices!$C$153)</f>
        <v>24108.426876253081</v>
      </c>
      <c r="G25" s="188">
        <f>((PTT!G25/Prices!$C$152)*1000)+(_CT!G25/Prices!$C$155)+(_CU!G25/Prices!$C$155)+(_KT!G25*1000/Prices!$C$153)</f>
        <v>25875.526574662767</v>
      </c>
      <c r="H25" s="233">
        <f t="shared" si="0"/>
        <v>7.501970939731506E-2</v>
      </c>
      <c r="I25" s="209"/>
      <c r="J25" s="207" t="s">
        <v>8</v>
      </c>
      <c r="K25" s="207"/>
      <c r="L25" s="258">
        <f>((PTT!L25/Prices!$C$152)*1000)+(_CT!L25/Prices!$C$155)+(_CU!L25/Prices!$C$155)+(_KT!L25*1000/Prices!$C$153)</f>
        <v>-814.31378081092942</v>
      </c>
      <c r="M25" s="258">
        <f>((PTT!M25/Prices!$C$152)*1000)+(_CT!M25/Prices!$C$155)+(_CU!M25/Prices!$C$155)+(_KT!M25*1000/Prices!$C$153)</f>
        <v>-634.93201785871543</v>
      </c>
      <c r="N25" s="258">
        <f>((PTT!N25/Prices!$C$152)*1000)+(_CT!N25/Prices!$C$155)+(_CU!N25/Prices!$C$155)+(_KT!N25*1000/Prices!$C$153)</f>
        <v>-634.93201785871543</v>
      </c>
      <c r="O25" s="258">
        <f>((PTT!O25/Prices!$C$152)*1000)+(_CT!O25/Prices!$C$155)+(_CU!O25/Prices!$C$155)+(_KT!O25*1000/Prices!$C$153)</f>
        <v>-634.93201785871543</v>
      </c>
      <c r="P25" s="233">
        <f>IF(L25=0,"nm",IF(O25=0,"nm",(O25/L25)^(1/3)-1))</f>
        <v>-7.9596034509965885E-2</v>
      </c>
      <c r="Q25" s="5"/>
      <c r="S25" s="26"/>
      <c r="T25" s="26"/>
      <c r="U25" s="26"/>
      <c r="V25" s="113" t="s">
        <v>158</v>
      </c>
      <c r="W25" s="242">
        <f t="shared" si="1"/>
        <v>0.64810265751263973</v>
      </c>
      <c r="X25" s="242">
        <v>1</v>
      </c>
    </row>
    <row r="26" spans="2:24">
      <c r="B26" s="5" t="s">
        <v>487</v>
      </c>
      <c r="C26" s="288">
        <f>((PTT!C26/Prices!$C$152)*1000)+(_CT!C26/Prices!$C$155)+(_CU!C26/Prices!$C$155)+(_KT!C26*1000/Prices!$C$153)</f>
        <v>13043.091675364611</v>
      </c>
      <c r="D26" s="188">
        <f>((PTT!D26/Prices!$C$152)*1000)+(_CT!D26/Prices!$C$155)+(_CU!D26/Prices!$C$155)+(_KT!D26*1000/Prices!$C$153)</f>
        <v>16385.440407471964</v>
      </c>
      <c r="E26" s="188">
        <f>((PTT!E26/Prices!$C$152)*1000)+(_CT!E26/Prices!$C$155)+(_CU!E26/Prices!$C$155)+(_KT!E26*1000/Prices!$C$153)</f>
        <v>17710.055749218278</v>
      </c>
      <c r="F26" s="188">
        <f>((PTT!F26/Prices!$C$152)*1000)+(_CT!F26/Prices!$C$155)+(_CU!F26/Prices!$C$155)+(_KT!F26*1000/Prices!$C$153)</f>
        <v>18991.015192039609</v>
      </c>
      <c r="G26" s="188">
        <f>((PTT!G26/Prices!$C$152)*1000)+(_CT!G26/Prices!$C$155)+(_CU!G26/Prices!$C$155)+(_KT!G26*1000/Prices!$C$153)</f>
        <v>20388.496977137842</v>
      </c>
      <c r="H26" s="233">
        <f t="shared" si="0"/>
        <v>7.5579123315119956E-2</v>
      </c>
      <c r="I26" s="209"/>
      <c r="J26" s="209" t="s">
        <v>9</v>
      </c>
      <c r="K26" s="209"/>
      <c r="L26" s="235">
        <f>((PTT!L26/Prices!$C$152)*1000)+(_CT!L26/Prices!$C$155)+(_CU!L26/Prices!$C$155)+(_KT!L26*1000/Prices!$C$153)</f>
        <v>112081.12603576155</v>
      </c>
      <c r="M26" s="235">
        <f>((PTT!M26/Prices!$C$152)*1000)+(_CT!M26/Prices!$C$155)+(_CU!M26/Prices!$C$155)+(_KT!M26*1000/Prices!$C$153)</f>
        <v>112055.52844168781</v>
      </c>
      <c r="N26" s="235">
        <f>((PTT!N26/Prices!$C$152)*1000)+(_CT!N26/Prices!$C$155)+(_CU!N26/Prices!$C$155)+(_KT!N26*1000/Prices!$C$153)</f>
        <v>111850.54908466186</v>
      </c>
      <c r="O26" s="235">
        <f>((PTT!O26/Prices!$C$152)*1000)+(_CT!O26/Prices!$C$155)+(_CU!O26/Prices!$C$155)+(_KT!O26*1000/Prices!$C$153)</f>
        <v>111645.56972763591</v>
      </c>
      <c r="P26" s="233">
        <f>IF(L26=0,"nm",IF(O26=0,"nm",(O26/L26)^(1/3)-1))</f>
        <v>-1.2970418455562349E-3</v>
      </c>
      <c r="Q26" s="25"/>
      <c r="S26" s="26"/>
      <c r="T26" s="26"/>
      <c r="U26" s="26"/>
      <c r="V26" s="113" t="s">
        <v>159</v>
      </c>
      <c r="W26" s="242">
        <f t="shared" si="1"/>
        <v>0.72481655621035845</v>
      </c>
      <c r="X26" s="242">
        <v>1</v>
      </c>
    </row>
    <row r="27" spans="2:24">
      <c r="B27" s="5" t="s">
        <v>488</v>
      </c>
      <c r="C27" s="288">
        <f>((PTT!C27/Prices!$C$152)*1000)+(_CT!C27/Prices!$C$155)+(_CU!C27/Prices!$C$155)+(_KT!C27*1000/Prices!$C$153)</f>
        <v>144698.76429042971</v>
      </c>
      <c r="D27" s="188">
        <f>((PTT!D27/Prices!$C$152)*1000)+(_CT!D27/Prices!$C$155)+(_CU!D27/Prices!$C$155)+(_KT!D27*1000/Prices!$C$153)</f>
        <v>145312.33759096166</v>
      </c>
      <c r="E27" s="188">
        <f>((PTT!E27/Prices!$C$152)*1000)+(_CT!E27/Prices!$C$155)+(_CU!E27/Prices!$C$155)+(_KT!E27*1000/Prices!$C$153)</f>
        <v>142472.34902903825</v>
      </c>
      <c r="F27" s="188">
        <f>((PTT!F27/Prices!$C$152)*1000)+(_CT!F27/Prices!$C$155)+(_CU!F27/Prices!$C$155)+(_KT!F27*1000/Prices!$C$153)</f>
        <v>147543.52359903548</v>
      </c>
      <c r="G27" s="188">
        <f>((PTT!G27/Prices!$C$152)*1000)+(_CT!G27/Prices!$C$155)+(_CU!G27/Prices!$C$155)+(_KT!G27*1000/Prices!$C$153)</f>
        <v>143353.03395370394</v>
      </c>
      <c r="H27" s="233">
        <f t="shared" si="0"/>
        <v>-4.5148178841643016E-3</v>
      </c>
      <c r="I27" s="208"/>
      <c r="J27" s="208"/>
      <c r="K27" s="208"/>
      <c r="L27" s="208"/>
      <c r="M27" s="208"/>
      <c r="N27" s="208"/>
      <c r="O27" s="208"/>
      <c r="Q27" s="5"/>
      <c r="S27" s="26"/>
      <c r="T27" s="26"/>
      <c r="U27" s="26"/>
      <c r="V27" s="113" t="s">
        <v>381</v>
      </c>
      <c r="W27" s="242">
        <f t="shared" si="1"/>
        <v>0.68525362501368881</v>
      </c>
      <c r="X27" s="242">
        <v>1</v>
      </c>
    </row>
    <row r="28" spans="2:24" ht="12.6" thickBot="1">
      <c r="B28" s="5" t="s">
        <v>492</v>
      </c>
      <c r="C28" s="288">
        <f>((PTT!C28/Prices!$C$152)*1000)+(_CT!C28/Prices!$C$155)+(_CU!C28/Prices!$C$155)+(_KT!C28*1000/Prices!$C$153)</f>
        <v>133209.53273847513</v>
      </c>
      <c r="D28" s="188">
        <f>((PTT!D28/Prices!$C$152)*1000)+(_CT!D28/Prices!$C$155)+(_CU!D28/Prices!$C$155)+(_KT!D28*1000/Prices!$C$153)</f>
        <v>125740.00383135169</v>
      </c>
      <c r="E28" s="188">
        <f>((PTT!E28/Prices!$C$152)*1000)+(_CT!E28/Prices!$C$155)+(_CU!E28/Prices!$C$155)+(_KT!E28*1000/Prices!$C$153)</f>
        <v>117192.39227532659</v>
      </c>
      <c r="F28" s="188">
        <f>((PTT!F28/Prices!$C$152)*1000)+(_CT!F28/Prices!$C$155)+(_CU!F28/Prices!$C$155)+(_KT!F28*1000/Prices!$C$153)</f>
        <v>108218.31560831417</v>
      </c>
      <c r="G28" s="188">
        <f>((PTT!G28/Prices!$C$152)*1000)+(_CT!G28/Prices!$C$155)+(_CU!G28/Prices!$C$155)+(_KT!G28*1000/Prices!$C$153)</f>
        <v>98856.164168794901</v>
      </c>
      <c r="H28" s="233">
        <f t="shared" si="0"/>
        <v>-7.7053001291938705E-2</v>
      </c>
      <c r="I28" s="212"/>
      <c r="J28" s="249" t="s">
        <v>628</v>
      </c>
      <c r="K28" s="249"/>
      <c r="L28" s="249"/>
      <c r="M28" s="249"/>
      <c r="N28" s="220"/>
      <c r="O28" s="220"/>
      <c r="P28" s="220"/>
      <c r="Q28" s="5"/>
      <c r="S28" s="26"/>
      <c r="T28" s="26"/>
      <c r="U28" s="26"/>
      <c r="V28" s="113" t="s">
        <v>434</v>
      </c>
      <c r="W28" s="242">
        <f t="shared" si="1"/>
        <v>0.62449232773882091</v>
      </c>
      <c r="X28" s="242">
        <v>1</v>
      </c>
    </row>
    <row r="29" spans="2:24" ht="12.6" thickTop="1">
      <c r="B29" s="5" t="s">
        <v>489</v>
      </c>
      <c r="C29" s="288">
        <f>((PTT!C29/Prices!$C$152)*1000)+(_CT!C29/Prices!$C$155)+(_CU!C29/Prices!$C$155)+(_KT!C29*1000/Prices!$C$153)</f>
        <v>8936.133146357839</v>
      </c>
      <c r="D29" s="188">
        <f>((PTT!D29/Prices!$C$152)*1000)+(_CT!D29/Prices!$C$155)+(_CU!D29/Prices!$C$155)+(_KT!D29*1000/Prices!$C$153)</f>
        <v>12047.667835166285</v>
      </c>
      <c r="E29" s="188">
        <f>((PTT!E29/Prices!$C$152)*1000)+(_CT!E29/Prices!$C$155)+(_CU!E29/Prices!$C$155)+(_KT!E29*1000/Prices!$C$153)</f>
        <v>14072.327410983133</v>
      </c>
      <c r="F29" s="188">
        <f>((PTT!F29/Prices!$C$152)*1000)+(_CT!F29/Prices!$C$155)+(_CU!F29/Prices!$C$155)+(_KT!F29*1000/Prices!$C$153)</f>
        <v>15292.427909677008</v>
      </c>
      <c r="G29" s="188">
        <f>((PTT!G29/Prices!$C$152)*1000)+(_CT!G29/Prices!$C$155)+(_CU!G29/Prices!$C$155)+(_KT!G29*1000/Prices!$C$153)</f>
        <v>16644.174008987811</v>
      </c>
      <c r="H29" s="233">
        <f t="shared" si="0"/>
        <v>0.11374667578047948</v>
      </c>
      <c r="I29" s="214"/>
      <c r="J29" s="209"/>
      <c r="K29" s="209"/>
      <c r="L29" s="209"/>
      <c r="M29" s="209"/>
      <c r="N29" s="209"/>
      <c r="O29" s="211"/>
      <c r="Q29" s="5"/>
      <c r="S29" s="26"/>
      <c r="T29" s="26"/>
      <c r="U29" s="26"/>
      <c r="V29" s="113" t="s">
        <v>493</v>
      </c>
      <c r="W29" s="242">
        <f t="shared" si="1"/>
        <v>0.53517089466584111</v>
      </c>
      <c r="X29" s="242">
        <v>1</v>
      </c>
    </row>
    <row r="30" spans="2:24">
      <c r="B30" s="5" t="s">
        <v>490</v>
      </c>
      <c r="C30" s="288">
        <f>((PTT!C30/Prices!$C$152)*1000)+(_CT!C30/Prices!$C$155)+(_CU!C30/Prices!$C$155)+(_KT!C30*1000/Prices!$C$153)</f>
        <v>9360.3754555954692</v>
      </c>
      <c r="D30" s="188">
        <f>((PTT!D30/Prices!$C$152)*1000)+(_CT!D30/Prices!$C$155)+(_CU!D30/Prices!$C$155)+(_KT!D30*1000/Prices!$C$153)</f>
        <v>10678.88786926668</v>
      </c>
      <c r="E30" s="188">
        <f>((PTT!E30/Prices!$C$152)*1000)+(_CT!E30/Prices!$C$155)+(_CU!E30/Prices!$C$155)+(_KT!E30*1000/Prices!$C$153)</f>
        <v>11292.936708694015</v>
      </c>
      <c r="F30" s="188">
        <f>((PTT!F30/Prices!$C$152)*1000)+(_CT!F30/Prices!$C$155)+(_CU!F30/Prices!$C$155)+(_KT!F30*1000/Prices!$C$153)</f>
        <v>12319.105567267176</v>
      </c>
      <c r="G30" s="188">
        <f>((PTT!G30/Prices!$C$152)*1000)+(_CT!G30/Prices!$C$155)+(_CU!G30/Prices!$C$155)+(_KT!G30*1000/Prices!$C$153)</f>
        <v>13507.082834148854</v>
      </c>
      <c r="H30" s="233">
        <f t="shared" si="0"/>
        <v>8.1463448437963049E-2</v>
      </c>
      <c r="I30" s="214"/>
      <c r="J30" s="208"/>
      <c r="K30" s="208"/>
      <c r="L30" s="208"/>
      <c r="M30" s="208"/>
      <c r="N30" s="208"/>
      <c r="O30" s="5"/>
      <c r="Q30" s="5"/>
      <c r="S30" s="26"/>
      <c r="T30" s="26"/>
      <c r="U30" s="26"/>
      <c r="V30" s="113" t="s">
        <v>390</v>
      </c>
      <c r="W30" s="242">
        <f t="shared" si="1"/>
        <v>0.9044335044760462</v>
      </c>
      <c r="X30" s="242">
        <v>1</v>
      </c>
    </row>
    <row r="31" spans="2:24">
      <c r="B31" s="5" t="s">
        <v>491</v>
      </c>
      <c r="C31" s="288">
        <f>((PTT!C31/Prices!$C$152)*1000)+(_CT!C31/Prices!$C$155)+(_CU!C31/Prices!$C$155)+(_KT!C31*1000/Prices!$C$153)</f>
        <v>6846.6950518964968</v>
      </c>
      <c r="D31" s="188">
        <f>((PTT!D31/Prices!$C$152)*1000)+(_CT!D31/Prices!$C$155)+(_CU!D31/Prices!$C$155)+(_KT!D31*1000/Prices!$C$153)</f>
        <v>7255.8094056785694</v>
      </c>
      <c r="E31" s="188">
        <f>((PTT!E31/Prices!$C$152)*1000)+(_CT!E31/Prices!$C$155)+(_CU!E31/Prices!$C$155)+(_KT!E31*1000/Prices!$C$153)</f>
        <v>8072.9303115300572</v>
      </c>
      <c r="F31" s="188">
        <f>((PTT!F31/Prices!$C$152)*1000)+(_CT!F31/Prices!$C$155)+(_CU!F31/Prices!$C$155)+(_KT!F31*1000/Prices!$C$153)</f>
        <v>8791.2184919069423</v>
      </c>
      <c r="G31" s="188">
        <f>((PTT!G31/Prices!$C$152)*1000)+(_CT!G31/Prices!$C$155)+(_CU!G31/Prices!$C$155)+(_KT!G31*1000/Prices!$C$153)</f>
        <v>9793.7826378791669</v>
      </c>
      <c r="H31" s="233">
        <f t="shared" si="0"/>
        <v>0.10515077257881411</v>
      </c>
      <c r="I31" s="214"/>
      <c r="J31" s="212"/>
      <c r="K31" s="212"/>
      <c r="L31" s="212"/>
      <c r="M31" s="212"/>
      <c r="N31" s="212"/>
      <c r="O31" s="5"/>
      <c r="Q31" s="5"/>
      <c r="S31" s="26"/>
      <c r="T31" s="26"/>
      <c r="U31" s="26"/>
      <c r="V31" s="113" t="s">
        <v>437</v>
      </c>
      <c r="W31" s="242">
        <f t="shared" si="1"/>
        <v>0.91688027582583354</v>
      </c>
      <c r="X31" s="242">
        <v>1</v>
      </c>
    </row>
    <row r="32" spans="2:24">
      <c r="B32" s="5" t="s">
        <v>506</v>
      </c>
      <c r="C32" s="288">
        <f>((PTT!C32/Prices!$C$152)*1000)+(_CT!C32/Prices!$C$155)+(_CU!C32/Prices!$C$155)+(_KT!C32*1000/Prices!$C$153)</f>
        <v>157.1297856068866</v>
      </c>
      <c r="D32" s="188">
        <f>((PTT!D32/Prices!$C$152)*1000)+(_CT!D32/Prices!$C$155)+(_CU!D32/Prices!$C$155)+(_KT!D32*1000/Prices!$C$153)</f>
        <v>157.1297856068866</v>
      </c>
      <c r="E32" s="188">
        <f>((PTT!E32/Prices!$C$152)*1000)+(_CT!E32/Prices!$C$155)+(_CU!E32/Prices!$C$155)+(_KT!E32*1000/Prices!$C$153)</f>
        <v>216.5436269803856</v>
      </c>
      <c r="F32" s="188">
        <f>((PTT!F32/Prices!$C$152)*1000)+(_CT!F32/Prices!$C$155)+(_CU!F32/Prices!$C$155)+(_KT!F32*1000/Prices!$C$153)</f>
        <v>218.29205199312435</v>
      </c>
      <c r="G32" s="188">
        <f>((PTT!G32/Prices!$C$152)*1000)+(_CT!G32/Prices!$C$155)+(_CU!G32/Prices!$C$155)+(_KT!G32*1000/Prices!$C$153)</f>
        <v>216.5436269803856</v>
      </c>
      <c r="H32" s="233">
        <f t="shared" si="0"/>
        <v>0.11283035344096159</v>
      </c>
      <c r="I32" s="5"/>
      <c r="J32" s="214"/>
      <c r="K32" s="214"/>
      <c r="L32" s="214"/>
      <c r="M32" s="214"/>
      <c r="N32" s="214"/>
      <c r="O32" s="211"/>
      <c r="Q32" s="5"/>
      <c r="S32" s="26"/>
      <c r="T32" s="26"/>
      <c r="U32" s="26"/>
      <c r="V32" s="113" t="s">
        <v>481</v>
      </c>
      <c r="W32" s="242">
        <f>M17/E45</f>
        <v>0.77976554668377707</v>
      </c>
      <c r="X32" s="242">
        <v>1</v>
      </c>
    </row>
    <row r="33" spans="2:24">
      <c r="B33" s="5" t="s">
        <v>3</v>
      </c>
      <c r="C33" s="288">
        <f>((PTT!C33/Prices!$C$152)*1000)+(_CT!C33/Prices!$C$155)+(_CU!C33/Prices!$C$155)+(_KT!C33*1000/Prices!$C$153)</f>
        <v>-2.0216399903557374</v>
      </c>
      <c r="D33" s="188">
        <f>((PTT!D33/Prices!$C$152)*1000)+(_CT!D33/Prices!$C$155)+(_CU!D33/Prices!$C$155)+(_KT!D33*1000/Prices!$C$153)</f>
        <v>-66.957880986710535</v>
      </c>
      <c r="E33" s="188">
        <f>((PTT!E33/Prices!$C$152)*1000)+(_CT!E33/Prices!$C$155)+(_CU!E33/Prices!$C$155)+(_KT!E33*1000/Prices!$C$153)</f>
        <v>65.269342017729031</v>
      </c>
      <c r="F33" s="188">
        <f>((PTT!F33/Prices!$C$152)*1000)+(_CT!F33/Prices!$C$155)+(_CU!F33/Prices!$C$155)+(_KT!F33*1000/Prices!$C$153)</f>
        <v>57.05262652338287</v>
      </c>
      <c r="G33" s="188">
        <f>((PTT!G33/Prices!$C$152)*1000)+(_CT!G33/Prices!$C$155)+(_CU!G33/Prices!$C$155)+(_KT!G33*1000/Prices!$C$153)</f>
        <v>-22.658190283963563</v>
      </c>
      <c r="H33" s="233">
        <f t="shared" si="0"/>
        <v>-0.30314700190459443</v>
      </c>
      <c r="I33" s="33"/>
      <c r="J33" s="214"/>
      <c r="K33" s="214"/>
      <c r="L33" s="214"/>
      <c r="M33" s="214"/>
      <c r="N33" s="214"/>
      <c r="O33" s="211"/>
      <c r="Q33" s="5"/>
      <c r="S33" s="26"/>
      <c r="T33" s="26"/>
      <c r="U33" s="26"/>
      <c r="V33" s="113" t="s">
        <v>482</v>
      </c>
      <c r="W33" s="242">
        <f>M19/E47</f>
        <v>0.9044335044760462</v>
      </c>
      <c r="X33" s="242">
        <v>1</v>
      </c>
    </row>
    <row r="34" spans="2:24">
      <c r="H34" s="231"/>
      <c r="I34" s="214"/>
      <c r="J34" s="214"/>
      <c r="K34" s="214"/>
      <c r="L34" s="214"/>
      <c r="M34" s="214"/>
      <c r="N34" s="214"/>
      <c r="O34" s="211"/>
      <c r="Q34" s="5"/>
      <c r="S34" s="26"/>
      <c r="T34" s="26"/>
      <c r="U34" s="26"/>
      <c r="V34" s="26"/>
      <c r="W34" s="26"/>
      <c r="X34" s="26"/>
    </row>
    <row r="35" spans="2:24" ht="12.6" thickBot="1">
      <c r="B35" s="249" t="s">
        <v>450</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0.56465074510991742</v>
      </c>
      <c r="E37" s="430">
        <f t="shared" si="2"/>
        <v>0.5022507731317275</v>
      </c>
      <c r="F37" s="430">
        <f t="shared" si="2"/>
        <v>0.48537471101051255</v>
      </c>
      <c r="G37" s="430">
        <f t="shared" si="2"/>
        <v>0.41485571404005178</v>
      </c>
      <c r="H37" s="13">
        <f t="shared" ref="H37:H45" si="3">H23</f>
        <v>2.6098477020344735E-2</v>
      </c>
      <c r="I37" s="217"/>
      <c r="J37" s="217"/>
      <c r="K37" s="217"/>
      <c r="L37" s="217"/>
      <c r="M37" s="217"/>
      <c r="N37" s="217"/>
      <c r="O37" s="14"/>
      <c r="Q37" s="5"/>
      <c r="R37" s="5"/>
      <c r="S37" s="26"/>
      <c r="T37" s="26"/>
      <c r="U37" s="26"/>
      <c r="V37" s="26"/>
      <c r="W37" s="26"/>
      <c r="X37" s="26"/>
    </row>
    <row r="38" spans="2:24">
      <c r="B38" s="5" t="s">
        <v>158</v>
      </c>
      <c r="C38" s="207"/>
      <c r="D38" s="430">
        <f t="shared" si="2"/>
        <v>2.0740549562979096</v>
      </c>
      <c r="E38" s="430">
        <f t="shared" si="2"/>
        <v>1.8518156979343932</v>
      </c>
      <c r="F38" s="430">
        <f t="shared" si="2"/>
        <v>1.7887009391825142</v>
      </c>
      <c r="G38" s="430">
        <f t="shared" si="2"/>
        <v>1.5210054957048886</v>
      </c>
      <c r="H38" s="13">
        <f t="shared" si="3"/>
        <v>2.673395649564414E-2</v>
      </c>
      <c r="I38" s="13"/>
      <c r="J38" s="13"/>
      <c r="K38" s="13"/>
      <c r="L38" s="13"/>
      <c r="M38" s="13"/>
      <c r="N38" s="13"/>
      <c r="O38" s="5"/>
      <c r="Q38" s="5"/>
      <c r="R38" s="5"/>
      <c r="S38" s="26"/>
      <c r="T38" s="26"/>
      <c r="U38" s="26"/>
      <c r="V38" s="26"/>
      <c r="W38" s="26"/>
      <c r="X38" s="26"/>
    </row>
    <row r="39" spans="2:24">
      <c r="B39" s="5" t="s">
        <v>159</v>
      </c>
      <c r="C39" s="207"/>
      <c r="D39" s="430">
        <f t="shared" si="2"/>
        <v>4.4484332404058984</v>
      </c>
      <c r="E39" s="430">
        <f t="shared" si="2"/>
        <v>3.75384246879957</v>
      </c>
      <c r="F39" s="430">
        <f t="shared" si="2"/>
        <v>3.474494238110506</v>
      </c>
      <c r="G39" s="430">
        <f t="shared" si="2"/>
        <v>2.8421179466659852</v>
      </c>
      <c r="H39" s="13">
        <f t="shared" si="3"/>
        <v>7.501970939731506E-2</v>
      </c>
      <c r="I39" s="5"/>
      <c r="J39" s="5"/>
      <c r="K39" s="5"/>
      <c r="L39" s="5"/>
      <c r="M39" s="5"/>
      <c r="N39" s="5"/>
      <c r="O39" s="5"/>
      <c r="Q39" s="5"/>
      <c r="R39" s="5"/>
      <c r="S39" s="26"/>
      <c r="T39" s="26"/>
      <c r="U39" s="26"/>
      <c r="V39" s="26"/>
      <c r="W39" s="242"/>
      <c r="X39" s="242"/>
    </row>
    <row r="40" spans="2:24">
      <c r="B40" s="5" t="s">
        <v>381</v>
      </c>
      <c r="C40" s="207"/>
      <c r="D40" s="430">
        <f t="shared" si="2"/>
        <v>5.6544305600254186</v>
      </c>
      <c r="E40" s="430">
        <f t="shared" si="2"/>
        <v>4.7661203832634209</v>
      </c>
      <c r="F40" s="430">
        <f t="shared" si="2"/>
        <v>4.410748420998635</v>
      </c>
      <c r="G40" s="430">
        <f t="shared" si="2"/>
        <v>3.6069995026973038</v>
      </c>
      <c r="H40" s="13">
        <f t="shared" si="3"/>
        <v>7.5579123315119956E-2</v>
      </c>
      <c r="I40" s="207"/>
      <c r="J40" s="217"/>
      <c r="K40" s="217"/>
      <c r="L40" s="217"/>
      <c r="M40" s="217"/>
      <c r="N40" s="217"/>
      <c r="O40" s="14"/>
      <c r="Q40" s="5"/>
      <c r="R40" s="5"/>
      <c r="S40" s="26"/>
      <c r="T40" s="26"/>
      <c r="U40" s="26"/>
      <c r="V40" s="26"/>
      <c r="W40" s="242"/>
      <c r="X40" s="242"/>
    </row>
    <row r="41" spans="2:24">
      <c r="B41" s="5" t="s">
        <v>434</v>
      </c>
      <c r="C41" s="207"/>
      <c r="D41" s="430">
        <f t="shared" si="2"/>
        <v>0.63759441569431896</v>
      </c>
      <c r="E41" s="430">
        <f t="shared" si="2"/>
        <v>0.59245361131707708</v>
      </c>
      <c r="F41" s="430">
        <f t="shared" si="2"/>
        <v>0.56772800478243002</v>
      </c>
      <c r="G41" s="430">
        <f t="shared" si="2"/>
        <v>0.51300831540846181</v>
      </c>
      <c r="H41" s="13">
        <f t="shared" si="3"/>
        <v>-4.5148178841643016E-3</v>
      </c>
      <c r="I41" s="208"/>
      <c r="J41" s="13"/>
      <c r="K41" s="13"/>
      <c r="L41" s="13"/>
      <c r="M41" s="13"/>
      <c r="N41" s="13"/>
      <c r="O41" s="5"/>
      <c r="Q41" s="5"/>
      <c r="R41" s="5"/>
      <c r="S41" s="26"/>
      <c r="T41" s="26"/>
      <c r="U41" s="26"/>
      <c r="V41" s="26"/>
      <c r="W41" s="242"/>
      <c r="X41" s="242"/>
    </row>
    <row r="42" spans="2:24">
      <c r="B42" s="5" t="s">
        <v>493</v>
      </c>
      <c r="C42" s="207"/>
      <c r="D42" s="430">
        <f>D18/D28</f>
        <v>0.73684056112923091</v>
      </c>
      <c r="E42" s="430">
        <f>E18/E28</f>
        <v>0.72025373026583295</v>
      </c>
      <c r="F42" s="430">
        <f>F18/F28</f>
        <v>0.77403339536929872</v>
      </c>
      <c r="G42" s="430">
        <f>G18/G28</f>
        <v>0.74392223363746335</v>
      </c>
      <c r="H42" s="13">
        <f t="shared" si="3"/>
        <v>-7.7053001291938705E-2</v>
      </c>
      <c r="I42" s="207"/>
      <c r="J42" s="5"/>
      <c r="K42" s="5"/>
      <c r="L42" s="5"/>
      <c r="M42" s="5"/>
      <c r="N42" s="5"/>
      <c r="O42" s="5"/>
      <c r="Q42" s="5"/>
      <c r="R42" s="5"/>
      <c r="S42" s="26"/>
      <c r="T42" s="26"/>
      <c r="U42" s="26"/>
      <c r="V42" s="26"/>
      <c r="W42" s="242"/>
      <c r="X42" s="242"/>
    </row>
    <row r="43" spans="2:24">
      <c r="B43" s="5" t="s">
        <v>390</v>
      </c>
      <c r="C43" s="207"/>
      <c r="D43" s="430">
        <f>L26/D29</f>
        <v>9.3031387957596845</v>
      </c>
      <c r="E43" s="430">
        <f>M26/E29</f>
        <v>7.9628284056431928</v>
      </c>
      <c r="F43" s="430">
        <f>N26/F29</f>
        <v>7.3141132163770495</v>
      </c>
      <c r="G43" s="430">
        <f>O26/G29</f>
        <v>6.7077867407146545</v>
      </c>
      <c r="H43" s="13">
        <f t="shared" si="3"/>
        <v>0.11374667578047948</v>
      </c>
      <c r="I43" s="207"/>
      <c r="J43" s="207"/>
      <c r="K43" s="207"/>
      <c r="L43" s="207"/>
      <c r="M43" s="207"/>
      <c r="N43" s="207"/>
      <c r="O43" s="14"/>
      <c r="Q43" s="5"/>
      <c r="R43" s="5"/>
      <c r="S43" s="26"/>
      <c r="T43" s="26"/>
      <c r="U43" s="26"/>
      <c r="V43" s="26"/>
      <c r="W43" s="255"/>
      <c r="X43" s="255"/>
    </row>
    <row r="44" spans="2:24">
      <c r="B44" s="5" t="s">
        <v>437</v>
      </c>
      <c r="C44" s="53"/>
      <c r="D44" s="430">
        <f>D11/D30</f>
        <v>10.571834932500796</v>
      </c>
      <c r="E44" s="430">
        <f>E11/E30</f>
        <v>9.9788445969762947</v>
      </c>
      <c r="F44" s="430">
        <f>F11/F30</f>
        <v>9.1309779340963892</v>
      </c>
      <c r="G44" s="430">
        <f>G11/G30</f>
        <v>8.3127129021245807</v>
      </c>
      <c r="H44" s="13">
        <f t="shared" si="3"/>
        <v>8.1463448437963049E-2</v>
      </c>
      <c r="I44" s="208"/>
      <c r="J44" s="208"/>
      <c r="K44" s="208"/>
      <c r="L44" s="208"/>
      <c r="M44" s="208"/>
      <c r="N44" s="208"/>
      <c r="O44" s="208"/>
      <c r="Q44" s="5"/>
      <c r="R44" s="5"/>
      <c r="S44" s="26"/>
      <c r="T44" s="26"/>
      <c r="U44" s="26"/>
      <c r="V44" s="26"/>
      <c r="W44" s="26"/>
      <c r="X44" s="26"/>
    </row>
    <row r="45" spans="2:24">
      <c r="B45" s="5" t="s">
        <v>481</v>
      </c>
      <c r="C45" s="207"/>
      <c r="D45" s="208">
        <f>D31/D11</f>
        <v>6.4270172625816302E-2</v>
      </c>
      <c r="E45" s="208">
        <f>E31/E11</f>
        <v>7.1638098545422718E-2</v>
      </c>
      <c r="F45" s="208">
        <f>F31/F11</f>
        <v>7.8154250715205847E-2</v>
      </c>
      <c r="G45" s="208">
        <f>G31/G11</f>
        <v>8.7226031996888123E-2</v>
      </c>
      <c r="H45" s="13">
        <f t="shared" si="3"/>
        <v>0.10515077257881411</v>
      </c>
      <c r="I45" s="207"/>
      <c r="J45" s="207"/>
      <c r="K45" s="207"/>
      <c r="L45" s="207"/>
      <c r="M45" s="207"/>
      <c r="N45" s="207"/>
      <c r="O45" s="208"/>
      <c r="Q45" s="5"/>
      <c r="R45" s="5"/>
      <c r="S45" s="26"/>
      <c r="T45" s="26"/>
      <c r="U45" s="26"/>
      <c r="V45" s="26"/>
      <c r="W45" s="26"/>
      <c r="X45" s="26"/>
    </row>
    <row r="46" spans="2:24">
      <c r="B46" s="5" t="s">
        <v>505</v>
      </c>
      <c r="C46" s="207"/>
      <c r="D46" s="208">
        <f>(D31+D32)/D11</f>
        <v>6.5661989566006135E-2</v>
      </c>
      <c r="E46" s="208">
        <f>(E31+E32)/E11</f>
        <v>7.3559677586783723E-2</v>
      </c>
      <c r="F46" s="208">
        <f>(F31+F32)/F11</f>
        <v>8.0094874961584558E-2</v>
      </c>
      <c r="G46" s="208">
        <f>(G31+G32)/G11</f>
        <v>8.9154627110144949E-2</v>
      </c>
      <c r="H46" s="233">
        <f>((G31+G32)/(D31+D32))^(1/3)-1</f>
        <v>0.10531466375350718</v>
      </c>
      <c r="I46" s="13"/>
      <c r="J46" s="207"/>
      <c r="K46" s="207"/>
      <c r="L46" s="207"/>
      <c r="M46" s="207"/>
      <c r="N46" s="207"/>
      <c r="O46" s="14"/>
      <c r="Q46" s="5"/>
      <c r="R46" s="5"/>
      <c r="S46" s="26"/>
      <c r="T46" s="26"/>
      <c r="U46" s="26"/>
      <c r="V46" s="26"/>
      <c r="W46" s="26"/>
      <c r="X46" s="26"/>
    </row>
    <row r="47" spans="2:24">
      <c r="B47" s="5" t="s">
        <v>482</v>
      </c>
      <c r="C47" s="5"/>
      <c r="D47" s="208">
        <f>1/D43</f>
        <v>0.10749060311298313</v>
      </c>
      <c r="E47" s="208">
        <f>1/E43</f>
        <v>0.1255835174460507</v>
      </c>
      <c r="F47" s="208">
        <f>1/F43</f>
        <v>0.13672197440981601</v>
      </c>
      <c r="G47" s="208">
        <f>1/G43</f>
        <v>0.14908047000514196</v>
      </c>
      <c r="H47" s="13">
        <f>H29</f>
        <v>0.11374667578047948</v>
      </c>
      <c r="I47" s="207"/>
      <c r="J47" s="208"/>
      <c r="K47" s="208"/>
      <c r="L47" s="208"/>
      <c r="M47" s="208"/>
      <c r="N47" s="208"/>
      <c r="O47" s="208"/>
      <c r="Q47" s="5"/>
      <c r="R47" s="5"/>
      <c r="S47" s="5"/>
      <c r="T47" s="5"/>
      <c r="U47" s="5"/>
    </row>
    <row r="48" spans="2:24">
      <c r="B48" s="5" t="s">
        <v>518</v>
      </c>
      <c r="C48" s="5"/>
      <c r="D48" s="248">
        <f>D31/D29</f>
        <v>0.60225842087871795</v>
      </c>
      <c r="E48" s="248">
        <f>E31/E29</f>
        <v>0.57367413902190179</v>
      </c>
      <c r="F48" s="248">
        <f>F31/F29</f>
        <v>0.57487395355605253</v>
      </c>
      <c r="G48" s="248">
        <f>G31/G29</f>
        <v>0.58842106749127654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67">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690</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27</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CELLULAR'!D37</f>
        <v>2.239709172657927</v>
      </c>
      <c r="M9" s="48">
        <f>'EM CELLULAR'!E37</f>
        <v>1.9919837105195604</v>
      </c>
      <c r="N9" s="48">
        <f>'EM CELLULAR'!F37</f>
        <v>1.7860822104646199</v>
      </c>
      <c r="O9" s="48">
        <f>'EM CELLULAR'!G37</f>
        <v>1.5549525143191023</v>
      </c>
      <c r="P9" s="13">
        <f>'EM CELLULAR'!H37</f>
        <v>5.3451961576052032E-2</v>
      </c>
    </row>
    <row r="10" spans="2:63">
      <c r="B10" s="5" t="s">
        <v>226</v>
      </c>
      <c r="C10" s="5"/>
      <c r="D10" s="258"/>
      <c r="E10" s="258"/>
      <c r="F10" s="258"/>
      <c r="G10" s="258"/>
      <c r="H10" s="207"/>
      <c r="I10" s="207"/>
      <c r="J10" s="5" t="s">
        <v>158</v>
      </c>
      <c r="L10" s="48">
        <f>'EM CELLULAR'!D38</f>
        <v>6.1220764616233714</v>
      </c>
      <c r="M10" s="48">
        <f>'EM CELLULAR'!E38</f>
        <v>5.3795042390333068</v>
      </c>
      <c r="N10" s="48">
        <f>'EM CELLULAR'!F38</f>
        <v>4.6552437207240072</v>
      </c>
      <c r="O10" s="48">
        <f>'EM CELLULAR'!G38</f>
        <v>3.9836210001066563</v>
      </c>
      <c r="P10" s="13">
        <f>'EM CELLULAR'!H38</f>
        <v>7.6457320810068063E-2</v>
      </c>
    </row>
    <row r="11" spans="2:63">
      <c r="B11" s="25" t="s">
        <v>290</v>
      </c>
      <c r="C11" s="274"/>
      <c r="D11" s="225">
        <f>ADVANCED!D11/Prices!$C$143+AXI!D11/Prices!$C$139+BHART!D11/Prices!$C$132+_CM!D11/Prices!$C$155*1000+DIGI!D11/Prices!$C$139+IDEA!D11/Prices!$C$132+INDO!D11/Prices!$C$152*1000+_LG!D11/Prices!$C$153*1000+MAXI!D11/Prices!$C$139+SKT!D11/Prices!$C$153*1000+XLAX!D11/Prices!$C$152*1000+TRUECORP!D11/Prices!$C$143</f>
        <v>446998.38670495362</v>
      </c>
      <c r="E11" s="225">
        <f>ADVANCED!E11/Prices!$C$143+AXI!E11/Prices!$C$139+BHART!E11/Prices!$C$132+_CM!E11/Prices!$C$155*1000+DIGI!E11/Prices!$C$139+IDEA!E11/Prices!$C$132+INDO!E11/Prices!$C$152*1000+_LG!E11/Prices!$C$153*1000+MAXI!E11/Prices!$C$139+SKT!E11/Prices!$C$153*1000+XLAX!E11/Prices!$C$152*1000+TRUECORP!E11/Prices!$C$143</f>
        <v>446884.45834853605</v>
      </c>
      <c r="F11" s="225">
        <f>ADVANCED!F11/Prices!$C$143+AXI!F11/Prices!$C$139+BHART!F11/Prices!$C$132+_CM!F11/Prices!$C$155*1000+DIGI!F11/Prices!$C$139+IDEA!F11/Prices!$C$132+INDO!F11/Prices!$C$152*1000+_LG!F11/Prices!$C$153*1000+MAXI!F11/Prices!$C$139+SKT!F11/Prices!$C$153*1000+XLAX!F11/Prices!$C$152*1000+TRUECORP!F11/Prices!$C$143</f>
        <v>446694.09761245828</v>
      </c>
      <c r="G11" s="225">
        <f>ADVANCED!G11/Prices!$C$143+AXI!G11/Prices!$C$139+BHART!G11/Prices!$C$132+_CM!G11/Prices!$C$155*1000+DIGI!G11/Prices!$C$139+IDEA!G11/Prices!$C$132+INDO!G11/Prices!$C$152*1000+_LG!G11/Prices!$C$153*1000+MAXI!G11/Prices!$C$139+SKT!G11/Prices!$C$153*1000+XLAX!G11/Prices!$C$152*1000+TRUECORP!G11/Prices!$C$143</f>
        <v>446493.94549158856</v>
      </c>
      <c r="H11" s="209"/>
      <c r="I11" s="209"/>
      <c r="J11" s="5" t="s">
        <v>159</v>
      </c>
      <c r="L11" s="48">
        <f>'EM CELLULAR'!D39</f>
        <v>10.433086026607876</v>
      </c>
      <c r="M11" s="48">
        <f>'EM CELLULAR'!E39</f>
        <v>8.8988378278018754</v>
      </c>
      <c r="N11" s="48">
        <f>'EM CELLULAR'!F39</f>
        <v>7.3589044668838444</v>
      </c>
      <c r="O11" s="48">
        <f>'EM CELLULAR'!G39</f>
        <v>6.1226973075467326</v>
      </c>
      <c r="P11" s="13">
        <f>'EM CELLULAR'!H39</f>
        <v>0.11415745332884453</v>
      </c>
    </row>
    <row r="12" spans="2:63">
      <c r="B12" s="5" t="s">
        <v>191</v>
      </c>
      <c r="C12" s="209"/>
      <c r="D12" s="188">
        <f>ADVANCED!D12/Prices!$C$143+AXI!D12/Prices!$C$139+BHART!D12/Prices!$C$132+_CM!D12/Prices!$C$155*1000+DIGI!D12/Prices!$C$139+IDEA!D12/Prices!$C$132+INDO!D12/Prices!$C$152*1000+_LG!D12/Prices!$C$153*1000+MAXI!D12/Prices!$C$139+SKT!D12/Prices!$C$153*1000+XLAX!D12/Prices!$C$152*1000+TRUECORP!D12/Prices!$C$143</f>
        <v>56820.338959860346</v>
      </c>
      <c r="E12" s="188">
        <f>ADVANCED!E12/Prices!$C$143+AXI!E12/Prices!$C$139+BHART!E12/Prices!$C$132+_CM!E12/Prices!$C$155*1000+DIGI!E12/Prices!$C$139+IDEA!E12/Prices!$C$132+INDO!E12/Prices!$C$152*1000+_LG!E12/Prices!$C$153*1000+MAXI!E12/Prices!$C$139+SKT!E12/Prices!$C$153*1000+XLAX!E12/Prices!$C$152*1000+TRUECORP!E12/Prices!$C$143</f>
        <v>44571.029036940279</v>
      </c>
      <c r="F12" s="188">
        <f>ADVANCED!F12/Prices!$C$143+AXI!F12/Prices!$C$139+BHART!F12/Prices!$C$132+_CM!F12/Prices!$C$155*1000+DIGI!F12/Prices!$C$139+IDEA!F12/Prices!$C$132+INDO!F12/Prices!$C$152*1000+_LG!F12/Prices!$C$153*1000+MAXI!F12/Prices!$C$139+SKT!F12/Prices!$C$153*1000+XLAX!F12/Prices!$C$152*1000+TRUECORP!F12/Prices!$C$143</f>
        <v>41289.878581763711</v>
      </c>
      <c r="G12" s="188">
        <f>ADVANCED!G12/Prices!$C$143+AXI!G12/Prices!$C$139+BHART!G12/Prices!$C$132+_CM!G12/Prices!$C$155*1000+DIGI!G12/Prices!$C$139+IDEA!G12/Prices!$C$132+INDO!G12/Prices!$C$152*1000+_LG!G12/Prices!$C$153*1000+MAXI!G12/Prices!$C$139+SKT!G12/Prices!$C$153*1000+XLAX!G12/Prices!$C$152*1000+TRUECORP!G12/Prices!$C$143</f>
        <v>26702.547437903118</v>
      </c>
      <c r="H12" s="207"/>
      <c r="I12" s="207"/>
      <c r="J12" s="5" t="s">
        <v>381</v>
      </c>
      <c r="L12" s="48">
        <f>'EM CELLULAR'!D40</f>
        <v>13.552484405676964</v>
      </c>
      <c r="M12" s="48">
        <f>'EM CELLULAR'!E40</f>
        <v>11.645452796226719</v>
      </c>
      <c r="N12" s="48">
        <f>'EM CELLULAR'!F40</f>
        <v>9.6817606816492958</v>
      </c>
      <c r="O12" s="48">
        <f>'EM CELLULAR'!G40</f>
        <v>8.0595976726627114</v>
      </c>
      <c r="P12" s="13">
        <f>'EM CELLULAR'!H40</f>
        <v>0.10923889124747621</v>
      </c>
    </row>
    <row r="13" spans="2:63">
      <c r="B13" s="5" t="s">
        <v>433</v>
      </c>
      <c r="C13" s="216"/>
      <c r="D13" s="188">
        <f>ADVANCED!D13/Prices!$C$143+AXI!D13/Prices!$C$139+BHART!D13/Prices!$C$132+_CM!D13/Prices!$C$155*1000+DIGI!D13/Prices!$C$139+IDEA!D13/Prices!$C$132+INDO!D13/Prices!$C$152*1000+_LG!D13/Prices!$C$153*1000+MAXI!D13/Prices!$C$139+SKT!D13/Prices!$C$153*1000+XLAX!D13/Prices!$C$152*1000+TRUECORP!D13/Prices!$C$143</f>
        <v>2717.7759804499201</v>
      </c>
      <c r="E13" s="188">
        <f>ADVANCED!E13/Prices!$C$143+AXI!E13/Prices!$C$139+BHART!E13/Prices!$C$132+_CM!E13/Prices!$C$155*1000+DIGI!E13/Prices!$C$139+IDEA!E13/Prices!$C$132+INDO!E13/Prices!$C$152*1000+_LG!E13/Prices!$C$153*1000+MAXI!E13/Prices!$C$139+SKT!E13/Prices!$C$153*1000+XLAX!E13/Prices!$C$152*1000+TRUECORP!E13/Prices!$C$143</f>
        <v>2347.1571431497869</v>
      </c>
      <c r="F13" s="188">
        <f>ADVANCED!F13/Prices!$C$143+AXI!F13/Prices!$C$139+BHART!F13/Prices!$C$132+_CM!F13/Prices!$C$155*1000+DIGI!F13/Prices!$C$139+IDEA!F13/Prices!$C$132+INDO!F13/Prices!$C$152*1000+_LG!F13/Prices!$C$153*1000+MAXI!F13/Prices!$C$139+SKT!F13/Prices!$C$153*1000+XLAX!F13/Prices!$C$152*1000+TRUECORP!F13/Prices!$C$143</f>
        <v>2165.6399964700313</v>
      </c>
      <c r="G13" s="188">
        <f>ADVANCED!G13/Prices!$C$143+AXI!G13/Prices!$C$139+BHART!G13/Prices!$C$132+_CM!G13/Prices!$C$155*1000+DIGI!G13/Prices!$C$139+IDEA!G13/Prices!$C$132+INDO!G13/Prices!$C$152*1000+_LG!G13/Prices!$C$153*1000+MAXI!G13/Prices!$C$139+SKT!G13/Prices!$C$153*1000+XLAX!G13/Prices!$C$152*1000+TRUECORP!G13/Prices!$C$143</f>
        <v>2002.044569703357</v>
      </c>
      <c r="H13" s="207"/>
      <c r="I13" s="207"/>
      <c r="J13" s="5" t="s">
        <v>434</v>
      </c>
      <c r="L13" s="48">
        <f>'EM CELLULAR'!D41</f>
        <v>1.7316281819454988</v>
      </c>
      <c r="M13" s="48">
        <f>'EM CELLULAR'!E41</f>
        <v>1.6274347173545567</v>
      </c>
      <c r="N13" s="48">
        <f>'EM CELLULAR'!F41</f>
        <v>1.5075313204539067</v>
      </c>
      <c r="O13" s="48">
        <f>'EM CELLULAR'!G41</f>
        <v>1.3807838715614738</v>
      </c>
      <c r="P13" s="13">
        <f>'EM CELLULAR'!H41</f>
        <v>5.92642475520333E-3</v>
      </c>
    </row>
    <row r="14" spans="2:63">
      <c r="B14" s="5" t="s">
        <v>436</v>
      </c>
      <c r="C14" s="228"/>
      <c r="D14" s="188">
        <f>ADVANCED!D14/Prices!$C$143+AXI!D14/Prices!$C$139+BHART!D14/Prices!$C$132+_CM!D14/Prices!$C$155*1000+DIGI!D14/Prices!$C$139+IDEA!D14/Prices!$C$132+INDO!D14/Prices!$C$152*1000+_LG!D14/Prices!$C$153*1000+MAXI!D14/Prices!$C$139+SKT!D14/Prices!$C$153*1000+XLAX!D14/Prices!$C$152*1000+TRUECORP!D14/Prices!$C$143</f>
        <v>20336.753627032755</v>
      </c>
      <c r="E14" s="188">
        <f>ADVANCED!E14/Prices!$C$143+AXI!E14/Prices!$C$139+BHART!E14/Prices!$C$132+_CM!E14/Prices!$C$155*1000+DIGI!E14/Prices!$C$139+IDEA!E14/Prices!$C$132+INDO!E14/Prices!$C$152*1000+_LG!E14/Prices!$C$153*1000+MAXI!E14/Prices!$C$139+SKT!E14/Prices!$C$153*1000+XLAX!E14/Prices!$C$152*1000+TRUECORP!E14/Prices!$C$143</f>
        <v>18389.833516299652</v>
      </c>
      <c r="F14" s="188">
        <f>ADVANCED!F14/Prices!$C$143+AXI!F14/Prices!$C$139+BHART!F14/Prices!$C$132+_CM!F14/Prices!$C$155*1000+DIGI!F14/Prices!$C$139+IDEA!F14/Prices!$C$132+INDO!F14/Prices!$C$152*1000+_LG!F14/Prices!$C$153*1000+MAXI!F14/Prices!$C$139+SKT!F14/Prices!$C$153*1000+XLAX!F14/Prices!$C$152*1000+TRUECORP!F14/Prices!$C$143</f>
        <v>18386.508920434015</v>
      </c>
      <c r="G14" s="188">
        <f>ADVANCED!G14/Prices!$C$143+AXI!G14/Prices!$C$139+BHART!G14/Prices!$C$132+_CM!G14/Prices!$C$155*1000+DIGI!G14/Prices!$C$139+IDEA!G14/Prices!$C$132+INDO!G14/Prices!$C$152*1000+_LG!G14/Prices!$C$153*1000+MAXI!G14/Prices!$C$139+SKT!G14/Prices!$C$153*1000+XLAX!G14/Prices!$C$152*1000+TRUECORP!G14/Prices!$C$143</f>
        <v>18384.846622501194</v>
      </c>
      <c r="H14" s="207"/>
      <c r="I14" s="207"/>
      <c r="J14" s="5" t="s">
        <v>493</v>
      </c>
      <c r="L14" s="48">
        <f>'EM CELLULAR'!D42</f>
        <v>2.8476078348824898</v>
      </c>
      <c r="M14" s="48">
        <f>'EM CELLULAR'!E42</f>
        <v>2.7389386672761598</v>
      </c>
      <c r="N14" s="48">
        <f>'EM CELLULAR'!F42</f>
        <v>2.6614191649071781</v>
      </c>
      <c r="O14" s="48">
        <f>'EM CELLULAR'!G42</f>
        <v>2.498938826921691</v>
      </c>
      <c r="P14" s="13">
        <f>'EM CELLULAR'!H42</f>
        <v>-2.5687917394514592E-2</v>
      </c>
    </row>
    <row r="15" spans="2:63">
      <c r="B15" s="5" t="s">
        <v>435</v>
      </c>
      <c r="C15" s="216"/>
      <c r="D15" s="188">
        <f>ADVANCED!D15/Prices!$C$143+AXI!D15/Prices!$C$139+BHART!D15/Prices!$C$132+_CM!D15/Prices!$C$155*1000+DIGI!D15/Prices!$C$139+IDEA!D15/Prices!$C$132+INDO!D15/Prices!$C$152*1000+_LG!D15/Prices!$C$153*1000+MAXI!D15/Prices!$C$139+SKT!D15/Prices!$C$153*1000+XLAX!D15/Prices!$C$152*1000+TRUECORP!D15/Prices!$C$143</f>
        <v>10951.236742821638</v>
      </c>
      <c r="E15" s="188">
        <f>ADVANCED!E15/Prices!$C$143+AXI!E15/Prices!$C$139+BHART!E15/Prices!$C$132+_CM!E15/Prices!$C$155*1000+DIGI!E15/Prices!$C$139+IDEA!E15/Prices!$C$132+INDO!E15/Prices!$C$152*1000+_LG!E15/Prices!$C$153*1000+MAXI!E15/Prices!$C$139+SKT!E15/Prices!$C$153*1000+XLAX!E15/Prices!$C$152*1000+TRUECORP!E15/Prices!$C$143</f>
        <v>10942.386034073892</v>
      </c>
      <c r="F15" s="188">
        <f>ADVANCED!F15/Prices!$C$143+AXI!F15/Prices!$C$139+BHART!F15/Prices!$C$132+_CM!F15/Prices!$C$155*1000+DIGI!F15/Prices!$C$139+IDEA!F15/Prices!$C$132+INDO!F15/Prices!$C$152*1000+_LG!F15/Prices!$C$153*1000+MAXI!F15/Prices!$C$139+SKT!F15/Prices!$C$153*1000+XLAX!F15/Prices!$C$152*1000+TRUECORP!F15/Prices!$C$143</f>
        <v>10960.972365855341</v>
      </c>
      <c r="G15" s="188">
        <f>ADVANCED!G15/Prices!$C$143+AXI!G15/Prices!$C$139+BHART!G15/Prices!$C$132+_CM!G15/Prices!$C$155*1000+DIGI!G15/Prices!$C$139+IDEA!G15/Prices!$C$132+INDO!G15/Prices!$C$152*1000+_LG!G15/Prices!$C$153*1000+MAXI!G15/Prices!$C$139+SKT!G15/Prices!$C$153*1000+XLAX!G15/Prices!$C$152*1000+TRUECORP!G15/Prices!$C$143</f>
        <v>11005.237994924169</v>
      </c>
      <c r="H15" s="207"/>
      <c r="I15" s="207"/>
      <c r="J15" s="5" t="s">
        <v>390</v>
      </c>
      <c r="L15" s="48">
        <f>'EM CELLULAR'!D43</f>
        <v>18.381101039950888</v>
      </c>
      <c r="M15" s="48">
        <f>'EM CELLULAR'!E43</f>
        <v>15.028892583111164</v>
      </c>
      <c r="N15" s="48">
        <f>'EM CELLULAR'!F43</f>
        <v>13.137557719627742</v>
      </c>
      <c r="O15" s="48">
        <f>'EM CELLULAR'!G43</f>
        <v>11.750300540337538</v>
      </c>
      <c r="P15" s="13">
        <f>'EM CELLULAR'!H43</f>
        <v>0.15850771455356516</v>
      </c>
    </row>
    <row r="16" spans="2:63">
      <c r="B16" s="5" t="s">
        <v>438</v>
      </c>
      <c r="C16" s="216"/>
      <c r="D16" s="188">
        <f>ADVANCED!D16/Prices!$C$143+AXI!D16/Prices!$C$139+BHART!D16/Prices!$C$132+_CM!D16/Prices!$C$155*1000+DIGI!D16/Prices!$C$139+IDEA!D16/Prices!$C$132+INDO!D16/Prices!$C$152*1000+_LG!D16/Prices!$C$153*1000+MAXI!D16/Prices!$C$139+SKT!D16/Prices!$C$153*1000+XLAX!D16/Prices!$C$152*1000+TRUECORP!D16/Prices!$C$143</f>
        <v>0</v>
      </c>
      <c r="E16" s="188">
        <f>ADVANCED!E16/Prices!$C$143+AXI!E16/Prices!$C$139+BHART!E16/Prices!$C$132+_CM!E16/Prices!$C$155*1000+DIGI!E16/Prices!$C$139+IDEA!E16/Prices!$C$132+INDO!E16/Prices!$C$152*1000+_LG!E16/Prices!$C$153*1000+MAXI!E16/Prices!$C$139+SKT!E16/Prices!$C$153*1000+XLAX!E16/Prices!$C$152*1000+TRUECORP!E16/Prices!$C$143</f>
        <v>20431.859822006409</v>
      </c>
      <c r="F16" s="188">
        <f>ADVANCED!F16/Prices!$C$143+AXI!F16/Prices!$C$139+BHART!F16/Prices!$C$132+_CM!F16/Prices!$C$155*1000+DIGI!F16/Prices!$C$139+IDEA!F16/Prices!$C$132+INDO!F16/Prices!$C$152*1000+_LG!F16/Prices!$C$153*1000+MAXI!F16/Prices!$C$139+SKT!F16/Prices!$C$153*1000+XLAX!F16/Prices!$C$152*1000+TRUECORP!F16/Prices!$C$143</f>
        <v>43621.82891120328</v>
      </c>
      <c r="G16" s="188">
        <f>ADVANCED!G16/Prices!$C$143+AXI!G16/Prices!$C$139+BHART!G16/Prices!$C$132+_CM!G16/Prices!$C$155*1000+DIGI!G16/Prices!$C$139+IDEA!G16/Prices!$C$132+INDO!G16/Prices!$C$152*1000+_LG!G16/Prices!$C$153*1000+MAXI!G16/Prices!$C$139+SKT!G16/Prices!$C$153*1000+XLAX!G16/Prices!$C$152*1000+TRUECORP!G16/Prices!$C$143</f>
        <v>69151.159730535597</v>
      </c>
      <c r="H16" s="207"/>
      <c r="I16" s="207"/>
      <c r="J16" s="5" t="s">
        <v>437</v>
      </c>
      <c r="L16" s="48">
        <f>'EM CELLULAR'!D44</f>
        <v>16.43937684695549</v>
      </c>
      <c r="M16" s="48">
        <f>'EM CELLULAR'!E44</f>
        <v>14.058003846915186</v>
      </c>
      <c r="N16" s="48">
        <f>'EM CELLULAR'!F44</f>
        <v>12.117032841381851</v>
      </c>
      <c r="O16" s="48">
        <f>'EM CELLULAR'!G44</f>
        <v>10.664032838564383</v>
      </c>
      <c r="P16" s="13">
        <f>'EM CELLULAR'!H44</f>
        <v>0.1529577493733687</v>
      </c>
    </row>
    <row r="17" spans="2:24">
      <c r="B17" s="5" t="s">
        <v>4</v>
      </c>
      <c r="C17" s="216"/>
      <c r="D17" s="188">
        <f>ADVANCED!D17/Prices!$C$143+AXI!D17/Prices!$C$139+BHART!D17/Prices!$C$132+_CM!D17/Prices!$C$155*1000+DIGI!D17/Prices!$C$139+IDEA!D17/Prices!$C$132+INDO!D17/Prices!$C$152*1000+_LG!D17/Prices!$C$153*1000+MAXI!D17/Prices!$C$139+SKT!D17/Prices!$C$153*1000+XLAX!D17/Prices!$C$152*1000+TRUECORP!D17/Prices!$C$143</f>
        <v>0</v>
      </c>
      <c r="E17" s="188">
        <f>ADVANCED!E17/Prices!$C$143+AXI!E17/Prices!$C$139+BHART!E17/Prices!$C$132+_CM!E17/Prices!$C$155*1000+DIGI!E17/Prices!$C$139+IDEA!E17/Prices!$C$132+INDO!E17/Prices!$C$152*1000+_LG!E17/Prices!$C$153*1000+MAXI!E17/Prices!$C$139+SKT!E17/Prices!$C$153*1000+XLAX!E17/Prices!$C$152*1000+TRUECORP!E17/Prices!$C$143</f>
        <v>0</v>
      </c>
      <c r="F17" s="188">
        <f>ADVANCED!F17/Prices!$C$143+AXI!F17/Prices!$C$139+BHART!F17/Prices!$C$132+_CM!F17/Prices!$C$155*1000+DIGI!F17/Prices!$C$139+IDEA!F17/Prices!$C$132+INDO!F17/Prices!$C$152*1000+_LG!F17/Prices!$C$153*1000+MAXI!F17/Prices!$C$139+SKT!F17/Prices!$C$153*1000+XLAX!F17/Prices!$C$152*1000+TRUECORP!F17/Prices!$C$143</f>
        <v>0</v>
      </c>
      <c r="G17" s="188">
        <f>ADVANCED!G17/Prices!$C$143+AXI!G17/Prices!$C$139+BHART!G17/Prices!$C$132+_CM!G17/Prices!$C$155*1000+DIGI!G17/Prices!$C$139+IDEA!G17/Prices!$C$132+INDO!G17/Prices!$C$152*1000+_LG!G17/Prices!$C$153*1000+MAXI!G17/Prices!$C$139+SKT!G17/Prices!$C$153*1000+XLAX!G17/Prices!$C$152*1000+TRUECORP!G17/Prices!$C$143</f>
        <v>0</v>
      </c>
      <c r="H17" s="207"/>
      <c r="I17" s="207"/>
      <c r="J17" s="5" t="s">
        <v>481</v>
      </c>
      <c r="L17" s="208">
        <f>'EM CELLULAR'!D45</f>
        <v>4.4773753286733282E-2</v>
      </c>
      <c r="M17" s="208">
        <f>'EM CELLULAR'!E45</f>
        <v>5.1270510042755547E-2</v>
      </c>
      <c r="N17" s="208">
        <f>'EM CELLULAR'!F45</f>
        <v>5.7757402808661602E-2</v>
      </c>
      <c r="O17" s="208">
        <f>'EM CELLULAR'!G45</f>
        <v>6.4371917923240166E-2</v>
      </c>
      <c r="P17" s="13">
        <f>'EM CELLULAR'!H45</f>
        <v>0.12646166295875116</v>
      </c>
      <c r="S17" s="72"/>
      <c r="T17" s="72"/>
      <c r="U17" s="72"/>
      <c r="V17" s="26"/>
      <c r="W17" s="26"/>
      <c r="X17" s="26"/>
    </row>
    <row r="18" spans="2:24" ht="12.6" thickBot="1">
      <c r="B18" s="25" t="s">
        <v>291</v>
      </c>
      <c r="C18" s="209"/>
      <c r="D18" s="229">
        <f>ADVANCED!D18/Prices!$C$143+AXI!D18/Prices!$C$139+BHART!D18/Prices!$C$132+_CM!D18/Prices!$C$155*1000+DIGI!D18/Prices!$C$139+IDEA!D18/Prices!$C$132+INDO!D18/Prices!$C$152*1000+_LG!D18/Prices!$C$153*1000+MAXI!D18/Prices!$C$139+SKT!D18/Prices!$C$153*1000+XLAX!D18/Prices!$C$152*1000+TRUECORP!D18/Prices!$C$143</f>
        <v>497150.98476105282</v>
      </c>
      <c r="E18" s="229">
        <f>ADVANCED!E18/Prices!$C$143+AXI!E18/Prices!$C$139+BHART!E18/Prices!$C$132+_CM!E18/Prices!$C$155*1000+DIGI!E18/Prices!$C$139+IDEA!E18/Prices!$C$132+INDO!E18/Prices!$C$152*1000+_LG!E18/Prices!$C$153*1000+MAXI!E18/Prices!$C$139+SKT!E18/Prices!$C$153*1000+XLAX!E18/Prices!$C$152*1000+TRUECORP!E18/Prices!$C$143</f>
        <v>465923.33722439408</v>
      </c>
      <c r="F18" s="229">
        <f>ADVANCED!F18/Prices!$C$143+AXI!F18/Prices!$C$139+BHART!F18/Prices!$C$132+_CM!F18/Prices!$C$155*1000+DIGI!F18/Prices!$C$139+IDEA!F18/Prices!$C$132+INDO!F18/Prices!$C$152*1000+_LG!F18/Prices!$C$153*1000+MAXI!F18/Prices!$C$139+SKT!F18/Prices!$C$153*1000+XLAX!F18/Prices!$C$152*1000+TRUECORP!F18/Prices!$C$143</f>
        <v>439102.25072491012</v>
      </c>
      <c r="G18" s="229">
        <f>ADVANCED!G18/Prices!$C$143+AXI!G18/Prices!$C$139+BHART!G18/Prices!$C$132+_CM!G18/Prices!$C$155*1000+DIGI!G18/Prices!$C$139+IDEA!G18/Prices!$C$132+INDO!G18/Prices!$C$152*1000+_LG!G18/Prices!$C$153*1000+MAXI!G18/Prices!$C$139+SKT!G18/Prices!$C$153*1000+XLAX!G18/Prices!$C$152*1000+TRUECORP!G18/Prices!$C$143</f>
        <v>398667.76914108254</v>
      </c>
      <c r="H18" s="230">
        <f>IF(D18=0,"nm",IF(G18=0,"nm",(G18/D18)^(1/3)-1))</f>
        <v>-7.094603607090344E-2</v>
      </c>
      <c r="I18" s="214"/>
      <c r="J18" s="5" t="s">
        <v>33</v>
      </c>
      <c r="L18" s="208">
        <f>'EM CELLULAR'!D46</f>
        <v>4.4631599349891395E-2</v>
      </c>
      <c r="M18" s="208">
        <f>'EM CELLULAR'!E46</f>
        <v>4.0585362540698167E-2</v>
      </c>
      <c r="N18" s="208">
        <f>'EM CELLULAR'!F46</f>
        <v>5.9791635569141438E-2</v>
      </c>
      <c r="O18" s="208">
        <f>'EM CELLULAR'!G46</f>
        <v>6.4959566810449218E-2</v>
      </c>
      <c r="P18" s="13">
        <f>'EM CELLULAR'!H46</f>
        <v>0.13107739688292019</v>
      </c>
      <c r="S18" s="72"/>
      <c r="T18" s="26"/>
      <c r="U18" s="26"/>
      <c r="V18" s="26"/>
      <c r="W18" s="26"/>
      <c r="X18" s="26"/>
    </row>
    <row r="19" spans="2:24" ht="12.6" thickTop="1">
      <c r="B19" s="25"/>
      <c r="C19" s="209"/>
      <c r="D19" s="189"/>
      <c r="E19" s="189"/>
      <c r="F19" s="189"/>
      <c r="G19" s="189"/>
      <c r="H19" s="230"/>
      <c r="I19" s="13"/>
      <c r="J19" s="5" t="s">
        <v>482</v>
      </c>
      <c r="L19" s="208">
        <f>'EM CELLULAR'!D47</f>
        <v>5.4403705078739498E-2</v>
      </c>
      <c r="M19" s="208">
        <f>'EM CELLULAR'!E47</f>
        <v>6.6538502053288873E-2</v>
      </c>
      <c r="N19" s="208">
        <f>'EM CELLULAR'!F47</f>
        <v>7.6117648450440861E-2</v>
      </c>
      <c r="O19" s="208">
        <f>'EM CELLULAR'!G47</f>
        <v>8.5104206191757042E-2</v>
      </c>
      <c r="P19" s="13">
        <f>'EM CELLULAR'!H47</f>
        <v>0.15850771455356516</v>
      </c>
      <c r="S19" s="72"/>
      <c r="T19" s="26"/>
      <c r="U19" s="26"/>
      <c r="V19" s="26"/>
      <c r="W19" s="26"/>
      <c r="X19" s="26"/>
    </row>
    <row r="20" spans="2:24">
      <c r="H20" s="231"/>
      <c r="I20" s="33"/>
      <c r="J20" s="5" t="s">
        <v>504</v>
      </c>
      <c r="L20" s="208">
        <f>'EM CELLULAR'!D48</f>
        <v>0.82969409531968419</v>
      </c>
      <c r="M20" s="208">
        <f>'EM CELLULAR'!E48</f>
        <v>0.77670729011082085</v>
      </c>
      <c r="N20" s="208">
        <f>'EM CELLULAR'!F48</f>
        <v>0.76519916663593923</v>
      </c>
      <c r="O20" s="208">
        <f>'EM CELLULAR'!G48</f>
        <v>0.76272934690556904</v>
      </c>
      <c r="P20" s="13" t="str">
        <f>'EM CELLULAR'!H48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ADVANCED!C23/Prices!$C$143+AXI!C23/Prices!$C$139+BHART!C23/Prices!$C$132+_CM!C23/Prices!$C$155*1000+DIGI!C23/Prices!$C$139+IDEA!C23/Prices!$C$132+INDO!C23/Prices!$C$152*1000+_LG!C23/Prices!$C$153*1000+MAXI!C23/Prices!$C$139+SKT!C23/Prices!$C$153*1000+XLAX!C23/Prices!$C$152*1000+TRUECORP!C23/Prices!$C$143</f>
        <v>227046.41270282652</v>
      </c>
      <c r="D23" s="188">
        <f>ADVANCED!D23/Prices!$C$143+AXI!D23/Prices!$C$139+BHART!D23/Prices!$C$132+_CM!D23/Prices!$C$155*1000+DIGI!D23/Prices!$C$139+IDEA!D23/Prices!$C$132+INDO!D23/Prices!$C$152*1000+_LG!D23/Prices!$C$153*1000+MAXI!D23/Prices!$C$139+SKT!D23/Prices!$C$153*1000+XLAX!D23/Prices!$C$152*1000+TRUECORP!D23/Prices!$C$143</f>
        <v>229836.19517268997</v>
      </c>
      <c r="E23" s="188">
        <f>ADVANCED!E23/Prices!$C$143+AXI!E23/Prices!$C$139+BHART!E23/Prices!$C$132+_CM!E23/Prices!$C$155*1000+DIGI!E23/Prices!$C$139+IDEA!E23/Prices!$C$132+INDO!E23/Prices!$C$152*1000+_LG!E23/Prices!$C$153*1000+MAXI!E23/Prices!$C$139+SKT!E23/Prices!$C$153*1000+XLAX!E23/Prices!$C$152*1000+TRUECORP!E23/Prices!$C$143</f>
        <v>237807.12579426356</v>
      </c>
      <c r="F23" s="188">
        <f>ADVANCED!F23/Prices!$C$143+AXI!F23/Prices!$C$139+BHART!F23/Prices!$C$132+_CM!F23/Prices!$C$155*1000+DIGI!F23/Prices!$C$139+IDEA!F23/Prices!$C$132+INDO!F23/Prices!$C$152*1000+_LG!F23/Prices!$C$153*1000+MAXI!F23/Prices!$C$139+SKT!F23/Prices!$C$153*1000+XLAX!F23/Prices!$C$152*1000+TRUECORP!F23/Prices!$C$143</f>
        <v>247018.43833502557</v>
      </c>
      <c r="G23" s="188">
        <f>ADVANCED!G23/Prices!$C$143+AXI!G23/Prices!$C$139+BHART!G23/Prices!$C$132+_CM!G23/Prices!$C$155*1000+DIGI!G23/Prices!$C$139+IDEA!G23/Prices!$C$132+INDO!G23/Prices!$C$152*1000+_LG!G23/Prices!$C$153*1000+MAXI!G23/Prices!$C$139+SKT!G23/Prices!$C$153*1000+XLAX!G23/Prices!$C$152*1000+TRUECORP!G23/Prices!$C$143</f>
        <v>256891.19258534757</v>
      </c>
      <c r="H23" s="233">
        <f>IF(D23=0,"nm",IF(G23=0,"nm",(G23/D23)^(1/3)-1))</f>
        <v>3.7791869196546202E-2</v>
      </c>
      <c r="I23" s="209"/>
      <c r="J23" s="249" t="s">
        <v>7</v>
      </c>
      <c r="K23" s="249"/>
      <c r="L23" s="219" t="str">
        <f>L5</f>
        <v>2025E</v>
      </c>
      <c r="M23" s="219" t="str">
        <f>M5</f>
        <v>2026E</v>
      </c>
      <c r="N23" s="219" t="str">
        <f>N5</f>
        <v>2027E</v>
      </c>
      <c r="O23" s="219" t="str">
        <f>O5</f>
        <v>2028E</v>
      </c>
      <c r="P23" s="236" t="str">
        <f>P5</f>
        <v>2025-28</v>
      </c>
      <c r="S23" s="26"/>
      <c r="T23" s="26"/>
      <c r="U23" s="26"/>
      <c r="V23" s="26"/>
      <c r="W23" s="26" t="s">
        <v>39</v>
      </c>
      <c r="X23" s="26" t="s">
        <v>465</v>
      </c>
    </row>
    <row r="24" spans="2:24" ht="12.6" thickTop="1">
      <c r="B24" s="5" t="s">
        <v>397</v>
      </c>
      <c r="C24" s="288">
        <f>ADVANCED!C24/Prices!$C$143+AXI!C24/Prices!$C$139+BHART!C24/Prices!$C$132+_CM!C24/Prices!$C$155*1000+DIGI!C24/Prices!$C$139+IDEA!C24/Prices!$C$132+INDO!C24/Prices!$C$152*1000+_LG!C24/Prices!$C$153*1000+MAXI!C24/Prices!$C$139+SKT!C24/Prices!$C$153*1000+XLAX!C24/Prices!$C$152*1000+TRUECORP!C24/Prices!$C$143</f>
        <v>81251.630400760157</v>
      </c>
      <c r="D24" s="188">
        <f>ADVANCED!D24/Prices!$C$143+AXI!D24/Prices!$C$139+BHART!D24/Prices!$C$132+_CM!D24/Prices!$C$155*1000+DIGI!D24/Prices!$C$139+IDEA!D24/Prices!$C$132+INDO!D24/Prices!$C$152*1000+_LG!D24/Prices!$C$153*1000+MAXI!D24/Prices!$C$139+SKT!D24/Prices!$C$153*1000+XLAX!D24/Prices!$C$152*1000+TRUECORP!D24/Prices!$C$143</f>
        <v>83561.752371291164</v>
      </c>
      <c r="E24" s="188">
        <f>ADVANCED!E24/Prices!$C$143+AXI!E24/Prices!$C$139+BHART!E24/Prices!$C$132+_CM!E24/Prices!$C$155*1000+DIGI!E24/Prices!$C$139+IDEA!E24/Prices!$C$132+INDO!E24/Prices!$C$152*1000+_LG!E24/Prices!$C$153*1000+MAXI!E24/Prices!$C$139+SKT!E24/Prices!$C$153*1000+XLAX!E24/Prices!$C$152*1000+TRUECORP!E24/Prices!$C$143</f>
        <v>88500.719408330406</v>
      </c>
      <c r="F24" s="188">
        <f>ADVANCED!F24/Prices!$C$143+AXI!F24/Prices!$C$139+BHART!F24/Prices!$C$132+_CM!F24/Prices!$C$155*1000+DIGI!F24/Prices!$C$139+IDEA!F24/Prices!$C$132+INDO!F24/Prices!$C$152*1000+_LG!F24/Prices!$C$153*1000+MAXI!F24/Prices!$C$139+SKT!F24/Prices!$C$153*1000+XLAX!F24/Prices!$C$152*1000+TRUECORP!F24/Prices!$C$143</f>
        <v>93458.249287795334</v>
      </c>
      <c r="G24" s="188">
        <f>ADVANCED!G24/Prices!$C$143+AXI!G24/Prices!$C$139+BHART!G24/Prices!$C$132+_CM!G24/Prices!$C$155*1000+DIGI!G24/Prices!$C$139+IDEA!G24/Prices!$C$132+INDO!G24/Prices!$C$152*1000+_LG!G24/Prices!$C$153*1000+MAXI!G24/Prices!$C$139+SKT!G24/Prices!$C$153*1000+XLAX!G24/Prices!$C$152*1000+TRUECORP!G24/Prices!$C$143</f>
        <v>98725.385584277159</v>
      </c>
      <c r="H24" s="233">
        <f>IF(D24=0,"nm",IF(G24=0,"nm",(G24/D24)^(1/3)-1))</f>
        <v>5.7159296356091849E-2</v>
      </c>
      <c r="I24" s="208"/>
      <c r="J24" s="13"/>
      <c r="K24" s="13"/>
      <c r="L24" s="13"/>
      <c r="M24" s="13"/>
      <c r="N24" s="13"/>
      <c r="O24" s="208"/>
      <c r="S24" s="26"/>
      <c r="T24" s="26"/>
      <c r="U24" s="26"/>
      <c r="V24" s="113" t="s">
        <v>225</v>
      </c>
      <c r="W24" s="242">
        <f t="shared" ref="W24:W31" si="0">E37/M9</f>
        <v>0.98356670162986959</v>
      </c>
      <c r="X24" s="242">
        <v>1</v>
      </c>
    </row>
    <row r="25" spans="2:24">
      <c r="B25" s="5" t="s">
        <v>157</v>
      </c>
      <c r="C25" s="288">
        <f>ADVANCED!C25/Prices!$C$143+AXI!C25/Prices!$C$139+BHART!C25/Prices!$C$132+_CM!C25/Prices!$C$155*1000+DIGI!C25/Prices!$C$139+IDEA!C25/Prices!$C$132+INDO!C25/Prices!$C$152*1000+_LG!C25/Prices!$C$153*1000+MAXI!C25/Prices!$C$139+SKT!C25/Prices!$C$153*1000+XLAX!C25/Prices!$C$152*1000+TRUECORP!C25/Prices!$C$143</f>
        <v>45166.641855013433</v>
      </c>
      <c r="D25" s="188">
        <f>ADVANCED!D25/Prices!$C$143+AXI!D25/Prices!$C$139+BHART!D25/Prices!$C$132+_CM!D25/Prices!$C$155*1000+DIGI!D25/Prices!$C$139+IDEA!D25/Prices!$C$132+INDO!D25/Prices!$C$152*1000+_LG!D25/Prices!$C$153*1000+MAXI!D25/Prices!$C$139+SKT!D25/Prices!$C$153*1000+XLAX!D25/Prices!$C$152*1000+TRUECORP!D25/Prices!$C$143</f>
        <v>49575.110470382824</v>
      </c>
      <c r="E25" s="188">
        <f>ADVANCED!E25/Prices!$C$143+AXI!E25/Prices!$C$139+BHART!E25/Prices!$C$132+_CM!E25/Prices!$C$155*1000+DIGI!E25/Prices!$C$139+IDEA!E25/Prices!$C$132+INDO!E25/Prices!$C$152*1000+_LG!E25/Prices!$C$153*1000+MAXI!E25/Prices!$C$139+SKT!E25/Prices!$C$153*1000+XLAX!E25/Prices!$C$152*1000+TRUECORP!E25/Prices!$C$143</f>
        <v>54605.306042293785</v>
      </c>
      <c r="F25" s="188">
        <f>ADVANCED!F25/Prices!$C$143+AXI!F25/Prices!$C$139+BHART!F25/Prices!$C$132+_CM!F25/Prices!$C$155*1000+DIGI!F25/Prices!$C$139+IDEA!F25/Prices!$C$132+INDO!F25/Prices!$C$152*1000+_LG!F25/Prices!$C$153*1000+MAXI!F25/Prices!$C$139+SKT!F25/Prices!$C$153*1000+XLAX!F25/Prices!$C$152*1000+TRUECORP!F25/Prices!$C$143</f>
        <v>59644.022587820691</v>
      </c>
      <c r="G25" s="188">
        <f>ADVANCED!G25/Prices!$C$143+AXI!G25/Prices!$C$139+BHART!G25/Prices!$C$132+_CM!G25/Prices!$C$155*1000+DIGI!G25/Prices!$C$139+IDEA!G25/Prices!$C$132+INDO!G25/Prices!$C$152*1000+_LG!G25/Prices!$C$153*1000+MAXI!G25/Prices!$C$139+SKT!G25/Prices!$C$153*1000+XLAX!G25/Prices!$C$152*1000+TRUECORP!G25/Prices!$C$143</f>
        <v>64836.865603642676</v>
      </c>
      <c r="H25" s="233">
        <f t="shared" ref="H25:H33" si="1">IF(D25=0,"nm",IF(G25=0,"nm",(G25/D25)^(1/3)-1))</f>
        <v>9.3585576673929971E-2</v>
      </c>
      <c r="I25" s="209"/>
      <c r="J25" s="207" t="s">
        <v>8</v>
      </c>
      <c r="K25" s="207"/>
      <c r="L25" s="258">
        <f>ADVANCED!L25/Prices!$C$143+AXI!L25/Prices!$C$139+BHART!L25/Prices!$C$132+_CM!L25/Prices!$C$155*1000+DIGI!L25/Prices!$C$139+IDEA!L25/Prices!$C$132+INDO!L25/Prices!$C$152*1000+_LG!L25/Prices!$C$153*1000+MAXI!L25/Prices!$C$139+SKT!L25/Prices!$C$153*1000+XLAX!L25/Prices!$C$152*1000+TRUECORP!L25/Prices!$C$143</f>
        <v>0</v>
      </c>
      <c r="M25" s="258">
        <f>ADVANCED!M25/Prices!$C$143+AXI!M25/Prices!$C$139+BHART!M25/Prices!$C$132+_CM!M25/Prices!$C$155*1000+DIGI!M25/Prices!$C$139+IDEA!M25/Prices!$C$132+INDO!M25/Prices!$C$152*1000+_LG!M25/Prices!$C$153*1000+MAXI!M25/Prices!$C$139+SKT!M25/Prices!$C$153*1000+XLAX!M25/Prices!$C$152*1000+TRUECORP!M25/Prices!$C$143</f>
        <v>0</v>
      </c>
      <c r="N25" s="258">
        <f>ADVANCED!N25/Prices!$C$143+AXI!N25/Prices!$C$139+BHART!N25/Prices!$C$132+_CM!N25/Prices!$C$155*1000+DIGI!N25/Prices!$C$139+IDEA!N25/Prices!$C$132+INDO!N25/Prices!$C$152*1000+_LG!N25/Prices!$C$153*1000+MAXI!N25/Prices!$C$139+SKT!N25/Prices!$C$153*1000+XLAX!N25/Prices!$C$152*1000+TRUECORP!N25/Prices!$C$143</f>
        <v>0</v>
      </c>
      <c r="O25" s="258">
        <f>ADVANCED!O25/Prices!$C$143+AXI!O25/Prices!$C$139+BHART!O25/Prices!$C$132+_CM!O25/Prices!$C$155*1000+DIGI!O25/Prices!$C$139+IDEA!O25/Prices!$C$132+INDO!O25/Prices!$C$152*1000+_LG!O25/Prices!$C$153*1000+MAXI!O25/Prices!$C$139+SKT!O25/Prices!$C$153*1000+XLAX!O25/Prices!$C$152*1000+TRUECORP!O25/Prices!$C$143</f>
        <v>0</v>
      </c>
      <c r="P25" s="233" t="str">
        <f>IF(L25=0,"nm",IF(O25=0,"nm",(O25/L25)^(1/3)-1))</f>
        <v>nm</v>
      </c>
      <c r="Q25" s="5"/>
      <c r="S25" s="26"/>
      <c r="T25" s="26"/>
      <c r="U25" s="26"/>
      <c r="V25" s="113" t="s">
        <v>158</v>
      </c>
      <c r="W25" s="242">
        <f t="shared" si="0"/>
        <v>0.97864551220902329</v>
      </c>
      <c r="X25" s="242">
        <v>1</v>
      </c>
    </row>
    <row r="26" spans="2:24">
      <c r="B26" s="5" t="s">
        <v>487</v>
      </c>
      <c r="C26" s="288">
        <f>ADVANCED!C26/Prices!$C$143+AXI!C26/Prices!$C$139+BHART!C26/Prices!$C$132+_CM!C26/Prices!$C$155*1000+DIGI!C26/Prices!$C$139+IDEA!C26/Prices!$C$132+INDO!C26/Prices!$C$152*1000+_LG!C26/Prices!$C$153*1000+MAXI!C26/Prices!$C$139+SKT!C26/Prices!$C$153*1000+XLAX!C26/Prices!$C$152*1000+TRUECORP!C26/Prices!$C$143</f>
        <v>35285.314989086648</v>
      </c>
      <c r="D26" s="188">
        <f>ADVANCED!D26/Prices!$C$143+AXI!D26/Prices!$C$139+BHART!D26/Prices!$C$132+_CM!D26/Prices!$C$155*1000+DIGI!D26/Prices!$C$139+IDEA!D26/Prices!$C$132+INDO!D26/Prices!$C$152*1000+_LG!D26/Prices!$C$153*1000+MAXI!D26/Prices!$C$139+SKT!D26/Prices!$C$153*1000+XLAX!D26/Prices!$C$152*1000+TRUECORP!D26/Prices!$C$143</f>
        <v>38707.540271249571</v>
      </c>
      <c r="E26" s="188">
        <f>ADVANCED!E26/Prices!$C$143+AXI!E26/Prices!$C$139+BHART!E26/Prices!$C$132+_CM!E26/Prices!$C$155*1000+DIGI!E26/Prices!$C$139+IDEA!E26/Prices!$C$132+INDO!E26/Prices!$C$152*1000+_LG!E26/Prices!$C$153*1000+MAXI!E26/Prices!$C$139+SKT!E26/Prices!$C$153*1000+XLAX!E26/Prices!$C$152*1000+TRUECORP!E26/Prices!$C$143</f>
        <v>42359.049907280634</v>
      </c>
      <c r="F26" s="188">
        <f>ADVANCED!F26/Prices!$C$143+AXI!F26/Prices!$C$139+BHART!F26/Prices!$C$132+_CM!F26/Prices!$C$155*1000+DIGI!F26/Prices!$C$139+IDEA!F26/Prices!$C$132+INDO!F26/Prices!$C$152*1000+_LG!F26/Prices!$C$153*1000+MAXI!F26/Prices!$C$139+SKT!F26/Prices!$C$153*1000+XLAX!F26/Prices!$C$152*1000+TRUECORP!F26/Prices!$C$143</f>
        <v>46271.35305345591</v>
      </c>
      <c r="G26" s="188">
        <f>ADVANCED!G26/Prices!$C$143+AXI!G26/Prices!$C$139+BHART!G26/Prices!$C$132+_CM!G26/Prices!$C$155*1000+DIGI!G26/Prices!$C$139+IDEA!G26/Prices!$C$132+INDO!G26/Prices!$C$152*1000+_LG!G26/Prices!$C$153*1000+MAXI!G26/Prices!$C$139+SKT!G26/Prices!$C$153*1000+XLAX!G26/Prices!$C$152*1000+TRUECORP!G26/Prices!$C$143</f>
        <v>50298.979446887184</v>
      </c>
      <c r="H26" s="233">
        <f t="shared" si="1"/>
        <v>9.1242318700493152E-2</v>
      </c>
      <c r="I26" s="209"/>
      <c r="J26" s="209" t="s">
        <v>9</v>
      </c>
      <c r="K26" s="209"/>
      <c r="L26" s="235">
        <f>ADVANCED!L26/Prices!$C$143+AXI!L26/Prices!$C$139+BHART!L26/Prices!$C$132+_CM!L26/Prices!$C$155*1000+DIGI!L26/Prices!$C$139+IDEA!L26/Prices!$C$132+INDO!L26/Prices!$C$152*1000+_LG!L26/Prices!$C$153*1000+MAXI!L26/Prices!$C$139+SKT!L26/Prices!$C$153*1000+XLAX!L26/Prices!$C$152*1000+TRUECORP!L26/Prices!$C$143</f>
        <v>446998.38670495362</v>
      </c>
      <c r="M26" s="235">
        <f>ADVANCED!M26/Prices!$C$143+AXI!M26/Prices!$C$139+BHART!M26/Prices!$C$132+_CM!M26/Prices!$C$155*1000+DIGI!M26/Prices!$C$139+IDEA!M26/Prices!$C$132+INDO!M26/Prices!$C$152*1000+_LG!M26/Prices!$C$153*1000+MAXI!M26/Prices!$C$139+SKT!M26/Prices!$C$153*1000+XLAX!M26/Prices!$C$152*1000+TRUECORP!M26/Prices!$C$143</f>
        <v>446884.45834853605</v>
      </c>
      <c r="N26" s="235">
        <f>ADVANCED!N26/Prices!$C$143+AXI!N26/Prices!$C$139+BHART!N26/Prices!$C$132+_CM!N26/Prices!$C$155*1000+DIGI!N26/Prices!$C$139+IDEA!N26/Prices!$C$132+INDO!N26/Prices!$C$152*1000+_LG!N26/Prices!$C$153*1000+MAXI!N26/Prices!$C$139+SKT!N26/Prices!$C$153*1000+XLAX!N26/Prices!$C$152*1000+TRUECORP!N26/Prices!$C$143</f>
        <v>446694.09761245828</v>
      </c>
      <c r="O26" s="235">
        <f>ADVANCED!O26/Prices!$C$143+AXI!O26/Prices!$C$139+BHART!O26/Prices!$C$132+_CM!O26/Prices!$C$155*1000+DIGI!O26/Prices!$C$139+IDEA!O26/Prices!$C$132+INDO!O26/Prices!$C$152*1000+_LG!O26/Prices!$C$153*1000+MAXI!O26/Prices!$C$139+SKT!O26/Prices!$C$153*1000+XLAX!O26/Prices!$C$152*1000+TRUECORP!O26/Prices!$C$143</f>
        <v>446493.94549158856</v>
      </c>
      <c r="P26" s="233">
        <f>IF(L26=0,"nm",IF(O26=0,"nm",(O26/L26)^(1/3)-1))</f>
        <v>-3.7631089412537566E-4</v>
      </c>
      <c r="Q26" s="25"/>
      <c r="S26" s="26"/>
      <c r="T26" s="26"/>
      <c r="U26" s="26"/>
      <c r="V26" s="113" t="s">
        <v>159</v>
      </c>
      <c r="W26" s="242">
        <f t="shared" si="0"/>
        <v>0.9588404039768178</v>
      </c>
      <c r="X26" s="242">
        <v>1</v>
      </c>
    </row>
    <row r="27" spans="2:24">
      <c r="B27" s="5" t="s">
        <v>488</v>
      </c>
      <c r="C27" s="288">
        <f>ADVANCED!C27/Prices!$C$143+AXI!C27/Prices!$C$139+BHART!C27/Prices!$C$132+_CM!C27/Prices!$C$155*1000+DIGI!C27/Prices!$C$139+IDEA!C27/Prices!$C$132+INDO!C27/Prices!$C$152*1000+_LG!C27/Prices!$C$153*1000+MAXI!C27/Prices!$C$139+SKT!C27/Prices!$C$153*1000+XLAX!C27/Prices!$C$152*1000+TRUECORP!C27/Prices!$C$143</f>
        <v>305585.48620659369</v>
      </c>
      <c r="D27" s="188">
        <f>ADVANCED!D27/Prices!$C$143+AXI!D27/Prices!$C$139+BHART!D27/Prices!$C$132+_CM!D27/Prices!$C$155*1000+DIGI!D27/Prices!$C$139+IDEA!D27/Prices!$C$132+INDO!D27/Prices!$C$152*1000+_LG!D27/Prices!$C$153*1000+MAXI!D27/Prices!$C$139+SKT!D27/Prices!$C$153*1000+XLAX!D27/Prices!$C$152*1000+TRUECORP!D27/Prices!$C$143</f>
        <v>301283.20135585079</v>
      </c>
      <c r="E27" s="188">
        <f>ADVANCED!E27/Prices!$C$143+AXI!E27/Prices!$C$139+BHART!E27/Prices!$C$132+_CM!E27/Prices!$C$155*1000+DIGI!E27/Prices!$C$139+IDEA!E27/Prices!$C$132+INDO!E27/Prices!$C$152*1000+_LG!E27/Prices!$C$153*1000+MAXI!E27/Prices!$C$139+SKT!E27/Prices!$C$153*1000+XLAX!E27/Prices!$C$152*1000+TRUECORP!E27/Prices!$C$143</f>
        <v>297472.61192481895</v>
      </c>
      <c r="F27" s="188">
        <f>ADVANCED!F27/Prices!$C$143+AXI!F27/Prices!$C$139+BHART!F27/Prices!$C$132+_CM!F27/Prices!$C$155*1000+DIGI!F27/Prices!$C$139+IDEA!F27/Prices!$C$132+INDO!F27/Prices!$C$152*1000+_LG!F27/Prices!$C$153*1000+MAXI!F27/Prices!$C$139+SKT!F27/Prices!$C$153*1000+XLAX!F27/Prices!$C$152*1000+TRUECORP!F27/Prices!$C$143</f>
        <v>303752.70169036259</v>
      </c>
      <c r="G27" s="188">
        <f>ADVANCED!G27/Prices!$C$143+AXI!G27/Prices!$C$139+BHART!G27/Prices!$C$132+_CM!G27/Prices!$C$155*1000+DIGI!G27/Prices!$C$139+IDEA!G27/Prices!$C$132+INDO!G27/Prices!$C$152*1000+_LG!G27/Prices!$C$153*1000+MAXI!G27/Prices!$C$139+SKT!G27/Prices!$C$153*1000+XLAX!G27/Prices!$C$152*1000+TRUECORP!G27/Prices!$C$143</f>
        <v>300482.6981899534</v>
      </c>
      <c r="H27" s="233">
        <f t="shared" si="1"/>
        <v>-8.8644524935921343E-4</v>
      </c>
      <c r="I27" s="208"/>
      <c r="J27" s="208"/>
      <c r="K27" s="208"/>
      <c r="L27" s="208"/>
      <c r="M27" s="208"/>
      <c r="N27" s="208"/>
      <c r="O27" s="208"/>
      <c r="Q27" s="5"/>
      <c r="S27" s="26"/>
      <c r="T27" s="26"/>
      <c r="U27" s="26"/>
      <c r="V27" s="113" t="s">
        <v>381</v>
      </c>
      <c r="W27" s="242">
        <f t="shared" si="0"/>
        <v>0.94452155644302038</v>
      </c>
      <c r="X27" s="242">
        <v>1</v>
      </c>
    </row>
    <row r="28" spans="2:24" ht="12.6" thickBot="1">
      <c r="B28" s="5" t="s">
        <v>492</v>
      </c>
      <c r="C28" s="288">
        <f>ADVANCED!C28/Prices!$C$143+AXI!C28/Prices!$C$139+BHART!C28/Prices!$C$132+_CM!C28/Prices!$C$155*1000+DIGI!C28/Prices!$C$139+IDEA!C28/Prices!$C$132+INDO!C28/Prices!$C$152*1000+_LG!C28/Prices!$C$153*1000+MAXI!C28/Prices!$C$139+SKT!C28/Prices!$C$153*1000+XLAX!C28/Prices!$C$152*1000+TRUECORP!C28/Prices!$C$143</f>
        <v>183897.38916504508</v>
      </c>
      <c r="D28" s="188">
        <f>ADVANCED!D28/Prices!$C$143+AXI!D28/Prices!$C$139+BHART!D28/Prices!$C$132+_CM!D28/Prices!$C$155*1000+DIGI!D28/Prices!$C$139+IDEA!D28/Prices!$C$132+INDO!D28/Prices!$C$152*1000+_LG!D28/Prices!$C$153*1000+MAXI!D28/Prices!$C$139+SKT!D28/Prices!$C$153*1000+XLAX!D28/Prices!$C$152*1000+TRUECORP!D28/Prices!$C$143</f>
        <v>171403.277056711</v>
      </c>
      <c r="E28" s="188">
        <f>ADVANCED!E28/Prices!$C$143+AXI!E28/Prices!$C$139+BHART!E28/Prices!$C$132+_CM!E28/Prices!$C$155*1000+DIGI!E28/Prices!$C$139+IDEA!E28/Prices!$C$132+INDO!E28/Prices!$C$152*1000+_LG!E28/Prices!$C$153*1000+MAXI!E28/Prices!$C$139+SKT!E28/Prices!$C$153*1000+XLAX!E28/Prices!$C$152*1000+TRUECORP!E28/Prices!$C$143</f>
        <v>162092.49698225121</v>
      </c>
      <c r="F28" s="188">
        <f>ADVANCED!F28/Prices!$C$143+AXI!F28/Prices!$C$139+BHART!F28/Prices!$C$132+_CM!F28/Prices!$C$155*1000+DIGI!F28/Prices!$C$139+IDEA!F28/Prices!$C$132+INDO!F28/Prices!$C$152*1000+_LG!F28/Prices!$C$153*1000+MAXI!F28/Prices!$C$139+SKT!F28/Prices!$C$153*1000+XLAX!F28/Prices!$C$152*1000+TRUECORP!F28/Prices!$C$143</f>
        <v>153099.11287947578</v>
      </c>
      <c r="G28" s="188">
        <f>ADVANCED!G28/Prices!$C$143+AXI!G28/Prices!$C$139+BHART!G28/Prices!$C$132+_CM!G28/Prices!$C$155*1000+DIGI!G28/Prices!$C$139+IDEA!G28/Prices!$C$132+INDO!G28/Prices!$C$152*1000+_LG!G28/Prices!$C$153*1000+MAXI!G28/Prices!$C$139+SKT!G28/Prices!$C$153*1000+XLAX!G28/Prices!$C$152*1000+TRUECORP!G28/Prices!$C$143</f>
        <v>144530.19939703998</v>
      </c>
      <c r="H28" s="233">
        <f t="shared" si="1"/>
        <v>-5.5258136463829266E-2</v>
      </c>
      <c r="I28" s="212"/>
      <c r="J28" s="249" t="s">
        <v>628</v>
      </c>
      <c r="K28" s="249"/>
      <c r="L28" s="249"/>
      <c r="M28" s="249"/>
      <c r="N28" s="220"/>
      <c r="O28" s="220"/>
      <c r="P28" s="220"/>
      <c r="Q28" s="5"/>
      <c r="S28" s="26"/>
      <c r="T28" s="26"/>
      <c r="U28" s="26"/>
      <c r="V28" s="113" t="s">
        <v>434</v>
      </c>
      <c r="W28" s="242">
        <f t="shared" si="0"/>
        <v>0.96241836320720942</v>
      </c>
      <c r="X28" s="242">
        <v>1</v>
      </c>
    </row>
    <row r="29" spans="2:24" ht="12.6" thickTop="1">
      <c r="B29" s="5" t="s">
        <v>489</v>
      </c>
      <c r="C29" s="288">
        <f>ADVANCED!C29/Prices!$C$143+AXI!C29/Prices!$C$139+BHART!C29/Prices!$C$132+_CM!C29/Prices!$C$155*1000+DIGI!C29/Prices!$C$139+IDEA!C29/Prices!$C$132+INDO!C29/Prices!$C$152*1000+_LG!C29/Prices!$C$153*1000+MAXI!C29/Prices!$C$139+SKT!C29/Prices!$C$153*1000+XLAX!C29/Prices!$C$152*1000+TRUECORP!C29/Prices!$C$143</f>
        <v>26289.969032627458</v>
      </c>
      <c r="D29" s="188">
        <f>ADVANCED!D29/Prices!$C$143+AXI!D29/Prices!$C$139+BHART!D29/Prices!$C$132+_CM!D29/Prices!$C$155*1000+DIGI!D29/Prices!$C$139+IDEA!D29/Prices!$C$132+INDO!D29/Prices!$C$152*1000+_LG!D29/Prices!$C$153*1000+MAXI!D29/Prices!$C$139+SKT!D29/Prices!$C$153*1000+XLAX!D29/Prices!$C$152*1000+TRUECORP!D29/Prices!$C$143</f>
        <v>24462.642235624207</v>
      </c>
      <c r="E29" s="188">
        <f>ADVANCED!E29/Prices!$C$143+AXI!E29/Prices!$C$139+BHART!E29/Prices!$C$132+_CM!E29/Prices!$C$155*1000+DIGI!E29/Prices!$C$139+IDEA!E29/Prices!$C$132+INDO!E29/Prices!$C$152*1000+_LG!E29/Prices!$C$153*1000+MAXI!E29/Prices!$C$139+SKT!E29/Prices!$C$153*1000+XLAX!E29/Prices!$C$152*1000+TRUECORP!E29/Prices!$C$143</f>
        <v>29051.693991821398</v>
      </c>
      <c r="F29" s="188">
        <f>ADVANCED!F29/Prices!$C$143+AXI!F29/Prices!$C$139+BHART!F29/Prices!$C$132+_CM!F29/Prices!$C$155*1000+DIGI!F29/Prices!$C$139+IDEA!F29/Prices!$C$132+INDO!F29/Prices!$C$152*1000+_LG!F29/Prices!$C$153*1000+MAXI!F29/Prices!$C$139+SKT!F29/Prices!$C$153*1000+XLAX!F29/Prices!$C$152*1000+TRUECORP!F29/Prices!$C$143</f>
        <v>32469.016005658952</v>
      </c>
      <c r="G29" s="188">
        <f>ADVANCED!G29/Prices!$C$143+AXI!G29/Prices!$C$139+BHART!G29/Prices!$C$132+_CM!G29/Prices!$C$155*1000+DIGI!G29/Prices!$C$139+IDEA!G29/Prices!$C$132+INDO!G29/Prices!$C$152*1000+_LG!G29/Prices!$C$153*1000+MAXI!G29/Prices!$C$139+SKT!G29/Prices!$C$153*1000+XLAX!G29/Prices!$C$152*1000+TRUECORP!G29/Prices!$C$143</f>
        <v>35904.717961296541</v>
      </c>
      <c r="H29" s="233">
        <f t="shared" si="1"/>
        <v>0.13644752003676275</v>
      </c>
      <c r="I29" s="214"/>
      <c r="J29" s="209"/>
      <c r="K29" s="209"/>
      <c r="L29" s="209"/>
      <c r="M29" s="209"/>
      <c r="N29" s="209"/>
      <c r="O29" s="211"/>
      <c r="Q29" s="5"/>
      <c r="S29" s="26"/>
      <c r="T29" s="26"/>
      <c r="U29" s="26"/>
      <c r="V29" s="113" t="s">
        <v>493</v>
      </c>
      <c r="W29" s="242">
        <f t="shared" si="0"/>
        <v>1.0494681050772314</v>
      </c>
      <c r="X29" s="242">
        <v>1</v>
      </c>
    </row>
    <row r="30" spans="2:24">
      <c r="B30" s="5" t="s">
        <v>490</v>
      </c>
      <c r="C30" s="288">
        <f>ADVANCED!C30/Prices!$C$143+AXI!C30/Prices!$C$139+BHART!C30/Prices!$C$132+_CM!C30/Prices!$C$155*1000+DIGI!C30/Prices!$C$139+IDEA!C30/Prices!$C$132+INDO!C30/Prices!$C$152*1000+_LG!C30/Prices!$C$153*1000+MAXI!C30/Prices!$C$139+SKT!C30/Prices!$C$153*1000+XLAX!C30/Prices!$C$152*1000+TRUECORP!C30/Prices!$C$143</f>
        <v>23192.305616384449</v>
      </c>
      <c r="D30" s="188">
        <f>ADVANCED!D30/Prices!$C$143+AXI!D30/Prices!$C$139+BHART!D30/Prices!$C$132+_CM!D30/Prices!$C$155*1000+DIGI!D30/Prices!$C$139+IDEA!D30/Prices!$C$132+INDO!D30/Prices!$C$152*1000+_LG!D30/Prices!$C$153*1000+MAXI!D30/Prices!$C$139+SKT!D30/Prices!$C$153*1000+XLAX!D30/Prices!$C$152*1000+TRUECORP!D30/Prices!$C$143</f>
        <v>25941.697690217479</v>
      </c>
      <c r="E30" s="188">
        <f>ADVANCED!E30/Prices!$C$143+AXI!E30/Prices!$C$139+BHART!E30/Prices!$C$132+_CM!E30/Prices!$C$155*1000+DIGI!E30/Prices!$C$139+IDEA!E30/Prices!$C$132+INDO!E30/Prices!$C$152*1000+_LG!E30/Prices!$C$153*1000+MAXI!E30/Prices!$C$139+SKT!E30/Prices!$C$153*1000+XLAX!E30/Prices!$C$152*1000+TRUECORP!E30/Prices!$C$143</f>
        <v>29427.108247236942</v>
      </c>
      <c r="F30" s="188">
        <f>ADVANCED!F30/Prices!$C$143+AXI!F30/Prices!$C$139+BHART!F30/Prices!$C$132+_CM!F30/Prices!$C$155*1000+DIGI!F30/Prices!$C$139+IDEA!F30/Prices!$C$132+INDO!F30/Prices!$C$152*1000+_LG!F30/Prices!$C$153*1000+MAXI!F30/Prices!$C$139+SKT!F30/Prices!$C$153*1000+XLAX!F30/Prices!$C$152*1000+TRUECORP!F30/Prices!$C$143</f>
        <v>33395.777746848973</v>
      </c>
      <c r="G30" s="188">
        <f>ADVANCED!G30/Prices!$C$143+AXI!G30/Prices!$C$139+BHART!G30/Prices!$C$132+_CM!G30/Prices!$C$155*1000+DIGI!G30/Prices!$C$139+IDEA!G30/Prices!$C$132+INDO!G30/Prices!$C$152*1000+_LG!G30/Prices!$C$153*1000+MAXI!G30/Prices!$C$139+SKT!G30/Prices!$C$153*1000+XLAX!G30/Prices!$C$152*1000+TRUECORP!G30/Prices!$C$143</f>
        <v>37555.143506700297</v>
      </c>
      <c r="H30" s="233">
        <f t="shared" si="1"/>
        <v>0.13124588026653594</v>
      </c>
      <c r="I30" s="214"/>
      <c r="J30" s="208"/>
      <c r="K30" s="208"/>
      <c r="L30" s="208"/>
      <c r="M30" s="208"/>
      <c r="N30" s="208"/>
      <c r="O30" s="5"/>
      <c r="Q30" s="5"/>
      <c r="S30" s="26"/>
      <c r="T30" s="26"/>
      <c r="U30" s="26"/>
      <c r="V30" s="113" t="s">
        <v>390</v>
      </c>
      <c r="W30" s="242">
        <f t="shared" si="0"/>
        <v>1.0235211226504699</v>
      </c>
      <c r="X30" s="242">
        <v>1</v>
      </c>
    </row>
    <row r="31" spans="2:24">
      <c r="B31" s="5" t="s">
        <v>491</v>
      </c>
      <c r="C31" s="288">
        <f>ADVANCED!C31/Prices!$C$143+AXI!C31/Prices!$C$139+BHART!C31/Prices!$C$132+_CM!C31/Prices!$C$155*1000+DIGI!C31/Prices!$C$139+IDEA!C31/Prices!$C$132+INDO!C31/Prices!$C$152*1000+_LG!C31/Prices!$C$153*1000+MAXI!C31/Prices!$C$139+SKT!C31/Prices!$C$153*1000+XLAX!C31/Prices!$C$152*1000+TRUECORP!C31/Prices!$C$143</f>
        <v>18847.705053396381</v>
      </c>
      <c r="D31" s="188">
        <f>ADVANCED!D31/Prices!$C$143+AXI!D31/Prices!$C$139+BHART!D31/Prices!$C$132+_CM!D31/Prices!$C$155*1000+DIGI!D31/Prices!$C$139+IDEA!D31/Prices!$C$132+INDO!D31/Prices!$C$152*1000+_LG!D31/Prices!$C$153*1000+MAXI!D31/Prices!$C$139+SKT!D31/Prices!$C$153*1000+XLAX!D31/Prices!$C$152*1000+TRUECORP!D31/Prices!$C$143</f>
        <v>20450.086547628827</v>
      </c>
      <c r="E31" s="188">
        <f>ADVANCED!E31/Prices!$C$143+AXI!E31/Prices!$C$139+BHART!E31/Prices!$C$132+_CM!E31/Prices!$C$155*1000+DIGI!E31/Prices!$C$139+IDEA!E31/Prices!$C$132+INDO!E31/Prices!$C$152*1000+_LG!E31/Prices!$C$153*1000+MAXI!E31/Prices!$C$139+SKT!E31/Prices!$C$153*1000+XLAX!E31/Prices!$C$152*1000+TRUECORP!E31/Prices!$C$143</f>
        <v>22979.704725249565</v>
      </c>
      <c r="F31" s="188">
        <f>ADVANCED!F31/Prices!$C$143+AXI!F31/Prices!$C$139+BHART!F31/Prices!$C$132+_CM!F31/Prices!$C$155*1000+DIGI!F31/Prices!$C$139+IDEA!F31/Prices!$C$132+INDO!F31/Prices!$C$152*1000+_LG!F31/Prices!$C$153*1000+MAXI!F31/Prices!$C$139+SKT!F31/Prices!$C$153*1000+XLAX!F31/Prices!$C$152*1000+TRUECORP!F31/Prices!$C$143</f>
        <v>25555.857455181642</v>
      </c>
      <c r="G31" s="188">
        <f>ADVANCED!G31/Prices!$C$143+AXI!G31/Prices!$C$139+BHART!G31/Prices!$C$132+_CM!G31/Prices!$C$155*1000+DIGI!G31/Prices!$C$139+IDEA!G31/Prices!$C$132+INDO!G31/Prices!$C$152*1000+_LG!G31/Prices!$C$153*1000+MAXI!G31/Prices!$C$139+SKT!G31/Prices!$C$153*1000+XLAX!G31/Prices!$C$152*1000+TRUECORP!G31/Prices!$C$143</f>
        <v>28300.342648647413</v>
      </c>
      <c r="H31" s="233">
        <f t="shared" si="1"/>
        <v>0.11437710570953796</v>
      </c>
      <c r="I31" s="214"/>
      <c r="J31" s="212"/>
      <c r="K31" s="212"/>
      <c r="L31" s="212"/>
      <c r="M31" s="212"/>
      <c r="N31" s="212"/>
      <c r="O31" s="5"/>
      <c r="Q31" s="5"/>
      <c r="S31" s="26"/>
      <c r="T31" s="26"/>
      <c r="U31" s="26"/>
      <c r="V31" s="113" t="s">
        <v>437</v>
      </c>
      <c r="W31" s="242">
        <f t="shared" si="0"/>
        <v>1.0802493321743103</v>
      </c>
      <c r="X31" s="242">
        <v>1</v>
      </c>
    </row>
    <row r="32" spans="2:24">
      <c r="B32" s="5" t="s">
        <v>506</v>
      </c>
      <c r="C32" s="288">
        <f>ADVANCED!C32/Prices!$C$143+AXI!C32/Prices!$C$139+BHART!C32/Prices!$C$132+_CM!C32/Prices!$C$155*1000+DIGI!C32/Prices!$C$139+IDEA!C32/Prices!$C$132+INDO!C32/Prices!$C$152*1000+_LG!C32/Prices!$C$153*1000+MAXI!C32/Prices!$C$139+SKT!C32/Prices!$C$153*1000+XLAX!C32/Prices!$C$152*1000+TRUECORP!C32/Prices!$C$143</f>
        <v>95.586544763809428</v>
      </c>
      <c r="D32" s="188">
        <f>ADVANCED!D32/Prices!$C$143+AXI!D32/Prices!$C$139+BHART!D32/Prices!$C$132+_CM!D32/Prices!$C$155*1000+DIGI!D32/Prices!$C$139+IDEA!D32/Prices!$C$132+INDO!D32/Prices!$C$152*1000+_LG!D32/Prices!$C$153*1000+MAXI!D32/Prices!$C$139+SKT!D32/Prices!$C$153*1000+XLAX!D32/Prices!$C$152*1000+TRUECORP!D32/Prices!$C$143</f>
        <v>-145.51046640192521</v>
      </c>
      <c r="E32" s="188">
        <f>ADVANCED!E32/Prices!$C$143+AXI!E32/Prices!$C$139+BHART!E32/Prices!$C$132+_CM!E32/Prices!$C$155*1000+DIGI!E32/Prices!$C$139+IDEA!E32/Prices!$C$132+INDO!E32/Prices!$C$152*1000+_LG!E32/Prices!$C$153*1000+MAXI!E32/Prices!$C$139+SKT!E32/Prices!$C$153*1000+XLAX!E32/Prices!$C$152*1000+TRUECORP!E32/Prices!$C$143</f>
        <v>-3867.31762338821</v>
      </c>
      <c r="F32" s="188">
        <f>ADVANCED!F32/Prices!$C$143+AXI!F32/Prices!$C$139+BHART!F32/Prices!$C$132+_CM!F32/Prices!$C$155*1000+DIGI!F32/Prices!$C$139+IDEA!F32/Prices!$C$132+INDO!F32/Prices!$C$152*1000+_LG!F32/Prices!$C$153*1000+MAXI!F32/Prices!$C$139+SKT!F32/Prices!$C$153*1000+XLAX!F32/Prices!$C$152*1000+TRUECORP!F32/Prices!$C$143</f>
        <v>437.77650417932938</v>
      </c>
      <c r="G32" s="188">
        <f>ADVANCED!G32/Prices!$C$143+AXI!G32/Prices!$C$139+BHART!G32/Prices!$C$132+_CM!G32/Prices!$C$155*1000+DIGI!G32/Prices!$C$139+IDEA!G32/Prices!$C$132+INDO!G32/Prices!$C$152*1000+_LG!G32/Prices!$C$153*1000+MAXI!G32/Prices!$C$139+SKT!G32/Prices!$C$153*1000+XLAX!G32/Prices!$C$152*1000+TRUECORP!G32/Prices!$C$143</f>
        <v>-342.60107652705506</v>
      </c>
      <c r="H32" s="233">
        <f t="shared" si="1"/>
        <v>0.33034668012847068</v>
      </c>
      <c r="I32" s="5"/>
      <c r="J32" s="214"/>
      <c r="K32" s="214"/>
      <c r="L32" s="214"/>
      <c r="M32" s="214"/>
      <c r="N32" s="214"/>
      <c r="O32" s="211"/>
      <c r="Q32" s="5"/>
      <c r="S32" s="26"/>
      <c r="T32" s="26"/>
      <c r="U32" s="26"/>
      <c r="V32" s="113" t="s">
        <v>481</v>
      </c>
      <c r="W32" s="242">
        <f>M17/E45</f>
        <v>0.99705346015759833</v>
      </c>
      <c r="X32" s="242">
        <v>1</v>
      </c>
    </row>
    <row r="33" spans="2:24">
      <c r="B33" s="5" t="s">
        <v>3</v>
      </c>
      <c r="C33" s="288">
        <f>ADVANCED!C33/Prices!$C$143+AXI!C33/Prices!$C$139+BHART!C33/Prices!$C$132+_CM!C33/Prices!$C$155*1000+DIGI!C33/Prices!$C$139+IDEA!C33/Prices!$C$132+INDO!C33/Prices!$C$152*1000+_LG!C33/Prices!$C$153*1000+MAXI!C33/Prices!$C$139+SKT!C33/Prices!$C$153*1000+XLAX!C33/Prices!$C$152*1000+TRUECORP!C33/Prices!$C$143</f>
        <v>8899.2697659826772</v>
      </c>
      <c r="D33" s="188">
        <f>ADVANCED!D33/Prices!$C$143+AXI!D33/Prices!$C$139+BHART!D33/Prices!$C$132+_CM!D33/Prices!$C$155*1000+DIGI!D33/Prices!$C$139+IDEA!D33/Prices!$C$132+INDO!D33/Prices!$C$152*1000+_LG!D33/Prices!$C$153*1000+MAXI!D33/Prices!$C$139+SKT!D33/Prices!$C$153*1000+XLAX!D33/Prices!$C$152*1000+TRUECORP!D33/Prices!$C$143</f>
        <v>8759.4015603696771</v>
      </c>
      <c r="E33" s="188">
        <f>ADVANCED!E33/Prices!$C$143+AXI!E33/Prices!$C$139+BHART!E33/Prices!$C$132+_CM!E33/Prices!$C$155*1000+DIGI!E33/Prices!$C$139+IDEA!E33/Prices!$C$132+INDO!E33/Prices!$C$152*1000+_LG!E33/Prices!$C$153*1000+MAXI!E33/Prices!$C$139+SKT!E33/Prices!$C$153*1000+XLAX!E33/Prices!$C$152*1000+TRUECORP!E33/Prices!$C$143</f>
        <v>8367.8862492553999</v>
      </c>
      <c r="F33" s="188">
        <f>ADVANCED!F33/Prices!$C$143+AXI!F33/Prices!$C$139+BHART!F33/Prices!$C$132+_CM!F33/Prices!$C$155*1000+DIGI!F33/Prices!$C$139+IDEA!F33/Prices!$C$132+INDO!F33/Prices!$C$152*1000+_LG!F33/Prices!$C$153*1000+MAXI!F33/Prices!$C$139+SKT!F33/Prices!$C$153*1000+XLAX!F33/Prices!$C$152*1000+TRUECORP!F33/Prices!$C$143</f>
        <v>8115.99282066666</v>
      </c>
      <c r="G33" s="188">
        <f>ADVANCED!G33/Prices!$C$143+AXI!G33/Prices!$C$139+BHART!G33/Prices!$C$132+_CM!G33/Prices!$C$155*1000+DIGI!G33/Prices!$C$139+IDEA!G33/Prices!$C$132+INDO!G33/Prices!$C$152*1000+_LG!G33/Prices!$C$153*1000+MAXI!G33/Prices!$C$139+SKT!G33/Prices!$C$153*1000+XLAX!G33/Prices!$C$152*1000+TRUECORP!G33/Prices!$C$143</f>
        <v>7671.3099642585294</v>
      </c>
      <c r="H33" s="233">
        <f t="shared" si="1"/>
        <v>-4.3250233484242395E-2</v>
      </c>
      <c r="I33" s="33"/>
      <c r="J33" s="214"/>
      <c r="K33" s="214"/>
      <c r="L33" s="214"/>
      <c r="M33" s="214"/>
      <c r="N33" s="214"/>
      <c r="O33" s="211"/>
      <c r="Q33" s="5"/>
      <c r="S33" s="26"/>
      <c r="T33" s="26"/>
      <c r="U33" s="26"/>
      <c r="V33" s="113" t="s">
        <v>218</v>
      </c>
      <c r="W33" s="242">
        <f>N19/F47</f>
        <v>1.0471923227062379</v>
      </c>
      <c r="X33" s="242">
        <v>1</v>
      </c>
    </row>
    <row r="34" spans="2:24">
      <c r="H34" s="231"/>
      <c r="I34" s="214"/>
      <c r="J34" s="214"/>
      <c r="K34" s="214"/>
      <c r="L34" s="214"/>
      <c r="M34" s="214"/>
      <c r="N34" s="214"/>
      <c r="O34" s="211"/>
      <c r="Q34" s="5"/>
      <c r="S34" s="26"/>
      <c r="T34" s="26"/>
      <c r="U34" s="26"/>
      <c r="V34" s="26"/>
      <c r="W34" s="26"/>
      <c r="X34" s="26"/>
    </row>
    <row r="35" spans="2:24" ht="12.6" thickBot="1">
      <c r="B35" s="249" t="s">
        <v>231</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2.1630665456653286</v>
      </c>
      <c r="E37" s="48">
        <f t="shared" si="2"/>
        <v>1.9592488478561529</v>
      </c>
      <c r="F37" s="48">
        <f t="shared" si="2"/>
        <v>1.7776092087885584</v>
      </c>
      <c r="G37" s="48">
        <f t="shared" si="2"/>
        <v>1.5518934889472016</v>
      </c>
      <c r="H37" s="13">
        <f t="shared" ref="H37:H45" si="3">H23</f>
        <v>3.7791869196546202E-2</v>
      </c>
      <c r="I37" s="217"/>
      <c r="J37" s="217"/>
      <c r="K37" s="217"/>
      <c r="L37" s="217"/>
      <c r="M37" s="217"/>
      <c r="N37" s="217"/>
      <c r="O37" s="14"/>
      <c r="Q37" s="5"/>
      <c r="R37" s="5"/>
      <c r="S37" s="26"/>
      <c r="T37" s="26"/>
      <c r="U37" s="26"/>
      <c r="V37" s="26"/>
      <c r="W37" s="26"/>
      <c r="X37" s="26"/>
    </row>
    <row r="38" spans="2:24">
      <c r="B38" s="5" t="s">
        <v>158</v>
      </c>
      <c r="C38" s="207"/>
      <c r="D38" s="48">
        <f t="shared" si="2"/>
        <v>5.9495040572157292</v>
      </c>
      <c r="E38" s="48">
        <f t="shared" si="2"/>
        <v>5.2646276814393627</v>
      </c>
      <c r="F38" s="48">
        <f t="shared" si="2"/>
        <v>4.6983787313706102</v>
      </c>
      <c r="G38" s="48">
        <f t="shared" si="2"/>
        <v>4.0381485145050036</v>
      </c>
      <c r="H38" s="13">
        <f t="shared" si="3"/>
        <v>5.7159296356091849E-2</v>
      </c>
      <c r="I38" s="13"/>
      <c r="J38" s="13"/>
      <c r="K38" s="13"/>
      <c r="L38" s="13"/>
      <c r="M38" s="13"/>
      <c r="N38" s="13"/>
      <c r="O38" s="5"/>
      <c r="Q38" s="5"/>
      <c r="R38" s="5"/>
      <c r="S38" s="26"/>
      <c r="T38" s="26"/>
      <c r="U38" s="26"/>
      <c r="V38" s="26"/>
      <c r="W38" s="26"/>
      <c r="X38" s="26"/>
    </row>
    <row r="39" spans="2:24">
      <c r="B39" s="5" t="s">
        <v>159</v>
      </c>
      <c r="C39" s="207"/>
      <c r="D39" s="48">
        <f t="shared" si="2"/>
        <v>10.028237557999208</v>
      </c>
      <c r="E39" s="48">
        <f t="shared" si="2"/>
        <v>8.5325652577337383</v>
      </c>
      <c r="F39" s="48">
        <f t="shared" si="2"/>
        <v>7.3620495679742231</v>
      </c>
      <c r="G39" s="48">
        <f t="shared" si="2"/>
        <v>6.148782261903242</v>
      </c>
      <c r="H39" s="13">
        <f t="shared" si="3"/>
        <v>9.3585576673929971E-2</v>
      </c>
      <c r="I39" s="5"/>
      <c r="J39" s="5"/>
      <c r="K39" s="5"/>
      <c r="L39" s="5"/>
      <c r="M39" s="5"/>
      <c r="N39" s="5"/>
      <c r="O39" s="5"/>
      <c r="Q39" s="5"/>
      <c r="R39" s="5"/>
      <c r="S39" s="26"/>
      <c r="T39" s="26"/>
      <c r="U39" s="26"/>
      <c r="V39" s="26"/>
      <c r="W39" s="242"/>
      <c r="X39" s="242"/>
    </row>
    <row r="40" spans="2:24">
      <c r="B40" s="5" t="s">
        <v>381</v>
      </c>
      <c r="C40" s="207"/>
      <c r="D40" s="48">
        <f t="shared" si="2"/>
        <v>12.843776206836809</v>
      </c>
      <c r="E40" s="48">
        <f t="shared" si="2"/>
        <v>10.999381200575785</v>
      </c>
      <c r="F40" s="48">
        <f t="shared" si="2"/>
        <v>9.4897214312628471</v>
      </c>
      <c r="G40" s="48">
        <f t="shared" si="2"/>
        <v>7.9259613917624838</v>
      </c>
      <c r="H40" s="13">
        <f t="shared" si="3"/>
        <v>9.1242318700493152E-2</v>
      </c>
      <c r="I40" s="207"/>
      <c r="J40" s="217"/>
      <c r="K40" s="217"/>
      <c r="L40" s="217"/>
      <c r="M40" s="217"/>
      <c r="N40" s="217"/>
      <c r="O40" s="14"/>
      <c r="Q40" s="5"/>
      <c r="R40" s="5"/>
      <c r="S40" s="26"/>
      <c r="T40" s="26"/>
      <c r="U40" s="26"/>
      <c r="V40" s="26"/>
      <c r="W40" s="242"/>
      <c r="X40" s="242"/>
    </row>
    <row r="41" spans="2:24">
      <c r="B41" s="5" t="s">
        <v>434</v>
      </c>
      <c r="C41" s="207"/>
      <c r="D41" s="48">
        <f t="shared" si="2"/>
        <v>1.6501118632693339</v>
      </c>
      <c r="E41" s="48">
        <f t="shared" si="2"/>
        <v>1.5662730569029599</v>
      </c>
      <c r="F41" s="48">
        <f t="shared" si="2"/>
        <v>1.4455912598680991</v>
      </c>
      <c r="G41" s="48">
        <f t="shared" si="2"/>
        <v>1.3267578184786546</v>
      </c>
      <c r="H41" s="13">
        <f t="shared" si="3"/>
        <v>-8.8644524935921343E-4</v>
      </c>
      <c r="I41" s="208"/>
      <c r="J41" s="13"/>
      <c r="K41" s="13"/>
      <c r="L41" s="13"/>
      <c r="M41" s="13"/>
      <c r="N41" s="13"/>
      <c r="O41" s="5"/>
      <c r="Q41" s="5"/>
      <c r="R41" s="5"/>
      <c r="S41" s="26"/>
      <c r="T41" s="26"/>
      <c r="U41" s="26"/>
      <c r="V41" s="26"/>
      <c r="W41" s="242"/>
      <c r="X41" s="242"/>
    </row>
    <row r="42" spans="2:24">
      <c r="B42" s="5" t="s">
        <v>493</v>
      </c>
      <c r="C42" s="207"/>
      <c r="D42" s="48">
        <f>D18/D28</f>
        <v>2.9004753777056664</v>
      </c>
      <c r="E42" s="48">
        <f>E18/E28</f>
        <v>2.8744287730690687</v>
      </c>
      <c r="F42" s="48">
        <f>F18/F28</f>
        <v>2.8680914112845617</v>
      </c>
      <c r="G42" s="48">
        <f>G18/G28</f>
        <v>2.7583700209663404</v>
      </c>
      <c r="H42" s="13">
        <f t="shared" si="3"/>
        <v>-5.5258136463829266E-2</v>
      </c>
      <c r="I42" s="207"/>
      <c r="J42" s="5"/>
      <c r="K42" s="5"/>
      <c r="L42" s="5"/>
      <c r="M42" s="5"/>
      <c r="N42" s="5"/>
      <c r="O42" s="5"/>
      <c r="Q42" s="5"/>
      <c r="R42" s="5"/>
      <c r="S42" s="26"/>
      <c r="T42" s="26"/>
      <c r="U42" s="26"/>
      <c r="V42" s="26"/>
      <c r="W42" s="242"/>
      <c r="X42" s="242"/>
    </row>
    <row r="43" spans="2:24">
      <c r="B43" s="5" t="s">
        <v>390</v>
      </c>
      <c r="C43" s="207"/>
      <c r="D43" s="48">
        <f>L26/D29</f>
        <v>18.272694437479995</v>
      </c>
      <c r="E43" s="48">
        <f>M26/E29</f>
        <v>15.38238900885926</v>
      </c>
      <c r="F43" s="48">
        <f>N26/F29</f>
        <v>13.757549583104241</v>
      </c>
      <c r="G43" s="48">
        <f>O26/G29</f>
        <v>12.435522985388335</v>
      </c>
      <c r="H43" s="13">
        <f t="shared" si="3"/>
        <v>0.13644752003676275</v>
      </c>
      <c r="I43" s="207"/>
      <c r="J43" s="207"/>
      <c r="K43" s="207"/>
      <c r="L43" s="207"/>
      <c r="M43" s="207"/>
      <c r="N43" s="207"/>
      <c r="O43" s="14"/>
      <c r="Q43" s="5"/>
      <c r="R43" s="5"/>
      <c r="S43" s="26"/>
      <c r="T43" s="26"/>
      <c r="U43" s="26"/>
      <c r="V43" s="26"/>
      <c r="W43" s="255"/>
      <c r="X43" s="255"/>
    </row>
    <row r="44" spans="2:24">
      <c r="B44" s="5" t="s">
        <v>437</v>
      </c>
      <c r="C44" s="53"/>
      <c r="D44" s="48">
        <f>D11/D30</f>
        <v>17.230884117253247</v>
      </c>
      <c r="E44" s="48">
        <f>E11/E30</f>
        <v>15.186149267334015</v>
      </c>
      <c r="F44" s="48">
        <f>F11/F30</f>
        <v>13.375765673090386</v>
      </c>
      <c r="G44" s="48">
        <f>G11/G30</f>
        <v>11.889022482684124</v>
      </c>
      <c r="H44" s="13">
        <f t="shared" si="3"/>
        <v>0.13124588026653594</v>
      </c>
      <c r="I44" s="208"/>
      <c r="J44" s="208"/>
      <c r="K44" s="208"/>
      <c r="L44" s="208"/>
      <c r="M44" s="208"/>
      <c r="N44" s="208"/>
      <c r="O44" s="208"/>
      <c r="Q44" s="5"/>
      <c r="R44" s="5"/>
      <c r="S44" s="26"/>
      <c r="T44" s="26"/>
      <c r="U44" s="26"/>
      <c r="V44" s="26"/>
      <c r="W44" s="26"/>
      <c r="X44" s="26"/>
    </row>
    <row r="45" spans="2:24">
      <c r="B45" s="5" t="s">
        <v>481</v>
      </c>
      <c r="C45" s="207"/>
      <c r="D45" s="208">
        <f>D31/D11</f>
        <v>4.5749799453140172E-2</v>
      </c>
      <c r="E45" s="208">
        <f>E31/E11</f>
        <v>5.1422027094366156E-2</v>
      </c>
      <c r="F45" s="208">
        <f>F31/F11</f>
        <v>5.7211092762979213E-2</v>
      </c>
      <c r="G45" s="208">
        <f>G31/G11</f>
        <v>6.3383485788343255E-2</v>
      </c>
      <c r="H45" s="13">
        <f t="shared" si="3"/>
        <v>0.11437710570953796</v>
      </c>
      <c r="I45" s="207"/>
      <c r="J45" s="207"/>
      <c r="K45" s="207"/>
      <c r="L45" s="207"/>
      <c r="M45" s="207"/>
      <c r="N45" s="207"/>
      <c r="O45" s="208"/>
      <c r="Q45" s="5"/>
      <c r="R45" s="5"/>
      <c r="S45" s="26"/>
      <c r="T45" s="26"/>
      <c r="U45" s="26"/>
      <c r="V45" s="26"/>
      <c r="W45" s="26"/>
      <c r="X45" s="26"/>
    </row>
    <row r="46" spans="2:24">
      <c r="B46" s="5" t="s">
        <v>505</v>
      </c>
      <c r="C46" s="207"/>
      <c r="D46" s="208">
        <f>(D31+D32)/D11</f>
        <v>4.5424271507783248E-2</v>
      </c>
      <c r="E46" s="208">
        <f>(E31+E32)/E11</f>
        <v>4.2768072920887169E-2</v>
      </c>
      <c r="F46" s="208">
        <f>(F31+F32)/F11</f>
        <v>5.8191129227573676E-2</v>
      </c>
      <c r="G46" s="208">
        <f>(G31+G32)/G11</f>
        <v>6.261617174078131E-2</v>
      </c>
      <c r="H46" s="233">
        <f>((G31+G32)/(D31+D32))^(1/3)-1</f>
        <v>0.11250691681772862</v>
      </c>
      <c r="I46" s="13"/>
      <c r="J46" s="207"/>
      <c r="K46" s="207"/>
      <c r="L46" s="207"/>
      <c r="M46" s="207"/>
      <c r="N46" s="207"/>
      <c r="O46" s="14"/>
      <c r="Q46" s="5"/>
      <c r="R46" s="5"/>
      <c r="S46" s="26"/>
      <c r="T46" s="26"/>
      <c r="U46" s="26"/>
      <c r="V46" s="26"/>
      <c r="W46" s="26"/>
      <c r="X46" s="26"/>
    </row>
    <row r="47" spans="2:24">
      <c r="B47" s="5" t="s">
        <v>482</v>
      </c>
      <c r="C47" s="5"/>
      <c r="D47" s="208">
        <f>1/D43</f>
        <v>5.472646650013762E-2</v>
      </c>
      <c r="E47" s="208">
        <f>1/E43</f>
        <v>6.5009407799013846E-2</v>
      </c>
      <c r="F47" s="208">
        <f>1/F43</f>
        <v>7.2687362960923513E-2</v>
      </c>
      <c r="G47" s="208">
        <f>1/G43</f>
        <v>8.0414792459874346E-2</v>
      </c>
      <c r="H47" s="13">
        <f>H29</f>
        <v>0.13644752003676275</v>
      </c>
      <c r="I47" s="207"/>
      <c r="J47" s="208"/>
      <c r="K47" s="208"/>
      <c r="L47" s="208"/>
      <c r="M47" s="208"/>
      <c r="N47" s="208"/>
      <c r="O47" s="208"/>
      <c r="Q47" s="5"/>
      <c r="R47" s="5"/>
      <c r="S47" s="5"/>
      <c r="T47" s="5"/>
      <c r="U47" s="5"/>
    </row>
    <row r="48" spans="2:24">
      <c r="B48" s="5" t="s">
        <v>518</v>
      </c>
      <c r="C48" s="5"/>
      <c r="D48" s="248">
        <f>D31/D29</f>
        <v>0.83597210598321969</v>
      </c>
      <c r="E48" s="248">
        <f>E31/E29</f>
        <v>0.79099362438964105</v>
      </c>
      <c r="F48" s="248">
        <f>F31/F29</f>
        <v>0.78708444539026279</v>
      </c>
      <c r="G48" s="248">
        <f>G31/G29</f>
        <v>0.78820679441497754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72">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264</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427</v>
      </c>
      <c r="C11" s="5"/>
      <c r="D11" s="225">
        <f>'EM ASIA INCUMB'!D11+'EM ASIA CELLULAR'!D11</f>
        <v>559893.82652152609</v>
      </c>
      <c r="E11" s="225">
        <f>'EM ASIA INCUMB'!E11+'EM ASIA CELLULAR'!E11</f>
        <v>559574.91880808258</v>
      </c>
      <c r="F11" s="225">
        <f>'EM ASIA INCUMB'!F11+'EM ASIA CELLULAR'!F11</f>
        <v>559179.57871497888</v>
      </c>
      <c r="G11" s="225">
        <f>'EM ASIA INCUMB'!G11+'EM ASIA CELLULAR'!G11</f>
        <v>558774.44723708322</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'EM ASIA INCUMB'!D12+'EM ASIA CELLULAR'!D12</f>
        <v>56654.099717722253</v>
      </c>
      <c r="E12" s="188">
        <f>'EM ASIA INCUMB'!E12+'EM ASIA CELLULAR'!E12</f>
        <v>37961.436996782431</v>
      </c>
      <c r="F12" s="188">
        <f>'EM ASIA INCUMB'!F12+'EM ASIA CELLULAR'!F12</f>
        <v>35885.146264663228</v>
      </c>
      <c r="G12" s="188">
        <f>'EM ASIA INCUMB'!G12+'EM ASIA CELLULAR'!G12</f>
        <v>13089.321935276854</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'EM ASIA INCUMB'!D13+'EM ASIA CELLULAR'!D13</f>
        <v>3548.2963640534485</v>
      </c>
      <c r="E13" s="188">
        <f>'EM ASIA INCUMB'!E13+'EM ASIA CELLULAR'!E13</f>
        <v>3110.1440273823696</v>
      </c>
      <c r="F13" s="188">
        <f>'EM ASIA INCUMB'!F13+'EM ASIA CELLULAR'!F13</f>
        <v>2878.1574790389568</v>
      </c>
      <c r="G13" s="188">
        <f>'EM ASIA INCUMB'!G13+'EM ASIA CELLULAR'!G13</f>
        <v>2659.8027514672144</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'EM ASIA INCUMB'!D14+'EM ASIA CELLULAR'!D14</f>
        <v>41557.481154382833</v>
      </c>
      <c r="E14" s="188">
        <f>'EM ASIA INCUMB'!E14+'EM ASIA CELLULAR'!E14</f>
        <v>39610.56104364973</v>
      </c>
      <c r="F14" s="188">
        <f>'EM ASIA INCUMB'!F14+'EM ASIA CELLULAR'!F14</f>
        <v>39607.236447784089</v>
      </c>
      <c r="G14" s="188">
        <f>'EM ASIA INCUMB'!G14+'EM ASIA CELLULAR'!G14</f>
        <v>39605.574149851273</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'EM ASIA INCUMB'!D15+'EM ASIA CELLULAR'!D15</f>
        <v>21562.411083657709</v>
      </c>
      <c r="E15" s="188">
        <f>'EM ASIA INCUMB'!E15+'EM ASIA CELLULAR'!E15</f>
        <v>21553.560374909961</v>
      </c>
      <c r="F15" s="188">
        <f>'EM ASIA INCUMB'!F15+'EM ASIA CELLULAR'!F15</f>
        <v>21572.146706691412</v>
      </c>
      <c r="G15" s="188">
        <f>'EM ASIA INCUMB'!G15+'EM ASIA CELLULAR'!G15</f>
        <v>21616.41233576024</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'EM ASIA INCUMB'!D16+'EM ASIA CELLULAR'!D16</f>
        <v>8476.9566360297504</v>
      </c>
      <c r="E16" s="188">
        <f>'EM ASIA INCUMB'!E16+'EM ASIA CELLULAR'!E16</f>
        <v>30435.028088023566</v>
      </c>
      <c r="F16" s="188">
        <f>'EM ASIA INCUMB'!F16+'EM ASIA CELLULAR'!F16</f>
        <v>55218.075565219173</v>
      </c>
      <c r="G16" s="188">
        <f>'EM ASIA INCUMB'!G16+'EM ASIA CELLULAR'!G16</f>
        <v>82502.466355362805</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'EM ASIA INCUMB'!D17+'EM ASIA CELLULAR'!D17</f>
        <v>1822.8761560093294</v>
      </c>
      <c r="E17" s="188">
        <f>'EM ASIA INCUMB'!E17+'EM ASIA CELLULAR'!E17</f>
        <v>1822.8761560093294</v>
      </c>
      <c r="F17" s="188">
        <f>'EM ASIA INCUMB'!F17+'EM ASIA CELLULAR'!F17</f>
        <v>1822.8761560093294</v>
      </c>
      <c r="G17" s="188">
        <f>'EM ASIA INCUMB'!G17+'EM ASIA CELLULAR'!G17</f>
        <v>1822.8761560093294</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76</v>
      </c>
      <c r="C18" s="209"/>
      <c r="D18" s="229">
        <f>'EM ASIA INCUMB'!D18+'EM ASIA CELLULAR'!D18</f>
        <v>589801.31974053767</v>
      </c>
      <c r="E18" s="229">
        <f>'EM ASIA INCUMB'!E18+'EM ASIA CELLULAR'!E18</f>
        <v>550331.5949194748</v>
      </c>
      <c r="F18" s="229">
        <f>'EM ASIA INCUMB'!F18+'EM ASIA CELLULAR'!F18</f>
        <v>522866.84099635994</v>
      </c>
      <c r="G18" s="229">
        <f>'EM ASIA INCUMB'!G18+'EM ASIA CELLULAR'!G18</f>
        <v>472209.0675983642</v>
      </c>
      <c r="H18" s="230">
        <f>IF(D18=0,"nm",IF(G18=0,"nm",(G18/D18)^(1/3)-1))</f>
        <v>-7.1440949259138908E-2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'EM ASIA INCUMB'!C23+'EM ASIA CELLULAR'!C23</f>
        <v>388045.74009472976</v>
      </c>
      <c r="D23" s="188">
        <f>'EM ASIA INCUMB'!D23+'EM ASIA CELLULAR'!D23</f>
        <v>393920.51770634588</v>
      </c>
      <c r="E23" s="188">
        <f>'EM ASIA INCUMB'!E23+'EM ASIA CELLULAR'!E23</f>
        <v>405867.11138425616</v>
      </c>
      <c r="F23" s="188">
        <f>'EM ASIA INCUMB'!F23+'EM ASIA CELLULAR'!F23</f>
        <v>419595.60062075406</v>
      </c>
      <c r="G23" s="188">
        <f>'EM ASIA INCUMB'!G23+'EM ASIA CELLULAR'!G23</f>
        <v>434160.7732332875</v>
      </c>
      <c r="H23" s="233">
        <f t="shared" ref="H23:H33" si="0">IF(D23=0,"nm",IF(G23=0,"nm",(G23/D23)^(1/3)-1))</f>
        <v>3.2953234769394157E-2</v>
      </c>
      <c r="I23" s="209"/>
      <c r="J23" s="249" t="s">
        <v>7</v>
      </c>
      <c r="K23" s="249"/>
      <c r="L23" s="219" t="str">
        <f>L5</f>
        <v>2025E</v>
      </c>
      <c r="M23" s="219" t="str">
        <f>M5</f>
        <v>2026E</v>
      </c>
      <c r="N23" s="219" t="str">
        <f>N5</f>
        <v>2027E</v>
      </c>
      <c r="O23" s="219" t="str">
        <f>O5</f>
        <v>2028E</v>
      </c>
      <c r="P23" s="236" t="str">
        <f>P5</f>
        <v>2025-28</v>
      </c>
      <c r="S23" s="26"/>
      <c r="T23" s="26"/>
      <c r="U23" s="26"/>
      <c r="V23" s="26"/>
      <c r="W23" s="26" t="s">
        <v>146</v>
      </c>
      <c r="X23" s="26" t="s">
        <v>24</v>
      </c>
    </row>
    <row r="24" spans="2:24" ht="12.6" thickTop="1">
      <c r="B24" s="5" t="s">
        <v>397</v>
      </c>
      <c r="C24" s="288">
        <f>'EM ASIA INCUMB'!C24+'EM ASIA CELLULAR'!C24</f>
        <v>123930.1037966306</v>
      </c>
      <c r="D24" s="188">
        <f>'EM ASIA INCUMB'!D24+'EM ASIA CELLULAR'!D24</f>
        <v>128232.86134945502</v>
      </c>
      <c r="E24" s="188">
        <f>'EM ASIA INCUMB'!E24+'EM ASIA CELLULAR'!E24</f>
        <v>134082.0684536128</v>
      </c>
      <c r="F24" s="188">
        <f>'EM ASIA INCUMB'!F24+'EM ASIA CELLULAR'!F24</f>
        <v>140288.0957068018</v>
      </c>
      <c r="G24" s="188">
        <f>'EM ASIA INCUMB'!G24+'EM ASIA CELLULAR'!G24</f>
        <v>147075.83445836225</v>
      </c>
      <c r="H24" s="233">
        <f t="shared" si="0"/>
        <v>4.6760508116739707E-2</v>
      </c>
      <c r="I24" s="208"/>
      <c r="J24" s="13"/>
      <c r="K24" s="13"/>
      <c r="L24" s="13"/>
      <c r="M24" s="13"/>
      <c r="N24" s="13"/>
      <c r="O24" s="208"/>
      <c r="S24" s="26"/>
      <c r="T24" s="26"/>
      <c r="U24" s="26"/>
      <c r="V24" s="113" t="s">
        <v>225</v>
      </c>
      <c r="W24" s="242">
        <f t="shared" ref="W24:W31" si="1">E37/M9</f>
        <v>0.89960202911367004</v>
      </c>
      <c r="X24" s="242">
        <v>1</v>
      </c>
    </row>
    <row r="25" spans="2:24">
      <c r="B25" s="5" t="s">
        <v>157</v>
      </c>
      <c r="C25" s="288">
        <f>'EM ASIA INCUMB'!C25+'EM ASIA CELLULAR'!C25</f>
        <v>61649.759274808646</v>
      </c>
      <c r="D25" s="188">
        <f>'EM ASIA INCUMB'!D25+'EM ASIA CELLULAR'!D25</f>
        <v>70402.743475622876</v>
      </c>
      <c r="E25" s="188">
        <f>'EM ASIA INCUMB'!E25+'EM ASIA CELLULAR'!E25</f>
        <v>77091.134469205223</v>
      </c>
      <c r="F25" s="188">
        <f>'EM ASIA INCUMB'!F25+'EM ASIA CELLULAR'!F25</f>
        <v>83752.449464073768</v>
      </c>
      <c r="G25" s="188">
        <f>'EM ASIA INCUMB'!G25+'EM ASIA CELLULAR'!G25</f>
        <v>90712.392178305439</v>
      </c>
      <c r="H25" s="233">
        <f t="shared" si="0"/>
        <v>8.8158967855370252E-2</v>
      </c>
      <c r="I25" s="209"/>
      <c r="J25" s="207" t="s">
        <v>8</v>
      </c>
      <c r="K25" s="207"/>
      <c r="L25" s="258">
        <f>'EM ASIA INCUMB'!L25+'EM ASIA CELLULAR'!L25</f>
        <v>-814.31378081092942</v>
      </c>
      <c r="M25" s="258">
        <f>'EM ASIA INCUMB'!M25+'EM ASIA CELLULAR'!M25</f>
        <v>-634.93201785871543</v>
      </c>
      <c r="N25" s="258">
        <f>'EM ASIA INCUMB'!N25+'EM ASIA CELLULAR'!N25</f>
        <v>-634.93201785871543</v>
      </c>
      <c r="O25" s="258">
        <f>'EM ASIA INCUMB'!O25+'EM ASIA CELLULAR'!O25</f>
        <v>-634.93201785871543</v>
      </c>
      <c r="P25" s="233">
        <f>IF(L25=0,"nm",IF(O25=0,"nm",(O25/L25)^(1/3)-1))</f>
        <v>-7.9596034509965885E-2</v>
      </c>
      <c r="Q25" s="5"/>
      <c r="S25" s="26"/>
      <c r="T25" s="26"/>
      <c r="U25" s="26"/>
      <c r="V25" s="113" t="s">
        <v>158</v>
      </c>
      <c r="W25" s="242">
        <f t="shared" si="1"/>
        <v>0.93696236173853076</v>
      </c>
      <c r="X25" s="242">
        <v>1</v>
      </c>
    </row>
    <row r="26" spans="2:24">
      <c r="B26" s="5" t="s">
        <v>487</v>
      </c>
      <c r="C26" s="288">
        <f>'EM ASIA INCUMB'!C26+'EM ASIA CELLULAR'!C26</f>
        <v>48328.406664451257</v>
      </c>
      <c r="D26" s="188">
        <f>'EM ASIA INCUMB'!D26+'EM ASIA CELLULAR'!D26</f>
        <v>55092.980678721535</v>
      </c>
      <c r="E26" s="188">
        <f>'EM ASIA INCUMB'!E26+'EM ASIA CELLULAR'!E26</f>
        <v>60069.105656498912</v>
      </c>
      <c r="F26" s="188">
        <f>'EM ASIA INCUMB'!F26+'EM ASIA CELLULAR'!F26</f>
        <v>65262.36824549552</v>
      </c>
      <c r="G26" s="188">
        <f>'EM ASIA INCUMB'!G26+'EM ASIA CELLULAR'!G26</f>
        <v>70687.476424025022</v>
      </c>
      <c r="H26" s="233">
        <f t="shared" si="0"/>
        <v>8.6630946556363497E-2</v>
      </c>
      <c r="I26" s="209"/>
      <c r="J26" s="209" t="s">
        <v>9</v>
      </c>
      <c r="K26" s="209"/>
      <c r="L26" s="235">
        <f>'EM ASIA INCUMB'!L26+'EM ASIA CELLULAR'!L26</f>
        <v>559079.51274071517</v>
      </c>
      <c r="M26" s="235">
        <f>'EM ASIA INCUMB'!M26+'EM ASIA CELLULAR'!M26</f>
        <v>558939.98679022386</v>
      </c>
      <c r="N26" s="235">
        <f>'EM ASIA INCUMB'!N26+'EM ASIA CELLULAR'!N26</f>
        <v>558544.64669712016</v>
      </c>
      <c r="O26" s="235">
        <f>'EM ASIA INCUMB'!O26+'EM ASIA CELLULAR'!O26</f>
        <v>558139.5152192245</v>
      </c>
      <c r="P26" s="233">
        <f>IF(L26=0,"nm",IF(O26=0,"nm",(O26/L26)^(1/3)-1))</f>
        <v>-5.607579412481023E-4</v>
      </c>
      <c r="Q26" s="25"/>
      <c r="S26" s="26"/>
      <c r="T26" s="26"/>
      <c r="U26" s="26"/>
      <c r="V26" s="113" t="s">
        <v>159</v>
      </c>
      <c r="W26" s="242">
        <f t="shared" si="1"/>
        <v>0.95105191979673764</v>
      </c>
      <c r="X26" s="242">
        <v>1</v>
      </c>
    </row>
    <row r="27" spans="2:24">
      <c r="B27" s="5" t="s">
        <v>488</v>
      </c>
      <c r="C27" s="288">
        <f>'EM ASIA INCUMB'!C27+'EM ASIA CELLULAR'!C27</f>
        <v>450284.2504970234</v>
      </c>
      <c r="D27" s="188">
        <f>'EM ASIA INCUMB'!D27+'EM ASIA CELLULAR'!D27</f>
        <v>446595.53894681245</v>
      </c>
      <c r="E27" s="188">
        <f>'EM ASIA INCUMB'!E27+'EM ASIA CELLULAR'!E27</f>
        <v>439944.96095385717</v>
      </c>
      <c r="F27" s="188">
        <f>'EM ASIA INCUMB'!F27+'EM ASIA CELLULAR'!F27</f>
        <v>451296.22528939811</v>
      </c>
      <c r="G27" s="188">
        <f>'EM ASIA INCUMB'!G27+'EM ASIA CELLULAR'!G27</f>
        <v>443835.73214365734</v>
      </c>
      <c r="H27" s="233">
        <f t="shared" si="0"/>
        <v>-2.0641430894635659E-3</v>
      </c>
      <c r="I27" s="208"/>
      <c r="J27" s="208"/>
      <c r="K27" s="208"/>
      <c r="L27" s="208"/>
      <c r="M27" s="208"/>
      <c r="N27" s="208"/>
      <c r="O27" s="208"/>
      <c r="Q27" s="5"/>
      <c r="S27" s="26"/>
      <c r="T27" s="26"/>
      <c r="U27" s="26"/>
      <c r="V27" s="113" t="s">
        <v>381</v>
      </c>
      <c r="W27" s="242">
        <f t="shared" si="1"/>
        <v>0.9237599535472556</v>
      </c>
      <c r="X27" s="242">
        <v>1</v>
      </c>
    </row>
    <row r="28" spans="2:24" ht="12.6" thickBot="1">
      <c r="B28" s="5" t="s">
        <v>492</v>
      </c>
      <c r="C28" s="288">
        <f>'EM ASIA INCUMB'!C28+'EM ASIA CELLULAR'!C28</f>
        <v>317106.92190352024</v>
      </c>
      <c r="D28" s="188">
        <f>'EM ASIA INCUMB'!D28+'EM ASIA CELLULAR'!D28</f>
        <v>297143.28088806267</v>
      </c>
      <c r="E28" s="188">
        <f>'EM ASIA INCUMB'!E28+'EM ASIA CELLULAR'!E28</f>
        <v>279284.88925757783</v>
      </c>
      <c r="F28" s="188">
        <f>'EM ASIA INCUMB'!F28+'EM ASIA CELLULAR'!F28</f>
        <v>261317.42848778993</v>
      </c>
      <c r="G28" s="188">
        <f>'EM ASIA INCUMB'!G28+'EM ASIA CELLULAR'!G28</f>
        <v>243386.36356583488</v>
      </c>
      <c r="H28" s="233">
        <f t="shared" si="0"/>
        <v>-6.4357136904132584E-2</v>
      </c>
      <c r="I28" s="212"/>
      <c r="J28" s="249" t="s">
        <v>628</v>
      </c>
      <c r="K28" s="249"/>
      <c r="L28" s="249"/>
      <c r="M28" s="249"/>
      <c r="N28" s="220"/>
      <c r="O28" s="220"/>
      <c r="P28" s="220"/>
      <c r="Q28" s="5"/>
      <c r="S28" s="26"/>
      <c r="T28" s="26"/>
      <c r="U28" s="26"/>
      <c r="V28" s="113" t="s">
        <v>434</v>
      </c>
      <c r="W28" s="242">
        <f t="shared" si="1"/>
        <v>0.91069867906771151</v>
      </c>
      <c r="X28" s="242">
        <v>1</v>
      </c>
    </row>
    <row r="29" spans="2:24" ht="12.6" thickTop="1">
      <c r="B29" s="5" t="s">
        <v>489</v>
      </c>
      <c r="C29" s="288">
        <f>'EM ASIA INCUMB'!C29+'EM ASIA CELLULAR'!C29</f>
        <v>35226.102178985297</v>
      </c>
      <c r="D29" s="188">
        <f>'EM ASIA INCUMB'!D29+'EM ASIA CELLULAR'!D29</f>
        <v>36510.310070790496</v>
      </c>
      <c r="E29" s="188">
        <f>'EM ASIA INCUMB'!E29+'EM ASIA CELLULAR'!E29</f>
        <v>43124.02140280453</v>
      </c>
      <c r="F29" s="188">
        <f>'EM ASIA INCUMB'!F29+'EM ASIA CELLULAR'!F29</f>
        <v>47761.443915335956</v>
      </c>
      <c r="G29" s="188">
        <f>'EM ASIA INCUMB'!G29+'EM ASIA CELLULAR'!G29</f>
        <v>52548.891970284356</v>
      </c>
      <c r="H29" s="233">
        <f t="shared" si="0"/>
        <v>0.12905738023239555</v>
      </c>
      <c r="I29" s="214"/>
      <c r="J29" s="209"/>
      <c r="K29" s="209"/>
      <c r="L29" s="209"/>
      <c r="M29" s="209"/>
      <c r="N29" s="209"/>
      <c r="O29" s="211"/>
      <c r="Q29" s="5"/>
      <c r="S29" s="26"/>
      <c r="T29" s="26"/>
      <c r="U29" s="26"/>
      <c r="V29" s="113" t="s">
        <v>493</v>
      </c>
      <c r="W29" s="242">
        <f t="shared" si="1"/>
        <v>0.91181869825729944</v>
      </c>
      <c r="X29" s="242">
        <v>1</v>
      </c>
    </row>
    <row r="30" spans="2:24">
      <c r="B30" s="5" t="s">
        <v>490</v>
      </c>
      <c r="C30" s="288">
        <f>'EM ASIA INCUMB'!C30+'EM ASIA CELLULAR'!C30</f>
        <v>32552.681071979918</v>
      </c>
      <c r="D30" s="188">
        <f>'EM ASIA INCUMB'!D30+'EM ASIA CELLULAR'!D30</f>
        <v>36620.585559484156</v>
      </c>
      <c r="E30" s="188">
        <f>'EM ASIA INCUMB'!E30+'EM ASIA CELLULAR'!E30</f>
        <v>40720.044955930956</v>
      </c>
      <c r="F30" s="188">
        <f>'EM ASIA INCUMB'!F30+'EM ASIA CELLULAR'!F30</f>
        <v>45714.883314116145</v>
      </c>
      <c r="G30" s="188">
        <f>'EM ASIA INCUMB'!G30+'EM ASIA CELLULAR'!G30</f>
        <v>51062.226340849149</v>
      </c>
      <c r="H30" s="233">
        <f t="shared" si="0"/>
        <v>0.11718429181945922</v>
      </c>
      <c r="I30" s="214"/>
      <c r="J30" s="208"/>
      <c r="K30" s="208"/>
      <c r="L30" s="208"/>
      <c r="M30" s="208"/>
      <c r="N30" s="208"/>
      <c r="O30" s="5"/>
      <c r="Q30" s="5"/>
      <c r="S30" s="26"/>
      <c r="T30" s="26"/>
      <c r="U30" s="26"/>
      <c r="V30" s="113" t="s">
        <v>390</v>
      </c>
      <c r="W30" s="242">
        <f t="shared" si="1"/>
        <v>1.0304784871057646</v>
      </c>
      <c r="X30" s="242">
        <v>1</v>
      </c>
    </row>
    <row r="31" spans="2:24">
      <c r="B31" s="5" t="s">
        <v>491</v>
      </c>
      <c r="C31" s="288">
        <f>'EM ASIA INCUMB'!C31+'EM ASIA CELLULAR'!C31</f>
        <v>25694.40010529288</v>
      </c>
      <c r="D31" s="188">
        <f>'EM ASIA INCUMB'!D31+'EM ASIA CELLULAR'!D31</f>
        <v>27705.895953307398</v>
      </c>
      <c r="E31" s="188">
        <f>'EM ASIA INCUMB'!E31+'EM ASIA CELLULAR'!E31</f>
        <v>31052.635036779622</v>
      </c>
      <c r="F31" s="188">
        <f>'EM ASIA INCUMB'!F31+'EM ASIA CELLULAR'!F31</f>
        <v>34347.075947088582</v>
      </c>
      <c r="G31" s="188">
        <f>'EM ASIA INCUMB'!G31+'EM ASIA CELLULAR'!G31</f>
        <v>38094.125286526578</v>
      </c>
      <c r="H31" s="233">
        <f t="shared" si="0"/>
        <v>0.11197562891898594</v>
      </c>
      <c r="I31" s="214"/>
      <c r="J31" s="212"/>
      <c r="K31" s="212"/>
      <c r="L31" s="212"/>
      <c r="M31" s="212"/>
      <c r="N31" s="212"/>
      <c r="O31" s="5"/>
      <c r="Q31" s="5"/>
      <c r="S31" s="26"/>
      <c r="T31" s="26"/>
      <c r="U31" s="26"/>
      <c r="V31" s="113" t="s">
        <v>437</v>
      </c>
      <c r="W31" s="242">
        <f t="shared" si="1"/>
        <v>1.0560877479823187</v>
      </c>
      <c r="X31" s="242">
        <v>1</v>
      </c>
    </row>
    <row r="32" spans="2:24">
      <c r="B32" s="5" t="s">
        <v>506</v>
      </c>
      <c r="C32" s="288">
        <f>'EM ASIA INCUMB'!C32+'EM ASIA CELLULAR'!C32</f>
        <v>252.71633037069603</v>
      </c>
      <c r="D32" s="188">
        <f>'EM ASIA INCUMB'!D32+'EM ASIA CELLULAR'!D32</f>
        <v>11.619319204961386</v>
      </c>
      <c r="E32" s="188">
        <f>'EM ASIA INCUMB'!E32+'EM ASIA CELLULAR'!E32</f>
        <v>-3650.7739964078246</v>
      </c>
      <c r="F32" s="188">
        <f>'EM ASIA INCUMB'!F32+'EM ASIA CELLULAR'!F32</f>
        <v>656.06855617245378</v>
      </c>
      <c r="G32" s="188">
        <f>'EM ASIA INCUMB'!G32+'EM ASIA CELLULAR'!G32</f>
        <v>-126.05744954666946</v>
      </c>
      <c r="H32" s="233">
        <f t="shared" si="0"/>
        <v>-3.2137535862651285</v>
      </c>
      <c r="I32" s="5"/>
      <c r="J32" s="214"/>
      <c r="K32" s="214"/>
      <c r="L32" s="214"/>
      <c r="M32" s="214"/>
      <c r="N32" s="214"/>
      <c r="O32" s="211"/>
      <c r="Q32" s="5"/>
      <c r="S32" s="26"/>
      <c r="T32" s="26"/>
      <c r="U32" s="26"/>
      <c r="V32" s="113" t="s">
        <v>481</v>
      </c>
      <c r="W32" s="242">
        <f>M17/E45</f>
        <v>0.94669862884993272</v>
      </c>
      <c r="X32" s="242">
        <v>1</v>
      </c>
    </row>
    <row r="33" spans="2:24">
      <c r="B33" s="5" t="s">
        <v>3</v>
      </c>
      <c r="C33" s="288">
        <f>'EM ASIA INCUMB'!C33+'EM ASIA CELLULAR'!C33</f>
        <v>8897.2481259923206</v>
      </c>
      <c r="D33" s="188">
        <f>'EM ASIA INCUMB'!D33+'EM ASIA CELLULAR'!D33</f>
        <v>8692.4436793829664</v>
      </c>
      <c r="E33" s="188">
        <f>'EM ASIA INCUMB'!E33+'EM ASIA CELLULAR'!E33</f>
        <v>8433.1555912731292</v>
      </c>
      <c r="F33" s="188">
        <f>'EM ASIA INCUMB'!F33+'EM ASIA CELLULAR'!F33</f>
        <v>8173.045447190043</v>
      </c>
      <c r="G33" s="188">
        <f>'EM ASIA INCUMB'!G33+'EM ASIA CELLULAR'!G33</f>
        <v>7648.6517739745659</v>
      </c>
      <c r="H33" s="233">
        <f t="shared" si="0"/>
        <v>-4.1745204868061991E-2</v>
      </c>
      <c r="I33" s="33"/>
      <c r="J33" s="214"/>
      <c r="K33" s="214"/>
      <c r="L33" s="214"/>
      <c r="M33" s="214"/>
      <c r="N33" s="214"/>
      <c r="O33" s="211"/>
      <c r="Q33" s="5"/>
      <c r="S33" s="26"/>
      <c r="T33" s="26"/>
      <c r="U33" s="26"/>
      <c r="V33" s="113" t="s">
        <v>482</v>
      </c>
      <c r="W33" s="242">
        <f>M19/E47</f>
        <v>1.0304784871057646</v>
      </c>
      <c r="X33" s="242">
        <v>1</v>
      </c>
    </row>
    <row r="34" spans="2:24">
      <c r="H34" s="231"/>
      <c r="I34" s="214"/>
      <c r="J34" s="214"/>
      <c r="K34" s="214"/>
      <c r="L34" s="214"/>
      <c r="M34" s="214"/>
      <c r="N34" s="214"/>
      <c r="O34" s="211"/>
      <c r="Q34" s="5"/>
      <c r="S34" s="26"/>
      <c r="T34" s="26"/>
      <c r="U34" s="26"/>
      <c r="V34" s="26"/>
      <c r="W34" s="26"/>
      <c r="X34" s="26"/>
    </row>
    <row r="35" spans="2:24" ht="12.6" thickBot="1">
      <c r="B35" s="249" t="s">
        <v>252</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1.4972597090771853</v>
      </c>
      <c r="E37" s="430">
        <f t="shared" si="2"/>
        <v>1.355940354571983</v>
      </c>
      <c r="F37" s="430">
        <f t="shared" si="2"/>
        <v>1.2461208845441309</v>
      </c>
      <c r="G37" s="430">
        <f t="shared" si="2"/>
        <v>1.0876364165323436</v>
      </c>
      <c r="H37" s="13">
        <f t="shared" ref="H37:H45" si="3">H23</f>
        <v>3.2953234769394157E-2</v>
      </c>
      <c r="I37" s="217"/>
      <c r="J37" s="217"/>
      <c r="K37" s="217"/>
      <c r="L37" s="217"/>
      <c r="M37" s="217"/>
      <c r="N37" s="217"/>
      <c r="O37" s="14"/>
      <c r="Q37" s="5"/>
      <c r="R37" s="5"/>
      <c r="S37" s="26"/>
      <c r="T37" s="26"/>
      <c r="U37" s="26"/>
      <c r="V37" s="26"/>
      <c r="W37" s="26"/>
      <c r="X37" s="26"/>
    </row>
    <row r="38" spans="2:24">
      <c r="B38" s="5" t="s">
        <v>158</v>
      </c>
      <c r="C38" s="207"/>
      <c r="D38" s="430">
        <f t="shared" si="2"/>
        <v>4.5994553465763737</v>
      </c>
      <c r="E38" s="430">
        <f t="shared" si="2"/>
        <v>4.1044384328682115</v>
      </c>
      <c r="F38" s="430">
        <f t="shared" si="2"/>
        <v>3.7270934384135987</v>
      </c>
      <c r="G38" s="430">
        <f t="shared" si="2"/>
        <v>3.2106502698922199</v>
      </c>
      <c r="H38" s="13">
        <f t="shared" si="3"/>
        <v>4.6760508116739707E-2</v>
      </c>
      <c r="I38" s="13"/>
      <c r="J38" s="13"/>
      <c r="K38" s="13"/>
      <c r="L38" s="13"/>
      <c r="M38" s="13"/>
      <c r="N38" s="13"/>
      <c r="O38" s="5"/>
      <c r="Q38" s="5"/>
      <c r="R38" s="5"/>
      <c r="S38" s="26"/>
      <c r="T38" s="26"/>
      <c r="U38" s="26"/>
      <c r="V38" s="26"/>
      <c r="W38" s="26"/>
      <c r="X38" s="26"/>
    </row>
    <row r="39" spans="2:24">
      <c r="B39" s="5" t="s">
        <v>159</v>
      </c>
      <c r="C39" s="207"/>
      <c r="D39" s="430">
        <f t="shared" si="2"/>
        <v>8.3775331844100336</v>
      </c>
      <c r="E39" s="430">
        <f t="shared" si="2"/>
        <v>7.1387144411438115</v>
      </c>
      <c r="F39" s="430">
        <f t="shared" si="2"/>
        <v>6.24300356995108</v>
      </c>
      <c r="G39" s="430">
        <f t="shared" si="2"/>
        <v>5.2055629474546761</v>
      </c>
      <c r="H39" s="13">
        <f t="shared" si="3"/>
        <v>8.8158967855370252E-2</v>
      </c>
      <c r="I39" s="5"/>
      <c r="J39" s="5"/>
      <c r="K39" s="5"/>
      <c r="L39" s="5"/>
      <c r="M39" s="5"/>
      <c r="N39" s="5"/>
      <c r="O39" s="5"/>
      <c r="Q39" s="5"/>
      <c r="R39" s="5"/>
      <c r="S39" s="26"/>
      <c r="T39" s="26"/>
      <c r="U39" s="26"/>
      <c r="V39" s="26"/>
      <c r="W39" s="242"/>
      <c r="X39" s="242"/>
    </row>
    <row r="40" spans="2:24">
      <c r="B40" s="5" t="s">
        <v>381</v>
      </c>
      <c r="C40" s="207"/>
      <c r="D40" s="430">
        <f t="shared" si="2"/>
        <v>10.70556198765146</v>
      </c>
      <c r="E40" s="430">
        <f t="shared" si="2"/>
        <v>9.1616412281299571</v>
      </c>
      <c r="F40" s="430">
        <f t="shared" si="2"/>
        <v>8.0117662759265365</v>
      </c>
      <c r="G40" s="430">
        <f t="shared" si="2"/>
        <v>6.6802366060683331</v>
      </c>
      <c r="H40" s="13">
        <f t="shared" si="3"/>
        <v>8.6630946556363497E-2</v>
      </c>
      <c r="I40" s="207"/>
      <c r="J40" s="217"/>
      <c r="K40" s="217"/>
      <c r="L40" s="217"/>
      <c r="M40" s="217"/>
      <c r="N40" s="217"/>
      <c r="O40" s="14"/>
      <c r="Q40" s="5"/>
      <c r="R40" s="5"/>
      <c r="S40" s="26"/>
      <c r="T40" s="26"/>
      <c r="U40" s="26"/>
      <c r="V40" s="26"/>
      <c r="W40" s="242"/>
      <c r="X40" s="242"/>
    </row>
    <row r="41" spans="2:24">
      <c r="B41" s="5" t="s">
        <v>434</v>
      </c>
      <c r="C41" s="207"/>
      <c r="D41" s="430">
        <f t="shared" si="2"/>
        <v>1.3206610194348143</v>
      </c>
      <c r="E41" s="430">
        <f t="shared" si="2"/>
        <v>1.2509100995867419</v>
      </c>
      <c r="F41" s="430">
        <f t="shared" si="2"/>
        <v>1.158588996974363</v>
      </c>
      <c r="G41" s="430">
        <f t="shared" si="2"/>
        <v>1.0639275601305647</v>
      </c>
      <c r="H41" s="13">
        <f t="shared" si="3"/>
        <v>-2.0641430894635659E-3</v>
      </c>
      <c r="I41" s="208"/>
      <c r="J41" s="13"/>
      <c r="K41" s="13"/>
      <c r="L41" s="13"/>
      <c r="M41" s="13"/>
      <c r="N41" s="13"/>
      <c r="O41" s="5"/>
      <c r="Q41" s="5"/>
      <c r="R41" s="5"/>
      <c r="S41" s="26"/>
      <c r="T41" s="26"/>
      <c r="U41" s="26"/>
      <c r="V41" s="26"/>
      <c r="W41" s="242"/>
      <c r="X41" s="242"/>
    </row>
    <row r="42" spans="2:24">
      <c r="B42" s="5" t="s">
        <v>493</v>
      </c>
      <c r="C42" s="207"/>
      <c r="D42" s="430">
        <f>D18/D28</f>
        <v>1.9849054569829654</v>
      </c>
      <c r="E42" s="430">
        <f>E18/E28</f>
        <v>1.9705025802950513</v>
      </c>
      <c r="F42" s="430">
        <f>F18/F28</f>
        <v>2.000887747985745</v>
      </c>
      <c r="G42" s="430">
        <f>G18/G28</f>
        <v>1.9401623849424656</v>
      </c>
      <c r="H42" s="13">
        <f t="shared" si="3"/>
        <v>-6.4357136904132584E-2</v>
      </c>
      <c r="I42" s="207"/>
      <c r="J42" s="5"/>
      <c r="K42" s="5"/>
      <c r="L42" s="5"/>
      <c r="M42" s="5"/>
      <c r="N42" s="5"/>
      <c r="O42" s="5"/>
      <c r="Q42" s="5"/>
      <c r="R42" s="5"/>
      <c r="S42" s="26"/>
      <c r="T42" s="26"/>
      <c r="U42" s="26"/>
      <c r="V42" s="26"/>
      <c r="W42" s="242"/>
      <c r="X42" s="242"/>
    </row>
    <row r="43" spans="2:24">
      <c r="B43" s="5" t="s">
        <v>390</v>
      </c>
      <c r="C43" s="207"/>
      <c r="D43" s="430">
        <f>L26/D29</f>
        <v>15.312921518790333</v>
      </c>
      <c r="E43" s="430">
        <f>M26/E29</f>
        <v>12.961221347364273</v>
      </c>
      <c r="F43" s="430">
        <f>N26/F29</f>
        <v>11.694467355032671</v>
      </c>
      <c r="G43" s="430">
        <f>O26/G29</f>
        <v>10.621337468634817</v>
      </c>
      <c r="H43" s="13">
        <f t="shared" si="3"/>
        <v>0.12905738023239555</v>
      </c>
      <c r="I43" s="207"/>
      <c r="J43" s="207"/>
      <c r="K43" s="207"/>
      <c r="L43" s="207"/>
      <c r="M43" s="207"/>
      <c r="N43" s="207"/>
      <c r="O43" s="14"/>
      <c r="Q43" s="5"/>
      <c r="R43" s="5"/>
      <c r="S43" s="26"/>
      <c r="T43" s="26"/>
      <c r="U43" s="26"/>
      <c r="V43" s="26"/>
      <c r="W43" s="255"/>
      <c r="X43" s="255"/>
    </row>
    <row r="44" spans="2:24">
      <c r="B44" s="5" t="s">
        <v>437</v>
      </c>
      <c r="C44" s="53"/>
      <c r="D44" s="430">
        <f>D11/D30</f>
        <v>15.289046255474808</v>
      </c>
      <c r="E44" s="430">
        <f>E11/E30</f>
        <v>13.742001498615226</v>
      </c>
      <c r="F44" s="430">
        <f>F11/F30</f>
        <v>12.231893383009286</v>
      </c>
      <c r="G44" s="430">
        <f>G11/G30</f>
        <v>10.94300987793144</v>
      </c>
      <c r="H44" s="13">
        <f t="shared" si="3"/>
        <v>0.11718429181945922</v>
      </c>
      <c r="I44" s="208"/>
      <c r="J44" s="208"/>
      <c r="K44" s="208"/>
      <c r="L44" s="208"/>
      <c r="M44" s="208"/>
      <c r="N44" s="208"/>
      <c r="O44" s="208"/>
      <c r="Q44" s="5"/>
      <c r="R44" s="5"/>
      <c r="S44" s="26"/>
      <c r="T44" s="26"/>
      <c r="U44" s="26"/>
      <c r="V44" s="26"/>
      <c r="W44" s="26"/>
      <c r="X44" s="26"/>
    </row>
    <row r="45" spans="2:24">
      <c r="B45" s="5" t="s">
        <v>481</v>
      </c>
      <c r="C45" s="207"/>
      <c r="D45" s="208">
        <f>D31/D11</f>
        <v>4.9484196183117224E-2</v>
      </c>
      <c r="E45" s="208">
        <f>E31/E11</f>
        <v>5.5493257458577666E-2</v>
      </c>
      <c r="F45" s="208">
        <f>F31/F11</f>
        <v>6.142405276319244E-2</v>
      </c>
      <c r="G45" s="208">
        <f>G31/G11</f>
        <v>6.8174422568689094E-2</v>
      </c>
      <c r="H45" s="13">
        <f t="shared" si="3"/>
        <v>0.11197562891898594</v>
      </c>
      <c r="I45" s="207"/>
      <c r="J45" s="207"/>
      <c r="K45" s="207"/>
      <c r="L45" s="207"/>
      <c r="M45" s="207"/>
      <c r="N45" s="207"/>
      <c r="O45" s="208"/>
      <c r="Q45" s="5"/>
      <c r="R45" s="5"/>
      <c r="S45" s="26"/>
      <c r="T45" s="26"/>
      <c r="U45" s="26"/>
      <c r="V45" s="26"/>
      <c r="W45" s="26"/>
      <c r="X45" s="26"/>
    </row>
    <row r="46" spans="2:24">
      <c r="B46" s="5" t="s">
        <v>505</v>
      </c>
      <c r="C46" s="207"/>
      <c r="D46" s="208">
        <f>(D31+D32)/D11</f>
        <v>4.9504948902033857E-2</v>
      </c>
      <c r="E46" s="208">
        <f>(E31+E32)/E11</f>
        <v>4.8969065837937982E-2</v>
      </c>
      <c r="F46" s="208">
        <f>(F31+F32)/F11</f>
        <v>6.2597322641323769E-2</v>
      </c>
      <c r="G46" s="208">
        <f>(G31+G32)/G11</f>
        <v>6.7948826265619086E-2</v>
      </c>
      <c r="H46" s="233">
        <f>((G31+G32)/(D31+D32))^(1/3)-1</f>
        <v>0.11059249356645284</v>
      </c>
      <c r="I46" s="13"/>
      <c r="J46" s="207"/>
      <c r="K46" s="207"/>
      <c r="L46" s="207"/>
      <c r="M46" s="207"/>
      <c r="N46" s="207"/>
      <c r="O46" s="14"/>
      <c r="Q46" s="5"/>
      <c r="R46" s="5"/>
      <c r="S46" s="26"/>
      <c r="T46" s="26"/>
      <c r="U46" s="26"/>
      <c r="V46" s="26"/>
      <c r="W46" s="26"/>
      <c r="X46" s="26"/>
    </row>
    <row r="47" spans="2:24">
      <c r="B47" s="5" t="s">
        <v>482</v>
      </c>
      <c r="C47" s="5"/>
      <c r="D47" s="208">
        <f>1/D43</f>
        <v>6.5304324767348279E-2</v>
      </c>
      <c r="E47" s="208">
        <f>1/E43</f>
        <v>7.7153222925504222E-2</v>
      </c>
      <c r="F47" s="208">
        <f>1/F43</f>
        <v>8.5510521312426743E-2</v>
      </c>
      <c r="G47" s="208">
        <f>1/G43</f>
        <v>9.415010143054349E-2</v>
      </c>
      <c r="H47" s="13">
        <f>H29</f>
        <v>0.12905738023239555</v>
      </c>
      <c r="I47" s="207"/>
      <c r="J47" s="208"/>
      <c r="K47" s="208"/>
      <c r="L47" s="208"/>
      <c r="M47" s="208"/>
      <c r="N47" s="208"/>
      <c r="O47" s="208"/>
      <c r="Q47" s="5"/>
      <c r="R47" s="5"/>
      <c r="S47" s="5"/>
      <c r="T47" s="5"/>
      <c r="U47" s="5"/>
    </row>
    <row r="48" spans="2:24">
      <c r="B48" s="5" t="s">
        <v>518</v>
      </c>
      <c r="C48" s="5"/>
      <c r="D48" s="248">
        <f>D31/D29</f>
        <v>0.75885129158278686</v>
      </c>
      <c r="E48" s="248">
        <f>E31/E29</f>
        <v>0.72007744237786098</v>
      </c>
      <c r="F48" s="248">
        <f>F31/F29</f>
        <v>0.71913814012770894</v>
      </c>
      <c r="G48" s="248">
        <f>G31/G29</f>
        <v>0.7249272793053041</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29">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283</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416</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INCUMB'!D37</f>
        <v>1.0008369084307251</v>
      </c>
      <c r="M9" s="48">
        <f>'EM INCUMB'!E37</f>
        <v>0.88734774101548086</v>
      </c>
      <c r="N9" s="48">
        <f>'EM INCUMB'!F37</f>
        <v>0.82417780916097816</v>
      </c>
      <c r="O9" s="48">
        <f>'EM INCUMB'!G37</f>
        <v>0.72297901613799298</v>
      </c>
      <c r="P9" s="13">
        <f>'EM INCUMB'!H37</f>
        <v>3.3156379224546617E-2</v>
      </c>
    </row>
    <row r="10" spans="2:63">
      <c r="B10" s="5" t="s">
        <v>226</v>
      </c>
      <c r="C10" s="5"/>
      <c r="D10" s="258"/>
      <c r="E10" s="258"/>
      <c r="F10" s="258"/>
      <c r="G10" s="258"/>
      <c r="H10" s="207"/>
      <c r="I10" s="207"/>
      <c r="J10" s="5" t="s">
        <v>158</v>
      </c>
      <c r="L10" s="48">
        <f>'EM INCUMB'!D38</f>
        <v>3.2583306501424838</v>
      </c>
      <c r="M10" s="48">
        <f>'EM INCUMB'!E38</f>
        <v>2.8572876171214863</v>
      </c>
      <c r="N10" s="48">
        <f>'EM INCUMB'!F38</f>
        <v>2.6452129034272849</v>
      </c>
      <c r="O10" s="48">
        <f>'EM INCUMB'!G38</f>
        <v>2.3114210372923396</v>
      </c>
      <c r="P10" s="13">
        <f>'EM INCUMB'!H38</f>
        <v>3.9422751898065433E-2</v>
      </c>
    </row>
    <row r="11" spans="2:63">
      <c r="B11" s="25" t="s">
        <v>290</v>
      </c>
      <c r="C11" s="5"/>
      <c r="D11" s="225">
        <f>'DM ASIA INCUMB'!D11+'EM ASIA INCUMB'!D11</f>
        <v>249285.95441771636</v>
      </c>
      <c r="E11" s="225">
        <f>'DM ASIA INCUMB'!E11+'EM ASIA INCUMB'!E11</f>
        <v>247034.53536303126</v>
      </c>
      <c r="F11" s="225">
        <f>'DM ASIA INCUMB'!F11+'EM ASIA INCUMB'!F11</f>
        <v>244789.03535369321</v>
      </c>
      <c r="G11" s="225">
        <f>'DM ASIA INCUMB'!G11+'EM ASIA INCUMB'!G11</f>
        <v>242549.39519924886</v>
      </c>
      <c r="H11" s="209"/>
      <c r="I11" s="209"/>
      <c r="J11" s="5" t="s">
        <v>159</v>
      </c>
      <c r="L11" s="48">
        <f>'EM INCUMB'!D39</f>
        <v>6.1317261959843918</v>
      </c>
      <c r="M11" s="48">
        <f>'EM INCUMB'!E39</f>
        <v>5.1790241774087162</v>
      </c>
      <c r="N11" s="48">
        <f>'EM INCUMB'!F39</f>
        <v>4.6616800694291367</v>
      </c>
      <c r="O11" s="48">
        <f>'EM INCUMB'!G39</f>
        <v>3.9355802283020958</v>
      </c>
      <c r="P11" s="13">
        <f>'EM INCUMB'!H39</f>
        <v>7.4677565269395396E-2</v>
      </c>
    </row>
    <row r="12" spans="2:63">
      <c r="B12" s="5" t="s">
        <v>191</v>
      </c>
      <c r="C12" s="209"/>
      <c r="D12" s="188">
        <f>'DM ASIA INCUMB'!D12+'EM ASIA INCUMB'!D12</f>
        <v>46772.569134804289</v>
      </c>
      <c r="E12" s="188">
        <f>'DM ASIA INCUMB'!E12+'EM ASIA INCUMB'!E12</f>
        <v>39873.938583318886</v>
      </c>
      <c r="F12" s="188">
        <f>'DM ASIA INCUMB'!F12+'EM ASIA INCUMB'!F12</f>
        <v>39536.710869455645</v>
      </c>
      <c r="G12" s="188">
        <f>'DM ASIA INCUMB'!G12+'EM ASIA INCUMB'!G12</f>
        <v>28658.231260254957</v>
      </c>
      <c r="H12" s="207"/>
      <c r="I12" s="207"/>
      <c r="J12" s="5" t="s">
        <v>381</v>
      </c>
      <c r="L12" s="48">
        <f>'EM INCUMB'!D40</f>
        <v>8.2266961919310386</v>
      </c>
      <c r="M12" s="48">
        <f>'EM INCUMB'!E40</f>
        <v>6.9552647505778777</v>
      </c>
      <c r="N12" s="48">
        <f>'EM INCUMB'!F40</f>
        <v>6.2566651104334197</v>
      </c>
      <c r="O12" s="48">
        <f>'EM INCUMB'!G40</f>
        <v>5.2790882385458708</v>
      </c>
      <c r="P12" s="13">
        <f>'EM INCUMB'!H40</f>
        <v>7.4753911091564262E-2</v>
      </c>
    </row>
    <row r="13" spans="2:63">
      <c r="B13" s="5" t="s">
        <v>433</v>
      </c>
      <c r="C13" s="216"/>
      <c r="D13" s="188">
        <f>'DM ASIA INCUMB'!D13+'EM ASIA INCUMB'!D13</f>
        <v>8096.6675387879459</v>
      </c>
      <c r="E13" s="188">
        <f>'DM ASIA INCUMB'!E13+'EM ASIA INCUMB'!E13</f>
        <v>8029.1340394170011</v>
      </c>
      <c r="F13" s="188">
        <f>'DM ASIA INCUMB'!F13+'EM ASIA INCUMB'!F13</f>
        <v>7978.6646377533434</v>
      </c>
      <c r="G13" s="188">
        <f>'DM ASIA INCUMB'!G13+'EM ASIA INCUMB'!G13</f>
        <v>7923.9053369482754</v>
      </c>
      <c r="H13" s="207"/>
      <c r="I13" s="207"/>
      <c r="J13" s="5" t="s">
        <v>434</v>
      </c>
      <c r="L13" s="48">
        <f>'EM INCUMB'!D41</f>
        <v>1.0175258165160963</v>
      </c>
      <c r="M13" s="48">
        <f>'EM INCUMB'!E41</f>
        <v>0.94869638104642462</v>
      </c>
      <c r="N13" s="48">
        <f>'EM INCUMB'!F41</f>
        <v>0.89045537906663963</v>
      </c>
      <c r="O13" s="48">
        <f>'EM INCUMB'!G41</f>
        <v>0.82231946513225684</v>
      </c>
      <c r="P13" s="13">
        <f>'EM INCUMB'!H41</f>
        <v>-4.7737778021701427E-3</v>
      </c>
    </row>
    <row r="14" spans="2:63">
      <c r="B14" s="5" t="s">
        <v>436</v>
      </c>
      <c r="C14" s="228"/>
      <c r="D14" s="188">
        <f>'DM ASIA INCUMB'!D14+'EM ASIA INCUMB'!D14</f>
        <v>25128.616655378064</v>
      </c>
      <c r="E14" s="188">
        <f>'DM ASIA INCUMB'!E14+'EM ASIA INCUMB'!E14</f>
        <v>25128.616655378064</v>
      </c>
      <c r="F14" s="188">
        <f>'DM ASIA INCUMB'!F14+'EM ASIA INCUMB'!F14</f>
        <v>25128.616655378064</v>
      </c>
      <c r="G14" s="188">
        <f>'DM ASIA INCUMB'!G14+'EM ASIA INCUMB'!G14</f>
        <v>25128.616655378064</v>
      </c>
      <c r="H14" s="207"/>
      <c r="I14" s="207"/>
      <c r="J14" s="5" t="s">
        <v>493</v>
      </c>
      <c r="L14" s="48">
        <f>'EM INCUMB'!D42</f>
        <v>1.3694878531362229</v>
      </c>
      <c r="M14" s="48">
        <f>'EM INCUMB'!E42</f>
        <v>1.3458387543955599</v>
      </c>
      <c r="N14" s="48">
        <f>'EM INCUMB'!F42</f>
        <v>1.3892691442527436</v>
      </c>
      <c r="O14" s="48">
        <f>'EM INCUMB'!G42</f>
        <v>1.3693243761126275</v>
      </c>
      <c r="P14" s="13">
        <f>'EM INCUMB'!H42</f>
        <v>-7.2947911627430417E-2</v>
      </c>
    </row>
    <row r="15" spans="2:63">
      <c r="B15" s="5" t="s">
        <v>435</v>
      </c>
      <c r="C15" s="216"/>
      <c r="D15" s="188">
        <f>'DM ASIA INCUMB'!D15+'EM ASIA INCUMB'!D15</f>
        <v>31726.043963980937</v>
      </c>
      <c r="E15" s="188">
        <f>'DM ASIA INCUMB'!E15+'EM ASIA INCUMB'!E15</f>
        <v>31726.043963980937</v>
      </c>
      <c r="F15" s="188">
        <f>'DM ASIA INCUMB'!F15+'EM ASIA INCUMB'!F15</f>
        <v>31726.043963980937</v>
      </c>
      <c r="G15" s="188">
        <f>'DM ASIA INCUMB'!G15+'EM ASIA INCUMB'!G15</f>
        <v>31726.043963980937</v>
      </c>
      <c r="H15" s="207"/>
      <c r="I15" s="207"/>
      <c r="J15" s="5" t="s">
        <v>390</v>
      </c>
      <c r="L15" s="48">
        <f>'EM INCUMB'!D43</f>
        <v>10.31495058526585</v>
      </c>
      <c r="M15" s="48">
        <f>'EM INCUMB'!E43</f>
        <v>8.8042165247473836</v>
      </c>
      <c r="N15" s="48">
        <f>'EM INCUMB'!F43</f>
        <v>8.0617180025386705</v>
      </c>
      <c r="O15" s="48">
        <f>'EM INCUMB'!G43</f>
        <v>7.2956611469195627</v>
      </c>
      <c r="P15" s="13">
        <f>'EM INCUMB'!H43</f>
        <v>0.11011215571418109</v>
      </c>
    </row>
    <row r="16" spans="2:63">
      <c r="B16" s="5" t="s">
        <v>438</v>
      </c>
      <c r="C16" s="216"/>
      <c r="D16" s="188">
        <f>'DM ASIA INCUMB'!D16+'EM ASIA INCUMB'!D16</f>
        <v>8476.9566360297504</v>
      </c>
      <c r="E16" s="188">
        <f>'DM ASIA INCUMB'!E16+'EM ASIA INCUMB'!E16</f>
        <v>15554.470649881052</v>
      </c>
      <c r="F16" s="188">
        <f>'DM ASIA INCUMB'!F16+'EM ASIA INCUMB'!F16</f>
        <v>23104.406727382106</v>
      </c>
      <c r="G16" s="188">
        <f>'DM ASIA INCUMB'!G16+'EM ASIA INCUMB'!G16</f>
        <v>30932.579294067666</v>
      </c>
      <c r="H16" s="207"/>
      <c r="I16" s="207"/>
      <c r="J16" s="5" t="s">
        <v>437</v>
      </c>
      <c r="L16" s="48">
        <f>'EM INCUMB'!D44</f>
        <v>12.526047767737827</v>
      </c>
      <c r="M16" s="48">
        <f>'EM INCUMB'!E44</f>
        <v>10.883476131044869</v>
      </c>
      <c r="N16" s="48">
        <f>'EM INCUMB'!F44</f>
        <v>9.7425288213442798</v>
      </c>
      <c r="O16" s="48">
        <f>'EM INCUMB'!G44</f>
        <v>8.8253152950096752</v>
      </c>
      <c r="P16" s="13">
        <f>'EM INCUMB'!H44</f>
        <v>0.11132061006560745</v>
      </c>
    </row>
    <row r="17" spans="2:24">
      <c r="B17" s="5" t="s">
        <v>4</v>
      </c>
      <c r="C17" s="216"/>
      <c r="D17" s="188">
        <f>'DM ASIA INCUMB'!D17+'EM ASIA INCUMB'!D17</f>
        <v>1822.8761560093294</v>
      </c>
      <c r="E17" s="188">
        <f>'DM ASIA INCUMB'!E17+'EM ASIA INCUMB'!E17</f>
        <v>1822.8761560093294</v>
      </c>
      <c r="F17" s="188">
        <f>'DM ASIA INCUMB'!F17+'EM ASIA INCUMB'!F17</f>
        <v>1822.8761560093294</v>
      </c>
      <c r="G17" s="188">
        <f>'DM ASIA INCUMB'!G17+'EM ASIA INCUMB'!G17</f>
        <v>1822.8761560093294</v>
      </c>
      <c r="H17" s="207"/>
      <c r="I17" s="207"/>
      <c r="J17" s="5" t="s">
        <v>481</v>
      </c>
      <c r="L17" s="208">
        <f>'EM INCUMB'!D45</f>
        <v>4.6713014887079352E-2</v>
      </c>
      <c r="M17" s="208">
        <f>'EM INCUMB'!E45</f>
        <v>5.5860921075657842E-2</v>
      </c>
      <c r="N17" s="208">
        <f>'EM INCUMB'!F45</f>
        <v>6.2062147024960539E-2</v>
      </c>
      <c r="O17" s="208">
        <f>'EM INCUMB'!G45</f>
        <v>6.9652282078822819E-2</v>
      </c>
      <c r="P17" s="13">
        <f>'EM INCUMB'!H45</f>
        <v>0.12973671135672182</v>
      </c>
      <c r="S17" s="72"/>
      <c r="T17" s="72"/>
      <c r="U17" s="72"/>
      <c r="V17" s="26"/>
      <c r="W17" s="26"/>
      <c r="X17" s="26"/>
    </row>
    <row r="18" spans="2:24" ht="12.6" thickBot="1">
      <c r="B18" s="25" t="s">
        <v>291</v>
      </c>
      <c r="C18" s="209"/>
      <c r="D18" s="229">
        <f>'DM ASIA INCUMB'!D18+'EM ASIA INCUMB'!D18</f>
        <v>300452.78560787236</v>
      </c>
      <c r="E18" s="229">
        <f>'DM ASIA INCUMB'!E18+'EM ASIA INCUMB'!E18</f>
        <v>284157.68848847959</v>
      </c>
      <c r="F18" s="229">
        <f>'DM ASIA INCUMB'!F18+'EM ASIA INCUMB'!F18</f>
        <v>273974.55528611364</v>
      </c>
      <c r="G18" s="229">
        <f>'DM ASIA INCUMB'!G18+'EM ASIA INCUMB'!G18</f>
        <v>252973.50365497801</v>
      </c>
      <c r="H18" s="230">
        <f>IF(D18=0,"nm",IF(G18=0,"nm",(G18/D18)^(1/3)-1))</f>
        <v>-5.5722589728722349E-2</v>
      </c>
      <c r="I18" s="214"/>
      <c r="J18" s="5" t="s">
        <v>33</v>
      </c>
      <c r="L18" s="208">
        <f>'EM INCUMB'!D46</f>
        <v>5.1640678432129626E-2</v>
      </c>
      <c r="M18" s="208">
        <f>'EM INCUMB'!E46</f>
        <v>6.4232928591480415E-2</v>
      </c>
      <c r="N18" s="208">
        <f>'EM INCUMB'!F46</f>
        <v>7.0809807018395565E-2</v>
      </c>
      <c r="O18" s="208">
        <f>'EM INCUMB'!G46</f>
        <v>7.8958400472973839E-2</v>
      </c>
      <c r="P18" s="13">
        <f>'EM INCUMB'!H46</f>
        <v>0.13923562780326715</v>
      </c>
      <c r="S18" s="72"/>
      <c r="T18" s="72"/>
      <c r="U18" s="72"/>
      <c r="V18" s="26"/>
      <c r="W18" s="26"/>
      <c r="X18" s="26"/>
    </row>
    <row r="19" spans="2:24" ht="12.6" thickTop="1">
      <c r="B19" s="25"/>
      <c r="C19" s="209"/>
      <c r="D19" s="189"/>
      <c r="E19" s="189"/>
      <c r="F19" s="189"/>
      <c r="G19" s="189"/>
      <c r="H19" s="230"/>
      <c r="I19" s="13"/>
      <c r="J19" s="5" t="s">
        <v>482</v>
      </c>
      <c r="L19" s="208">
        <f>'EM INCUMB'!D47</f>
        <v>9.6946659291652512E-2</v>
      </c>
      <c r="M19" s="208">
        <f>'EM INCUMB'!E47</f>
        <v>0.11358194078816032</v>
      </c>
      <c r="N19" s="208">
        <f>'EM INCUMB'!F47</f>
        <v>0.12404303892608196</v>
      </c>
      <c r="O19" s="208">
        <f>'EM INCUMB'!G47</f>
        <v>0.137067769440228</v>
      </c>
      <c r="P19" s="13">
        <f>'EM INCUMB'!H47</f>
        <v>0.11011215571418109</v>
      </c>
      <c r="S19" s="72"/>
      <c r="T19" s="72"/>
      <c r="U19" s="72"/>
      <c r="V19" s="26"/>
      <c r="W19" s="26"/>
      <c r="X19" s="26"/>
    </row>
    <row r="20" spans="2:24">
      <c r="H20" s="231"/>
      <c r="I20" s="33"/>
      <c r="J20" s="5" t="s">
        <v>504</v>
      </c>
      <c r="L20" s="208">
        <f>'EM INCUMB'!D48</f>
        <v>0.48589803724549191</v>
      </c>
      <c r="M20" s="208">
        <f>'EM INCUMB'!E48</f>
        <v>0.49556464546321294</v>
      </c>
      <c r="N20" s="208">
        <f>'EM INCUMB'!F48</f>
        <v>0.50418841009000548</v>
      </c>
      <c r="O20" s="208">
        <f>'EM INCUMB'!G48</f>
        <v>0.51212537499532951</v>
      </c>
      <c r="P20" s="13" t="str">
        <f>'EM INCUMB'!H48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'DM ASIA INCUMB'!C23+'EM ASIA INCUMB'!C23</f>
        <v>257856.46962334751</v>
      </c>
      <c r="D23" s="188">
        <f>'DM ASIA INCUMB'!D23+'EM ASIA INCUMB'!D23</f>
        <v>264625.36997240549</v>
      </c>
      <c r="E23" s="188">
        <f>'DM ASIA INCUMB'!E23+'EM ASIA INCUMB'!E23</f>
        <v>272703.48680758022</v>
      </c>
      <c r="F23" s="188">
        <f>'DM ASIA INCUMB'!F23+'EM ASIA INCUMB'!F23</f>
        <v>281395.04357455217</v>
      </c>
      <c r="G23" s="188">
        <f>'DM ASIA INCUMB'!G23+'EM ASIA INCUMB'!G23</f>
        <v>290341.61094257934</v>
      </c>
      <c r="H23" s="233">
        <f t="shared" ref="H23:H33" si="0">IF(D23=0,"nm",IF(G23=0,"nm",(G23/D23)^(1/3)-1))</f>
        <v>3.1397168133001196E-2</v>
      </c>
      <c r="I23" s="209"/>
      <c r="J23" s="249" t="s">
        <v>7</v>
      </c>
      <c r="K23" s="249"/>
      <c r="L23" s="219" t="str">
        <f>L5</f>
        <v>2025E</v>
      </c>
      <c r="M23" s="219" t="str">
        <f>M5</f>
        <v>2026E</v>
      </c>
      <c r="N23" s="219" t="str">
        <f>N5</f>
        <v>2027E</v>
      </c>
      <c r="O23" s="219" t="str">
        <f>O5</f>
        <v>2028E</v>
      </c>
      <c r="P23" s="236" t="str">
        <f>P5</f>
        <v>2025-28</v>
      </c>
      <c r="S23" s="26"/>
      <c r="T23" s="26"/>
      <c r="U23" s="26"/>
      <c r="V23" s="26"/>
      <c r="W23" s="26" t="s">
        <v>275</v>
      </c>
      <c r="X23" s="26" t="s">
        <v>463</v>
      </c>
    </row>
    <row r="24" spans="2:24" ht="12.6" thickTop="1">
      <c r="B24" s="5" t="s">
        <v>397</v>
      </c>
      <c r="C24" s="288">
        <f>'DM ASIA INCUMB'!C24+'EM ASIA INCUMB'!C24</f>
        <v>65922.881374851408</v>
      </c>
      <c r="D24" s="188">
        <f>'DM ASIA INCUMB'!D24+'EM ASIA INCUMB'!D24</f>
        <v>69704.835107942141</v>
      </c>
      <c r="E24" s="188">
        <f>'DM ASIA INCUMB'!E24+'EM ASIA INCUMB'!E24</f>
        <v>72621.910969125747</v>
      </c>
      <c r="F24" s="188">
        <f>'DM ASIA INCUMB'!F24+'EM ASIA INCUMB'!F24</f>
        <v>75272.933635432753</v>
      </c>
      <c r="G24" s="188">
        <f>'DM ASIA INCUMB'!G24+'EM ASIA INCUMB'!G24</f>
        <v>78099.383719512494</v>
      </c>
      <c r="H24" s="233">
        <f t="shared" si="0"/>
        <v>3.8631685739933808E-2</v>
      </c>
      <c r="I24" s="208"/>
      <c r="J24" s="13"/>
      <c r="K24" s="13"/>
      <c r="L24" s="13"/>
      <c r="M24" s="13"/>
      <c r="N24" s="13"/>
      <c r="O24" s="208"/>
      <c r="S24" s="26"/>
      <c r="T24" s="26"/>
      <c r="U24" s="26"/>
      <c r="V24" s="113" t="s">
        <v>225</v>
      </c>
      <c r="W24" s="242">
        <f t="shared" ref="W24:W31" si="1">E37/M9</f>
        <v>1.1742886746354375</v>
      </c>
      <c r="X24" s="242">
        <v>1</v>
      </c>
    </row>
    <row r="25" spans="2:24">
      <c r="B25" s="5" t="s">
        <v>157</v>
      </c>
      <c r="C25" s="288">
        <f>'DM ASIA INCUMB'!C25+'EM ASIA INCUMB'!C25</f>
        <v>24992.490929684838</v>
      </c>
      <c r="D25" s="188">
        <f>'DM ASIA INCUMB'!D25+'EM ASIA INCUMB'!D25</f>
        <v>29483.021237018933</v>
      </c>
      <c r="E25" s="188">
        <f>'DM ASIA INCUMB'!E25+'EM ASIA INCUMB'!E25</f>
        <v>33202.260078137959</v>
      </c>
      <c r="F25" s="188">
        <f>'DM ASIA INCUMB'!F25+'EM ASIA INCUMB'!F25</f>
        <v>36414.201925388821</v>
      </c>
      <c r="G25" s="188">
        <f>'DM ASIA INCUMB'!G25+'EM ASIA INCUMB'!G25</f>
        <v>39486.608662631639</v>
      </c>
      <c r="H25" s="233">
        <f t="shared" si="0"/>
        <v>0.10228174933351819</v>
      </c>
      <c r="I25" s="209"/>
      <c r="J25" s="207" t="s">
        <v>8</v>
      </c>
      <c r="K25" s="207"/>
      <c r="L25" s="258">
        <f>'DM ASIA INCUMB'!L25+'EM ASIA INCUMB'!L25</f>
        <v>237260.63084300279</v>
      </c>
      <c r="M25" s="258">
        <f>'DM ASIA INCUMB'!M25+'EM ASIA INCUMB'!M25</f>
        <v>233140.19812636243</v>
      </c>
      <c r="N25" s="258">
        <f>'DM ASIA INCUMB'!N25+'EM ASIA INCUMB'!N25</f>
        <v>223331.85108484805</v>
      </c>
      <c r="O25" s="258">
        <f>'DM ASIA INCUMB'!O25+'EM ASIA INCUMB'!O25</f>
        <v>209658.08171189876</v>
      </c>
      <c r="P25" s="233">
        <f>IF(L25=0,"nm",IF(O25=0,"nm",(O25/L25)^(1/3)-1))</f>
        <v>-4.0388798070800314E-2</v>
      </c>
      <c r="Q25" s="5"/>
      <c r="S25" s="26"/>
      <c r="T25" s="26"/>
      <c r="U25" s="26"/>
      <c r="V25" s="113" t="s">
        <v>158</v>
      </c>
      <c r="W25" s="242">
        <f t="shared" si="1"/>
        <v>1.3694235101108638</v>
      </c>
      <c r="X25" s="242">
        <v>1</v>
      </c>
    </row>
    <row r="26" spans="2:24">
      <c r="B26" s="5" t="s">
        <v>487</v>
      </c>
      <c r="C26" s="288">
        <f>'DM ASIA INCUMB'!C26+'EM ASIA INCUMB'!C26</f>
        <v>19057.350947346476</v>
      </c>
      <c r="D26" s="188">
        <f>'DM ASIA INCUMB'!D26+'EM ASIA INCUMB'!D26</f>
        <v>22514.374675883075</v>
      </c>
      <c r="E26" s="188">
        <f>'DM ASIA INCUMB'!E26+'EM ASIA INCUMB'!E26</f>
        <v>25285.353942748356</v>
      </c>
      <c r="F26" s="188">
        <f>'DM ASIA INCUMB'!F26+'EM ASIA INCUMB'!F26</f>
        <v>27698.302518519609</v>
      </c>
      <c r="G26" s="188">
        <f>'DM ASIA INCUMB'!G26+'EM ASIA INCUMB'!G26</f>
        <v>30005.194971123172</v>
      </c>
      <c r="H26" s="233">
        <f t="shared" si="0"/>
        <v>0.10047163927760949</v>
      </c>
      <c r="I26" s="209"/>
      <c r="J26" s="209" t="s">
        <v>9</v>
      </c>
      <c r="K26" s="209"/>
      <c r="L26" s="235">
        <f>'DM ASIA INCUMB'!L26+'EM ASIA INCUMB'!L26</f>
        <v>486546.58526071918</v>
      </c>
      <c r="M26" s="235">
        <f>'DM ASIA INCUMB'!M26+'EM ASIA INCUMB'!M26</f>
        <v>480174.73348939372</v>
      </c>
      <c r="N26" s="235">
        <f>'DM ASIA INCUMB'!N26+'EM ASIA INCUMB'!N26</f>
        <v>468120.88643854129</v>
      </c>
      <c r="O26" s="235">
        <f>'DM ASIA INCUMB'!O26+'EM ASIA INCUMB'!O26</f>
        <v>452207.47691114771</v>
      </c>
      <c r="P26" s="233">
        <f>IF(L26=0,"nm",IF(O26=0,"nm",(O26/L26)^(1/3)-1))</f>
        <v>-2.4101980502248321E-2</v>
      </c>
      <c r="Q26" s="25"/>
      <c r="S26" s="26"/>
      <c r="T26" s="26"/>
      <c r="U26" s="26"/>
      <c r="V26" s="113" t="s">
        <v>159</v>
      </c>
      <c r="W26" s="242">
        <f t="shared" si="1"/>
        <v>1.6525089705397915</v>
      </c>
      <c r="X26" s="242">
        <v>1</v>
      </c>
    </row>
    <row r="27" spans="2:24">
      <c r="B27" s="5" t="s">
        <v>488</v>
      </c>
      <c r="C27" s="288">
        <f>'DM ASIA INCUMB'!C27+'EM ASIA INCUMB'!C27</f>
        <v>281345.37269570684</v>
      </c>
      <c r="D27" s="188">
        <f>'DM ASIA INCUMB'!D27+'EM ASIA INCUMB'!D27</f>
        <v>285901.32309726335</v>
      </c>
      <c r="E27" s="188">
        <f>'DM ASIA INCUMB'!E27+'EM ASIA INCUMB'!E27</f>
        <v>286825.12436765811</v>
      </c>
      <c r="F27" s="188">
        <f>'DM ASIA INCUMB'!F27+'EM ASIA INCUMB'!F27</f>
        <v>295302.21407885768</v>
      </c>
      <c r="G27" s="188">
        <f>'DM ASIA INCUMB'!G27+'EM ASIA INCUMB'!G27</f>
        <v>294321.85958940035</v>
      </c>
      <c r="H27" s="233">
        <f t="shared" si="0"/>
        <v>9.7226952143947276E-3</v>
      </c>
      <c r="I27" s="208"/>
      <c r="J27" s="208"/>
      <c r="K27" s="208"/>
      <c r="L27" s="208"/>
      <c r="M27" s="208"/>
      <c r="N27" s="208"/>
      <c r="O27" s="208"/>
      <c r="Q27" s="5"/>
      <c r="S27" s="26"/>
      <c r="T27" s="26"/>
      <c r="U27" s="26"/>
      <c r="V27" s="113" t="s">
        <v>381</v>
      </c>
      <c r="W27" s="242">
        <f t="shared" si="1"/>
        <v>1.6157594628759315</v>
      </c>
      <c r="X27" s="242">
        <v>1</v>
      </c>
    </row>
    <row r="28" spans="2:24" ht="12.6" thickBot="1">
      <c r="B28" s="5" t="s">
        <v>492</v>
      </c>
      <c r="C28" s="288">
        <f>'DM ASIA INCUMB'!C28+'EM ASIA INCUMB'!C28</f>
        <v>213665.07289463643</v>
      </c>
      <c r="D28" s="188">
        <f>'DM ASIA INCUMB'!D28+'EM ASIA INCUMB'!D28</f>
        <v>210231.06667868205</v>
      </c>
      <c r="E28" s="188">
        <f>'DM ASIA INCUMB'!E28+'EM ASIA INCUMB'!E28</f>
        <v>205176.78124390752</v>
      </c>
      <c r="F28" s="188">
        <f>'DM ASIA INCUMB'!F28+'EM ASIA INCUMB'!F28</f>
        <v>198999.87056987046</v>
      </c>
      <c r="G28" s="188">
        <f>'DM ASIA INCUMB'!G28+'EM ASIA INCUMB'!G28</f>
        <v>192222.64035247231</v>
      </c>
      <c r="H28" s="233">
        <f t="shared" si="0"/>
        <v>-2.9409845683782243E-2</v>
      </c>
      <c r="I28" s="212"/>
      <c r="J28" s="249" t="s">
        <v>628</v>
      </c>
      <c r="K28" s="249"/>
      <c r="L28" s="249"/>
      <c r="M28" s="249"/>
      <c r="N28" s="220"/>
      <c r="O28" s="220"/>
      <c r="P28" s="220"/>
      <c r="Q28" s="5"/>
      <c r="S28" s="26"/>
      <c r="T28" s="26"/>
      <c r="U28" s="26"/>
      <c r="V28" s="113" t="s">
        <v>434</v>
      </c>
      <c r="W28" s="242">
        <f t="shared" si="1"/>
        <v>1.044275230201902</v>
      </c>
      <c r="X28" s="242">
        <v>1</v>
      </c>
    </row>
    <row r="29" spans="2:24" ht="12.6" thickTop="1">
      <c r="B29" s="5" t="s">
        <v>489</v>
      </c>
      <c r="C29" s="288">
        <f>'DM ASIA INCUMB'!C29+'EM ASIA INCUMB'!C29</f>
        <v>11975.314240388148</v>
      </c>
      <c r="D29" s="188">
        <f>'DM ASIA INCUMB'!D29+'EM ASIA INCUMB'!D29</f>
        <v>15105.223672414826</v>
      </c>
      <c r="E29" s="188">
        <f>'DM ASIA INCUMB'!E29+'EM ASIA INCUMB'!E29</f>
        <v>18828.101147093879</v>
      </c>
      <c r="F29" s="188">
        <f>'DM ASIA INCUMB'!F29+'EM ASIA INCUMB'!F29</f>
        <v>21464.352927076645</v>
      </c>
      <c r="G29" s="188">
        <f>'DM ASIA INCUMB'!G29+'EM ASIA INCUMB'!G29</f>
        <v>23982.192536662438</v>
      </c>
      <c r="H29" s="233">
        <f t="shared" si="0"/>
        <v>0.16659624694751662</v>
      </c>
      <c r="I29" s="214"/>
      <c r="J29" s="209"/>
      <c r="K29" s="209"/>
      <c r="L29" s="209"/>
      <c r="M29" s="209"/>
      <c r="N29" s="209"/>
      <c r="O29" s="211"/>
      <c r="Q29" s="5"/>
      <c r="S29" s="26"/>
      <c r="T29" s="26"/>
      <c r="U29" s="26"/>
      <c r="V29" s="113" t="s">
        <v>493</v>
      </c>
      <c r="W29" s="242">
        <f t="shared" si="1"/>
        <v>1.0290540089026914</v>
      </c>
      <c r="X29" s="242">
        <v>1</v>
      </c>
    </row>
    <row r="30" spans="2:24">
      <c r="B30" s="5" t="s">
        <v>490</v>
      </c>
      <c r="C30" s="288">
        <f>'DM ASIA INCUMB'!C30+'EM ASIA INCUMB'!C30</f>
        <v>18763.308316804716</v>
      </c>
      <c r="D30" s="188">
        <f>'DM ASIA INCUMB'!D30+'EM ASIA INCUMB'!D30</f>
        <v>20202.278656977822</v>
      </c>
      <c r="E30" s="188">
        <f>'DM ASIA INCUMB'!E30+'EM ASIA INCUMB'!E30</f>
        <v>22361.925054803334</v>
      </c>
      <c r="F30" s="188">
        <f>'DM ASIA INCUMB'!F30+'EM ASIA INCUMB'!F30</f>
        <v>24474.682839574838</v>
      </c>
      <c r="G30" s="188">
        <f>'DM ASIA INCUMB'!G30+'EM ASIA INCUMB'!G30</f>
        <v>26664.232084216557</v>
      </c>
      <c r="H30" s="233">
        <f t="shared" si="0"/>
        <v>9.6923248619408264E-2</v>
      </c>
      <c r="I30" s="214"/>
      <c r="J30" s="208"/>
      <c r="K30" s="208"/>
      <c r="L30" s="208"/>
      <c r="M30" s="208"/>
      <c r="N30" s="208"/>
      <c r="O30" s="5"/>
      <c r="Q30" s="5"/>
      <c r="S30" s="26"/>
      <c r="T30" s="26"/>
      <c r="U30" s="26"/>
      <c r="V30" s="113" t="s">
        <v>390</v>
      </c>
      <c r="W30" s="242">
        <f t="shared" si="1"/>
        <v>2.8966903099296935</v>
      </c>
      <c r="X30" s="242">
        <v>1</v>
      </c>
    </row>
    <row r="31" spans="2:24">
      <c r="B31" s="5" t="s">
        <v>491</v>
      </c>
      <c r="C31" s="288">
        <f>'DM ASIA INCUMB'!C31+'EM ASIA INCUMB'!C31</f>
        <v>11742.095530364793</v>
      </c>
      <c r="D31" s="188">
        <f>'DM ASIA INCUMB'!D31+'EM ASIA INCUMB'!D31</f>
        <v>12817.013484748288</v>
      </c>
      <c r="E31" s="188">
        <f>'DM ASIA INCUMB'!E31+'EM ASIA INCUMB'!E31</f>
        <v>14044.936114025913</v>
      </c>
      <c r="F31" s="188">
        <f>'DM ASIA INCUMB'!F31+'EM ASIA INCUMB'!F31</f>
        <v>15133.777382093314</v>
      </c>
      <c r="G31" s="188">
        <f>'DM ASIA INCUMB'!G31+'EM ASIA INCUMB'!G31</f>
        <v>16222.897083806103</v>
      </c>
      <c r="H31" s="233">
        <f t="shared" si="0"/>
        <v>8.1717503762207988E-2</v>
      </c>
      <c r="I31" s="214"/>
      <c r="J31" s="212"/>
      <c r="K31" s="212"/>
      <c r="L31" s="212"/>
      <c r="M31" s="212"/>
      <c r="N31" s="212"/>
      <c r="O31" s="5"/>
      <c r="Q31" s="5"/>
      <c r="S31" s="26"/>
      <c r="T31" s="26"/>
      <c r="U31" s="26"/>
      <c r="V31" s="113" t="s">
        <v>437</v>
      </c>
      <c r="W31" s="242">
        <f t="shared" si="1"/>
        <v>1.0150346198445148</v>
      </c>
      <c r="X31" s="242">
        <v>1</v>
      </c>
    </row>
    <row r="32" spans="2:24">
      <c r="B32" s="5" t="s">
        <v>506</v>
      </c>
      <c r="C32" s="288">
        <f>'DM ASIA INCUMB'!C32+'EM ASIA INCUMB'!C32</f>
        <v>1630.9460715306586</v>
      </c>
      <c r="D32" s="188">
        <f>'DM ASIA INCUMB'!D32+'EM ASIA INCUMB'!D32</f>
        <v>1773.4680161343645</v>
      </c>
      <c r="E32" s="188">
        <f>'DM ASIA INCUMB'!E32+'EM ASIA INCUMB'!E32</f>
        <v>3355.3859604817731</v>
      </c>
      <c r="F32" s="188">
        <f>'DM ASIA INCUMB'!F32+'EM ASIA INCUMB'!F32</f>
        <v>-28262.212296113838</v>
      </c>
      <c r="G32" s="188">
        <f>'DM ASIA INCUMB'!G32+'EM ASIA INCUMB'!G32</f>
        <v>1804.5876442628917</v>
      </c>
      <c r="H32" s="233">
        <f t="shared" si="0"/>
        <v>5.8152275038976242E-3</v>
      </c>
      <c r="I32" s="5"/>
      <c r="J32" s="214"/>
      <c r="K32" s="214"/>
      <c r="L32" s="214"/>
      <c r="M32" s="214"/>
      <c r="N32" s="214"/>
      <c r="O32" s="211"/>
      <c r="Q32" s="5"/>
      <c r="S32" s="26"/>
      <c r="T32" s="26"/>
      <c r="U32" s="26"/>
      <c r="V32" s="113" t="s">
        <v>481</v>
      </c>
      <c r="W32" s="242">
        <f>M17/E45</f>
        <v>0.98253039891688865</v>
      </c>
      <c r="X32" s="242">
        <v>1</v>
      </c>
    </row>
    <row r="33" spans="2:24">
      <c r="B33" s="5" t="s">
        <v>3</v>
      </c>
      <c r="C33" s="288">
        <f>'DM ASIA INCUMB'!C33+'EM ASIA INCUMB'!C33</f>
        <v>-961.25450515061368</v>
      </c>
      <c r="D33" s="188">
        <f>'DM ASIA INCUMB'!D33+'EM ASIA INCUMB'!D33</f>
        <v>-954.30597009660664</v>
      </c>
      <c r="E33" s="188">
        <f>'DM ASIA INCUMB'!E33+'EM ASIA INCUMB'!E33</f>
        <v>-803.61831900705852</v>
      </c>
      <c r="F33" s="188">
        <f>'DM ASIA INCUMB'!F33+'EM ASIA INCUMB'!F33</f>
        <v>-800.2291333524355</v>
      </c>
      <c r="G33" s="188">
        <f>'DM ASIA INCUMB'!G33+'EM ASIA INCUMB'!G33</f>
        <v>-868.38675858258296</v>
      </c>
      <c r="H33" s="233">
        <f t="shared" si="0"/>
        <v>-3.0959673353688322E-2</v>
      </c>
      <c r="I33" s="33"/>
      <c r="J33" s="214"/>
      <c r="K33" s="214"/>
      <c r="L33" s="214"/>
      <c r="M33" s="214"/>
      <c r="N33" s="214"/>
      <c r="O33" s="211"/>
      <c r="Q33" s="5"/>
      <c r="S33" s="26"/>
      <c r="T33" s="26"/>
      <c r="U33" s="26"/>
      <c r="V33" s="113" t="s">
        <v>482</v>
      </c>
      <c r="W33" s="242">
        <f>M19/E47</f>
        <v>2.8966903099296935</v>
      </c>
      <c r="X33" s="242">
        <v>1</v>
      </c>
    </row>
    <row r="34" spans="2:24">
      <c r="H34" s="231"/>
      <c r="I34" s="214"/>
      <c r="J34" s="214"/>
      <c r="K34" s="214"/>
      <c r="L34" s="214"/>
      <c r="M34" s="214"/>
      <c r="N34" s="214"/>
      <c r="O34" s="211"/>
      <c r="Q34" s="5"/>
      <c r="S34" s="26"/>
      <c r="T34" s="26"/>
      <c r="U34" s="26"/>
      <c r="V34" s="26"/>
      <c r="W34" s="26"/>
      <c r="X34" s="26"/>
    </row>
    <row r="35" spans="2:24" ht="12.6" thickBot="1">
      <c r="B35" s="249" t="s">
        <v>276</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1.1353891943134662</v>
      </c>
      <c r="E37" s="430">
        <f t="shared" si="2"/>
        <v>1.0420024027378185</v>
      </c>
      <c r="F37" s="430">
        <f t="shared" si="2"/>
        <v>0.97362964111173989</v>
      </c>
      <c r="G37" s="430">
        <f t="shared" si="2"/>
        <v>0.87129606684247685</v>
      </c>
      <c r="H37" s="13">
        <f t="shared" ref="H37:H45" si="3">H23</f>
        <v>3.1397168133001196E-2</v>
      </c>
      <c r="I37" s="217"/>
      <c r="J37" s="217"/>
      <c r="K37" s="217"/>
      <c r="L37" s="217"/>
      <c r="M37" s="217"/>
      <c r="N37" s="217"/>
      <c r="O37" s="14"/>
      <c r="Q37" s="5"/>
      <c r="R37" s="5"/>
      <c r="S37" s="26"/>
      <c r="T37" s="26"/>
      <c r="U37" s="26"/>
      <c r="V37" s="26"/>
      <c r="W37" s="26"/>
      <c r="X37" s="26"/>
    </row>
    <row r="38" spans="2:24">
      <c r="B38" s="5" t="s">
        <v>158</v>
      </c>
      <c r="C38" s="207"/>
      <c r="D38" s="430">
        <f t="shared" si="2"/>
        <v>4.3103578846804975</v>
      </c>
      <c r="E38" s="430">
        <f t="shared" si="2"/>
        <v>3.9128368380348117</v>
      </c>
      <c r="F38" s="430">
        <f t="shared" si="2"/>
        <v>3.6397486062260676</v>
      </c>
      <c r="G38" s="430">
        <f t="shared" si="2"/>
        <v>3.2391229175829546</v>
      </c>
      <c r="H38" s="13">
        <f t="shared" si="3"/>
        <v>3.8631685739933808E-2</v>
      </c>
      <c r="I38" s="13"/>
      <c r="J38" s="13"/>
      <c r="K38" s="13"/>
      <c r="L38" s="13"/>
      <c r="M38" s="13"/>
      <c r="N38" s="13"/>
      <c r="O38" s="5"/>
      <c r="Q38" s="5"/>
      <c r="R38" s="5"/>
      <c r="S38" s="26"/>
      <c r="T38" s="26"/>
      <c r="U38" s="26"/>
      <c r="V38" s="26"/>
      <c r="W38" s="26"/>
      <c r="X38" s="26"/>
    </row>
    <row r="39" spans="2:24">
      <c r="B39" s="5" t="s">
        <v>159</v>
      </c>
      <c r="C39" s="207"/>
      <c r="D39" s="430">
        <f t="shared" si="2"/>
        <v>10.190705463747499</v>
      </c>
      <c r="E39" s="430">
        <f t="shared" si="2"/>
        <v>8.5583839118103686</v>
      </c>
      <c r="F39" s="430">
        <f t="shared" si="2"/>
        <v>7.5238379752898625</v>
      </c>
      <c r="G39" s="430">
        <f t="shared" si="2"/>
        <v>6.4065644587599344</v>
      </c>
      <c r="H39" s="13">
        <f t="shared" si="3"/>
        <v>0.10228174933351819</v>
      </c>
      <c r="I39" s="5"/>
      <c r="J39" s="5"/>
      <c r="K39" s="5"/>
      <c r="L39" s="5"/>
      <c r="M39" s="5"/>
      <c r="N39" s="5"/>
      <c r="O39" s="5"/>
      <c r="Q39" s="5"/>
      <c r="R39" s="5"/>
      <c r="S39" s="26"/>
      <c r="T39" s="26"/>
      <c r="U39" s="26"/>
      <c r="V39" s="26"/>
      <c r="W39" s="242"/>
      <c r="X39" s="242"/>
    </row>
    <row r="40" spans="2:24">
      <c r="B40" s="5" t="s">
        <v>381</v>
      </c>
      <c r="C40" s="207"/>
      <c r="D40" s="430">
        <f t="shared" si="2"/>
        <v>13.344931401968319</v>
      </c>
      <c r="E40" s="430">
        <f t="shared" si="2"/>
        <v>11.238034837553611</v>
      </c>
      <c r="F40" s="430">
        <f t="shared" si="2"/>
        <v>9.8913843223038338</v>
      </c>
      <c r="G40" s="430">
        <f t="shared" si="2"/>
        <v>8.4309901634846316</v>
      </c>
      <c r="H40" s="13">
        <f t="shared" si="3"/>
        <v>0.10047163927760949</v>
      </c>
      <c r="I40" s="207"/>
      <c r="J40" s="217"/>
      <c r="K40" s="217"/>
      <c r="L40" s="217"/>
      <c r="M40" s="217"/>
      <c r="N40" s="217"/>
      <c r="O40" s="14"/>
      <c r="Q40" s="5"/>
      <c r="R40" s="5"/>
      <c r="S40" s="26"/>
      <c r="T40" s="26"/>
      <c r="U40" s="26"/>
      <c r="V40" s="26"/>
      <c r="W40" s="242"/>
      <c r="X40" s="242"/>
    </row>
    <row r="41" spans="2:24">
      <c r="B41" s="5" t="s">
        <v>434</v>
      </c>
      <c r="C41" s="207"/>
      <c r="D41" s="430">
        <f t="shared" si="2"/>
        <v>1.0508968001720602</v>
      </c>
      <c r="E41" s="430">
        <f t="shared" si="2"/>
        <v>0.99070013170896654</v>
      </c>
      <c r="F41" s="430">
        <f t="shared" si="2"/>
        <v>0.92777684089070633</v>
      </c>
      <c r="G41" s="430">
        <f t="shared" si="2"/>
        <v>0.85951313303026078</v>
      </c>
      <c r="H41" s="13">
        <f t="shared" si="3"/>
        <v>9.7226952143947276E-3</v>
      </c>
      <c r="I41" s="208"/>
      <c r="J41" s="13"/>
      <c r="K41" s="13"/>
      <c r="L41" s="13"/>
      <c r="M41" s="13"/>
      <c r="N41" s="13"/>
      <c r="O41" s="5"/>
      <c r="Q41" s="5"/>
      <c r="R41" s="5"/>
      <c r="S41" s="26"/>
      <c r="T41" s="26"/>
      <c r="U41" s="26"/>
      <c r="V41" s="26"/>
      <c r="W41" s="242"/>
      <c r="X41" s="242"/>
    </row>
    <row r="42" spans="2:24">
      <c r="B42" s="5" t="s">
        <v>493</v>
      </c>
      <c r="C42" s="207"/>
      <c r="D42" s="430">
        <f>D18/D28</f>
        <v>1.4291550262030754</v>
      </c>
      <c r="E42" s="430">
        <f>E18/E28</f>
        <v>1.3849407655473556</v>
      </c>
      <c r="F42" s="430">
        <f>F18/F28</f>
        <v>1.3767574546734138</v>
      </c>
      <c r="G42" s="430">
        <f>G18/G28</f>
        <v>1.3160442661234328</v>
      </c>
      <c r="H42" s="13">
        <f t="shared" si="3"/>
        <v>-2.9409845683782243E-2</v>
      </c>
      <c r="I42" s="207"/>
      <c r="J42" s="5"/>
      <c r="K42" s="5"/>
      <c r="L42" s="5"/>
      <c r="M42" s="5"/>
      <c r="N42" s="5"/>
      <c r="O42" s="5"/>
      <c r="Q42" s="5"/>
      <c r="R42" s="5"/>
      <c r="S42" s="26"/>
      <c r="T42" s="26"/>
      <c r="U42" s="26"/>
      <c r="V42" s="26"/>
      <c r="W42" s="242"/>
      <c r="X42" s="242"/>
    </row>
    <row r="43" spans="2:24">
      <c r="B43" s="5" t="s">
        <v>390</v>
      </c>
      <c r="C43" s="207"/>
      <c r="D43" s="430">
        <f>L26/D29</f>
        <v>32.210485313716404</v>
      </c>
      <c r="E43" s="430">
        <f>M26/E29</f>
        <v>25.503088693758627</v>
      </c>
      <c r="F43" s="430">
        <f>N26/F29</f>
        <v>21.809224253297693</v>
      </c>
      <c r="G43" s="430">
        <f>O26/G29</f>
        <v>18.855968911926709</v>
      </c>
      <c r="H43" s="13">
        <f t="shared" si="3"/>
        <v>0.16659624694751662</v>
      </c>
      <c r="I43" s="207"/>
      <c r="J43" s="207"/>
      <c r="K43" s="207"/>
      <c r="L43" s="207"/>
      <c r="M43" s="207"/>
      <c r="N43" s="207"/>
      <c r="O43" s="14"/>
      <c r="Q43" s="5"/>
      <c r="R43" s="5"/>
      <c r="S43" s="26"/>
      <c r="T43" s="26"/>
      <c r="U43" s="26"/>
      <c r="V43" s="26"/>
      <c r="W43" s="255"/>
      <c r="X43" s="255"/>
    </row>
    <row r="44" spans="2:24">
      <c r="B44" s="5" t="s">
        <v>437</v>
      </c>
      <c r="C44" s="53"/>
      <c r="D44" s="430">
        <f>D11/D30</f>
        <v>12.339496878071898</v>
      </c>
      <c r="E44" s="430">
        <f>E11/E30</f>
        <v>11.047105057261978</v>
      </c>
      <c r="F44" s="430">
        <f>F11/F30</f>
        <v>10.00172451501094</v>
      </c>
      <c r="G44" s="430">
        <f>G11/G30</f>
        <v>9.0964327955584316</v>
      </c>
      <c r="H44" s="13">
        <f t="shared" si="3"/>
        <v>9.6923248619408264E-2</v>
      </c>
      <c r="I44" s="208"/>
      <c r="J44" s="208"/>
      <c r="K44" s="208"/>
      <c r="L44" s="208"/>
      <c r="M44" s="208"/>
      <c r="N44" s="208"/>
      <c r="O44" s="208"/>
      <c r="Q44" s="5"/>
      <c r="R44" s="5"/>
      <c r="S44" s="26"/>
      <c r="T44" s="26"/>
      <c r="U44" s="26"/>
      <c r="V44" s="26"/>
      <c r="W44" s="26"/>
      <c r="X44" s="26"/>
    </row>
    <row r="45" spans="2:24">
      <c r="B45" s="5" t="s">
        <v>481</v>
      </c>
      <c r="C45" s="207"/>
      <c r="D45" s="208">
        <f>D31/D11</f>
        <v>5.1414904280051979E-2</v>
      </c>
      <c r="E45" s="208">
        <f>E31/E11</f>
        <v>5.6854140225317415E-2</v>
      </c>
      <c r="F45" s="208">
        <f>F31/F11</f>
        <v>6.1823755137670577E-2</v>
      </c>
      <c r="G45" s="208">
        <f>G31/G11</f>
        <v>6.6884920782751739E-2</v>
      </c>
      <c r="H45" s="13">
        <f t="shared" si="3"/>
        <v>8.1717503762207988E-2</v>
      </c>
      <c r="I45" s="207"/>
      <c r="J45" s="207"/>
      <c r="K45" s="207"/>
      <c r="L45" s="207"/>
      <c r="M45" s="207"/>
      <c r="N45" s="207"/>
      <c r="O45" s="208"/>
      <c r="Q45" s="5"/>
      <c r="R45" s="5"/>
      <c r="S45" s="26"/>
      <c r="T45" s="26"/>
      <c r="U45" s="26"/>
      <c r="V45" s="26"/>
      <c r="W45" s="26"/>
      <c r="X45" s="26"/>
    </row>
    <row r="46" spans="2:24">
      <c r="B46" s="5" t="s">
        <v>505</v>
      </c>
      <c r="C46" s="207"/>
      <c r="D46" s="208">
        <f>(D31+D32)/D11</f>
        <v>5.8529095772616578E-2</v>
      </c>
      <c r="E46" s="208">
        <f>(E31+E32)/E11</f>
        <v>7.0436799652068588E-2</v>
      </c>
      <c r="F46" s="208">
        <f>(F31+F32)/F11</f>
        <v>-5.36316297625479E-2</v>
      </c>
      <c r="G46" s="208">
        <f>(G31+G32)/G11</f>
        <v>7.4325003833795672E-2</v>
      </c>
      <c r="H46" s="233">
        <f>((G31+G32)/(D31+D32))^(1/3)-1</f>
        <v>7.305464127290251E-2</v>
      </c>
      <c r="I46" s="13"/>
      <c r="J46" s="207"/>
      <c r="K46" s="207"/>
      <c r="L46" s="207"/>
      <c r="M46" s="207"/>
      <c r="N46" s="207"/>
      <c r="O46" s="14"/>
      <c r="Q46" s="5"/>
      <c r="R46" s="5"/>
      <c r="S46" s="26"/>
      <c r="T46" s="26"/>
      <c r="U46" s="26"/>
      <c r="V46" s="26"/>
      <c r="W46" s="26"/>
      <c r="X46" s="26"/>
    </row>
    <row r="47" spans="2:24">
      <c r="B47" s="5" t="s">
        <v>482</v>
      </c>
      <c r="C47" s="5"/>
      <c r="D47" s="208">
        <f>1/D43</f>
        <v>3.1045791153421813E-2</v>
      </c>
      <c r="E47" s="208">
        <f>1/E43</f>
        <v>3.9210936840161248E-2</v>
      </c>
      <c r="F47" s="208">
        <f>1/F43</f>
        <v>4.5852158168752551E-2</v>
      </c>
      <c r="G47" s="208">
        <f>1/G43</f>
        <v>5.3033604619886897E-2</v>
      </c>
      <c r="H47" s="13">
        <f>H29</f>
        <v>0.16659624694751662</v>
      </c>
      <c r="I47" s="207"/>
      <c r="J47" s="208"/>
      <c r="K47" s="208"/>
      <c r="L47" s="208"/>
      <c r="M47" s="208"/>
      <c r="N47" s="208"/>
      <c r="O47" s="208"/>
      <c r="Q47" s="5"/>
      <c r="R47" s="5"/>
      <c r="S47" s="5"/>
      <c r="T47" s="5"/>
      <c r="U47" s="5"/>
    </row>
    <row r="48" spans="2:24">
      <c r="B48" s="5" t="s">
        <v>518</v>
      </c>
      <c r="C48" s="5"/>
      <c r="D48" s="248">
        <f>D31/D29</f>
        <v>0.84851530587757729</v>
      </c>
      <c r="E48" s="248">
        <f>E31/E29</f>
        <v>0.74595605814417199</v>
      </c>
      <c r="F48" s="248">
        <f>F31/F29</f>
        <v>0.70506562361833436</v>
      </c>
      <c r="G48" s="248">
        <f>G31/G29</f>
        <v>0.67645596035498334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92">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251</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27</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'EM CELLULAR'!D37</f>
        <v>2.239709172657927</v>
      </c>
      <c r="M9" s="48">
        <f>'EM CELLULAR'!E37</f>
        <v>1.9919837105195604</v>
      </c>
      <c r="N9" s="48">
        <f>'EM CELLULAR'!F37</f>
        <v>1.7860822104646199</v>
      </c>
      <c r="O9" s="48">
        <f>'EM CELLULAR'!G37</f>
        <v>1.5549525143191023</v>
      </c>
      <c r="P9" s="13">
        <f>'EM CELLULAR'!H37</f>
        <v>5.3451961576052032E-2</v>
      </c>
    </row>
    <row r="10" spans="2:63">
      <c r="B10" s="5" t="s">
        <v>226</v>
      </c>
      <c r="C10" s="5"/>
      <c r="D10" s="258"/>
      <c r="E10" s="258"/>
      <c r="F10" s="258"/>
      <c r="G10" s="258"/>
      <c r="H10" s="207"/>
      <c r="I10" s="207"/>
      <c r="J10" s="5" t="s">
        <v>158</v>
      </c>
      <c r="L10" s="48">
        <f>'EM CELLULAR'!D38</f>
        <v>6.1220764616233714</v>
      </c>
      <c r="M10" s="48">
        <f>'EM CELLULAR'!E38</f>
        <v>5.3795042390333068</v>
      </c>
      <c r="N10" s="48">
        <f>'EM CELLULAR'!F38</f>
        <v>4.6552437207240072</v>
      </c>
      <c r="O10" s="48">
        <f>'EM CELLULAR'!G38</f>
        <v>3.9836210001066563</v>
      </c>
      <c r="P10" s="13">
        <f>'EM CELLULAR'!H38</f>
        <v>7.6457320810068063E-2</v>
      </c>
    </row>
    <row r="11" spans="2:63">
      <c r="B11" s="25" t="s">
        <v>290</v>
      </c>
      <c r="C11" s="5"/>
      <c r="D11" s="225">
        <f>'DM ASIA OTHER'!D11+'EM ASIA CELLULAR'!D11</f>
        <v>583005.98771106452</v>
      </c>
      <c r="E11" s="225">
        <f>'DM ASIA OTHER'!E11+'EM ASIA CELLULAR'!E11</f>
        <v>580418.81960838847</v>
      </c>
      <c r="F11" s="225">
        <f>'DM ASIA OTHER'!F11+'EM ASIA CELLULAR'!F11</f>
        <v>577755.21912605222</v>
      </c>
      <c r="G11" s="225">
        <f>'DM ASIA OTHER'!G11+'EM ASIA CELLULAR'!G11</f>
        <v>575081.82725892402</v>
      </c>
      <c r="H11" s="209"/>
      <c r="I11" s="209"/>
      <c r="J11" s="5" t="s">
        <v>159</v>
      </c>
      <c r="L11" s="48">
        <f>'EM CELLULAR'!D39</f>
        <v>10.433086026607876</v>
      </c>
      <c r="M11" s="48">
        <f>'EM CELLULAR'!E39</f>
        <v>8.8988378278018754</v>
      </c>
      <c r="N11" s="48">
        <f>'EM CELLULAR'!F39</f>
        <v>7.3589044668838444</v>
      </c>
      <c r="O11" s="48">
        <f>'EM CELLULAR'!G39</f>
        <v>6.1226973075467326</v>
      </c>
      <c r="P11" s="13">
        <f>'EM CELLULAR'!H39</f>
        <v>0.11415745332884453</v>
      </c>
    </row>
    <row r="12" spans="2:63">
      <c r="B12" s="5" t="s">
        <v>191</v>
      </c>
      <c r="C12" s="209"/>
      <c r="D12" s="188">
        <f>'DM ASIA OTHER'!D12+'EM ASIA CELLULAR'!D12</f>
        <v>98936.158077308937</v>
      </c>
      <c r="E12" s="188">
        <f>'DM ASIA OTHER'!E12+'EM ASIA CELLULAR'!E12</f>
        <v>82445.398316758961</v>
      </c>
      <c r="F12" s="188">
        <f>'DM ASIA OTHER'!F12+'EM ASIA CELLULAR'!F12</f>
        <v>73996.286186100289</v>
      </c>
      <c r="G12" s="188">
        <f>'DM ASIA OTHER'!G12+'EM ASIA CELLULAR'!G12</f>
        <v>53278.896070459807</v>
      </c>
      <c r="H12" s="207"/>
      <c r="I12" s="207"/>
      <c r="J12" s="5" t="s">
        <v>381</v>
      </c>
      <c r="L12" s="48">
        <f>'EM CELLULAR'!D40</f>
        <v>13.552484405676964</v>
      </c>
      <c r="M12" s="48">
        <f>'EM CELLULAR'!E40</f>
        <v>11.645452796226719</v>
      </c>
      <c r="N12" s="48">
        <f>'EM CELLULAR'!F40</f>
        <v>9.6817606816492958</v>
      </c>
      <c r="O12" s="48">
        <f>'EM CELLULAR'!G40</f>
        <v>8.0595976726627114</v>
      </c>
      <c r="P12" s="13">
        <f>'EM CELLULAR'!H40</f>
        <v>0.10923889124747621</v>
      </c>
    </row>
    <row r="13" spans="2:63">
      <c r="B13" s="5" t="s">
        <v>433</v>
      </c>
      <c r="C13" s="216"/>
      <c r="D13" s="188">
        <f>'DM ASIA OTHER'!D13+'EM ASIA CELLULAR'!D13</f>
        <v>6604.1752635146186</v>
      </c>
      <c r="E13" s="188">
        <f>'DM ASIA OTHER'!E13+'EM ASIA CELLULAR'!E13</f>
        <v>6233.5564262144853</v>
      </c>
      <c r="F13" s="188">
        <f>'DM ASIA OTHER'!F13+'EM ASIA CELLULAR'!F13</f>
        <v>6052.0392795347307</v>
      </c>
      <c r="G13" s="188">
        <f>'DM ASIA OTHER'!G13+'EM ASIA CELLULAR'!G13</f>
        <v>5888.4438527680559</v>
      </c>
      <c r="H13" s="207"/>
      <c r="I13" s="207"/>
      <c r="J13" s="5" t="s">
        <v>434</v>
      </c>
      <c r="L13" s="48">
        <f>'EM CELLULAR'!D41</f>
        <v>1.7316281819454988</v>
      </c>
      <c r="M13" s="48">
        <f>'EM CELLULAR'!E41</f>
        <v>1.6274347173545567</v>
      </c>
      <c r="N13" s="48">
        <f>'EM CELLULAR'!F41</f>
        <v>1.5075313204539067</v>
      </c>
      <c r="O13" s="48">
        <f>'EM CELLULAR'!G41</f>
        <v>1.3807838715614738</v>
      </c>
      <c r="P13" s="13">
        <f>'EM CELLULAR'!H41</f>
        <v>5.92642475520333E-3</v>
      </c>
    </row>
    <row r="14" spans="2:63">
      <c r="B14" s="5" t="s">
        <v>436</v>
      </c>
      <c r="C14" s="228"/>
      <c r="D14" s="188">
        <f>'DM ASIA OTHER'!D14+'EM ASIA CELLULAR'!D14</f>
        <v>20336.753627032755</v>
      </c>
      <c r="E14" s="188">
        <f>'DM ASIA OTHER'!E14+'EM ASIA CELLULAR'!E14</f>
        <v>18389.833516299652</v>
      </c>
      <c r="F14" s="188">
        <f>'DM ASIA OTHER'!F14+'EM ASIA CELLULAR'!F14</f>
        <v>18386.508920434015</v>
      </c>
      <c r="G14" s="188">
        <f>'DM ASIA OTHER'!G14+'EM ASIA CELLULAR'!G14</f>
        <v>18384.846622501194</v>
      </c>
      <c r="H14" s="207"/>
      <c r="I14" s="207"/>
      <c r="J14" s="5" t="s">
        <v>493</v>
      </c>
      <c r="L14" s="48">
        <f>'EM CELLULAR'!D42</f>
        <v>2.8476078348824898</v>
      </c>
      <c r="M14" s="48">
        <f>'EM CELLULAR'!E42</f>
        <v>2.7389386672761598</v>
      </c>
      <c r="N14" s="48">
        <f>'EM CELLULAR'!F42</f>
        <v>2.6614191649071781</v>
      </c>
      <c r="O14" s="48">
        <f>'EM CELLULAR'!G42</f>
        <v>2.498938826921691</v>
      </c>
      <c r="P14" s="13">
        <f>'EM CELLULAR'!H42</f>
        <v>-2.5687917394514592E-2</v>
      </c>
    </row>
    <row r="15" spans="2:63">
      <c r="B15" s="5" t="s">
        <v>435</v>
      </c>
      <c r="C15" s="216"/>
      <c r="D15" s="188">
        <f>'DM ASIA OTHER'!D15+'EM ASIA CELLULAR'!D15</f>
        <v>10951.236742821638</v>
      </c>
      <c r="E15" s="188">
        <f>'DM ASIA OTHER'!E15+'EM ASIA CELLULAR'!E15</f>
        <v>10942.386034073892</v>
      </c>
      <c r="F15" s="188">
        <f>'DM ASIA OTHER'!F15+'EM ASIA CELLULAR'!F15</f>
        <v>10960.972365855341</v>
      </c>
      <c r="G15" s="188">
        <f>'DM ASIA OTHER'!G15+'EM ASIA CELLULAR'!G15</f>
        <v>11005.237994924169</v>
      </c>
      <c r="H15" s="207"/>
      <c r="I15" s="207"/>
      <c r="J15" s="5" t="s">
        <v>390</v>
      </c>
      <c r="L15" s="48">
        <f>'EM CELLULAR'!D43</f>
        <v>18.381101039950888</v>
      </c>
      <c r="M15" s="48">
        <f>'EM CELLULAR'!E43</f>
        <v>15.028892583111164</v>
      </c>
      <c r="N15" s="48">
        <f>'EM CELLULAR'!F43</f>
        <v>13.137557719627742</v>
      </c>
      <c r="O15" s="48">
        <f>'EM CELLULAR'!G43</f>
        <v>11.750300540337538</v>
      </c>
      <c r="P15" s="13">
        <f>'EM CELLULAR'!H43</f>
        <v>0.15850771455356516</v>
      </c>
    </row>
    <row r="16" spans="2:63">
      <c r="B16" s="5" t="s">
        <v>438</v>
      </c>
      <c r="C16" s="216"/>
      <c r="D16" s="188">
        <f>'DM ASIA OTHER'!D16+'EM ASIA CELLULAR'!D16</f>
        <v>0</v>
      </c>
      <c r="E16" s="188">
        <f>'DM ASIA OTHER'!E16+'EM ASIA CELLULAR'!E16</f>
        <v>24945.02209597201</v>
      </c>
      <c r="F16" s="188">
        <f>'DM ASIA OTHER'!F16+'EM ASIA CELLULAR'!F16</f>
        <v>52671.385604991585</v>
      </c>
      <c r="G16" s="188">
        <f>'DM ASIA OTHER'!G16+'EM ASIA CELLULAR'!G16</f>
        <v>82769.184702544473</v>
      </c>
      <c r="H16" s="207"/>
      <c r="I16" s="207"/>
      <c r="J16" s="5" t="s">
        <v>437</v>
      </c>
      <c r="L16" s="48">
        <f>'EM CELLULAR'!D44</f>
        <v>16.43937684695549</v>
      </c>
      <c r="M16" s="48">
        <f>'EM CELLULAR'!E44</f>
        <v>14.058003846915186</v>
      </c>
      <c r="N16" s="48">
        <f>'EM CELLULAR'!F44</f>
        <v>12.117032841381851</v>
      </c>
      <c r="O16" s="48">
        <f>'EM CELLULAR'!G44</f>
        <v>10.664032838564383</v>
      </c>
      <c r="P16" s="13">
        <f>'EM CELLULAR'!H44</f>
        <v>0.1529577493733687</v>
      </c>
    </row>
    <row r="17" spans="2:24">
      <c r="B17" s="5" t="s">
        <v>4</v>
      </c>
      <c r="C17" s="216"/>
      <c r="D17" s="188">
        <f>'DM ASIA OTHER'!D17+'EM ASIA CELLULAR'!D17</f>
        <v>0</v>
      </c>
      <c r="E17" s="188">
        <f>'DM ASIA OTHER'!E17+'EM ASIA CELLULAR'!E17</f>
        <v>0</v>
      </c>
      <c r="F17" s="188">
        <f>'DM ASIA OTHER'!F17+'EM ASIA CELLULAR'!F17</f>
        <v>0</v>
      </c>
      <c r="G17" s="188">
        <f>'DM ASIA OTHER'!G17+'EM ASIA CELLULAR'!G17</f>
        <v>0</v>
      </c>
      <c r="H17" s="207"/>
      <c r="I17" s="207"/>
      <c r="J17" s="5" t="s">
        <v>481</v>
      </c>
      <c r="L17" s="208">
        <f>'EM CELLULAR'!D45</f>
        <v>4.4773753286733282E-2</v>
      </c>
      <c r="M17" s="208">
        <f>'EM CELLULAR'!E45</f>
        <v>5.1270510042755547E-2</v>
      </c>
      <c r="N17" s="208">
        <f>'EM CELLULAR'!F45</f>
        <v>5.7757402808661602E-2</v>
      </c>
      <c r="O17" s="208">
        <f>'EM CELLULAR'!G45</f>
        <v>6.4371917923240166E-2</v>
      </c>
      <c r="P17" s="13">
        <f>'EM CELLULAR'!H45</f>
        <v>0.12646166295875116</v>
      </c>
      <c r="S17" s="72"/>
      <c r="T17" s="72"/>
      <c r="U17" s="72"/>
      <c r="V17" s="26"/>
      <c r="W17" s="26"/>
      <c r="X17" s="26"/>
    </row>
    <row r="18" spans="2:24" ht="12.6" thickBot="1">
      <c r="B18" s="25" t="s">
        <v>291</v>
      </c>
      <c r="C18" s="209"/>
      <c r="D18" s="229">
        <f>'DM ASIA OTHER'!D18+'EM ASIA CELLULAR'!D18</f>
        <v>679160.80416767707</v>
      </c>
      <c r="E18" s="229">
        <f>'DM ASIA OTHER'!E18+'EM ASIA CELLULAR'!E18</f>
        <v>636705.30477316421</v>
      </c>
      <c r="F18" s="229">
        <f>'DM ASIA OTHER'!F18+'EM ASIA CELLULAR'!F18</f>
        <v>597706.622432117</v>
      </c>
      <c r="G18" s="229">
        <f>'DM ASIA OTHER'!G18+'EM ASIA CELLULAR'!G18</f>
        <v>544100.37385203049</v>
      </c>
      <c r="H18" s="230">
        <f>IF(D18=0,"nm",IF(G18=0,"nm",(G18/D18)^(1/3)-1))</f>
        <v>-7.1242921370373469E-2</v>
      </c>
      <c r="I18" s="214"/>
      <c r="J18" s="5" t="s">
        <v>33</v>
      </c>
      <c r="L18" s="208">
        <f>'EM CELLULAR'!D46</f>
        <v>4.4631599349891395E-2</v>
      </c>
      <c r="M18" s="208">
        <f>'EM CELLULAR'!E46</f>
        <v>4.0585362540698167E-2</v>
      </c>
      <c r="N18" s="208">
        <f>'EM CELLULAR'!F46</f>
        <v>5.9791635569141438E-2</v>
      </c>
      <c r="O18" s="208">
        <f>'EM CELLULAR'!G46</f>
        <v>6.4959566810449218E-2</v>
      </c>
      <c r="P18" s="13">
        <f>'EM CELLULAR'!H46</f>
        <v>0.13107739688292019</v>
      </c>
      <c r="S18" s="72"/>
      <c r="T18" s="26"/>
      <c r="U18" s="26"/>
      <c r="V18" s="26"/>
      <c r="W18" s="26"/>
      <c r="X18" s="26"/>
    </row>
    <row r="19" spans="2:24" ht="12.6" thickTop="1">
      <c r="B19" s="25"/>
      <c r="C19" s="209"/>
      <c r="D19" s="189"/>
      <c r="E19" s="189"/>
      <c r="F19" s="189"/>
      <c r="G19" s="189"/>
      <c r="H19" s="230"/>
      <c r="I19" s="13"/>
      <c r="J19" s="5" t="s">
        <v>482</v>
      </c>
      <c r="L19" s="208">
        <f>'EM CELLULAR'!D47</f>
        <v>5.4403705078739498E-2</v>
      </c>
      <c r="M19" s="208">
        <f>'EM CELLULAR'!E47</f>
        <v>6.6538502053288873E-2</v>
      </c>
      <c r="N19" s="208">
        <f>'EM CELLULAR'!F47</f>
        <v>7.6117648450440861E-2</v>
      </c>
      <c r="O19" s="208">
        <f>'EM CELLULAR'!G47</f>
        <v>8.5104206191757042E-2</v>
      </c>
      <c r="P19" s="13">
        <f>'EM CELLULAR'!H47</f>
        <v>0.15850771455356516</v>
      </c>
      <c r="S19" s="72"/>
      <c r="T19" s="26"/>
      <c r="U19" s="26"/>
      <c r="V19" s="26"/>
      <c r="W19" s="26"/>
      <c r="X19" s="26"/>
    </row>
    <row r="20" spans="2:24">
      <c r="H20" s="231"/>
      <c r="I20" s="33"/>
      <c r="J20" s="5" t="s">
        <v>504</v>
      </c>
      <c r="L20" s="208">
        <f>'EM CELLULAR'!D48</f>
        <v>0.82969409531968419</v>
      </c>
      <c r="M20" s="208">
        <f>'EM CELLULAR'!E48</f>
        <v>0.77670729011082085</v>
      </c>
      <c r="N20" s="208">
        <f>'EM CELLULAR'!F48</f>
        <v>0.76519916663593923</v>
      </c>
      <c r="O20" s="208">
        <f>'EM CELLULAR'!G48</f>
        <v>0.76272934690556904</v>
      </c>
      <c r="P20" s="13" t="str">
        <f>'EM CELLULAR'!H48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'DM ASIA OTHER'!C23+'EM ASIA CELLULAR'!C23</f>
        <v>319325.52284731605</v>
      </c>
      <c r="D23" s="188">
        <f>'DM ASIA OTHER'!D23+'EM ASIA CELLULAR'!D23</f>
        <v>327417.62529734377</v>
      </c>
      <c r="E23" s="188">
        <f>'DM ASIA OTHER'!E23+'EM ASIA CELLULAR'!E23</f>
        <v>340890.94650825131</v>
      </c>
      <c r="F23" s="188">
        <f>'DM ASIA OTHER'!F23+'EM ASIA CELLULAR'!F23</f>
        <v>355586.63296652609</v>
      </c>
      <c r="G23" s="188">
        <f>'DM ASIA OTHER'!G23+'EM ASIA CELLULAR'!G23</f>
        <v>370912.77094104176</v>
      </c>
      <c r="H23" s="233">
        <f t="shared" ref="H23:H33" si="0">IF(D23=0,"nm",IF(G23=0,"nm",(G23/D23)^(1/3)-1))</f>
        <v>4.2453225639905945E-2</v>
      </c>
      <c r="I23" s="209"/>
      <c r="J23" s="249" t="s">
        <v>7</v>
      </c>
      <c r="K23" s="249"/>
      <c r="L23" s="219" t="str">
        <f>L5</f>
        <v>2025E</v>
      </c>
      <c r="M23" s="219" t="str">
        <f>M5</f>
        <v>2026E</v>
      </c>
      <c r="N23" s="219" t="str">
        <f>N5</f>
        <v>2027E</v>
      </c>
      <c r="O23" s="219" t="str">
        <f>O5</f>
        <v>2028E</v>
      </c>
      <c r="P23" s="236" t="str">
        <f>P5</f>
        <v>2025-28</v>
      </c>
      <c r="S23" s="26"/>
      <c r="T23" s="26"/>
      <c r="U23" s="26"/>
      <c r="V23" s="26"/>
      <c r="W23" s="26" t="s">
        <v>466</v>
      </c>
      <c r="X23" s="26" t="s">
        <v>465</v>
      </c>
    </row>
    <row r="24" spans="2:24" ht="12.6" thickTop="1">
      <c r="B24" s="5" t="s">
        <v>397</v>
      </c>
      <c r="C24" s="288">
        <f>'DM ASIA OTHER'!C24+'EM ASIA CELLULAR'!C24</f>
        <v>105729.64911475311</v>
      </c>
      <c r="D24" s="188">
        <f>'DM ASIA OTHER'!D24+'EM ASIA CELLULAR'!D24</f>
        <v>109336.72548091391</v>
      </c>
      <c r="E24" s="188">
        <f>'DM ASIA OTHER'!E24+'EM ASIA CELLULAR'!E24</f>
        <v>116664.92060329995</v>
      </c>
      <c r="F24" s="188">
        <f>'DM ASIA OTHER'!F24+'EM ASIA CELLULAR'!F24</f>
        <v>123765.6495025953</v>
      </c>
      <c r="G24" s="188">
        <f>'DM ASIA OTHER'!G24+'EM ASIA CELLULAR'!G24</f>
        <v>130968.86635587669</v>
      </c>
      <c r="H24" s="233">
        <f t="shared" si="0"/>
        <v>6.2023194374214885E-2</v>
      </c>
      <c r="I24" s="208"/>
      <c r="J24" s="13"/>
      <c r="K24" s="13"/>
      <c r="L24" s="13"/>
      <c r="M24" s="13"/>
      <c r="N24" s="13"/>
      <c r="O24" s="208"/>
      <c r="S24" s="26"/>
      <c r="T24" s="26"/>
      <c r="U24" s="26"/>
      <c r="V24" s="113" t="s">
        <v>225</v>
      </c>
      <c r="W24" s="242">
        <f t="shared" ref="W24:W31" si="1">E37/M9</f>
        <v>0.93764235793975481</v>
      </c>
      <c r="X24" s="242">
        <v>1</v>
      </c>
    </row>
    <row r="25" spans="2:24">
      <c r="B25" s="5" t="s">
        <v>157</v>
      </c>
      <c r="C25" s="288">
        <f>'DM ASIA OTHER'!C25+'EM ASIA CELLULAR'!C25</f>
        <v>59132.127171506116</v>
      </c>
      <c r="D25" s="188">
        <f>'DM ASIA OTHER'!D25+'EM ASIA CELLULAR'!D25</f>
        <v>65657.537555411982</v>
      </c>
      <c r="E25" s="188">
        <f>'DM ASIA OTHER'!E25+'EM ASIA CELLULAR'!E25</f>
        <v>72922.322035842662</v>
      </c>
      <c r="F25" s="188">
        <f>'DM ASIA OTHER'!F25+'EM ASIA CELLULAR'!F25</f>
        <v>80216.305196196816</v>
      </c>
      <c r="G25" s="188">
        <f>'DM ASIA OTHER'!G25+'EM ASIA CELLULAR'!G25</f>
        <v>87275.785439947926</v>
      </c>
      <c r="H25" s="233">
        <f t="shared" si="0"/>
        <v>9.9519809908189316E-2</v>
      </c>
      <c r="I25" s="209"/>
      <c r="J25" s="207" t="s">
        <v>8</v>
      </c>
      <c r="K25" s="207"/>
      <c r="L25" s="258">
        <f>'DM ASIA OTHER'!L25+'EM ASIA CELLULAR'!L25</f>
        <v>0</v>
      </c>
      <c r="M25" s="258">
        <f>'DM ASIA OTHER'!M25+'EM ASIA CELLULAR'!M25</f>
        <v>0</v>
      </c>
      <c r="N25" s="258">
        <f>'DM ASIA OTHER'!N25+'EM ASIA CELLULAR'!N25</f>
        <v>0</v>
      </c>
      <c r="O25" s="258">
        <f>'DM ASIA OTHER'!O25+'EM ASIA CELLULAR'!O25</f>
        <v>0</v>
      </c>
      <c r="P25" s="233" t="str">
        <f>IF(L25=0,"nm",IF(O25=0,"nm",(O25/L25)^(1/3)-1))</f>
        <v>nm</v>
      </c>
      <c r="Q25" s="5"/>
      <c r="S25" s="26"/>
      <c r="T25" s="26"/>
      <c r="U25" s="26"/>
      <c r="V25" s="113" t="s">
        <v>158</v>
      </c>
      <c r="W25" s="242">
        <f t="shared" si="1"/>
        <v>1.014509047227258</v>
      </c>
      <c r="X25" s="242">
        <v>1</v>
      </c>
    </row>
    <row r="26" spans="2:24">
      <c r="B26" s="5" t="s">
        <v>487</v>
      </c>
      <c r="C26" s="288">
        <f>'DM ASIA OTHER'!C26+'EM ASIA CELLULAR'!C26</f>
        <v>46371.551169745915</v>
      </c>
      <c r="D26" s="188">
        <f>'DM ASIA OTHER'!D26+'EM ASIA CELLULAR'!D26</f>
        <v>50122.458639078184</v>
      </c>
      <c r="E26" s="188">
        <f>'DM ASIA OTHER'!E26+'EM ASIA CELLULAR'!E26</f>
        <v>55022.899658162103</v>
      </c>
      <c r="F26" s="188">
        <f>'DM ASIA OTHER'!F26+'EM ASIA CELLULAR'!F26</f>
        <v>60336.719855872325</v>
      </c>
      <c r="G26" s="188">
        <f>'DM ASIA OTHER'!G26+'EM ASIA CELLULAR'!G26</f>
        <v>65623.006132257826</v>
      </c>
      <c r="H26" s="233">
        <f t="shared" si="0"/>
        <v>9.3976312177183274E-2</v>
      </c>
      <c r="I26" s="209"/>
      <c r="J26" s="209" t="s">
        <v>9</v>
      </c>
      <c r="K26" s="209"/>
      <c r="L26" s="235">
        <f>'DM ASIA OTHER'!L26+'EM ASIA CELLULAR'!L26</f>
        <v>516089.05897551466</v>
      </c>
      <c r="M26" s="235">
        <f>'DM ASIA OTHER'!M26+'EM ASIA CELLULAR'!M26</f>
        <v>514104.94373479259</v>
      </c>
      <c r="N26" s="235">
        <f>'DM ASIA OTHER'!N26+'EM ASIA CELLULAR'!N26</f>
        <v>512044.39611441037</v>
      </c>
      <c r="O26" s="235">
        <f>'DM ASIA OTHER'!O26+'EM ASIA CELLULAR'!O26</f>
        <v>509974.05710923614</v>
      </c>
      <c r="P26" s="233">
        <f>IF(L26=0,"nm",IF(O26=0,"nm",(O26/L26)^(1/3)-1))</f>
        <v>-3.9652805940362246E-3</v>
      </c>
      <c r="Q26" s="25"/>
      <c r="S26" s="26"/>
      <c r="T26" s="26"/>
      <c r="U26" s="26"/>
      <c r="V26" s="113" t="s">
        <v>159</v>
      </c>
      <c r="W26" s="242">
        <f t="shared" si="1"/>
        <v>0.98117096208825194</v>
      </c>
      <c r="X26" s="242">
        <v>1</v>
      </c>
    </row>
    <row r="27" spans="2:24">
      <c r="B27" s="5" t="s">
        <v>488</v>
      </c>
      <c r="C27" s="288">
        <f>'DM ASIA OTHER'!C27+'EM ASIA CELLULAR'!C27</f>
        <v>398149.61047127278</v>
      </c>
      <c r="D27" s="188">
        <f>'DM ASIA OTHER'!D27+'EM ASIA CELLULAR'!D27</f>
        <v>393157.0948102331</v>
      </c>
      <c r="E27" s="188">
        <f>'DM ASIA OTHER'!E27+'EM ASIA CELLULAR'!E27</f>
        <v>389668.84757147596</v>
      </c>
      <c r="F27" s="188">
        <f>'DM ASIA OTHER'!F27+'EM ASIA CELLULAR'!F27</f>
        <v>395425.95258390473</v>
      </c>
      <c r="G27" s="188">
        <f>'DM ASIA OTHER'!G27+'EM ASIA CELLULAR'!G27</f>
        <v>390730.7011725906</v>
      </c>
      <c r="H27" s="233">
        <f t="shared" si="0"/>
        <v>-2.0614341370516209E-3</v>
      </c>
      <c r="I27" s="208"/>
      <c r="J27" s="208"/>
      <c r="K27" s="208"/>
      <c r="L27" s="208"/>
      <c r="M27" s="208"/>
      <c r="N27" s="208"/>
      <c r="O27" s="208"/>
      <c r="Q27" s="5"/>
      <c r="S27" s="26"/>
      <c r="T27" s="26"/>
      <c r="U27" s="26"/>
      <c r="V27" s="113" t="s">
        <v>381</v>
      </c>
      <c r="W27" s="242">
        <f t="shared" si="1"/>
        <v>0.99366184812078096</v>
      </c>
      <c r="X27" s="242">
        <v>1</v>
      </c>
    </row>
    <row r="28" spans="2:24" ht="12.6" thickBot="1">
      <c r="B28" s="5" t="s">
        <v>492</v>
      </c>
      <c r="C28" s="288">
        <f>'DM ASIA OTHER'!C28+'EM ASIA CELLULAR'!C28</f>
        <v>221641.95101099962</v>
      </c>
      <c r="D28" s="188">
        <f>'DM ASIA OTHER'!D28+'EM ASIA CELLULAR'!D28</f>
        <v>208252.44608447497</v>
      </c>
      <c r="E28" s="188">
        <f>'DM ASIA OTHER'!E28+'EM ASIA CELLULAR'!E28</f>
        <v>197778.58511279654</v>
      </c>
      <c r="F28" s="188">
        <f>'DM ASIA OTHER'!F28+'EM ASIA CELLULAR'!F28</f>
        <v>187505.22550541128</v>
      </c>
      <c r="G28" s="188">
        <f>'DM ASIA OTHER'!G28+'EM ASIA CELLULAR'!G28</f>
        <v>177549.25111890992</v>
      </c>
      <c r="H28" s="233">
        <f t="shared" si="0"/>
        <v>-5.1778981276664693E-2</v>
      </c>
      <c r="I28" s="212"/>
      <c r="J28" s="249" t="s">
        <v>628</v>
      </c>
      <c r="K28" s="249"/>
      <c r="L28" s="249"/>
      <c r="M28" s="249"/>
      <c r="N28" s="220"/>
      <c r="O28" s="220"/>
      <c r="P28" s="220"/>
      <c r="Q28" s="5"/>
      <c r="S28" s="26"/>
      <c r="T28" s="26"/>
      <c r="U28" s="26"/>
      <c r="V28" s="113" t="s">
        <v>434</v>
      </c>
      <c r="W28" s="242">
        <f t="shared" si="1"/>
        <v>1.0040126963428961</v>
      </c>
      <c r="X28" s="242">
        <v>1</v>
      </c>
    </row>
    <row r="29" spans="2:24" ht="12.6" thickTop="1">
      <c r="B29" s="5" t="s">
        <v>489</v>
      </c>
      <c r="C29" s="288">
        <f>'DM ASIA OTHER'!C29+'EM ASIA CELLULAR'!C29</f>
        <v>31935.410456028076</v>
      </c>
      <c r="D29" s="188">
        <f>'DM ASIA OTHER'!D29+'EM ASIA CELLULAR'!D29</f>
        <v>32076.439899603651</v>
      </c>
      <c r="E29" s="188">
        <f>'DM ASIA OTHER'!E29+'EM ASIA CELLULAR'!E29</f>
        <v>37888.098568944159</v>
      </c>
      <c r="F29" s="188">
        <f>'DM ASIA OTHER'!F29+'EM ASIA CELLULAR'!F29</f>
        <v>42720.991219795891</v>
      </c>
      <c r="G29" s="188">
        <f>'DM ASIA OTHER'!G29+'EM ASIA CELLULAR'!G29</f>
        <v>47314.450145777664</v>
      </c>
      <c r="H29" s="233">
        <f t="shared" si="0"/>
        <v>0.13833270138668818</v>
      </c>
      <c r="I29" s="214"/>
      <c r="J29" s="209"/>
      <c r="K29" s="209"/>
      <c r="L29" s="209"/>
      <c r="M29" s="209"/>
      <c r="N29" s="209"/>
      <c r="O29" s="211"/>
      <c r="Q29" s="5"/>
      <c r="S29" s="26"/>
      <c r="T29" s="26"/>
      <c r="U29" s="26"/>
      <c r="V29" s="113" t="s">
        <v>493</v>
      </c>
      <c r="W29" s="242">
        <f t="shared" si="1"/>
        <v>1.1753762076006196</v>
      </c>
      <c r="X29" s="242">
        <v>1</v>
      </c>
    </row>
    <row r="30" spans="2:24">
      <c r="B30" s="5" t="s">
        <v>490</v>
      </c>
      <c r="C30" s="288">
        <f>'DM ASIA OTHER'!C30+'EM ASIA CELLULAR'!C30</f>
        <v>29760.919897275126</v>
      </c>
      <c r="D30" s="188">
        <f>'DM ASIA OTHER'!D30+'EM ASIA CELLULAR'!D30</f>
        <v>33786.847710061273</v>
      </c>
      <c r="E30" s="188">
        <f>'DM ASIA OTHER'!E30+'EM ASIA CELLULAR'!E30</f>
        <v>38310.146326522052</v>
      </c>
      <c r="F30" s="188">
        <f>'DM ASIA OTHER'!F30+'EM ASIA CELLULAR'!F30</f>
        <v>43246.840439733693</v>
      </c>
      <c r="G30" s="188">
        <f>'DM ASIA OTHER'!G30+'EM ASIA CELLULAR'!G30</f>
        <v>48385.299739753376</v>
      </c>
      <c r="H30" s="233">
        <f t="shared" si="0"/>
        <v>0.12716783491985639</v>
      </c>
      <c r="I30" s="214"/>
      <c r="J30" s="208"/>
      <c r="K30" s="208"/>
      <c r="L30" s="208"/>
      <c r="M30" s="208"/>
      <c r="N30" s="208"/>
      <c r="O30" s="5"/>
      <c r="Q30" s="5"/>
      <c r="S30" s="26"/>
      <c r="T30" s="26"/>
      <c r="U30" s="26"/>
      <c r="V30" s="113" t="s">
        <v>390</v>
      </c>
      <c r="W30" s="242">
        <f t="shared" si="1"/>
        <v>0.90286327755551798</v>
      </c>
      <c r="X30" s="242">
        <v>1</v>
      </c>
    </row>
    <row r="31" spans="2:24">
      <c r="B31" s="5" t="s">
        <v>491</v>
      </c>
      <c r="C31" s="288">
        <f>'DM ASIA OTHER'!C31+'EM ASIA CELLULAR'!C31</f>
        <v>25005.848205520721</v>
      </c>
      <c r="D31" s="188">
        <f>'DM ASIA OTHER'!D31+'EM ASIA CELLULAR'!D31</f>
        <v>24873.507706534623</v>
      </c>
      <c r="E31" s="188">
        <f>'DM ASIA OTHER'!E31+'EM ASIA CELLULAR'!E31</f>
        <v>27436.045714046209</v>
      </c>
      <c r="F31" s="188">
        <f>'DM ASIA OTHER'!F31+'EM ASIA CELLULAR'!F31</f>
        <v>30038.162960878733</v>
      </c>
      <c r="G31" s="188">
        <f>'DM ASIA OTHER'!G31+'EM ASIA CELLULAR'!G31</f>
        <v>32801.657358254539</v>
      </c>
      <c r="H31" s="233">
        <f t="shared" si="0"/>
        <v>9.6611807454481724E-2</v>
      </c>
      <c r="I31" s="214"/>
      <c r="J31" s="212"/>
      <c r="K31" s="212"/>
      <c r="L31" s="212"/>
      <c r="M31" s="212"/>
      <c r="N31" s="212"/>
      <c r="O31" s="5"/>
      <c r="Q31" s="5"/>
      <c r="S31" s="26"/>
      <c r="T31" s="26"/>
      <c r="U31" s="26"/>
      <c r="V31" s="113" t="s">
        <v>437</v>
      </c>
      <c r="W31" s="242">
        <f t="shared" si="1"/>
        <v>1.077715222036598</v>
      </c>
      <c r="X31" s="242">
        <v>1</v>
      </c>
    </row>
    <row r="32" spans="2:24">
      <c r="B32" s="5" t="s">
        <v>506</v>
      </c>
      <c r="C32" s="288">
        <f>'DM ASIA OTHER'!C32+'EM ASIA CELLULAR'!C32</f>
        <v>1660.2878361192136</v>
      </c>
      <c r="D32" s="188">
        <f>'DM ASIA OTHER'!D32+'EM ASIA CELLULAR'!D32</f>
        <v>981.25023804385933</v>
      </c>
      <c r="E32" s="188">
        <f>'DM ASIA OTHER'!E32+'EM ASIA CELLULAR'!E32</f>
        <v>-1508.4691277577253</v>
      </c>
      <c r="F32" s="188">
        <f>'DM ASIA OTHER'!F32+'EM ASIA CELLULAR'!F32</f>
        <v>1795.253982423771</v>
      </c>
      <c r="G32" s="188">
        <f>'DM ASIA OTHER'!G32+'EM ASIA CELLULAR'!G32</f>
        <v>4057.8564383972043</v>
      </c>
      <c r="H32" s="233">
        <f t="shared" si="0"/>
        <v>0.60511308206335679</v>
      </c>
      <c r="I32" s="5"/>
      <c r="J32" s="214"/>
      <c r="K32" s="214"/>
      <c r="L32" s="214"/>
      <c r="M32" s="214"/>
      <c r="N32" s="214"/>
      <c r="O32" s="211"/>
      <c r="Q32" s="5"/>
      <c r="S32" s="26"/>
      <c r="T32" s="26"/>
      <c r="U32" s="26"/>
      <c r="V32" s="113" t="s">
        <v>481</v>
      </c>
      <c r="W32" s="242">
        <f>M17/E45</f>
        <v>1.0846449677877978</v>
      </c>
      <c r="X32" s="242">
        <v>1</v>
      </c>
    </row>
    <row r="33" spans="2:24">
      <c r="B33" s="5" t="s">
        <v>3</v>
      </c>
      <c r="C33" s="288">
        <f>'DM ASIA OTHER'!C33+'EM ASIA CELLULAR'!C33</f>
        <v>8410.9441962392575</v>
      </c>
      <c r="D33" s="188">
        <f>'DM ASIA OTHER'!D33+'EM ASIA CELLULAR'!D33</f>
        <v>8485.4763673688303</v>
      </c>
      <c r="E33" s="188">
        <f>'DM ASIA OTHER'!E33+'EM ASIA CELLULAR'!E33</f>
        <v>8213.8884884727977</v>
      </c>
      <c r="F33" s="188">
        <f>'DM ASIA OTHER'!F33+'EM ASIA CELLULAR'!F33</f>
        <v>8050.9642427086847</v>
      </c>
      <c r="G33" s="188">
        <f>'DM ASIA OTHER'!G33+'EM ASIA CELLULAR'!G33</f>
        <v>7625.6215910942046</v>
      </c>
      <c r="H33" s="233">
        <f t="shared" si="0"/>
        <v>-3.4987347853823625E-2</v>
      </c>
      <c r="I33" s="33"/>
      <c r="J33" s="214"/>
      <c r="K33" s="214"/>
      <c r="L33" s="214"/>
      <c r="M33" s="214"/>
      <c r="N33" s="214"/>
      <c r="O33" s="211"/>
      <c r="Q33" s="5"/>
      <c r="S33" s="26"/>
      <c r="T33" s="26"/>
      <c r="U33" s="26"/>
      <c r="V33" s="113" t="s">
        <v>218</v>
      </c>
      <c r="W33" s="242">
        <f>N19/F47</f>
        <v>0.91232937770401268</v>
      </c>
      <c r="X33" s="242">
        <v>1</v>
      </c>
    </row>
    <row r="34" spans="2:24">
      <c r="H34" s="231"/>
      <c r="I34" s="214"/>
      <c r="J34" s="214"/>
      <c r="K34" s="214"/>
      <c r="L34" s="214"/>
      <c r="M34" s="214"/>
      <c r="N34" s="214"/>
      <c r="O34" s="211"/>
      <c r="Q34" s="5"/>
      <c r="S34" s="26"/>
      <c r="T34" s="26"/>
      <c r="U34" s="26"/>
      <c r="V34" s="26"/>
      <c r="W34" s="26"/>
      <c r="X34" s="26"/>
    </row>
    <row r="35" spans="2:24" ht="12.6" thickBot="1">
      <c r="B35" s="249" t="s">
        <v>231</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2.0742951866164758</v>
      </c>
      <c r="E37" s="48">
        <f t="shared" si="2"/>
        <v>1.8677683033091426</v>
      </c>
      <c r="F37" s="48">
        <f t="shared" si="2"/>
        <v>1.6809029559004356</v>
      </c>
      <c r="G37" s="48">
        <f t="shared" si="2"/>
        <v>1.4669227281433177</v>
      </c>
      <c r="H37" s="13">
        <f t="shared" ref="H37:H45" si="3">H23</f>
        <v>4.2453225639905945E-2</v>
      </c>
      <c r="I37" s="217"/>
      <c r="J37" s="217"/>
      <c r="K37" s="217"/>
      <c r="L37" s="217"/>
      <c r="M37" s="217"/>
      <c r="N37" s="217"/>
      <c r="O37" s="14"/>
      <c r="Q37" s="5"/>
      <c r="R37" s="5"/>
      <c r="S37" s="26"/>
      <c r="T37" s="26"/>
      <c r="U37" s="26"/>
      <c r="V37" s="26"/>
      <c r="W37" s="26"/>
      <c r="X37" s="26"/>
    </row>
    <row r="38" spans="2:24">
      <c r="B38" s="5" t="s">
        <v>158</v>
      </c>
      <c r="C38" s="207"/>
      <c r="D38" s="48">
        <f t="shared" si="2"/>
        <v>6.2116439026357435</v>
      </c>
      <c r="E38" s="48">
        <f t="shared" si="2"/>
        <v>5.4575557200966758</v>
      </c>
      <c r="F38" s="48">
        <f t="shared" si="2"/>
        <v>4.8293417829119329</v>
      </c>
      <c r="G38" s="48">
        <f t="shared" si="2"/>
        <v>4.1544253148955823</v>
      </c>
      <c r="H38" s="13">
        <f t="shared" si="3"/>
        <v>6.2023194374214885E-2</v>
      </c>
      <c r="I38" s="13"/>
      <c r="J38" s="13"/>
      <c r="K38" s="13"/>
      <c r="L38" s="13"/>
      <c r="M38" s="13"/>
      <c r="N38" s="13"/>
      <c r="O38" s="5"/>
      <c r="Q38" s="5"/>
      <c r="R38" s="5"/>
      <c r="S38" s="26"/>
      <c r="T38" s="26"/>
      <c r="U38" s="26"/>
      <c r="V38" s="26"/>
      <c r="W38" s="26"/>
      <c r="X38" s="26"/>
    </row>
    <row r="39" spans="2:24">
      <c r="B39" s="5" t="s">
        <v>159</v>
      </c>
      <c r="C39" s="207"/>
      <c r="D39" s="48">
        <f t="shared" si="2"/>
        <v>10.343988359211556</v>
      </c>
      <c r="E39" s="48">
        <f t="shared" si="2"/>
        <v>8.731281272971696</v>
      </c>
      <c r="F39" s="48">
        <f t="shared" si="2"/>
        <v>7.4511861518704707</v>
      </c>
      <c r="G39" s="48">
        <f t="shared" si="2"/>
        <v>6.2342649923948379</v>
      </c>
      <c r="H39" s="13">
        <f t="shared" si="3"/>
        <v>9.9519809908189316E-2</v>
      </c>
      <c r="I39" s="5"/>
      <c r="J39" s="5"/>
      <c r="K39" s="5"/>
      <c r="L39" s="5"/>
      <c r="M39" s="5"/>
      <c r="N39" s="5"/>
      <c r="O39" s="5"/>
      <c r="Q39" s="5"/>
      <c r="R39" s="5"/>
      <c r="S39" s="26"/>
      <c r="T39" s="26"/>
      <c r="U39" s="26"/>
      <c r="V39" s="26"/>
      <c r="W39" s="242"/>
      <c r="X39" s="242"/>
    </row>
    <row r="40" spans="2:24">
      <c r="B40" s="5" t="s">
        <v>381</v>
      </c>
      <c r="C40" s="207"/>
      <c r="D40" s="48">
        <f t="shared" si="2"/>
        <v>13.550029719375468</v>
      </c>
      <c r="E40" s="48">
        <f t="shared" si="2"/>
        <v>11.571642147701958</v>
      </c>
      <c r="F40" s="48">
        <f t="shared" si="2"/>
        <v>9.9061835621802476</v>
      </c>
      <c r="G40" s="48">
        <f t="shared" si="2"/>
        <v>8.2913052284657685</v>
      </c>
      <c r="H40" s="13">
        <f t="shared" si="3"/>
        <v>9.3976312177183274E-2</v>
      </c>
      <c r="I40" s="207"/>
      <c r="J40" s="217"/>
      <c r="K40" s="217"/>
      <c r="L40" s="217"/>
      <c r="M40" s="217"/>
      <c r="N40" s="217"/>
      <c r="O40" s="14"/>
      <c r="Q40" s="5"/>
      <c r="R40" s="5"/>
      <c r="S40" s="26"/>
      <c r="T40" s="26"/>
      <c r="U40" s="26"/>
      <c r="V40" s="26"/>
      <c r="W40" s="242"/>
      <c r="X40" s="242"/>
    </row>
    <row r="41" spans="2:24">
      <c r="B41" s="5" t="s">
        <v>434</v>
      </c>
      <c r="C41" s="207"/>
      <c r="D41" s="48">
        <f t="shared" si="2"/>
        <v>1.7274540206262605</v>
      </c>
      <c r="E41" s="48">
        <f t="shared" si="2"/>
        <v>1.6339651186931874</v>
      </c>
      <c r="F41" s="48">
        <f t="shared" si="2"/>
        <v>1.5115513246574039</v>
      </c>
      <c r="G41" s="48">
        <f t="shared" si="2"/>
        <v>1.3925201480691802</v>
      </c>
      <c r="H41" s="13">
        <f t="shared" si="3"/>
        <v>-2.0614341370516209E-3</v>
      </c>
      <c r="I41" s="208"/>
      <c r="J41" s="13"/>
      <c r="K41" s="13"/>
      <c r="L41" s="13"/>
      <c r="M41" s="13"/>
      <c r="N41" s="13"/>
      <c r="O41" s="5"/>
      <c r="Q41" s="5"/>
      <c r="R41" s="5"/>
      <c r="S41" s="26"/>
      <c r="T41" s="26"/>
      <c r="U41" s="26"/>
      <c r="V41" s="26"/>
      <c r="W41" s="242"/>
      <c r="X41" s="242"/>
    </row>
    <row r="42" spans="2:24">
      <c r="B42" s="5" t="s">
        <v>493</v>
      </c>
      <c r="C42" s="207"/>
      <c r="D42" s="48">
        <f>D18/D28</f>
        <v>3.2612380643643633</v>
      </c>
      <c r="E42" s="48">
        <f>E18/E28</f>
        <v>3.2192833435937476</v>
      </c>
      <c r="F42" s="48">
        <f>F18/F28</f>
        <v>3.1876798143679874</v>
      </c>
      <c r="G42" s="48">
        <f>G18/G28</f>
        <v>3.0645039076376084</v>
      </c>
      <c r="H42" s="13">
        <f t="shared" si="3"/>
        <v>-5.1778981276664693E-2</v>
      </c>
      <c r="I42" s="207"/>
      <c r="J42" s="5"/>
      <c r="K42" s="5"/>
      <c r="L42" s="5"/>
      <c r="M42" s="5"/>
      <c r="N42" s="5"/>
      <c r="O42" s="5"/>
      <c r="Q42" s="5"/>
      <c r="R42" s="5"/>
      <c r="S42" s="26"/>
      <c r="T42" s="26"/>
      <c r="U42" s="26"/>
      <c r="V42" s="26"/>
      <c r="W42" s="242"/>
      <c r="X42" s="242"/>
    </row>
    <row r="43" spans="2:24">
      <c r="B43" s="5" t="s">
        <v>390</v>
      </c>
      <c r="C43" s="207"/>
      <c r="D43" s="48">
        <f>L26/D29</f>
        <v>16.089349709345136</v>
      </c>
      <c r="E43" s="48">
        <f>M26/E29</f>
        <v>13.569035215617561</v>
      </c>
      <c r="F43" s="48">
        <f>N26/F29</f>
        <v>11.985779858898526</v>
      </c>
      <c r="G43" s="48">
        <f>O26/G29</f>
        <v>10.778399739149165</v>
      </c>
      <c r="H43" s="13">
        <f t="shared" si="3"/>
        <v>0.13833270138668818</v>
      </c>
      <c r="I43" s="207"/>
      <c r="J43" s="207"/>
      <c r="K43" s="207"/>
      <c r="L43" s="207"/>
      <c r="M43" s="207"/>
      <c r="N43" s="207"/>
      <c r="O43" s="14"/>
      <c r="Q43" s="5"/>
      <c r="R43" s="5"/>
      <c r="S43" s="26"/>
      <c r="T43" s="26"/>
      <c r="U43" s="26"/>
      <c r="V43" s="26"/>
      <c r="W43" s="255"/>
      <c r="X43" s="255"/>
    </row>
    <row r="44" spans="2:24">
      <c r="B44" s="5" t="s">
        <v>437</v>
      </c>
      <c r="C44" s="53"/>
      <c r="D44" s="48">
        <f>D11/D30</f>
        <v>17.255412304636312</v>
      </c>
      <c r="E44" s="48">
        <f>E11/E30</f>
        <v>15.150524737269549</v>
      </c>
      <c r="F44" s="48">
        <f>F11/F30</f>
        <v>13.359478131845924</v>
      </c>
      <c r="G44" s="48">
        <f>G11/G30</f>
        <v>11.885465840907804</v>
      </c>
      <c r="H44" s="13">
        <f t="shared" si="3"/>
        <v>0.12716783491985639</v>
      </c>
      <c r="I44" s="208"/>
      <c r="J44" s="208"/>
      <c r="K44" s="208"/>
      <c r="L44" s="208"/>
      <c r="M44" s="208"/>
      <c r="N44" s="208"/>
      <c r="O44" s="208"/>
      <c r="Q44" s="5"/>
      <c r="R44" s="5"/>
      <c r="S44" s="26"/>
      <c r="T44" s="26"/>
      <c r="U44" s="26"/>
      <c r="V44" s="26"/>
      <c r="W44" s="26"/>
      <c r="X44" s="26"/>
    </row>
    <row r="45" spans="2:24">
      <c r="B45" s="5" t="s">
        <v>481</v>
      </c>
      <c r="C45" s="207"/>
      <c r="D45" s="208">
        <f>D31/D11</f>
        <v>4.2664240558129285E-2</v>
      </c>
      <c r="E45" s="208">
        <f>E31/E11</f>
        <v>4.7269393732886626E-2</v>
      </c>
      <c r="F45" s="208">
        <f>F31/F11</f>
        <v>5.1991158134955993E-2</v>
      </c>
      <c r="G45" s="208">
        <f>G31/G11</f>
        <v>5.7038243608915094E-2</v>
      </c>
      <c r="H45" s="13">
        <f t="shared" si="3"/>
        <v>9.6611807454481724E-2</v>
      </c>
      <c r="I45" s="207"/>
      <c r="J45" s="207"/>
      <c r="K45" s="207"/>
      <c r="L45" s="207"/>
      <c r="M45" s="207"/>
      <c r="N45" s="207"/>
      <c r="O45" s="208"/>
      <c r="Q45" s="5"/>
      <c r="R45" s="5"/>
      <c r="S45" s="26"/>
      <c r="T45" s="26"/>
      <c r="U45" s="26"/>
      <c r="V45" s="26"/>
      <c r="W45" s="26"/>
      <c r="X45" s="26"/>
    </row>
    <row r="46" spans="2:24">
      <c r="B46" s="5" t="s">
        <v>505</v>
      </c>
      <c r="C46" s="207"/>
      <c r="D46" s="208">
        <f>(D31+D32)/D11</f>
        <v>4.4347328311475247E-2</v>
      </c>
      <c r="E46" s="208">
        <f>(E31+E32)/E11</f>
        <v>4.467046158803388E-2</v>
      </c>
      <c r="F46" s="208">
        <f>(F31+F32)/F11</f>
        <v>5.5098449809688733E-2</v>
      </c>
      <c r="G46" s="208">
        <f>(G31+G32)/G11</f>
        <v>6.4094381094146738E-2</v>
      </c>
      <c r="H46" s="233">
        <f>((G31+G32)/(D31+D32))^(1/3)-1</f>
        <v>0.12547635490041653</v>
      </c>
      <c r="I46" s="13"/>
      <c r="J46" s="207"/>
      <c r="K46" s="207"/>
      <c r="L46" s="207"/>
      <c r="M46" s="207"/>
      <c r="N46" s="207"/>
      <c r="O46" s="14"/>
      <c r="Q46" s="5"/>
      <c r="R46" s="5"/>
      <c r="S46" s="26"/>
      <c r="T46" s="26"/>
      <c r="U46" s="26"/>
      <c r="V46" s="26"/>
      <c r="W46" s="26"/>
      <c r="X46" s="26"/>
    </row>
    <row r="47" spans="2:24">
      <c r="B47" s="5" t="s">
        <v>482</v>
      </c>
      <c r="C47" s="5"/>
      <c r="D47" s="208">
        <f>1/D43</f>
        <v>6.2152915939117946E-2</v>
      </c>
      <c r="E47" s="208">
        <f>1/E43</f>
        <v>7.3697207215515911E-2</v>
      </c>
      <c r="F47" s="208">
        <f>1/F43</f>
        <v>8.3432201473112852E-2</v>
      </c>
      <c r="G47" s="208">
        <f>1/G43</f>
        <v>9.2778151135721271E-2</v>
      </c>
      <c r="H47" s="13">
        <f>H29</f>
        <v>0.13833270138668818</v>
      </c>
      <c r="I47" s="207"/>
      <c r="J47" s="208"/>
      <c r="K47" s="208"/>
      <c r="L47" s="208"/>
      <c r="M47" s="208"/>
      <c r="N47" s="208"/>
      <c r="O47" s="208"/>
      <c r="Q47" s="5"/>
      <c r="R47" s="5"/>
      <c r="S47" s="5"/>
      <c r="T47" s="5"/>
      <c r="U47" s="5"/>
    </row>
    <row r="48" spans="2:24">
      <c r="B48" s="5" t="s">
        <v>518</v>
      </c>
      <c r="C48" s="5"/>
      <c r="D48" s="248">
        <f>D31/D29</f>
        <v>0.77544477455685379</v>
      </c>
      <c r="E48" s="248">
        <f>E31/E29</f>
        <v>0.72413361320102743</v>
      </c>
      <c r="F48" s="248">
        <f>F31/F29</f>
        <v>0.70312420435974721</v>
      </c>
      <c r="G48" s="248">
        <f>G31/G29</f>
        <v>0.69326933436172999</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0">
    <pageSetUpPr fitToPage="1"/>
  </sheetPr>
  <dimension ref="B1:AA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567</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579</v>
      </c>
      <c r="K7" s="249"/>
      <c r="L7" s="219" t="str">
        <f>L5</f>
        <v>2025E</v>
      </c>
      <c r="M7" s="219" t="str">
        <f t="shared" ref="M7:P7" si="1">M5</f>
        <v>2026E</v>
      </c>
      <c r="N7" s="219" t="str">
        <f t="shared" si="1"/>
        <v>2027E</v>
      </c>
      <c r="O7" s="219" t="str">
        <f t="shared" si="1"/>
        <v>2028E</v>
      </c>
      <c r="P7" s="219" t="str">
        <f t="shared" si="1"/>
        <v>2025-28</v>
      </c>
    </row>
    <row r="8" spans="2:27" ht="12.6" thickTop="1">
      <c r="I8" s="5"/>
      <c r="J8" s="5"/>
      <c r="K8" s="5"/>
      <c r="L8" s="5"/>
      <c r="M8" s="5"/>
      <c r="N8" s="5"/>
    </row>
    <row r="9" spans="2:27">
      <c r="B9" s="25" t="s">
        <v>13</v>
      </c>
      <c r="C9" s="241">
        <f>Prices!C55</f>
        <v>177.78</v>
      </c>
      <c r="D9" s="412">
        <v>468.93041188251419</v>
      </c>
      <c r="E9" s="413">
        <v>469.33157706984628</v>
      </c>
      <c r="F9" s="413">
        <v>469.04603633074959</v>
      </c>
      <c r="G9" s="413">
        <v>468.78118608551466</v>
      </c>
      <c r="H9" s="209"/>
      <c r="I9" s="209"/>
      <c r="J9" s="5" t="s">
        <v>225</v>
      </c>
      <c r="L9" s="406">
        <f>'US TOWERS'!D37</f>
        <v>11.387442893079657</v>
      </c>
      <c r="M9" s="406">
        <f>'US TOWERS'!E37</f>
        <v>10.664828796929593</v>
      </c>
      <c r="N9" s="406">
        <f>'US TOWERS'!F37</f>
        <v>10.122737038800418</v>
      </c>
      <c r="O9" s="406">
        <f>'US TOWERS'!G37</f>
        <v>9.3108648624289465</v>
      </c>
      <c r="P9" s="233">
        <f>'US TOWERS'!H37</f>
        <v>2.1319402766994067E-2</v>
      </c>
    </row>
    <row r="10" spans="2:27">
      <c r="B10" s="5" t="s">
        <v>226</v>
      </c>
      <c r="C10" s="5"/>
      <c r="D10" s="408">
        <v>468.93041188251419</v>
      </c>
      <c r="E10" s="408">
        <v>469.33157706984628</v>
      </c>
      <c r="F10" s="408">
        <v>469.04603633074959</v>
      </c>
      <c r="G10" s="408">
        <v>468.78118608551466</v>
      </c>
      <c r="H10" s="207"/>
      <c r="I10" s="207"/>
      <c r="J10" s="5" t="s">
        <v>158</v>
      </c>
      <c r="L10" s="406">
        <f>'US TOWERS'!D38</f>
        <v>16.941426909201031</v>
      </c>
      <c r="M10" s="406">
        <f>'US TOWERS'!E38</f>
        <v>15.912039926787417</v>
      </c>
      <c r="N10" s="406">
        <f>'US TOWERS'!F38</f>
        <v>15.06465830693746</v>
      </c>
      <c r="O10" s="406">
        <f>'US TOWERS'!G38</f>
        <v>13.718815633600604</v>
      </c>
      <c r="P10" s="233">
        <f>'US TOWERS'!H38</f>
        <v>2.4614840647188663E-2</v>
      </c>
    </row>
    <row r="11" spans="2:27">
      <c r="B11" s="25" t="s">
        <v>357</v>
      </c>
      <c r="C11" s="5"/>
      <c r="D11" s="409">
        <f>$C$9*D10</f>
        <v>83366.448624473371</v>
      </c>
      <c r="E11" s="409">
        <f>$C$9*E10</f>
        <v>83437.767771477273</v>
      </c>
      <c r="F11" s="409">
        <f>$C$9*F10</f>
        <v>83387.004338880666</v>
      </c>
      <c r="G11" s="409">
        <f>$C$9*G10</f>
        <v>83339.919262282798</v>
      </c>
      <c r="H11" s="209"/>
      <c r="I11" s="209"/>
      <c r="J11" s="5" t="s">
        <v>159</v>
      </c>
      <c r="L11" s="406">
        <f>'US TOWERS'!D39</f>
        <v>25.044328983269025</v>
      </c>
      <c r="M11" s="406">
        <f>'US TOWERS'!E39</f>
        <v>27.8658053659967</v>
      </c>
      <c r="N11" s="406">
        <f>'US TOWERS'!F39</f>
        <v>25.812240765059837</v>
      </c>
      <c r="O11" s="406">
        <f>'US TOWERS'!G39</f>
        <v>23.410812249171794</v>
      </c>
      <c r="P11" s="233">
        <f>'US TOWERS'!H39</f>
        <v>-2.3256584083791054E-2</v>
      </c>
    </row>
    <row r="12" spans="2:27">
      <c r="B12" s="5" t="s">
        <v>22</v>
      </c>
      <c r="C12" s="209"/>
      <c r="D12" s="410">
        <v>35292.16032817345</v>
      </c>
      <c r="E12" s="410">
        <v>35437.780033776791</v>
      </c>
      <c r="F12" s="410">
        <v>35637.69383378909</v>
      </c>
      <c r="G12" s="410">
        <v>35880.232316617723</v>
      </c>
      <c r="H12" s="207"/>
      <c r="I12" s="207"/>
      <c r="J12" s="5" t="s">
        <v>381</v>
      </c>
      <c r="L12" s="406">
        <f>'US TOWERS'!D40</f>
        <v>25.811327577987573</v>
      </c>
      <c r="M12" s="406">
        <f>'US TOWERS'!E40</f>
        <v>28.805352403453771</v>
      </c>
      <c r="N12" s="406">
        <f>'US TOWERS'!F40</f>
        <v>26.649214263292812</v>
      </c>
      <c r="O12" s="406">
        <f>'US TOWERS'!G40</f>
        <v>24.132769909398622</v>
      </c>
      <c r="P12" s="233">
        <f>'US TOWERS'!H40</f>
        <v>-2.3323863631279806E-2</v>
      </c>
    </row>
    <row r="13" spans="2:27">
      <c r="B13" s="5" t="s">
        <v>433</v>
      </c>
      <c r="C13" s="216"/>
      <c r="D13" s="410">
        <v>0</v>
      </c>
      <c r="E13" s="410">
        <v>0</v>
      </c>
      <c r="F13" s="410">
        <v>0</v>
      </c>
      <c r="G13" s="410">
        <v>0</v>
      </c>
      <c r="H13" s="207"/>
      <c r="I13" s="207"/>
      <c r="J13" s="5" t="s">
        <v>434</v>
      </c>
      <c r="L13" s="406">
        <f>'US TOWERS'!D41</f>
        <v>2.1457008634461956</v>
      </c>
      <c r="M13" s="406">
        <f>'US TOWERS'!E41</f>
        <v>2.3952937667674412</v>
      </c>
      <c r="N13" s="406">
        <f>'US TOWERS'!F41</f>
        <v>2.2737439576569054</v>
      </c>
      <c r="O13" s="406">
        <f>'US TOWERS'!G41</f>
        <v>2.1582900479284297</v>
      </c>
      <c r="P13" s="233">
        <f>'US TOWERS'!H41</f>
        <v>-4.683231757630979E-2</v>
      </c>
    </row>
    <row r="14" spans="2:27">
      <c r="B14" s="5" t="s">
        <v>436</v>
      </c>
      <c r="C14" s="216"/>
      <c r="D14" s="410">
        <v>0</v>
      </c>
      <c r="E14" s="410">
        <v>0</v>
      </c>
      <c r="F14" s="410">
        <v>0</v>
      </c>
      <c r="G14" s="410">
        <v>0</v>
      </c>
      <c r="H14" s="207"/>
      <c r="I14" s="207"/>
      <c r="J14" s="5" t="s">
        <v>493</v>
      </c>
      <c r="L14" s="406">
        <f>'US TOWERS'!D42</f>
        <v>6.6616104987076543</v>
      </c>
      <c r="M14" s="406">
        <f>'US TOWERS'!E42</f>
        <v>6.2743590798659357</v>
      </c>
      <c r="N14" s="406">
        <f>'US TOWERS'!F42</f>
        <v>6.1943441993636563</v>
      </c>
      <c r="O14" s="406">
        <f>'US TOWERS'!G42</f>
        <v>6.0951108740004605</v>
      </c>
      <c r="P14" s="233">
        <f>'US TOWERS'!H42</f>
        <v>-1.6256078937624263E-2</v>
      </c>
    </row>
    <row r="15" spans="2:27">
      <c r="B15" s="5" t="s">
        <v>435</v>
      </c>
      <c r="C15" s="228"/>
      <c r="D15" s="410">
        <v>0</v>
      </c>
      <c r="E15" s="410">
        <v>0</v>
      </c>
      <c r="F15" s="410">
        <v>0</v>
      </c>
      <c r="G15" s="410">
        <v>0</v>
      </c>
      <c r="H15" s="207"/>
      <c r="I15" s="207"/>
      <c r="J15" s="5" t="s">
        <v>390</v>
      </c>
      <c r="L15" s="406">
        <f>'US TOWERS'!D43</f>
        <v>18.49996444927001</v>
      </c>
      <c r="M15" s="406">
        <f>'US TOWERS'!E43</f>
        <v>22.021153935230735</v>
      </c>
      <c r="N15" s="406">
        <f>'US TOWERS'!F43</f>
        <v>21.040110636012585</v>
      </c>
      <c r="O15" s="406">
        <f>'US TOWERS'!G43</f>
        <v>19.751014947338149</v>
      </c>
      <c r="P15" s="233">
        <f>'US TOWERS'!H43</f>
        <v>-2.3323863631279806E-2</v>
      </c>
    </row>
    <row r="16" spans="2:27">
      <c r="B16" s="5" t="s">
        <v>438</v>
      </c>
      <c r="C16" s="216"/>
      <c r="D16" s="410">
        <v>6233.7353390000007</v>
      </c>
      <c r="E16" s="410">
        <v>9742.029315774218</v>
      </c>
      <c r="F16" s="410">
        <v>13598.69419744012</v>
      </c>
      <c r="G16" s="410">
        <v>17838.560404984644</v>
      </c>
      <c r="H16" s="207"/>
      <c r="I16" s="207"/>
      <c r="J16" s="5" t="s">
        <v>437</v>
      </c>
      <c r="L16" s="406">
        <f>'US TOWERS'!D44</f>
        <v>18.652157517178388</v>
      </c>
      <c r="M16" s="406">
        <f>'US TOWERS'!E44</f>
        <v>17.021096013740827</v>
      </c>
      <c r="N16" s="406">
        <f>'US TOWERS'!F44</f>
        <v>16.633597012595249</v>
      </c>
      <c r="O16" s="406">
        <f>'US TOWERS'!G44</f>
        <v>15.656821263786458</v>
      </c>
      <c r="P16" s="233">
        <f>'US TOWERS'!H44</f>
        <v>5.8193878007610333E-2</v>
      </c>
    </row>
    <row r="17" spans="2:24">
      <c r="B17" s="5" t="s">
        <v>4</v>
      </c>
      <c r="C17" s="216"/>
      <c r="D17" s="410">
        <v>0</v>
      </c>
      <c r="E17" s="410">
        <v>0</v>
      </c>
      <c r="F17" s="410">
        <v>0</v>
      </c>
      <c r="G17" s="410">
        <v>0</v>
      </c>
      <c r="H17" s="207"/>
      <c r="I17" s="207"/>
      <c r="J17" s="5" t="s">
        <v>481</v>
      </c>
      <c r="L17" s="406">
        <f>'US TOWERS'!D45</f>
        <v>3.9641506768476914E-2</v>
      </c>
      <c r="M17" s="406">
        <f>'US TOWERS'!E45</f>
        <v>4.0795481094250033E-2</v>
      </c>
      <c r="N17" s="406">
        <f>'US TOWERS'!F45</f>
        <v>4.3870265844032343E-2</v>
      </c>
      <c r="O17" s="406">
        <f>'US TOWERS'!G45</f>
        <v>4.748006555840064E-2</v>
      </c>
      <c r="P17" s="233">
        <f>'US TOWERS'!H45</f>
        <v>6.0092600761919579E-2</v>
      </c>
      <c r="S17" s="72"/>
      <c r="T17" s="26"/>
      <c r="U17" s="26"/>
      <c r="V17" s="26"/>
      <c r="W17" s="26"/>
      <c r="X17" s="26"/>
    </row>
    <row r="18" spans="2:24" ht="12.6" thickBot="1">
      <c r="B18" s="25" t="s">
        <v>423</v>
      </c>
      <c r="C18" s="209"/>
      <c r="D18" s="411">
        <f>D11+D12+D13-D14+D15-D16-D17</f>
        <v>112424.87361364681</v>
      </c>
      <c r="E18" s="411">
        <f>E11+E12+E13-E14+E15-E16-E17</f>
        <v>109133.51848947984</v>
      </c>
      <c r="F18" s="411">
        <f>F11+F12+F13-F14+F15-F16-F17</f>
        <v>105426.00397522963</v>
      </c>
      <c r="G18" s="411">
        <f>G11+G12+G13-G14+G15-G16-G17</f>
        <v>101381.59117391588</v>
      </c>
      <c r="H18" s="230">
        <f>IF(D18=0,"nm",IF(G18=0,"nm",(G18/D18)^(1/3)-1))</f>
        <v>-3.3877421666551055E-2</v>
      </c>
      <c r="I18" s="214"/>
      <c r="J18" s="5" t="s">
        <v>33</v>
      </c>
      <c r="L18" s="406">
        <f>'US TOWERS'!D46</f>
        <v>3.6837692922845361E-2</v>
      </c>
      <c r="M18" s="406">
        <f>'US TOWERS'!E46</f>
        <v>3.0045030008981226E-2</v>
      </c>
      <c r="N18" s="406">
        <f>'US TOWERS'!F46</f>
        <v>4.0046239661242392E-2</v>
      </c>
      <c r="O18" s="406">
        <f>'US TOWERS'!G46</f>
        <v>4.3647498132346405E-2</v>
      </c>
      <c r="P18" s="233">
        <f>'US TOWERS'!H46</f>
        <v>5.6280011990409662E-2</v>
      </c>
      <c r="S18" s="72"/>
      <c r="T18" s="26"/>
      <c r="U18" s="26"/>
      <c r="V18" s="26"/>
      <c r="W18" s="26"/>
      <c r="X18" s="26"/>
    </row>
    <row r="19" spans="2:24" ht="12.6" thickTop="1">
      <c r="B19" s="25"/>
      <c r="C19" s="209"/>
      <c r="D19" s="189"/>
      <c r="E19" s="189"/>
      <c r="F19" s="189"/>
      <c r="G19" s="189"/>
      <c r="H19" s="230"/>
      <c r="I19" s="214"/>
      <c r="J19" s="5" t="s">
        <v>482</v>
      </c>
      <c r="L19" s="406">
        <f>'US TOWERS'!D47</f>
        <v>5.4054157927825586E-2</v>
      </c>
      <c r="M19" s="406">
        <f>'US TOWERS'!E47</f>
        <v>4.5410880962061723E-2</v>
      </c>
      <c r="N19" s="406">
        <f>'US TOWERS'!F47</f>
        <v>4.7528267189260127E-2</v>
      </c>
      <c r="O19" s="406">
        <f>'US TOWERS'!G47</f>
        <v>5.063030951403185E-2</v>
      </c>
      <c r="P19" s="233">
        <f>'US TOWERS'!H47</f>
        <v>-2.3323863631279806E-2</v>
      </c>
      <c r="S19" s="72"/>
      <c r="T19" s="26"/>
      <c r="U19" s="26"/>
      <c r="V19" s="26"/>
      <c r="W19" s="26"/>
      <c r="X19" s="26"/>
    </row>
    <row r="20" spans="2:24">
      <c r="H20" s="231"/>
      <c r="I20" s="13"/>
      <c r="J20" s="5" t="s">
        <v>504</v>
      </c>
      <c r="L20" s="425">
        <f>'US TOWERS'!D48</f>
        <v>0.73336646593231936</v>
      </c>
      <c r="M20" s="425">
        <f>'US TOWERS'!E48</f>
        <v>0.89836356903827519</v>
      </c>
      <c r="N20" s="425">
        <f>'US TOWERS'!F48</f>
        <v>0.9230352469897245</v>
      </c>
      <c r="O20" s="425">
        <f>'US TOWERS'!G48</f>
        <v>0.93777948454456617</v>
      </c>
      <c r="P20" s="233" t="str">
        <f>'US TOWERS'!H48</f>
        <v>nm</v>
      </c>
      <c r="S20" s="72"/>
      <c r="T20" s="26"/>
      <c r="U20" s="26"/>
      <c r="V20" s="26"/>
      <c r="W20" s="26"/>
      <c r="X20" s="26"/>
    </row>
    <row r="21" spans="2:24" ht="12.6" thickBot="1">
      <c r="B21" s="249" t="s">
        <v>755</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10127.199999999999</v>
      </c>
      <c r="D23" s="410">
        <v>10576.733601144946</v>
      </c>
      <c r="E23" s="410">
        <v>10824.6563783529</v>
      </c>
      <c r="F23" s="410">
        <v>11067.04864864941</v>
      </c>
      <c r="G23" s="410">
        <v>11704.02941222805</v>
      </c>
      <c r="H23" s="233">
        <f t="shared" ref="H23:H33" si="3">IF(D23=0,"nm",IF(G23=0,"nm",(G23/D23)^(1/3)-1))</f>
        <v>3.4335140286180676E-2</v>
      </c>
      <c r="I23" s="248"/>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6812.0999999999995</v>
      </c>
      <c r="D24" s="410">
        <v>7090.2500354659223</v>
      </c>
      <c r="E24" s="410">
        <v>7192.1117608611858</v>
      </c>
      <c r="F24" s="410">
        <v>7391.294677911872</v>
      </c>
      <c r="G24" s="410">
        <v>7936.9683888344971</v>
      </c>
      <c r="H24" s="233">
        <f t="shared" si="3"/>
        <v>3.8319555008484718E-2</v>
      </c>
      <c r="I24" s="209"/>
      <c r="J24" s="13"/>
      <c r="K24" s="13"/>
      <c r="L24" s="13"/>
      <c r="M24" s="13"/>
      <c r="N24" s="13"/>
      <c r="O24" s="208"/>
      <c r="S24" s="72"/>
      <c r="T24" s="26"/>
      <c r="U24" s="26"/>
      <c r="V24" s="26"/>
      <c r="W24" s="26" t="s">
        <v>580</v>
      </c>
      <c r="X24" s="26" t="s">
        <v>581</v>
      </c>
    </row>
    <row r="25" spans="2:24">
      <c r="B25" s="5" t="s">
        <v>157</v>
      </c>
      <c r="C25" s="422">
        <v>3700.5</v>
      </c>
      <c r="D25" s="410">
        <v>3625.097095151511</v>
      </c>
      <c r="E25" s="410">
        <v>3691.6420397659149</v>
      </c>
      <c r="F25" s="410">
        <v>3985.7188502486506</v>
      </c>
      <c r="G25" s="410">
        <v>4326.2954933109268</v>
      </c>
      <c r="H25" s="233">
        <f t="shared" si="3"/>
        <v>6.0715329401038742E-2</v>
      </c>
      <c r="I25" s="208"/>
      <c r="J25" s="207" t="s">
        <v>8</v>
      </c>
      <c r="K25" s="207"/>
      <c r="L25" s="252">
        <v>0</v>
      </c>
      <c r="M25" s="252">
        <v>0</v>
      </c>
      <c r="N25" s="252">
        <v>0</v>
      </c>
      <c r="O25" s="252">
        <v>0</v>
      </c>
      <c r="P25" s="233" t="str">
        <f>IF(L25=0,"nm",IF(O25=0,"nm",(O25/L25)^(1/3)-1))</f>
        <v>nm</v>
      </c>
      <c r="S25" s="72"/>
      <c r="T25" s="26"/>
      <c r="U25" s="26"/>
      <c r="V25" s="113" t="s">
        <v>225</v>
      </c>
      <c r="W25" s="242">
        <f t="shared" ref="W25:W33" si="5">D37/L9</f>
        <v>0.93343618006180429</v>
      </c>
      <c r="X25" s="242">
        <v>1</v>
      </c>
    </row>
    <row r="26" spans="2:24">
      <c r="B26" s="5" t="s">
        <v>487</v>
      </c>
      <c r="C26" s="422">
        <v>3700.5</v>
      </c>
      <c r="D26" s="410">
        <v>3625.097095151511</v>
      </c>
      <c r="E26" s="410">
        <v>3691.6420397659149</v>
      </c>
      <c r="F26" s="410">
        <v>3985.7188502486506</v>
      </c>
      <c r="G26" s="410">
        <v>4326.2954933109268</v>
      </c>
      <c r="H26" s="233">
        <f t="shared" si="3"/>
        <v>6.0715329401038742E-2</v>
      </c>
      <c r="I26" s="209"/>
      <c r="J26" s="209" t="s">
        <v>9</v>
      </c>
      <c r="K26" s="209"/>
      <c r="L26" s="235">
        <f>D11+L25</f>
        <v>83366.448624473371</v>
      </c>
      <c r="M26" s="235">
        <f>E11+M25</f>
        <v>83437.767771477273</v>
      </c>
      <c r="N26" s="235">
        <f>F11+N25</f>
        <v>83387.004338880666</v>
      </c>
      <c r="O26" s="235">
        <f>G11+O25</f>
        <v>83339.919262282798</v>
      </c>
      <c r="P26" s="233">
        <f>IF(L26=0,"nm",IF(O26=0,"nm",(O26/L26)^(1/3)-1))</f>
        <v>-1.0608655014865409E-4</v>
      </c>
      <c r="Q26" s="5"/>
      <c r="S26" s="72"/>
      <c r="T26" s="26"/>
      <c r="U26" s="26"/>
      <c r="V26" s="113" t="s">
        <v>158</v>
      </c>
      <c r="W26" s="242">
        <f t="shared" si="5"/>
        <v>0.93594616874017089</v>
      </c>
      <c r="X26" s="242">
        <v>1</v>
      </c>
    </row>
    <row r="27" spans="2:24">
      <c r="B27" s="5" t="s">
        <v>488</v>
      </c>
      <c r="C27" s="423">
        <v>44042.3</v>
      </c>
      <c r="D27" s="410">
        <v>45587.009815999249</v>
      </c>
      <c r="E27" s="410">
        <v>45631.438269467049</v>
      </c>
      <c r="F27" s="410">
        <v>45456.803139359959</v>
      </c>
      <c r="G27" s="410">
        <v>45356.588794260002</v>
      </c>
      <c r="H27" s="233">
        <f t="shared" si="3"/>
        <v>-1.6876908577755367E-3</v>
      </c>
      <c r="I27" s="209"/>
      <c r="J27" s="208"/>
      <c r="K27" s="208"/>
      <c r="L27" s="208"/>
      <c r="M27" s="208"/>
      <c r="N27" s="208"/>
      <c r="O27" s="208"/>
      <c r="Q27" s="25"/>
      <c r="S27" s="72"/>
      <c r="T27" s="26"/>
      <c r="U27" s="26"/>
      <c r="V27" s="113" t="s">
        <v>159</v>
      </c>
      <c r="W27" s="242">
        <f t="shared" si="5"/>
        <v>1.2383213613649553</v>
      </c>
      <c r="X27" s="242">
        <v>1</v>
      </c>
    </row>
    <row r="28" spans="2:24">
      <c r="B28" s="5" t="s">
        <v>492</v>
      </c>
      <c r="C28" s="422">
        <v>19056.8</v>
      </c>
      <c r="D28" s="410">
        <v>20186.009815999252</v>
      </c>
      <c r="E28" s="410">
        <v>19972.186282578299</v>
      </c>
      <c r="F28" s="410">
        <v>19754.299165582441</v>
      </c>
      <c r="G28" s="410">
        <v>19542.332833593726</v>
      </c>
      <c r="H28" s="233">
        <f t="shared" si="3"/>
        <v>-1.0744116537320547E-2</v>
      </c>
      <c r="I28" s="208"/>
      <c r="J28" s="208"/>
      <c r="K28" s="208"/>
      <c r="L28" s="208"/>
      <c r="M28" s="208"/>
      <c r="N28" s="208"/>
      <c r="O28" s="5"/>
      <c r="Q28" s="5"/>
      <c r="S28" s="72"/>
      <c r="T28" s="26"/>
      <c r="U28" s="26"/>
      <c r="V28" s="113" t="s">
        <v>381</v>
      </c>
      <c r="W28" s="242">
        <f t="shared" si="5"/>
        <v>1.2015239226781176</v>
      </c>
      <c r="X28" s="242">
        <v>1</v>
      </c>
    </row>
    <row r="29" spans="2:24" ht="12.6" thickBot="1">
      <c r="B29" s="5" t="s">
        <v>489</v>
      </c>
      <c r="C29" s="422">
        <v>3700.5</v>
      </c>
      <c r="D29" s="410">
        <v>3625.097095151511</v>
      </c>
      <c r="E29" s="410">
        <v>3691.6420397659149</v>
      </c>
      <c r="F29" s="410">
        <v>3985.7188502486506</v>
      </c>
      <c r="G29" s="410">
        <v>4326.2954933109268</v>
      </c>
      <c r="H29" s="233">
        <f t="shared" si="3"/>
        <v>6.0715329401038742E-2</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1.1493495378778484</v>
      </c>
      <c r="X29" s="242">
        <v>1</v>
      </c>
    </row>
    <row r="30" spans="2:24" ht="12.6" thickTop="1">
      <c r="B30" s="5" t="s">
        <v>490</v>
      </c>
      <c r="C30" s="423">
        <v>5363.1375578168354</v>
      </c>
      <c r="D30" s="410">
        <v>4366.1544308872199</v>
      </c>
      <c r="E30" s="410">
        <v>5216.6219985613088</v>
      </c>
      <c r="F30" s="410">
        <v>5297.5616791888306</v>
      </c>
      <c r="G30" s="410">
        <v>5718.4050471539404</v>
      </c>
      <c r="H30" s="233">
        <f t="shared" si="3"/>
        <v>9.4104003444238637E-2</v>
      </c>
      <c r="I30" s="214"/>
      <c r="J30" s="208"/>
      <c r="K30" s="208"/>
      <c r="L30" s="208"/>
      <c r="M30" s="208"/>
      <c r="N30" s="208"/>
      <c r="O30" s="5"/>
      <c r="Q30" s="5"/>
      <c r="S30" s="72"/>
      <c r="T30" s="26"/>
      <c r="U30" s="26"/>
      <c r="V30" s="113" t="s">
        <v>493</v>
      </c>
      <c r="W30" s="242">
        <f t="shared" si="5"/>
        <v>0.83605084818119746</v>
      </c>
      <c r="X30" s="242">
        <v>1</v>
      </c>
    </row>
    <row r="31" spans="2:24">
      <c r="B31" s="5" t="s">
        <v>491</v>
      </c>
      <c r="C31" s="423">
        <v>3074.9</v>
      </c>
      <c r="D31" s="410">
        <v>3158.8353390000002</v>
      </c>
      <c r="E31" s="410">
        <v>3508.2939767742173</v>
      </c>
      <c r="F31" s="410">
        <v>3856.6648816659022</v>
      </c>
      <c r="G31" s="410">
        <v>4239.8662075445227</v>
      </c>
      <c r="H31" s="233">
        <f t="shared" si="3"/>
        <v>0.10308349917667825</v>
      </c>
      <c r="I31" s="214"/>
      <c r="J31" s="5" t="s">
        <v>613</v>
      </c>
      <c r="K31" s="207"/>
      <c r="L31" s="253">
        <v>185229.61256603996</v>
      </c>
      <c r="M31" s="253">
        <v>189972.64770617557</v>
      </c>
      <c r="N31" s="253">
        <v>194599.90954103542</v>
      </c>
      <c r="O31" s="253">
        <v>194599.90954103542</v>
      </c>
      <c r="Q31" s="5"/>
      <c r="S31" s="72"/>
      <c r="T31" s="26"/>
      <c r="U31" s="26"/>
      <c r="V31" s="113" t="s">
        <v>390</v>
      </c>
      <c r="W31" s="242">
        <f t="shared" si="5"/>
        <v>1.2430848227089764</v>
      </c>
      <c r="X31" s="242">
        <v>1</v>
      </c>
    </row>
    <row r="32" spans="2:24">
      <c r="B32" s="5" t="s">
        <v>506</v>
      </c>
      <c r="C32" s="424">
        <v>0</v>
      </c>
      <c r="D32" s="410">
        <v>-25</v>
      </c>
      <c r="E32" s="410">
        <v>-100</v>
      </c>
      <c r="F32" s="410">
        <v>-100</v>
      </c>
      <c r="G32" s="410">
        <v>-100</v>
      </c>
      <c r="H32" s="233">
        <f t="shared" si="3"/>
        <v>0.58740105196819936</v>
      </c>
      <c r="I32" s="214"/>
      <c r="J32" s="5" t="s">
        <v>1072</v>
      </c>
      <c r="K32" s="214"/>
      <c r="L32" s="253">
        <v>403800.55539396638</v>
      </c>
      <c r="M32" s="253">
        <v>433137.63677007961</v>
      </c>
      <c r="N32" s="253">
        <v>463147.78470766358</v>
      </c>
      <c r="O32" s="253">
        <v>463147.78470766358</v>
      </c>
      <c r="Q32" s="5"/>
      <c r="S32" s="72"/>
      <c r="T32" s="26"/>
      <c r="U32" s="26"/>
      <c r="V32" s="113" t="s">
        <v>437</v>
      </c>
      <c r="W32" s="242">
        <f t="shared" si="5"/>
        <v>1.0236774441325813</v>
      </c>
      <c r="X32" s="242">
        <v>1</v>
      </c>
    </row>
    <row r="33" spans="2:24">
      <c r="B33" s="5" t="s">
        <v>3</v>
      </c>
      <c r="C33" s="423">
        <v>1269.3</v>
      </c>
      <c r="D33" s="410">
        <v>1244.6025189077318</v>
      </c>
      <c r="E33" s="410">
        <v>1261.061687763005</v>
      </c>
      <c r="F33" s="410">
        <v>1370.5718264942755</v>
      </c>
      <c r="G33" s="410">
        <v>1473.1694734607186</v>
      </c>
      <c r="H33" s="233">
        <f t="shared" si="3"/>
        <v>5.7809212828927814E-2</v>
      </c>
      <c r="I33" s="5"/>
      <c r="Q33" s="5"/>
      <c r="S33" s="72"/>
      <c r="T33" s="26"/>
      <c r="U33" s="26"/>
      <c r="V33" s="113" t="s">
        <v>481</v>
      </c>
      <c r="W33" s="242">
        <f t="shared" si="5"/>
        <v>0.95584073139611103</v>
      </c>
      <c r="X33" s="242">
        <v>1</v>
      </c>
    </row>
    <row r="34" spans="2:24">
      <c r="H34" s="231"/>
      <c r="I34" s="33"/>
      <c r="Q34" s="5"/>
      <c r="S34" s="72"/>
      <c r="T34" s="26"/>
      <c r="U34" s="26"/>
      <c r="V34" s="113" t="s">
        <v>482</v>
      </c>
      <c r="W34" s="242">
        <f>D47/L19</f>
        <v>0.80445033334150362</v>
      </c>
      <c r="X34" s="242">
        <v>1</v>
      </c>
    </row>
    <row r="35" spans="2:24" ht="12.6" thickBot="1">
      <c r="B35" s="249" t="s">
        <v>582</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6"/>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 t="shared" ref="D37:G41" si="8">D$18/D23</f>
        <v>10.629451194788215</v>
      </c>
      <c r="E37" s="406">
        <f t="shared" si="8"/>
        <v>10.081938370600342</v>
      </c>
      <c r="F37" s="406">
        <f t="shared" si="8"/>
        <v>9.5261173346423753</v>
      </c>
      <c r="G37" s="406">
        <f t="shared" si="8"/>
        <v>8.6621100821905959</v>
      </c>
      <c r="H37" s="13">
        <f>H23</f>
        <v>3.4335140286180676E-2</v>
      </c>
      <c r="I37" s="5"/>
      <c r="J37" s="208"/>
      <c r="K37" s="208"/>
      <c r="L37" s="208"/>
      <c r="M37" s="208"/>
      <c r="N37" s="208"/>
      <c r="O37" s="5"/>
      <c r="Q37" s="5"/>
      <c r="R37" s="5"/>
      <c r="S37" s="26"/>
      <c r="T37" s="26"/>
      <c r="U37" s="26"/>
      <c r="V37" s="26"/>
      <c r="W37" s="26"/>
      <c r="X37" s="26"/>
    </row>
    <row r="38" spans="2:24">
      <c r="B38" s="5" t="s">
        <v>158</v>
      </c>
      <c r="C38" s="207"/>
      <c r="D38" s="406">
        <f>D$18/D24</f>
        <v>15.85626360865834</v>
      </c>
      <c r="E38" s="406">
        <f t="shared" si="8"/>
        <v>15.174057650685361</v>
      </c>
      <c r="F38" s="406">
        <f t="shared" si="8"/>
        <v>14.263536845619814</v>
      </c>
      <c r="G38" s="406">
        <f t="shared" si="8"/>
        <v>12.773339417167975</v>
      </c>
      <c r="H38" s="13">
        <f t="shared" ref="H38:H45" si="9">H24</f>
        <v>3.8319555008484718E-2</v>
      </c>
      <c r="I38" s="217"/>
      <c r="J38" s="212"/>
      <c r="K38" s="212"/>
      <c r="L38" s="212"/>
      <c r="M38" s="212"/>
      <c r="N38" s="212"/>
      <c r="O38" s="5"/>
      <c r="Q38" s="5"/>
      <c r="R38" s="5"/>
      <c r="S38" s="26"/>
      <c r="T38" s="26"/>
      <c r="U38" s="26"/>
      <c r="V38" s="26"/>
      <c r="W38" s="26"/>
      <c r="X38" s="26"/>
    </row>
    <row r="39" spans="2:24">
      <c r="B39" s="5" t="s">
        <v>159</v>
      </c>
      <c r="C39" s="207"/>
      <c r="D39" s="406">
        <f t="shared" si="8"/>
        <v>31.012927561033507</v>
      </c>
      <c r="E39" s="406">
        <f t="shared" si="8"/>
        <v>29.562324113201385</v>
      </c>
      <c r="F39" s="406">
        <f t="shared" si="8"/>
        <v>26.450938447063969</v>
      </c>
      <c r="G39" s="406">
        <f t="shared" si="8"/>
        <v>23.433811058598831</v>
      </c>
      <c r="H39" s="13">
        <f t="shared" si="9"/>
        <v>6.0715329401038742E-2</v>
      </c>
      <c r="I39" s="13"/>
      <c r="J39" s="217"/>
      <c r="K39" s="217"/>
      <c r="L39" s="217"/>
      <c r="M39" s="217"/>
      <c r="N39" s="217"/>
      <c r="O39" s="14"/>
      <c r="Q39" s="5"/>
      <c r="R39" s="5"/>
      <c r="S39" s="26"/>
      <c r="T39" s="26"/>
      <c r="U39" s="26"/>
      <c r="V39" s="26"/>
      <c r="W39" s="26"/>
      <c r="X39" s="26"/>
    </row>
    <row r="40" spans="2:24">
      <c r="B40" s="5" t="s">
        <v>381</v>
      </c>
      <c r="C40" s="207"/>
      <c r="D40" s="406">
        <f t="shared" si="8"/>
        <v>31.012927561033507</v>
      </c>
      <c r="E40" s="406">
        <f t="shared" si="8"/>
        <v>29.562324113201385</v>
      </c>
      <c r="F40" s="406">
        <f t="shared" si="8"/>
        <v>26.450938447063969</v>
      </c>
      <c r="G40" s="406">
        <f t="shared" si="8"/>
        <v>23.433811058598831</v>
      </c>
      <c r="H40" s="13">
        <f t="shared" si="9"/>
        <v>6.0715329401038742E-2</v>
      </c>
      <c r="I40" s="5"/>
      <c r="J40" s="217"/>
      <c r="K40" s="217"/>
      <c r="L40" s="217"/>
      <c r="M40" s="217"/>
      <c r="N40" s="217"/>
      <c r="O40" s="14"/>
      <c r="Q40" s="5"/>
      <c r="R40" s="5"/>
      <c r="S40" s="26"/>
      <c r="T40" s="26"/>
      <c r="U40" s="26"/>
      <c r="V40" s="26"/>
      <c r="W40" s="242"/>
      <c r="X40" s="242"/>
    </row>
    <row r="41" spans="2:24">
      <c r="B41" s="5" t="s">
        <v>434</v>
      </c>
      <c r="C41" s="207"/>
      <c r="D41" s="406">
        <f t="shared" si="8"/>
        <v>2.4661602958259854</v>
      </c>
      <c r="E41" s="406">
        <f t="shared" si="8"/>
        <v>2.3916300390317384</v>
      </c>
      <c r="F41" s="406">
        <f t="shared" si="8"/>
        <v>2.3192568921315933</v>
      </c>
      <c r="G41" s="406">
        <f t="shared" si="8"/>
        <v>2.2352119916642845</v>
      </c>
      <c r="H41" s="13">
        <f t="shared" si="9"/>
        <v>-1.6876908577755367E-3</v>
      </c>
      <c r="I41" s="207"/>
      <c r="J41" s="217"/>
      <c r="K41" s="217"/>
      <c r="L41" s="217"/>
      <c r="M41" s="217"/>
      <c r="N41" s="217"/>
      <c r="O41" s="14"/>
      <c r="Q41" s="5"/>
      <c r="R41" s="5"/>
      <c r="S41" s="26"/>
      <c r="T41" s="26"/>
      <c r="U41" s="26"/>
      <c r="V41" s="26"/>
      <c r="W41" s="242"/>
      <c r="X41" s="242"/>
    </row>
    <row r="42" spans="2:24">
      <c r="B42" s="5" t="s">
        <v>493</v>
      </c>
      <c r="C42" s="207"/>
      <c r="D42" s="406">
        <f>D18/D28</f>
        <v>5.5694451076973044</v>
      </c>
      <c r="E42" s="406">
        <f>E18/E28</f>
        <v>5.4642750145324257</v>
      </c>
      <c r="F42" s="406">
        <f>F18/F28</f>
        <v>5.3368637931185861</v>
      </c>
      <c r="G42" s="406">
        <f>G18/G28</f>
        <v>5.1877937008440753</v>
      </c>
      <c r="H42" s="13">
        <f t="shared" si="9"/>
        <v>-1.0744116537320547E-2</v>
      </c>
      <c r="I42" s="208"/>
      <c r="J42" s="5"/>
      <c r="K42" s="5"/>
      <c r="L42" s="5"/>
      <c r="M42" s="5"/>
      <c r="N42" s="5"/>
      <c r="O42" s="5"/>
      <c r="Q42" s="5"/>
      <c r="R42" s="5"/>
      <c r="S42" s="26"/>
      <c r="T42" s="26"/>
      <c r="U42" s="26"/>
      <c r="V42" s="26"/>
      <c r="W42" s="242"/>
      <c r="X42" s="242"/>
    </row>
    <row r="43" spans="2:24">
      <c r="B43" s="5" t="s">
        <v>390</v>
      </c>
      <c r="C43" s="207"/>
      <c r="D43" s="406">
        <f>L26/D29</f>
        <v>22.997025027543177</v>
      </c>
      <c r="E43" s="406">
        <f>M26/E29</f>
        <v>22.601803444834541</v>
      </c>
      <c r="F43" s="406">
        <f>N26/F29</f>
        <v>20.921446662922182</v>
      </c>
      <c r="G43" s="406">
        <f>O26/G29</f>
        <v>19.26357535936652</v>
      </c>
      <c r="H43" s="13">
        <f t="shared" si="9"/>
        <v>6.0715329401038742E-2</v>
      </c>
      <c r="I43" s="207"/>
      <c r="J43" s="53"/>
      <c r="K43" s="53"/>
      <c r="L43" s="53"/>
      <c r="M43" s="53"/>
      <c r="N43" s="53"/>
      <c r="O43" s="53"/>
      <c r="Q43" s="5"/>
      <c r="R43" s="5"/>
      <c r="S43" s="26"/>
      <c r="T43" s="26"/>
      <c r="U43" s="26"/>
      <c r="V43" s="26"/>
      <c r="W43" s="242"/>
      <c r="X43" s="242"/>
    </row>
    <row r="44" spans="2:24">
      <c r="B44" s="5" t="s">
        <v>437</v>
      </c>
      <c r="C44" s="53"/>
      <c r="D44" s="406">
        <f>D11/D30</f>
        <v>19.093792934743487</v>
      </c>
      <c r="E44" s="406">
        <f>E11/E30</f>
        <v>15.994597230638631</v>
      </c>
      <c r="F44" s="406">
        <f>F11/F30</f>
        <v>15.740638691657288</v>
      </c>
      <c r="G44" s="406">
        <f>G11/G30</f>
        <v>14.573979732995866</v>
      </c>
      <c r="H44" s="13">
        <f t="shared" si="9"/>
        <v>9.4104003444238637E-2</v>
      </c>
      <c r="I44" s="207"/>
      <c r="J44" s="217"/>
      <c r="K44" s="217"/>
      <c r="L44" s="217"/>
      <c r="M44" s="217"/>
      <c r="N44" s="217"/>
      <c r="O44" s="14"/>
      <c r="Q44" s="5"/>
      <c r="R44" s="5"/>
      <c r="S44" s="26"/>
      <c r="T44" s="26"/>
      <c r="U44" s="26"/>
      <c r="V44" s="26"/>
      <c r="W44" s="255"/>
      <c r="X44" s="255"/>
    </row>
    <row r="45" spans="2:24">
      <c r="B45" s="5" t="s">
        <v>481</v>
      </c>
      <c r="C45" s="207"/>
      <c r="D45" s="208">
        <f>D31/D11</f>
        <v>3.7890966823224861E-2</v>
      </c>
      <c r="E45" s="208">
        <f>E31/E11</f>
        <v>4.2046834071386888E-2</v>
      </c>
      <c r="F45" s="208">
        <f>F31/F11</f>
        <v>4.6250191048866636E-2</v>
      </c>
      <c r="G45" s="208">
        <f>G31/G11</f>
        <v>5.0874373830397529E-2</v>
      </c>
      <c r="H45" s="13">
        <f t="shared" si="9"/>
        <v>0.10308349917667825</v>
      </c>
      <c r="I45" s="208"/>
      <c r="J45" s="13"/>
      <c r="K45" s="13"/>
      <c r="L45" s="13"/>
      <c r="M45" s="13"/>
      <c r="N45" s="13"/>
      <c r="O45" s="5"/>
      <c r="Q45" s="5"/>
      <c r="R45" s="5"/>
      <c r="S45" s="26"/>
      <c r="T45" s="26"/>
      <c r="U45" s="26"/>
      <c r="V45" s="26"/>
      <c r="W45" s="26"/>
      <c r="X45" s="26"/>
    </row>
    <row r="46" spans="2:24">
      <c r="B46" s="5" t="s">
        <v>505</v>
      </c>
      <c r="C46" s="207"/>
      <c r="D46" s="208">
        <f>(D31+D32)/D11</f>
        <v>3.7591085990917691E-2</v>
      </c>
      <c r="E46" s="208">
        <f>(E31+E32)/E11</f>
        <v>4.084833604500291E-2</v>
      </c>
      <c r="F46" s="208">
        <f>(F31+F32)/F11</f>
        <v>4.5050963413903224E-2</v>
      </c>
      <c r="G46" s="208">
        <f>(G31+G32)/G11</f>
        <v>4.9674468660279886E-2</v>
      </c>
      <c r="H46" s="233">
        <f>((G31+G32)/(D31+D32))^(1/3)-1</f>
        <v>9.7244411057550106E-2</v>
      </c>
      <c r="I46" s="207"/>
      <c r="J46" s="5"/>
      <c r="K46" s="5"/>
      <c r="L46" s="5"/>
      <c r="M46" s="5"/>
      <c r="N46" s="5"/>
      <c r="O46" s="5"/>
      <c r="Q46" s="5"/>
      <c r="R46" s="5"/>
      <c r="S46" s="26"/>
      <c r="T46" s="26"/>
      <c r="U46" s="26"/>
      <c r="V46" s="26"/>
      <c r="W46" s="26"/>
      <c r="X46" s="26"/>
    </row>
    <row r="47" spans="2:24">
      <c r="B47" s="5" t="s">
        <v>482</v>
      </c>
      <c r="C47" s="5"/>
      <c r="D47" s="208">
        <f>1/D43</f>
        <v>4.3483885363533571E-2</v>
      </c>
      <c r="E47" s="208">
        <f>1/E43</f>
        <v>4.4244256987755637E-2</v>
      </c>
      <c r="F47" s="208">
        <f>1/F43</f>
        <v>4.7797841904127961E-2</v>
      </c>
      <c r="G47" s="208">
        <f>1/G43</f>
        <v>5.1911443298804365E-2</v>
      </c>
      <c r="H47" s="13">
        <f>H29</f>
        <v>6.0715329401038742E-2</v>
      </c>
      <c r="I47" s="13"/>
      <c r="J47" s="217"/>
      <c r="K47" s="217"/>
      <c r="L47" s="217"/>
      <c r="M47" s="217"/>
      <c r="N47" s="217"/>
      <c r="O47" s="14"/>
      <c r="Q47" s="5"/>
      <c r="R47" s="5"/>
      <c r="S47" s="26"/>
      <c r="T47" s="26"/>
      <c r="U47" s="26"/>
      <c r="V47" s="26"/>
      <c r="W47" s="26"/>
      <c r="X47" s="26"/>
    </row>
    <row r="48" spans="2:24">
      <c r="B48" s="5" t="s">
        <v>518</v>
      </c>
      <c r="C48" s="5"/>
      <c r="D48" s="248">
        <f>D31/D29</f>
        <v>0.87137951235151034</v>
      </c>
      <c r="E48" s="248">
        <f>E31/E29</f>
        <v>0.95033427915905855</v>
      </c>
      <c r="F48" s="248">
        <f>F31/F29</f>
        <v>0.96762090517882426</v>
      </c>
      <c r="G48" s="248">
        <f>G31/G29</f>
        <v>0.98002233414244677</v>
      </c>
      <c r="H48" s="233" t="s">
        <v>507</v>
      </c>
      <c r="I48" s="207"/>
      <c r="J48" s="13"/>
      <c r="K48" s="13"/>
      <c r="L48" s="13"/>
      <c r="M48" s="13"/>
      <c r="N48" s="13"/>
      <c r="O48" s="5"/>
      <c r="Q48" s="5"/>
      <c r="R48" s="5"/>
      <c r="S48" s="26"/>
      <c r="T48" s="26"/>
      <c r="U48" s="26"/>
      <c r="V48" s="26"/>
      <c r="W48" s="26"/>
      <c r="X48" s="26"/>
    </row>
    <row r="49" spans="2:17">
      <c r="B49" s="25"/>
      <c r="C49" s="13"/>
      <c r="D49" s="13"/>
      <c r="E49" s="13"/>
      <c r="F49" s="13"/>
      <c r="G49" s="13"/>
      <c r="H49" s="13"/>
      <c r="I49" s="214"/>
      <c r="J49" s="5"/>
      <c r="K49" s="5"/>
      <c r="L49" s="5"/>
      <c r="M49" s="5"/>
      <c r="N49" s="5"/>
      <c r="O49" s="5"/>
      <c r="Q49" s="5"/>
    </row>
  </sheetData>
  <pageMargins left="0.75" right="0.75" top="1" bottom="1" header="0.5" footer="0.5"/>
  <pageSetup scale="71"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31">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279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427</v>
      </c>
      <c r="C11" s="5"/>
      <c r="D11" s="225">
        <f>'AGG ASIA INCUMB'!D11+'AGG ASIA CELLULAR'!D11</f>
        <v>832291.94212878088</v>
      </c>
      <c r="E11" s="225">
        <f>'AGG ASIA INCUMB'!E11+'AGG ASIA CELLULAR'!E11</f>
        <v>827453.35497141979</v>
      </c>
      <c r="F11" s="225">
        <f>'AGG ASIA INCUMB'!F11+'AGG ASIA CELLULAR'!F11</f>
        <v>822544.2544797454</v>
      </c>
      <c r="G11" s="225">
        <f>'AGG ASIA INCUMB'!G11+'AGG ASIA CELLULAR'!G11</f>
        <v>817631.22245817282</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'AGG ASIA INCUMB'!D12+'AGG ASIA CELLULAR'!D12</f>
        <v>145708.72721211321</v>
      </c>
      <c r="E12" s="188">
        <f>'AGG ASIA INCUMB'!E12+'AGG ASIA CELLULAR'!E12</f>
        <v>122319.33690007785</v>
      </c>
      <c r="F12" s="188">
        <f>'AGG ASIA INCUMB'!F12+'AGG ASIA CELLULAR'!F12</f>
        <v>113532.99705555593</v>
      </c>
      <c r="G12" s="188">
        <f>'AGG ASIA INCUMB'!G12+'AGG ASIA CELLULAR'!G12</f>
        <v>81937.127330714764</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'AGG ASIA INCUMB'!D13+'AGG ASIA CELLULAR'!D13</f>
        <v>14700.842802302564</v>
      </c>
      <c r="E13" s="188">
        <f>'AGG ASIA INCUMB'!E13+'AGG ASIA CELLULAR'!E13</f>
        <v>14262.690465631487</v>
      </c>
      <c r="F13" s="188">
        <f>'AGG ASIA INCUMB'!F13+'AGG ASIA CELLULAR'!F13</f>
        <v>14030.703917288074</v>
      </c>
      <c r="G13" s="188">
        <f>'AGG ASIA INCUMB'!G13+'AGG ASIA CELLULAR'!G13</f>
        <v>13812.349189716331</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'AGG ASIA INCUMB'!D14+'AGG ASIA CELLULAR'!D14</f>
        <v>45465.370282410819</v>
      </c>
      <c r="E14" s="188">
        <f>'AGG ASIA INCUMB'!E14+'AGG ASIA CELLULAR'!E14</f>
        <v>43518.450171677716</v>
      </c>
      <c r="F14" s="188">
        <f>'AGG ASIA INCUMB'!F14+'AGG ASIA CELLULAR'!F14</f>
        <v>43515.125575812082</v>
      </c>
      <c r="G14" s="188">
        <f>'AGG ASIA INCUMB'!G14+'AGG ASIA CELLULAR'!G14</f>
        <v>43513.463277879258</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'AGG ASIA INCUMB'!D15+'AGG ASIA CELLULAR'!D15</f>
        <v>42677.280706802572</v>
      </c>
      <c r="E15" s="188">
        <f>'AGG ASIA INCUMB'!E15+'AGG ASIA CELLULAR'!E15</f>
        <v>42668.429998054831</v>
      </c>
      <c r="F15" s="188">
        <f>'AGG ASIA INCUMB'!F15+'AGG ASIA CELLULAR'!F15</f>
        <v>42687.016329836275</v>
      </c>
      <c r="G15" s="188">
        <f>'AGG ASIA INCUMB'!G15+'AGG ASIA CELLULAR'!G15</f>
        <v>42731.281958905107</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'AGG ASIA INCUMB'!D16+'AGG ASIA CELLULAR'!D16</f>
        <v>8476.9566360297504</v>
      </c>
      <c r="E16" s="188">
        <f>'AGG ASIA INCUMB'!E16+'AGG ASIA CELLULAR'!E16</f>
        <v>40499.492745853058</v>
      </c>
      <c r="F16" s="188">
        <f>'AGG ASIA INCUMB'!F16+'AGG ASIA CELLULAR'!F16</f>
        <v>75775.79233237369</v>
      </c>
      <c r="G16" s="188">
        <f>'AGG ASIA INCUMB'!G16+'AGG ASIA CELLULAR'!G16</f>
        <v>113701.76399661214</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'AGG ASIA INCUMB'!D17+'AGG ASIA CELLULAR'!D17</f>
        <v>1822.8761560093294</v>
      </c>
      <c r="E17" s="188">
        <f>'AGG ASIA INCUMB'!E17+'AGG ASIA CELLULAR'!E17</f>
        <v>1822.8761560093294</v>
      </c>
      <c r="F17" s="188">
        <f>'AGG ASIA INCUMB'!F17+'AGG ASIA CELLULAR'!F17</f>
        <v>1822.8761560093294</v>
      </c>
      <c r="G17" s="188">
        <f>'AGG ASIA INCUMB'!G17+'AGG ASIA CELLULAR'!G17</f>
        <v>1822.8761560093294</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76</v>
      </c>
      <c r="C18" s="209"/>
      <c r="D18" s="229">
        <f>'AGG ASIA INCUMB'!D18+'AGG ASIA CELLULAR'!D18</f>
        <v>979613.58977554948</v>
      </c>
      <c r="E18" s="229">
        <f>'AGG ASIA INCUMB'!E18+'AGG ASIA CELLULAR'!E18</f>
        <v>920862.9932616438</v>
      </c>
      <c r="F18" s="229">
        <f>'AGG ASIA INCUMB'!F18+'AGG ASIA CELLULAR'!F18</f>
        <v>871681.17771823064</v>
      </c>
      <c r="G18" s="229">
        <f>'AGG ASIA INCUMB'!G18+'AGG ASIA CELLULAR'!G18</f>
        <v>797073.8775070085</v>
      </c>
      <c r="H18" s="230">
        <f>IF(D18=0,"nm",IF(G18=0,"nm",(G18/D18)^(1/3)-1))</f>
        <v>-6.6427769441273932E-2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'AGG ASIA INCUMB'!C23+'AGG ASIA CELLULAR'!C23</f>
        <v>577181.99247066351</v>
      </c>
      <c r="D23" s="188">
        <f>'AGG ASIA INCUMB'!D23+'AGG ASIA CELLULAR'!D23</f>
        <v>592042.99526974931</v>
      </c>
      <c r="E23" s="188">
        <f>'AGG ASIA INCUMB'!E23+'AGG ASIA CELLULAR'!E23</f>
        <v>613594.43331583147</v>
      </c>
      <c r="F23" s="188">
        <f>'AGG ASIA INCUMB'!F23+'AGG ASIA CELLULAR'!F23</f>
        <v>636981.67654107825</v>
      </c>
      <c r="G23" s="188">
        <f>'AGG ASIA INCUMB'!G23+'AGG ASIA CELLULAR'!G23</f>
        <v>661254.3818836211</v>
      </c>
      <c r="H23" s="233">
        <f t="shared" ref="H23:H33" si="0">IF(D23=0,"nm",IF(G23=0,"nm",(G23/D23)^(1/3)-1))</f>
        <v>3.7540612369036053E-2</v>
      </c>
      <c r="I23" s="209"/>
      <c r="J23" s="249" t="s">
        <v>7</v>
      </c>
      <c r="K23" s="249"/>
      <c r="L23" s="219" t="str">
        <f>L5</f>
        <v>2025E</v>
      </c>
      <c r="M23" s="219" t="str">
        <f>M5</f>
        <v>2026E</v>
      </c>
      <c r="N23" s="219" t="str">
        <f>N5</f>
        <v>2027E</v>
      </c>
      <c r="O23" s="219" t="str">
        <f>O5</f>
        <v>2028E</v>
      </c>
      <c r="P23" s="236" t="str">
        <f>P5</f>
        <v>2025-28</v>
      </c>
      <c r="S23" s="26"/>
      <c r="T23" s="26"/>
      <c r="U23" s="26"/>
      <c r="V23" s="26"/>
      <c r="W23" s="26" t="s">
        <v>280</v>
      </c>
      <c r="X23" s="26" t="s">
        <v>24</v>
      </c>
    </row>
    <row r="24" spans="2:24" ht="12.6" thickTop="1">
      <c r="B24" s="5" t="s">
        <v>397</v>
      </c>
      <c r="C24" s="288">
        <f>'AGG ASIA INCUMB'!C24+'AGG ASIA CELLULAR'!C24</f>
        <v>171652.53048960451</v>
      </c>
      <c r="D24" s="188">
        <f>'AGG ASIA INCUMB'!D24+'AGG ASIA CELLULAR'!D24</f>
        <v>179041.56058885605</v>
      </c>
      <c r="E24" s="188">
        <f>'AGG ASIA INCUMB'!E24+'AGG ASIA CELLULAR'!E24</f>
        <v>189286.8315724257</v>
      </c>
      <c r="F24" s="188">
        <f>'AGG ASIA INCUMB'!F24+'AGG ASIA CELLULAR'!F24</f>
        <v>199038.58313802804</v>
      </c>
      <c r="G24" s="188">
        <f>'AGG ASIA INCUMB'!G24+'AGG ASIA CELLULAR'!G24</f>
        <v>209068.25007538917</v>
      </c>
      <c r="H24" s="233">
        <f t="shared" si="0"/>
        <v>5.3039696614122223E-2</v>
      </c>
      <c r="I24" s="208"/>
      <c r="J24" s="13"/>
      <c r="K24" s="13"/>
      <c r="L24" s="13"/>
      <c r="M24" s="13"/>
      <c r="N24" s="13"/>
      <c r="O24" s="208"/>
      <c r="S24" s="26"/>
      <c r="T24" s="26"/>
      <c r="U24" s="26"/>
      <c r="V24" s="113" t="s">
        <v>225</v>
      </c>
      <c r="W24" s="242">
        <f t="shared" ref="W24:W31" si="1">E37/M9</f>
        <v>0.99568840483246202</v>
      </c>
      <c r="X24" s="242">
        <v>1</v>
      </c>
    </row>
    <row r="25" spans="2:24">
      <c r="B25" s="5" t="s">
        <v>157</v>
      </c>
      <c r="C25" s="288">
        <f>'AGG ASIA INCUMB'!C25+'AGG ASIA CELLULAR'!C25</f>
        <v>84124.61810119095</v>
      </c>
      <c r="D25" s="188">
        <f>'AGG ASIA INCUMB'!D25+'AGG ASIA CELLULAR'!D25</f>
        <v>95140.558792430907</v>
      </c>
      <c r="E25" s="188">
        <f>'AGG ASIA INCUMB'!E25+'AGG ASIA CELLULAR'!E25</f>
        <v>106124.58211398062</v>
      </c>
      <c r="F25" s="188">
        <f>'AGG ASIA INCUMB'!F25+'AGG ASIA CELLULAR'!F25</f>
        <v>116630.50712158563</v>
      </c>
      <c r="G25" s="188">
        <f>'AGG ASIA INCUMB'!G25+'AGG ASIA CELLULAR'!G25</f>
        <v>126762.39410257956</v>
      </c>
      <c r="H25" s="233">
        <f t="shared" si="0"/>
        <v>0.1003771878351527</v>
      </c>
      <c r="I25" s="209"/>
      <c r="J25" s="207" t="s">
        <v>8</v>
      </c>
      <c r="K25" s="207"/>
      <c r="L25" s="258">
        <f>'AGG ASIA INCUMB'!L25+'AGG ASIA CELLULAR'!L25</f>
        <v>237260.63084300279</v>
      </c>
      <c r="M25" s="258">
        <f>'AGG ASIA INCUMB'!M25+'AGG ASIA CELLULAR'!M25</f>
        <v>233140.19812636243</v>
      </c>
      <c r="N25" s="258">
        <f>'AGG ASIA INCUMB'!N25+'AGG ASIA CELLULAR'!N25</f>
        <v>223331.85108484805</v>
      </c>
      <c r="O25" s="258">
        <f>'AGG ASIA INCUMB'!O25+'AGG ASIA CELLULAR'!O25</f>
        <v>209658.08171189876</v>
      </c>
      <c r="P25" s="233">
        <f>IF(L25=0,"nm",IF(O25=0,"nm",(O25/L25)^(1/3)-1))</f>
        <v>-4.0388798070800314E-2</v>
      </c>
      <c r="Q25" s="5"/>
      <c r="S25" s="26"/>
      <c r="T25" s="26"/>
      <c r="U25" s="26"/>
      <c r="V25" s="113" t="s">
        <v>158</v>
      </c>
      <c r="W25" s="242">
        <f t="shared" si="1"/>
        <v>1.1105625350519432</v>
      </c>
      <c r="X25" s="242">
        <v>1</v>
      </c>
    </row>
    <row r="26" spans="2:24">
      <c r="B26" s="5" t="s">
        <v>487</v>
      </c>
      <c r="C26" s="288">
        <f>'AGG ASIA INCUMB'!C26+'AGG ASIA CELLULAR'!C26</f>
        <v>65428.902117092395</v>
      </c>
      <c r="D26" s="188">
        <f>'AGG ASIA INCUMB'!D26+'AGG ASIA CELLULAR'!D26</f>
        <v>72636.833314961259</v>
      </c>
      <c r="E26" s="188">
        <f>'AGG ASIA INCUMB'!E26+'AGG ASIA CELLULAR'!E26</f>
        <v>80308.253600910451</v>
      </c>
      <c r="F26" s="188">
        <f>'AGG ASIA INCUMB'!F26+'AGG ASIA CELLULAR'!F26</f>
        <v>88035.022374391934</v>
      </c>
      <c r="G26" s="188">
        <f>'AGG ASIA INCUMB'!G26+'AGG ASIA CELLULAR'!G26</f>
        <v>95628.201103380998</v>
      </c>
      <c r="H26" s="233">
        <f t="shared" si="0"/>
        <v>9.5997830831616726E-2</v>
      </c>
      <c r="I26" s="209"/>
      <c r="J26" s="209" t="s">
        <v>9</v>
      </c>
      <c r="K26" s="209"/>
      <c r="L26" s="235">
        <f>'AGG ASIA INCUMB'!L26+'AGG ASIA CELLULAR'!L26</f>
        <v>1002635.6442362338</v>
      </c>
      <c r="M26" s="235">
        <f>'AGG ASIA INCUMB'!M26+'AGG ASIA CELLULAR'!M26</f>
        <v>994279.67722418625</v>
      </c>
      <c r="N26" s="235">
        <f>'AGG ASIA INCUMB'!N26+'AGG ASIA CELLULAR'!N26</f>
        <v>980165.28255295171</v>
      </c>
      <c r="O26" s="235">
        <f>'AGG ASIA INCUMB'!O26+'AGG ASIA CELLULAR'!O26</f>
        <v>962181.53402038384</v>
      </c>
      <c r="P26" s="233">
        <f>IF(L26=0,"nm",IF(O26=0,"nm",(O26/L26)^(1/3)-1))</f>
        <v>-1.3634305388298129E-2</v>
      </c>
      <c r="Q26" s="25"/>
      <c r="S26" s="26"/>
      <c r="T26" s="26"/>
      <c r="U26" s="26"/>
      <c r="V26" s="113" t="s">
        <v>159</v>
      </c>
      <c r="W26" s="242">
        <f t="shared" si="1"/>
        <v>1.1560143997589489</v>
      </c>
      <c r="X26" s="242">
        <v>1</v>
      </c>
    </row>
    <row r="27" spans="2:24">
      <c r="B27" s="5" t="s">
        <v>488</v>
      </c>
      <c r="C27" s="288">
        <f>'AGG ASIA INCUMB'!C27+'AGG ASIA CELLULAR'!C27</f>
        <v>679494.98316697963</v>
      </c>
      <c r="D27" s="188">
        <f>'AGG ASIA INCUMB'!D27+'AGG ASIA CELLULAR'!D27</f>
        <v>679058.41790749645</v>
      </c>
      <c r="E27" s="188">
        <f>'AGG ASIA INCUMB'!E27+'AGG ASIA CELLULAR'!E27</f>
        <v>676493.97193913406</v>
      </c>
      <c r="F27" s="188">
        <f>'AGG ASIA INCUMB'!F27+'AGG ASIA CELLULAR'!F27</f>
        <v>690728.16666276241</v>
      </c>
      <c r="G27" s="188">
        <f>'AGG ASIA INCUMB'!G27+'AGG ASIA CELLULAR'!G27</f>
        <v>685052.56076199096</v>
      </c>
      <c r="H27" s="233">
        <f t="shared" si="0"/>
        <v>2.9337641844160434E-3</v>
      </c>
      <c r="I27" s="208"/>
      <c r="J27" s="208"/>
      <c r="K27" s="208"/>
      <c r="L27" s="208"/>
      <c r="M27" s="208"/>
      <c r="N27" s="208"/>
      <c r="O27" s="208"/>
      <c r="Q27" s="5"/>
      <c r="S27" s="26"/>
      <c r="T27" s="26"/>
      <c r="U27" s="26"/>
      <c r="V27" s="113" t="s">
        <v>381</v>
      </c>
      <c r="W27" s="242">
        <f t="shared" si="1"/>
        <v>1.1561673181237559</v>
      </c>
      <c r="X27" s="242">
        <v>1</v>
      </c>
    </row>
    <row r="28" spans="2:24" ht="12.6" thickBot="1">
      <c r="B28" s="5" t="s">
        <v>492</v>
      </c>
      <c r="C28" s="288">
        <f>'AGG ASIA INCUMB'!C28+'AGG ASIA CELLULAR'!C28</f>
        <v>435307.02390563604</v>
      </c>
      <c r="D28" s="188">
        <f>'AGG ASIA INCUMB'!D28+'AGG ASIA CELLULAR'!D28</f>
        <v>418483.51276315702</v>
      </c>
      <c r="E28" s="188">
        <f>'AGG ASIA INCUMB'!E28+'AGG ASIA CELLULAR'!E28</f>
        <v>402955.36635670403</v>
      </c>
      <c r="F28" s="188">
        <f>'AGG ASIA INCUMB'!F28+'AGG ASIA CELLULAR'!F28</f>
        <v>386505.09607528173</v>
      </c>
      <c r="G28" s="188">
        <f>'AGG ASIA INCUMB'!G28+'AGG ASIA CELLULAR'!G28</f>
        <v>369771.89147138223</v>
      </c>
      <c r="H28" s="233">
        <f t="shared" si="0"/>
        <v>-4.0411177066696613E-2</v>
      </c>
      <c r="I28" s="212"/>
      <c r="J28" s="249" t="s">
        <v>628</v>
      </c>
      <c r="K28" s="249"/>
      <c r="L28" s="249"/>
      <c r="M28" s="249"/>
      <c r="N28" s="220"/>
      <c r="O28" s="220"/>
      <c r="P28" s="220"/>
      <c r="Q28" s="5"/>
      <c r="S28" s="26"/>
      <c r="T28" s="26"/>
      <c r="U28" s="26"/>
      <c r="V28" s="113" t="s">
        <v>434</v>
      </c>
      <c r="W28" s="242">
        <f t="shared" si="1"/>
        <v>0.99101378820233166</v>
      </c>
      <c r="X28" s="242">
        <v>1</v>
      </c>
    </row>
    <row r="29" spans="2:24" ht="12.6" thickTop="1">
      <c r="B29" s="5" t="s">
        <v>489</v>
      </c>
      <c r="C29" s="288">
        <f>'AGG ASIA INCUMB'!C29+'AGG ASIA CELLULAR'!C29</f>
        <v>43910.724696416226</v>
      </c>
      <c r="D29" s="188">
        <f>'AGG ASIA INCUMB'!D29+'AGG ASIA CELLULAR'!D29</f>
        <v>47181.663572018479</v>
      </c>
      <c r="E29" s="188">
        <f>'AGG ASIA INCUMB'!E29+'AGG ASIA CELLULAR'!E29</f>
        <v>56716.199716038042</v>
      </c>
      <c r="F29" s="188">
        <f>'AGG ASIA INCUMB'!F29+'AGG ASIA CELLULAR'!F29</f>
        <v>64185.344146872536</v>
      </c>
      <c r="G29" s="188">
        <f>'AGG ASIA INCUMB'!G29+'AGG ASIA CELLULAR'!G29</f>
        <v>71296.642682440099</v>
      </c>
      <c r="H29" s="233">
        <f t="shared" si="0"/>
        <v>0.14753324615095265</v>
      </c>
      <c r="I29" s="214"/>
      <c r="J29" s="209"/>
      <c r="K29" s="209"/>
      <c r="L29" s="209"/>
      <c r="M29" s="209"/>
      <c r="N29" s="209"/>
      <c r="O29" s="211"/>
      <c r="Q29" s="5"/>
      <c r="S29" s="26"/>
      <c r="T29" s="26"/>
      <c r="U29" s="26"/>
      <c r="V29" s="113" t="s">
        <v>493</v>
      </c>
      <c r="W29" s="242">
        <f t="shared" si="1"/>
        <v>1.057473669283219</v>
      </c>
      <c r="X29" s="242">
        <v>1</v>
      </c>
    </row>
    <row r="30" spans="2:24">
      <c r="B30" s="5" t="s">
        <v>490</v>
      </c>
      <c r="C30" s="288">
        <f>'AGG ASIA INCUMB'!C30+'AGG ASIA CELLULAR'!C30</f>
        <v>48524.228214079842</v>
      </c>
      <c r="D30" s="188">
        <f>'AGG ASIA INCUMB'!D30+'AGG ASIA CELLULAR'!D30</f>
        <v>53989.126367039091</v>
      </c>
      <c r="E30" s="188">
        <f>'AGG ASIA INCUMB'!E30+'AGG ASIA CELLULAR'!E30</f>
        <v>60672.071381325382</v>
      </c>
      <c r="F30" s="188">
        <f>'AGG ASIA INCUMB'!F30+'AGG ASIA CELLULAR'!F30</f>
        <v>67721.523279308531</v>
      </c>
      <c r="G30" s="188">
        <f>'AGG ASIA INCUMB'!G30+'AGG ASIA CELLULAR'!G30</f>
        <v>75049.531823969941</v>
      </c>
      <c r="H30" s="233">
        <f t="shared" si="0"/>
        <v>0.11604206107669701</v>
      </c>
      <c r="I30" s="214"/>
      <c r="J30" s="208"/>
      <c r="K30" s="208"/>
      <c r="L30" s="208"/>
      <c r="M30" s="208"/>
      <c r="N30" s="208"/>
      <c r="O30" s="5"/>
      <c r="Q30" s="5"/>
      <c r="S30" s="26"/>
      <c r="T30" s="26"/>
      <c r="U30" s="26"/>
      <c r="V30" s="113" t="s">
        <v>390</v>
      </c>
      <c r="W30" s="242">
        <f t="shared" si="1"/>
        <v>1.3937806848267411</v>
      </c>
      <c r="X30" s="242">
        <v>1</v>
      </c>
    </row>
    <row r="31" spans="2:24">
      <c r="B31" s="5" t="s">
        <v>491</v>
      </c>
      <c r="C31" s="288">
        <f>'AGG ASIA INCUMB'!C31+'AGG ASIA CELLULAR'!C31</f>
        <v>36747.943735885514</v>
      </c>
      <c r="D31" s="188">
        <f>'AGG ASIA INCUMB'!D31+'AGG ASIA CELLULAR'!D31</f>
        <v>37690.521191282911</v>
      </c>
      <c r="E31" s="188">
        <f>'AGG ASIA INCUMB'!E31+'AGG ASIA CELLULAR'!E31</f>
        <v>41480.981828072123</v>
      </c>
      <c r="F31" s="188">
        <f>'AGG ASIA INCUMB'!F31+'AGG ASIA CELLULAR'!F31</f>
        <v>45171.940342972048</v>
      </c>
      <c r="G31" s="188">
        <f>'AGG ASIA INCUMB'!G31+'AGG ASIA CELLULAR'!G31</f>
        <v>49024.554442060646</v>
      </c>
      <c r="H31" s="233">
        <f t="shared" si="0"/>
        <v>9.1592401962410808E-2</v>
      </c>
      <c r="I31" s="214"/>
      <c r="J31" s="212"/>
      <c r="K31" s="212"/>
      <c r="L31" s="212"/>
      <c r="M31" s="212"/>
      <c r="N31" s="212"/>
      <c r="O31" s="5"/>
      <c r="Q31" s="5"/>
      <c r="S31" s="26"/>
      <c r="T31" s="26"/>
      <c r="U31" s="26"/>
      <c r="V31" s="113" t="s">
        <v>437</v>
      </c>
      <c r="W31" s="242">
        <f t="shared" si="1"/>
        <v>1.0481048040399992</v>
      </c>
      <c r="X31" s="242">
        <v>1</v>
      </c>
    </row>
    <row r="32" spans="2:24">
      <c r="B32" s="5" t="s">
        <v>506</v>
      </c>
      <c r="C32" s="288">
        <f>'AGG ASIA INCUMB'!C32+'AGG ASIA CELLULAR'!C32</f>
        <v>3291.233907649872</v>
      </c>
      <c r="D32" s="188">
        <f>'AGG ASIA INCUMB'!D32+'AGG ASIA CELLULAR'!D32</f>
        <v>2754.718254178224</v>
      </c>
      <c r="E32" s="188">
        <f>'AGG ASIA INCUMB'!E32+'AGG ASIA CELLULAR'!E32</f>
        <v>1846.9168327240477</v>
      </c>
      <c r="F32" s="188">
        <f>'AGG ASIA INCUMB'!F32+'AGG ASIA CELLULAR'!F32</f>
        <v>-26466.958313690066</v>
      </c>
      <c r="G32" s="188">
        <f>'AGG ASIA INCUMB'!G32+'AGG ASIA CELLULAR'!G32</f>
        <v>5862.4440826600958</v>
      </c>
      <c r="H32" s="233">
        <f t="shared" si="0"/>
        <v>0.28627503958682454</v>
      </c>
      <c r="I32" s="5"/>
      <c r="J32" s="214"/>
      <c r="K32" s="214"/>
      <c r="L32" s="214"/>
      <c r="M32" s="214"/>
      <c r="N32" s="214"/>
      <c r="O32" s="211"/>
      <c r="Q32" s="5"/>
      <c r="S32" s="26"/>
      <c r="T32" s="26"/>
      <c r="U32" s="26"/>
      <c r="V32" s="113" t="s">
        <v>481</v>
      </c>
      <c r="W32" s="242">
        <f>M17/E45</f>
        <v>1.0479642335386437</v>
      </c>
      <c r="X32" s="242">
        <v>1</v>
      </c>
    </row>
    <row r="33" spans="2:24">
      <c r="B33" s="5" t="s">
        <v>3</v>
      </c>
      <c r="C33" s="288">
        <f>'AGG ASIA INCUMB'!C33+'AGG ASIA CELLULAR'!C33</f>
        <v>7449.6896910886435</v>
      </c>
      <c r="D33" s="188">
        <f>'AGG ASIA INCUMB'!D33+'AGG ASIA CELLULAR'!D33</f>
        <v>7531.1703972722235</v>
      </c>
      <c r="E33" s="188">
        <f>'AGG ASIA INCUMB'!E33+'AGG ASIA CELLULAR'!E33</f>
        <v>7410.2701694657389</v>
      </c>
      <c r="F33" s="188">
        <f>'AGG ASIA INCUMB'!F33+'AGG ASIA CELLULAR'!F33</f>
        <v>7250.7351093562493</v>
      </c>
      <c r="G33" s="188">
        <f>'AGG ASIA INCUMB'!G33+'AGG ASIA CELLULAR'!G33</f>
        <v>6757.2348325116218</v>
      </c>
      <c r="H33" s="233">
        <f t="shared" si="0"/>
        <v>-3.5500116750306399E-2</v>
      </c>
      <c r="I33" s="33"/>
      <c r="J33" s="214"/>
      <c r="K33" s="214"/>
      <c r="L33" s="214"/>
      <c r="M33" s="214"/>
      <c r="N33" s="214"/>
      <c r="O33" s="211"/>
      <c r="Q33" s="5"/>
      <c r="S33" s="26"/>
      <c r="T33" s="26"/>
      <c r="U33" s="26"/>
      <c r="V33" s="113" t="s">
        <v>482</v>
      </c>
      <c r="W33" s="242">
        <f>M19/E47</f>
        <v>1.3937806848267409</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1.6546325141963947</v>
      </c>
      <c r="E37" s="430">
        <f t="shared" si="2"/>
        <v>1.5007681674772528</v>
      </c>
      <c r="F37" s="430">
        <f t="shared" si="2"/>
        <v>1.3684556555089806</v>
      </c>
      <c r="G37" s="430">
        <f t="shared" si="2"/>
        <v>1.2053967419263034</v>
      </c>
      <c r="H37" s="13">
        <f t="shared" ref="H37:H45" si="3">H23</f>
        <v>3.7540612369036053E-2</v>
      </c>
      <c r="I37" s="217"/>
      <c r="J37" s="217"/>
      <c r="K37" s="217"/>
      <c r="L37" s="217"/>
      <c r="M37" s="217"/>
      <c r="N37" s="217"/>
      <c r="O37" s="14"/>
      <c r="Q37" s="5"/>
      <c r="R37" s="5"/>
      <c r="S37" s="26"/>
      <c r="T37" s="26"/>
      <c r="U37" s="26"/>
      <c r="V37" s="26"/>
      <c r="W37" s="26"/>
      <c r="X37" s="26"/>
    </row>
    <row r="38" spans="2:24">
      <c r="B38" s="5" t="s">
        <v>158</v>
      </c>
      <c r="C38" s="207"/>
      <c r="D38" s="430">
        <f t="shared" si="2"/>
        <v>5.4714312506753409</v>
      </c>
      <c r="E38" s="430">
        <f t="shared" si="2"/>
        <v>4.8649078523420659</v>
      </c>
      <c r="F38" s="430">
        <f t="shared" si="2"/>
        <v>4.3794583139377687</v>
      </c>
      <c r="G38" s="430">
        <f t="shared" si="2"/>
        <v>3.8125056158435671</v>
      </c>
      <c r="H38" s="13">
        <f t="shared" si="3"/>
        <v>5.3039696614122223E-2</v>
      </c>
      <c r="I38" s="13"/>
      <c r="J38" s="13"/>
      <c r="K38" s="13"/>
      <c r="L38" s="13"/>
      <c r="M38" s="13"/>
      <c r="N38" s="13"/>
      <c r="O38" s="5"/>
      <c r="Q38" s="5"/>
      <c r="R38" s="5"/>
      <c r="S38" s="26"/>
      <c r="T38" s="26"/>
      <c r="U38" s="26"/>
      <c r="V38" s="26"/>
      <c r="W38" s="26"/>
      <c r="X38" s="26"/>
    </row>
    <row r="39" spans="2:24">
      <c r="B39" s="5" t="s">
        <v>159</v>
      </c>
      <c r="C39" s="207"/>
      <c r="D39" s="430">
        <f t="shared" si="2"/>
        <v>10.296487662141885</v>
      </c>
      <c r="E39" s="430">
        <f t="shared" si="2"/>
        <v>8.677188403650085</v>
      </c>
      <c r="F39" s="430">
        <f t="shared" si="2"/>
        <v>7.4738693951618984</v>
      </c>
      <c r="G39" s="430">
        <f t="shared" si="2"/>
        <v>6.2879364432167062</v>
      </c>
      <c r="H39" s="13">
        <f t="shared" si="3"/>
        <v>0.1003771878351527</v>
      </c>
      <c r="I39" s="5"/>
      <c r="J39" s="5"/>
      <c r="K39" s="5"/>
      <c r="L39" s="5"/>
      <c r="M39" s="5"/>
      <c r="N39" s="5"/>
      <c r="O39" s="5"/>
      <c r="Q39" s="5"/>
      <c r="R39" s="5"/>
      <c r="S39" s="26"/>
      <c r="T39" s="26"/>
      <c r="U39" s="26"/>
      <c r="V39" s="26"/>
      <c r="W39" s="242"/>
      <c r="X39" s="242"/>
    </row>
    <row r="40" spans="2:24">
      <c r="B40" s="5" t="s">
        <v>381</v>
      </c>
      <c r="C40" s="207"/>
      <c r="D40" s="430">
        <f t="shared" si="2"/>
        <v>13.48645783507436</v>
      </c>
      <c r="E40" s="430">
        <f t="shared" si="2"/>
        <v>11.466604638644563</v>
      </c>
      <c r="F40" s="430">
        <f t="shared" si="2"/>
        <v>9.9015273036585221</v>
      </c>
      <c r="G40" s="430">
        <f t="shared" si="2"/>
        <v>8.335134074574027</v>
      </c>
      <c r="H40" s="13">
        <f t="shared" si="3"/>
        <v>9.5997830831616726E-2</v>
      </c>
      <c r="I40" s="207"/>
      <c r="J40" s="217"/>
      <c r="K40" s="217"/>
      <c r="L40" s="217"/>
      <c r="M40" s="217"/>
      <c r="N40" s="217"/>
      <c r="O40" s="14"/>
      <c r="Q40" s="5"/>
      <c r="R40" s="5"/>
      <c r="S40" s="26"/>
      <c r="T40" s="26"/>
      <c r="U40" s="26"/>
      <c r="V40" s="26"/>
      <c r="W40" s="242"/>
      <c r="X40" s="242"/>
    </row>
    <row r="41" spans="2:24">
      <c r="B41" s="5" t="s">
        <v>434</v>
      </c>
      <c r="C41" s="207"/>
      <c r="D41" s="430">
        <f t="shared" si="2"/>
        <v>1.4426057669592067</v>
      </c>
      <c r="E41" s="430">
        <f t="shared" si="2"/>
        <v>1.3612286752859584</v>
      </c>
      <c r="F41" s="430">
        <f t="shared" si="2"/>
        <v>1.2619742755384344</v>
      </c>
      <c r="G41" s="430">
        <f t="shared" si="2"/>
        <v>1.1635222217407888</v>
      </c>
      <c r="H41" s="13">
        <f t="shared" si="3"/>
        <v>2.9337641844160434E-3</v>
      </c>
      <c r="I41" s="208"/>
      <c r="J41" s="13"/>
      <c r="K41" s="13"/>
      <c r="L41" s="13"/>
      <c r="M41" s="13"/>
      <c r="N41" s="13"/>
      <c r="O41" s="5"/>
      <c r="Q41" s="5"/>
      <c r="R41" s="5"/>
      <c r="S41" s="26"/>
      <c r="T41" s="26"/>
      <c r="U41" s="26"/>
      <c r="V41" s="26"/>
      <c r="W41" s="242"/>
      <c r="X41" s="242"/>
    </row>
    <row r="42" spans="2:24">
      <c r="B42" s="5" t="s">
        <v>493</v>
      </c>
      <c r="C42" s="207"/>
      <c r="D42" s="430">
        <f>D18/D28</f>
        <v>2.3408654341179913</v>
      </c>
      <c r="E42" s="430">
        <f>E18/E28</f>
        <v>2.2852729362747279</v>
      </c>
      <c r="F42" s="430">
        <f>F18/F28</f>
        <v>2.255290257669587</v>
      </c>
      <c r="G42" s="430">
        <f>G18/G28</f>
        <v>2.1555826602593355</v>
      </c>
      <c r="H42" s="13">
        <f t="shared" si="3"/>
        <v>-4.0411177066696613E-2</v>
      </c>
      <c r="I42" s="207"/>
      <c r="J42" s="5"/>
      <c r="K42" s="5"/>
      <c r="L42" s="5"/>
      <c r="M42" s="5"/>
      <c r="N42" s="5"/>
      <c r="O42" s="5"/>
      <c r="Q42" s="5"/>
      <c r="R42" s="5"/>
      <c r="S42" s="26"/>
      <c r="T42" s="26"/>
      <c r="U42" s="26"/>
      <c r="V42" s="26"/>
      <c r="W42" s="242"/>
      <c r="X42" s="242"/>
    </row>
    <row r="43" spans="2:24">
      <c r="B43" s="5" t="s">
        <v>390</v>
      </c>
      <c r="C43" s="207"/>
      <c r="D43" s="430">
        <f>L26/D29</f>
        <v>21.250536083913246</v>
      </c>
      <c r="E43" s="430">
        <f>M26/E29</f>
        <v>17.530788067646689</v>
      </c>
      <c r="F43" s="430">
        <f>N26/F29</f>
        <v>15.270858099788047</v>
      </c>
      <c r="G43" s="430">
        <f>O26/G29</f>
        <v>13.495467638020534</v>
      </c>
      <c r="H43" s="13">
        <f t="shared" si="3"/>
        <v>0.14753324615095265</v>
      </c>
      <c r="I43" s="207"/>
      <c r="J43" s="207"/>
      <c r="K43" s="207"/>
      <c r="L43" s="207"/>
      <c r="M43" s="207"/>
      <c r="N43" s="207"/>
      <c r="O43" s="14"/>
      <c r="Q43" s="5"/>
      <c r="R43" s="5"/>
      <c r="S43" s="26"/>
      <c r="T43" s="26"/>
      <c r="U43" s="26"/>
      <c r="V43" s="26"/>
      <c r="W43" s="255"/>
      <c r="X43" s="255"/>
    </row>
    <row r="44" spans="2:24">
      <c r="B44" s="5" t="s">
        <v>437</v>
      </c>
      <c r="C44" s="53"/>
      <c r="D44" s="430">
        <f>D11/D30</f>
        <v>15.415917947449943</v>
      </c>
      <c r="E44" s="430">
        <f>E11/E30</f>
        <v>13.638126013052302</v>
      </c>
      <c r="F44" s="430">
        <f>F11/F30</f>
        <v>12.145979810396019</v>
      </c>
      <c r="G44" s="430">
        <f>G11/G30</f>
        <v>10.894554603963979</v>
      </c>
      <c r="H44" s="13">
        <f t="shared" si="3"/>
        <v>0.11604206107669701</v>
      </c>
      <c r="I44" s="208"/>
      <c r="J44" s="208"/>
      <c r="K44" s="208"/>
      <c r="L44" s="208"/>
      <c r="M44" s="208"/>
      <c r="N44" s="208"/>
      <c r="O44" s="208"/>
      <c r="Q44" s="5"/>
      <c r="R44" s="5"/>
      <c r="S44" s="26"/>
      <c r="T44" s="26"/>
      <c r="U44" s="26"/>
      <c r="V44" s="26"/>
      <c r="W44" s="26"/>
      <c r="X44" s="26"/>
    </row>
    <row r="45" spans="2:24">
      <c r="B45" s="5" t="s">
        <v>481</v>
      </c>
      <c r="C45" s="207"/>
      <c r="D45" s="208">
        <f>D31/D11</f>
        <v>4.5285216981532476E-2</v>
      </c>
      <c r="E45" s="208">
        <f>E31/E11</f>
        <v>5.0130900526114699E-2</v>
      </c>
      <c r="F45" s="208">
        <f>F31/F11</f>
        <v>5.491733739182586E-2</v>
      </c>
      <c r="G45" s="208">
        <f>G31/G11</f>
        <v>5.9959249470281292E-2</v>
      </c>
      <c r="H45" s="13">
        <f t="shared" si="3"/>
        <v>9.1592401962410808E-2</v>
      </c>
      <c r="I45" s="207"/>
      <c r="J45" s="207"/>
      <c r="K45" s="207"/>
      <c r="L45" s="207"/>
      <c r="M45" s="207"/>
      <c r="N45" s="207"/>
      <c r="O45" s="208"/>
      <c r="Q45" s="5"/>
      <c r="R45" s="5"/>
      <c r="S45" s="26"/>
      <c r="T45" s="26"/>
      <c r="U45" s="26"/>
      <c r="V45" s="26"/>
      <c r="W45" s="26"/>
      <c r="X45" s="26"/>
    </row>
    <row r="46" spans="2:24">
      <c r="B46" s="5" t="s">
        <v>505</v>
      </c>
      <c r="C46" s="207"/>
      <c r="D46" s="208">
        <f>(D31+D32)/D11</f>
        <v>4.8595015040050725E-2</v>
      </c>
      <c r="E46" s="208">
        <f>(E31+E32)/E11</f>
        <v>5.2362950008575063E-2</v>
      </c>
      <c r="F46" s="208">
        <f>(F31+F32)/F11</f>
        <v>2.2740395945155287E-2</v>
      </c>
      <c r="G46" s="208">
        <f>(G31+G32)/G11</f>
        <v>6.7129283981726337E-2</v>
      </c>
      <c r="H46" s="233">
        <f>((G31+G32)/(D31+D32))^(1/3)-1</f>
        <v>0.10713528053624932</v>
      </c>
      <c r="I46" s="13"/>
      <c r="J46" s="207"/>
      <c r="K46" s="207"/>
      <c r="L46" s="207"/>
      <c r="M46" s="207"/>
      <c r="N46" s="207"/>
      <c r="O46" s="14"/>
      <c r="Q46" s="5"/>
      <c r="R46" s="5"/>
      <c r="S46" s="26"/>
      <c r="T46" s="26"/>
      <c r="U46" s="26"/>
      <c r="V46" s="26"/>
      <c r="W46" s="26"/>
      <c r="X46" s="26"/>
    </row>
    <row r="47" spans="2:24">
      <c r="B47" s="5" t="s">
        <v>482</v>
      </c>
      <c r="C47" s="5"/>
      <c r="D47" s="208">
        <f>1/D43</f>
        <v>4.705763638391243E-2</v>
      </c>
      <c r="E47" s="208">
        <f>1/E43</f>
        <v>5.7042501235042238E-2</v>
      </c>
      <c r="F47" s="208">
        <f>1/F43</f>
        <v>6.5484204847262611E-2</v>
      </c>
      <c r="G47" s="208">
        <f>1/G43</f>
        <v>7.4098951353320897E-2</v>
      </c>
      <c r="H47" s="13">
        <f>H29</f>
        <v>0.14753324615095265</v>
      </c>
      <c r="I47" s="207"/>
      <c r="J47" s="208"/>
      <c r="K47" s="208"/>
      <c r="L47" s="208"/>
      <c r="M47" s="208"/>
      <c r="N47" s="208"/>
      <c r="O47" s="208"/>
      <c r="Q47" s="5"/>
      <c r="R47" s="5"/>
      <c r="S47" s="5"/>
      <c r="T47" s="5"/>
      <c r="U47" s="5"/>
    </row>
    <row r="48" spans="2:24">
      <c r="B48" s="5" t="s">
        <v>518</v>
      </c>
      <c r="C48" s="5"/>
      <c r="D48" s="248">
        <f>D31/D29</f>
        <v>0.79883832696470713</v>
      </c>
      <c r="E48" s="248">
        <f>E31/E29</f>
        <v>0.73137801960913562</v>
      </c>
      <c r="F48" s="248">
        <f>F31/F29</f>
        <v>0.70377343836635131</v>
      </c>
      <c r="G48" s="248">
        <f>G31/G29</f>
        <v>0.68761378653437033</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16">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716</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718</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30">
        <f>'AGG DM'!D37</f>
        <v>2.538226252582501</v>
      </c>
      <c r="M9" s="430">
        <f>'AGG DM'!E37</f>
        <v>2.3799394980686785</v>
      </c>
      <c r="N9" s="430">
        <f>'AGG DM'!F37</f>
        <v>2.5090104848093389</v>
      </c>
      <c r="O9" s="430">
        <f>'AGG DM'!G37</f>
        <v>2.3422623671791674</v>
      </c>
      <c r="P9" s="14">
        <f>'AGG DM'!H37</f>
        <v>-1.3789849312914271E-2</v>
      </c>
    </row>
    <row r="10" spans="2:63">
      <c r="B10" s="5" t="s">
        <v>226</v>
      </c>
      <c r="C10" s="5"/>
      <c r="D10" s="258"/>
      <c r="E10" s="258"/>
      <c r="F10" s="258"/>
      <c r="G10" s="258"/>
      <c r="H10" s="207"/>
      <c r="I10" s="207"/>
      <c r="J10" s="5" t="s">
        <v>158</v>
      </c>
      <c r="L10" s="430">
        <f>'AGG DM'!D38</f>
        <v>7.4797484713901117</v>
      </c>
      <c r="M10" s="430">
        <f>'AGG DM'!E38</f>
        <v>6.884289723428572</v>
      </c>
      <c r="N10" s="430">
        <f>'AGG DM'!F38</f>
        <v>7.1042891280042326</v>
      </c>
      <c r="O10" s="430">
        <f>'AGG DM'!G38</f>
        <v>6.5259436575407666</v>
      </c>
      <c r="P10" s="14">
        <f>'AGG DM'!H38</f>
        <v>4.8141968520647449E-3</v>
      </c>
    </row>
    <row r="11" spans="2:63">
      <c r="B11" s="25" t="s">
        <v>427</v>
      </c>
      <c r="C11" s="5"/>
      <c r="D11" s="225">
        <f>'W.EUR INCUMB'!D11/Prices!$F$135 +'US TELCO'!D11+'DM ASIA INCUMB'!D11</f>
        <v>1145959.2916809293</v>
      </c>
      <c r="E11" s="225">
        <f>'W.EUR INCUMB'!E11/Prices!$F$135 +'US TELCO'!E11+'DM ASIA INCUMB'!E11</f>
        <v>1127777.2215694366</v>
      </c>
      <c r="F11" s="225">
        <f>'W.EUR INCUMB'!F11/Prices!$F$135 +'US TELCO'!F11+'DM ASIA INCUMB'!F11</f>
        <v>1107507.5149143324</v>
      </c>
      <c r="G11" s="225">
        <f>'W.EUR INCUMB'!G11/Prices!$F$135 +'US TELCO'!G11+'DM ASIA INCUMB'!G11</f>
        <v>1092465.3420871666</v>
      </c>
      <c r="H11" s="209"/>
      <c r="I11" s="209"/>
      <c r="J11" s="5" t="s">
        <v>159</v>
      </c>
      <c r="L11" s="430">
        <f>'AGG DM'!D39</f>
        <v>13.43130082789585</v>
      </c>
      <c r="M11" s="430">
        <f>'AGG DM'!E39</f>
        <v>11.912112379106738</v>
      </c>
      <c r="N11" s="430">
        <f>'AGG DM'!F39</f>
        <v>11.843285832186552</v>
      </c>
      <c r="O11" s="430">
        <f>'AGG DM'!G39</f>
        <v>10.607416189621555</v>
      </c>
      <c r="P11" s="14">
        <f>'AGG DM'!H39</f>
        <v>3.8741206712421539E-2</v>
      </c>
    </row>
    <row r="12" spans="2:63">
      <c r="B12" s="5" t="s">
        <v>191</v>
      </c>
      <c r="C12" s="209"/>
      <c r="D12" s="188">
        <f>'W.EUR INCUMB'!D12/Prices!$F$135 +'US TELCO'!D12+'DM ASIA INCUMB'!D12</f>
        <v>615197.26010752155</v>
      </c>
      <c r="E12" s="188">
        <f>'W.EUR INCUMB'!E12/Prices!$F$135 +'US TELCO'!E12+'DM ASIA INCUMB'!E12</f>
        <v>650726.39488299063</v>
      </c>
      <c r="F12" s="188">
        <f>'W.EUR INCUMB'!F12/Prices!$F$135 +'US TELCO'!F12+'DM ASIA INCUMB'!F12</f>
        <v>637211.35293447739</v>
      </c>
      <c r="G12" s="188">
        <f>'W.EUR INCUMB'!G12/Prices!$F$135 +'US TELCO'!G12+'DM ASIA INCUMB'!G12</f>
        <v>617953.95544987696</v>
      </c>
      <c r="H12" s="207"/>
      <c r="I12" s="207"/>
      <c r="J12" s="5" t="s">
        <v>381</v>
      </c>
      <c r="L12" s="430">
        <f>'AGG DM'!D40</f>
        <v>19.048615842524175</v>
      </c>
      <c r="M12" s="430">
        <f>'AGG DM'!E40</f>
        <v>17.000481453211133</v>
      </c>
      <c r="N12" s="430">
        <f>'AGG DM'!F40</f>
        <v>16.516072034875915</v>
      </c>
      <c r="O12" s="430">
        <f>'AGG DM'!G40</f>
        <v>14.699052183478283</v>
      </c>
      <c r="P12" s="14">
        <f>'AGG DM'!H40</f>
        <v>4.6797239007460023E-2</v>
      </c>
    </row>
    <row r="13" spans="2:63">
      <c r="B13" s="5" t="s">
        <v>433</v>
      </c>
      <c r="C13" s="216"/>
      <c r="D13" s="188">
        <f>'W.EUR INCUMB'!D13/Prices!$F$135 +'US TELCO'!D13+'DM ASIA INCUMB'!D13</f>
        <v>71164.177966035306</v>
      </c>
      <c r="E13" s="188">
        <f>'W.EUR INCUMB'!E13/Prices!$F$135 +'US TELCO'!E13+'DM ASIA INCUMB'!E13</f>
        <v>68861.312407432895</v>
      </c>
      <c r="F13" s="188">
        <f>'W.EUR INCUMB'!F13/Prices!$F$135 +'US TELCO'!F13+'DM ASIA INCUMB'!F13</f>
        <v>65852.437792169134</v>
      </c>
      <c r="G13" s="188">
        <f>'W.EUR INCUMB'!G13/Prices!$F$135 +'US TELCO'!G13+'DM ASIA INCUMB'!G13</f>
        <v>63029.967870372428</v>
      </c>
      <c r="H13" s="207"/>
      <c r="I13" s="207"/>
      <c r="J13" s="5" t="s">
        <v>434</v>
      </c>
      <c r="L13" s="430">
        <f>'AGG DM'!D41</f>
        <v>1.5960698202437806</v>
      </c>
      <c r="M13" s="430">
        <f>'AGG DM'!E41</f>
        <v>1.512198298101852</v>
      </c>
      <c r="N13" s="430">
        <f>'AGG DM'!F41</f>
        <v>1.4333711156435276</v>
      </c>
      <c r="O13" s="430">
        <f>'AGG DM'!G41</f>
        <v>1.3580823445789874</v>
      </c>
      <c r="P13" s="14">
        <f>'AGG DM'!H41</f>
        <v>1.3241880031945596E-2</v>
      </c>
    </row>
    <row r="14" spans="2:63">
      <c r="B14" s="5" t="s">
        <v>436</v>
      </c>
      <c r="C14" s="228"/>
      <c r="D14" s="188">
        <f>'W.EUR INCUMB'!D14/Prices!$F$135 +'US TELCO'!D14+'DM ASIA INCUMB'!D14</f>
        <v>20527.919235151581</v>
      </c>
      <c r="E14" s="188">
        <f>'W.EUR INCUMB'!E14/Prices!$F$135 +'US TELCO'!E14+'DM ASIA INCUMB'!E14</f>
        <v>20527.919235151581</v>
      </c>
      <c r="F14" s="188">
        <f>'W.EUR INCUMB'!F14/Prices!$F$135 +'US TELCO'!F14+'DM ASIA INCUMB'!F14</f>
        <v>20527.919235151581</v>
      </c>
      <c r="G14" s="188">
        <f>'W.EUR INCUMB'!G14/Prices!$F$135 +'US TELCO'!G14+'DM ASIA INCUMB'!G14</f>
        <v>20527.919235151581</v>
      </c>
      <c r="H14" s="207"/>
      <c r="I14" s="207"/>
      <c r="J14" s="5" t="s">
        <v>493</v>
      </c>
      <c r="L14" s="430">
        <f>'AGG DM'!D42</f>
        <v>3.6519242379972408</v>
      </c>
      <c r="M14" s="430">
        <f>'AGG DM'!E42</f>
        <v>3.4495675598502382</v>
      </c>
      <c r="N14" s="430">
        <f>'AGG DM'!F42</f>
        <v>3.3035967431434781</v>
      </c>
      <c r="O14" s="430">
        <f>'AGG DM'!G42</f>
        <v>3.1754841893117352</v>
      </c>
      <c r="P14" s="14">
        <f>'AGG DM'!H42</f>
        <v>5.9470917739592455E-3</v>
      </c>
    </row>
    <row r="15" spans="2:63">
      <c r="B15" s="5" t="s">
        <v>435</v>
      </c>
      <c r="C15" s="216"/>
      <c r="D15" s="188">
        <f>'W.EUR INCUMB'!D15/Prices!$F$135 +'US TELCO'!D15+'DM ASIA INCUMB'!D15</f>
        <v>191493.82501162667</v>
      </c>
      <c r="E15" s="188">
        <f>'W.EUR INCUMB'!E15/Prices!$F$135 +'US TELCO'!E15+'DM ASIA INCUMB'!E15</f>
        <v>187030.04168195368</v>
      </c>
      <c r="F15" s="188">
        <f>'W.EUR INCUMB'!F15/Prices!$F$135 +'US TELCO'!F15+'DM ASIA INCUMB'!F15</f>
        <v>185669.62926039391</v>
      </c>
      <c r="G15" s="188">
        <f>'W.EUR INCUMB'!G15/Prices!$F$135 +'US TELCO'!G15+'DM ASIA INCUMB'!G15</f>
        <v>184034.83619399887</v>
      </c>
      <c r="H15" s="207"/>
      <c r="I15" s="207"/>
      <c r="J15" s="5" t="s">
        <v>390</v>
      </c>
      <c r="L15" s="430">
        <f>'AGG DM'!D43</f>
        <v>13.732908840748044</v>
      </c>
      <c r="M15" s="430">
        <f>'AGG DM'!E43</f>
        <v>13.416038209231752</v>
      </c>
      <c r="N15" s="430">
        <f>'AGG DM'!F43</f>
        <v>16.892170669601121</v>
      </c>
      <c r="O15" s="430">
        <f>'AGG DM'!G43</f>
        <v>15.115106588953402</v>
      </c>
      <c r="P15" s="14">
        <f>'AGG DM'!H43</f>
        <v>-4.9656282064675872E-2</v>
      </c>
    </row>
    <row r="16" spans="2:63">
      <c r="B16" s="5" t="s">
        <v>438</v>
      </c>
      <c r="C16" s="216"/>
      <c r="D16" s="188">
        <f>'W.EUR INCUMB'!D16/Prices!$F$135 +'US TELCO'!D16+'DM ASIA INCUMB'!D16</f>
        <v>24105.139325940989</v>
      </c>
      <c r="E16" s="188">
        <f>'W.EUR INCUMB'!E16/Prices!$F$135 +'US TELCO'!E16+'DM ASIA INCUMB'!E16</f>
        <v>67602.134999438204</v>
      </c>
      <c r="F16" s="188">
        <f>'W.EUR INCUMB'!F16/Prices!$F$135 +'US TELCO'!F16+'DM ASIA INCUMB'!F16</f>
        <v>115851.32271228539</v>
      </c>
      <c r="G16" s="188">
        <f>'W.EUR INCUMB'!G16/Prices!$F$135 +'US TELCO'!G16+'DM ASIA INCUMB'!G16</f>
        <v>167087.97042991259</v>
      </c>
      <c r="H16" s="207"/>
      <c r="I16" s="207"/>
      <c r="J16" s="5" t="s">
        <v>437</v>
      </c>
      <c r="L16" s="430">
        <f>'AGG DM'!D44</f>
        <v>14.18388951735013</v>
      </c>
      <c r="M16" s="430">
        <f>'AGG DM'!E44</f>
        <v>12.656163563538104</v>
      </c>
      <c r="N16" s="430">
        <f>'AGG DM'!F44</f>
        <v>13.784916693324794</v>
      </c>
      <c r="O16" s="430">
        <f>'AGG DM'!G44</f>
        <v>12.507272322495874</v>
      </c>
      <c r="P16" s="14">
        <f>'AGG DM'!H44</f>
        <v>2.7310327344825192E-2</v>
      </c>
    </row>
    <row r="17" spans="2:24">
      <c r="B17" s="5" t="s">
        <v>4</v>
      </c>
      <c r="C17" s="216"/>
      <c r="D17" s="188">
        <f>'W.EUR INCUMB'!D17/Prices!$F$135 +'US TELCO'!D17+'DM ASIA INCUMB'!D17</f>
        <v>4825.3131571520471</v>
      </c>
      <c r="E17" s="188">
        <f>'W.EUR INCUMB'!E17/Prices!$F$135 +'US TELCO'!E17+'DM ASIA INCUMB'!E17</f>
        <v>4940.9468077821766</v>
      </c>
      <c r="F17" s="188">
        <f>'W.EUR INCUMB'!F17/Prices!$F$135 +'US TELCO'!F17+'DM ASIA INCUMB'!F17</f>
        <v>4892.8713856354507</v>
      </c>
      <c r="G17" s="188">
        <f>'W.EUR INCUMB'!G17/Prices!$F$135 +'US TELCO'!G17+'DM ASIA INCUMB'!G17</f>
        <v>4841.6229856270393</v>
      </c>
      <c r="H17" s="207"/>
      <c r="I17" s="207"/>
      <c r="J17" s="5" t="s">
        <v>481</v>
      </c>
      <c r="L17" s="208">
        <f>'AGG DM'!D45</f>
        <v>3.6676438005961751E-2</v>
      </c>
      <c r="M17" s="208">
        <f>'AGG DM'!E45</f>
        <v>3.9027240403015993E-2</v>
      </c>
      <c r="N17" s="208">
        <f>'AGG DM'!F45</f>
        <v>3.9121081989007662E-2</v>
      </c>
      <c r="O17" s="208">
        <f>'AGG DM'!G45</f>
        <v>4.0989823366933457E-2</v>
      </c>
      <c r="P17" s="14">
        <f>'AGG DM'!H45</f>
        <v>2.232043393880101E-2</v>
      </c>
      <c r="S17" s="72"/>
      <c r="T17" s="72"/>
      <c r="U17" s="72"/>
      <c r="V17" s="26"/>
      <c r="W17" s="26"/>
      <c r="X17" s="26"/>
    </row>
    <row r="18" spans="2:24" ht="12.6" thickBot="1">
      <c r="B18" s="25" t="s">
        <v>76</v>
      </c>
      <c r="C18" s="209"/>
      <c r="D18" s="229">
        <f>'W.EUR INCUMB'!D18/Prices!$F$135 +'US TELCO'!D18+'DM ASIA INCUMB'!D18</f>
        <v>1974356.1830478681</v>
      </c>
      <c r="E18" s="229">
        <f>'W.EUR INCUMB'!E18/Prices!$F$135 +'US TELCO'!E18+'DM ASIA INCUMB'!E18</f>
        <v>1941323.9694994418</v>
      </c>
      <c r="F18" s="229">
        <f>'W.EUR INCUMB'!F18/Prices!$F$135 +'US TELCO'!F18+'DM ASIA INCUMB'!F18</f>
        <v>1854968.8215683005</v>
      </c>
      <c r="G18" s="229">
        <f>'W.EUR INCUMB'!G18/Prices!$F$135 +'US TELCO'!G18+'DM ASIA INCUMB'!G18</f>
        <v>1765026.5889507239</v>
      </c>
      <c r="H18" s="230">
        <f>IF(D18=0,"nm",IF(G18=0,"nm",(G18/D18)^(1/3)-1))</f>
        <v>-3.6669636129920913E-2</v>
      </c>
      <c r="I18" s="214"/>
      <c r="J18" s="5" t="s">
        <v>33</v>
      </c>
      <c r="L18" s="208">
        <f>'AGG DM'!D46</f>
        <v>5.5874053189598601E-2</v>
      </c>
      <c r="M18" s="208">
        <f>'AGG DM'!E46</f>
        <v>6.23338106192401E-2</v>
      </c>
      <c r="N18" s="208">
        <f>'AGG DM'!F46</f>
        <v>2.8516708398037438E-2</v>
      </c>
      <c r="O18" s="208">
        <f>'AGG DM'!G46</f>
        <v>5.0079310257712929E-2</v>
      </c>
      <c r="P18" s="14">
        <f>'AGG DM'!H46</f>
        <v>-5.0182580963662793E-2</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4">
        <f>'AGG DM'!H47</f>
        <v>-4.9656282064675872E-2</v>
      </c>
      <c r="S19" s="72"/>
      <c r="T19" s="72"/>
      <c r="U19" s="72"/>
      <c r="V19" s="26"/>
      <c r="W19" s="26"/>
      <c r="X19" s="26"/>
    </row>
    <row r="20" spans="2:24">
      <c r="H20" s="231"/>
      <c r="I20" s="33"/>
      <c r="J20" s="5" t="s">
        <v>504</v>
      </c>
      <c r="L20" s="248">
        <f>'AGG DM'!D48</f>
        <v>0.46567661843044023</v>
      </c>
      <c r="M20" s="248">
        <f>'AGG DM'!E48</f>
        <v>0.48489668873662817</v>
      </c>
      <c r="N20" s="248">
        <f>'AGG DM'!F48</f>
        <v>0.61435732198073312</v>
      </c>
      <c r="O20" s="248">
        <f>'AGG DM'!G48</f>
        <v>0.57970017610194013</v>
      </c>
      <c r="P20" s="14" t="str">
        <f>'AGG DM'!H48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'W.EUR INCUMB'!C23/Prices!$F$135 +'US TELCO'!C23+'DM ASIA INCUMB'!C23</f>
        <v>705698.58772195096</v>
      </c>
      <c r="D23" s="188">
        <f>'W.EUR INCUMB'!D23/Prices!$F$135 +'US TELCO'!D23+'DM ASIA INCUMB'!D23</f>
        <v>713426.8552947815</v>
      </c>
      <c r="E23" s="188">
        <f>'W.EUR INCUMB'!E23/Prices!$F$135 +'US TELCO'!E23+'DM ASIA INCUMB'!E23</f>
        <v>737581.68811529013</v>
      </c>
      <c r="F23" s="188">
        <f>'W.EUR INCUMB'!F23/Prices!$F$135 +'US TELCO'!F23+'DM ASIA INCUMB'!F23</f>
        <v>756090.99472013721</v>
      </c>
      <c r="G23" s="188">
        <f>'W.EUR INCUMB'!G23/Prices!$F$135 +'US TELCO'!G23+'DM ASIA INCUMB'!G23</f>
        <v>774320.92912102002</v>
      </c>
      <c r="H23" s="233">
        <f>IF(D23=0,"nm",IF(G23=0,"nm",(G23/D23)^(1/3)-1))</f>
        <v>2.7678288869384726E-2</v>
      </c>
      <c r="I23" s="209"/>
      <c r="J23" s="249" t="s">
        <v>7</v>
      </c>
      <c r="K23" s="249"/>
      <c r="L23" s="219" t="str">
        <f>L5</f>
        <v>2025E</v>
      </c>
      <c r="M23" s="219" t="str">
        <f>M5</f>
        <v>2026E</v>
      </c>
      <c r="N23" s="219" t="str">
        <f>N5</f>
        <v>2027E</v>
      </c>
      <c r="O23" s="219" t="str">
        <f>O5</f>
        <v>2028E</v>
      </c>
      <c r="P23" s="236" t="str">
        <f>P5</f>
        <v>2025-28</v>
      </c>
      <c r="S23" s="26"/>
      <c r="T23" s="26"/>
      <c r="U23" s="26"/>
      <c r="V23" s="26"/>
      <c r="W23" s="26" t="s">
        <v>508</v>
      </c>
      <c r="X23" s="26" t="s">
        <v>719</v>
      </c>
    </row>
    <row r="24" spans="2:24" ht="12.6" thickTop="1">
      <c r="B24" s="5" t="s">
        <v>397</v>
      </c>
      <c r="C24" s="288">
        <f>'W.EUR INCUMB'!C24/Prices!$F$135 +'US TELCO'!C24+'DM ASIA INCUMB'!C24</f>
        <v>258613.66492305684</v>
      </c>
      <c r="D24" s="188">
        <f>'W.EUR INCUMB'!D24/Prices!$F$135 +'US TELCO'!D24+'DM ASIA INCUMB'!D24</f>
        <v>266218.8504991032</v>
      </c>
      <c r="E24" s="188">
        <f>'W.EUR INCUMB'!E24/Prices!$F$135 +'US TELCO'!E24+'DM ASIA INCUMB'!E24</f>
        <v>280065.99367240409</v>
      </c>
      <c r="F24" s="188">
        <f>'W.EUR INCUMB'!F24/Prices!$F$135 +'US TELCO'!F24+'DM ASIA INCUMB'!F24</f>
        <v>292601.62786841008</v>
      </c>
      <c r="G24" s="188">
        <f>'W.EUR INCUMB'!G24/Prices!$F$135 +'US TELCO'!G24+'DM ASIA INCUMB'!G24</f>
        <v>303862.76368002576</v>
      </c>
      <c r="H24" s="233">
        <f t="shared" ref="H24:H33" si="0">IF(D24=0,"nm",IF(G24=0,"nm",(G24/D24)^(1/3)-1))</f>
        <v>4.50720347564042E-2</v>
      </c>
      <c r="I24" s="208"/>
      <c r="J24" s="13"/>
      <c r="K24" s="13"/>
      <c r="L24" s="13"/>
      <c r="M24" s="13"/>
      <c r="N24" s="13"/>
      <c r="O24" s="208"/>
      <c r="S24" s="26"/>
      <c r="T24" s="26"/>
      <c r="U24" s="26"/>
      <c r="V24" s="113" t="s">
        <v>225</v>
      </c>
      <c r="W24" s="287">
        <f t="shared" ref="W24:W31" si="1">E37/M9</f>
        <v>1.1059155741533655</v>
      </c>
      <c r="X24" s="242">
        <v>1</v>
      </c>
    </row>
    <row r="25" spans="2:24">
      <c r="B25" s="5" t="s">
        <v>157</v>
      </c>
      <c r="C25" s="288">
        <f>'W.EUR INCUMB'!C25/Prices!$F$135 +'US TELCO'!C25+'DM ASIA INCUMB'!C25</f>
        <v>142651.69856399306</v>
      </c>
      <c r="D25" s="188">
        <f>'W.EUR INCUMB'!D25/Prices!$F$135 +'US TELCO'!D25+'DM ASIA INCUMB'!D25</f>
        <v>147265.53969436089</v>
      </c>
      <c r="E25" s="188">
        <f>'W.EUR INCUMB'!E25/Prices!$F$135 +'US TELCO'!E25+'DM ASIA INCUMB'!E25</f>
        <v>161655.86687478461</v>
      </c>
      <c r="F25" s="188">
        <f>'W.EUR INCUMB'!F25/Prices!$F$135 +'US TELCO'!F25+'DM ASIA INCUMB'!F25</f>
        <v>175538.61286707307</v>
      </c>
      <c r="G25" s="188">
        <f>'W.EUR INCUMB'!G25/Prices!$F$135 +'US TELCO'!G25+'DM ASIA INCUMB'!G25</f>
        <v>187490.52462572069</v>
      </c>
      <c r="H25" s="233">
        <f t="shared" si="0"/>
        <v>8.38255803885537E-2</v>
      </c>
      <c r="I25" s="209"/>
      <c r="J25" s="207" t="s">
        <v>8</v>
      </c>
      <c r="K25" s="207"/>
      <c r="L25" s="258">
        <f>'W.EUR INCUMB'!L25/Prices!$F$135 +'US TELCO'!L25+'DM ASIA INCUMB'!L25</f>
        <v>265126.650530616</v>
      </c>
      <c r="M25" s="258">
        <f>'W.EUR INCUMB'!M25/Prices!$F$135 +'US TELCO'!M25+'DM ASIA INCUMB'!M25</f>
        <v>260716.90428724096</v>
      </c>
      <c r="N25" s="258">
        <f>'W.EUR INCUMB'!N25/Prices!$F$135 +'US TELCO'!N25+'DM ASIA INCUMB'!N25</f>
        <v>250789.99108847347</v>
      </c>
      <c r="O25" s="258">
        <f>'W.EUR INCUMB'!O25/Prices!$F$135 +'US TELCO'!O25+'DM ASIA INCUMB'!O25</f>
        <v>236988.34631950705</v>
      </c>
      <c r="P25" s="233">
        <f>IF(L25=0,"nm",IF(O25=0,"nm",(O25/L25)^(1/3)-1))</f>
        <v>-3.6708188789734253E-2</v>
      </c>
      <c r="Q25" s="5"/>
      <c r="S25" s="26"/>
      <c r="T25" s="26"/>
      <c r="U25" s="26"/>
      <c r="V25" s="113" t="s">
        <v>158</v>
      </c>
      <c r="W25" s="287">
        <f t="shared" si="1"/>
        <v>1.0068818183797166</v>
      </c>
      <c r="X25" s="242">
        <v>1</v>
      </c>
    </row>
    <row r="26" spans="2:24">
      <c r="B26" s="5" t="s">
        <v>487</v>
      </c>
      <c r="C26" s="288">
        <f>'W.EUR INCUMB'!C26/Prices!$F$135 +'US TELCO'!C26+'DM ASIA INCUMB'!C26</f>
        <v>99962.991344598195</v>
      </c>
      <c r="D26" s="188">
        <f>'W.EUR INCUMB'!D26/Prices!$F$135 +'US TELCO'!D26+'DM ASIA INCUMB'!D26</f>
        <v>103817.93212685114</v>
      </c>
      <c r="E26" s="188">
        <f>'W.EUR INCUMB'!E26/Prices!$F$135 +'US TELCO'!E26+'DM ASIA INCUMB'!E26</f>
        <v>113162.76904449698</v>
      </c>
      <c r="F26" s="188">
        <f>'W.EUR INCUMB'!F26/Prices!$F$135 +'US TELCO'!F26+'DM ASIA INCUMB'!F26</f>
        <v>125284.48976534695</v>
      </c>
      <c r="G26" s="188">
        <f>'W.EUR INCUMB'!G26/Prices!$F$135 +'US TELCO'!G26+'DM ASIA INCUMB'!G26</f>
        <v>134893.32489865512</v>
      </c>
      <c r="H26" s="233">
        <f t="shared" si="0"/>
        <v>9.1204198759472055E-2</v>
      </c>
      <c r="I26" s="209"/>
      <c r="J26" s="209" t="s">
        <v>9</v>
      </c>
      <c r="K26" s="209"/>
      <c r="L26" s="235">
        <f>'W.EUR INCUMB'!L26/Prices!$F$135 +'US TELCO'!L26+'DM ASIA INCUMB'!L26</f>
        <v>1411085.9422115451</v>
      </c>
      <c r="M26" s="235">
        <f>'W.EUR INCUMB'!M26/Prices!$F$135 +'US TELCO'!M26+'DM ASIA INCUMB'!M26</f>
        <v>1388494.1258566775</v>
      </c>
      <c r="N26" s="235">
        <f>'W.EUR INCUMB'!N26/Prices!$F$135 +'US TELCO'!N26+'DM ASIA INCUMB'!N26</f>
        <v>1358297.5060028059</v>
      </c>
      <c r="O26" s="235">
        <f>'W.EUR INCUMB'!O26/Prices!$F$135 +'US TELCO'!O26+'DM ASIA INCUMB'!O26</f>
        <v>1329453.6884066737</v>
      </c>
      <c r="P26" s="233">
        <f>IF(L26=0,"nm",IF(O26=0,"nm",(O26/L26)^(1/3)-1))</f>
        <v>-1.9667841497602812E-2</v>
      </c>
      <c r="Q26" s="25"/>
      <c r="S26" s="26"/>
      <c r="T26" s="26"/>
      <c r="U26" s="26"/>
      <c r="V26" s="113" t="s">
        <v>159</v>
      </c>
      <c r="W26" s="287">
        <f t="shared" si="1"/>
        <v>1.0081328445013424</v>
      </c>
      <c r="X26" s="242">
        <v>1</v>
      </c>
    </row>
    <row r="27" spans="2:24">
      <c r="B27" s="5" t="s">
        <v>488</v>
      </c>
      <c r="C27" s="288">
        <f>'W.EUR INCUMB'!C27/Prices!$F$135 +'US TELCO'!C27+'DM ASIA INCUMB'!C27</f>
        <v>1027690.4012482096</v>
      </c>
      <c r="D27" s="188">
        <f>'W.EUR INCUMB'!D27/Prices!$F$135 +'US TELCO'!D27+'DM ASIA INCUMB'!D27</f>
        <v>1143186.1568373006</v>
      </c>
      <c r="E27" s="188">
        <f>'W.EUR INCUMB'!E27/Prices!$F$135 +'US TELCO'!E27+'DM ASIA INCUMB'!E27</f>
        <v>1191877.625445521</v>
      </c>
      <c r="F27" s="188">
        <f>'W.EUR INCUMB'!F27/Prices!$F$135 +'US TELCO'!F27+'DM ASIA INCUMB'!F27</f>
        <v>1204801.067022383</v>
      </c>
      <c r="G27" s="188">
        <f>'W.EUR INCUMB'!G27/Prices!$F$135 +'US TELCO'!G27+'DM ASIA INCUMB'!G27</f>
        <v>1214468.8114781925</v>
      </c>
      <c r="H27" s="233">
        <f t="shared" si="0"/>
        <v>2.0367153415597361E-2</v>
      </c>
      <c r="I27" s="208"/>
      <c r="J27" s="208"/>
      <c r="K27" s="208"/>
      <c r="L27" s="208"/>
      <c r="M27" s="208"/>
      <c r="N27" s="208"/>
      <c r="O27" s="208"/>
      <c r="Q27" s="5"/>
      <c r="S27" s="26"/>
      <c r="T27" s="26"/>
      <c r="U27" s="26"/>
      <c r="V27" s="113" t="s">
        <v>381</v>
      </c>
      <c r="W27" s="287">
        <f t="shared" si="1"/>
        <v>1.0090977321190846</v>
      </c>
      <c r="X27" s="242">
        <v>1</v>
      </c>
    </row>
    <row r="28" spans="2:24" ht="12.6" thickBot="1">
      <c r="B28" s="5" t="s">
        <v>492</v>
      </c>
      <c r="C28" s="288">
        <f>'W.EUR INCUMB'!C28/Prices!$F$135 +'US TELCO'!C28+'DM ASIA INCUMB'!C28</f>
        <v>476044.2477850396</v>
      </c>
      <c r="D28" s="188">
        <f>'W.EUR INCUMB'!D28/Prices!$F$135 +'US TELCO'!D28+'DM ASIA INCUMB'!D28</f>
        <v>571453.84407394426</v>
      </c>
      <c r="E28" s="188">
        <f>'W.EUR INCUMB'!E28/Prices!$F$135 +'US TELCO'!E28+'DM ASIA INCUMB'!E28</f>
        <v>583691.61731408827</v>
      </c>
      <c r="F28" s="188">
        <f>'W.EUR INCUMB'!F28/Prices!$F$135 +'US TELCO'!F28+'DM ASIA INCUMB'!F28</f>
        <v>583324.76411961077</v>
      </c>
      <c r="G28" s="188">
        <f>'W.EUR INCUMB'!G28/Prices!$F$135 +'US TELCO'!G28+'DM ASIA INCUMB'!G28</f>
        <v>578345.80840179627</v>
      </c>
      <c r="H28" s="233">
        <f t="shared" si="0"/>
        <v>4.0040806648999894E-3</v>
      </c>
      <c r="I28" s="212"/>
      <c r="J28" s="249" t="s">
        <v>711</v>
      </c>
      <c r="K28" s="249"/>
      <c r="L28" s="249"/>
      <c r="M28" s="249"/>
      <c r="N28" s="220"/>
      <c r="O28" s="220"/>
      <c r="P28" s="220"/>
      <c r="Q28" s="5"/>
      <c r="S28" s="26"/>
      <c r="T28" s="26"/>
      <c r="U28" s="26"/>
      <c r="V28" s="113" t="s">
        <v>434</v>
      </c>
      <c r="W28" s="287">
        <f t="shared" si="1"/>
        <v>1.0771039158949349</v>
      </c>
      <c r="X28" s="242">
        <v>1</v>
      </c>
    </row>
    <row r="29" spans="2:24" ht="12.6" thickTop="1">
      <c r="B29" s="5" t="s">
        <v>489</v>
      </c>
      <c r="C29" s="288">
        <f>'W.EUR INCUMB'!C29/Prices!$F$135 +'US TELCO'!C29+'DM ASIA INCUMB'!C29</f>
        <v>65884.398394166565</v>
      </c>
      <c r="D29" s="188">
        <f>'W.EUR INCUMB'!D29/Prices!$F$135 +'US TELCO'!D29+'DM ASIA INCUMB'!D29</f>
        <v>74948.530348971719</v>
      </c>
      <c r="E29" s="188">
        <f>'W.EUR INCUMB'!E29/Prices!$F$135 +'US TELCO'!E29+'DM ASIA INCUMB'!E29</f>
        <v>73220.358701556135</v>
      </c>
      <c r="F29" s="188">
        <f>'W.EUR INCUMB'!F29/Prices!$F$135 +'US TELCO'!F29+'DM ASIA INCUMB'!F29</f>
        <v>78640.011139918395</v>
      </c>
      <c r="G29" s="188">
        <f>'W.EUR INCUMB'!G29/Prices!$F$135 +'US TELCO'!G29+'DM ASIA INCUMB'!G29</f>
        <v>85822.059581906244</v>
      </c>
      <c r="H29" s="233">
        <f t="shared" si="0"/>
        <v>4.6193306549674018E-2</v>
      </c>
      <c r="I29" s="214"/>
      <c r="J29" s="209"/>
      <c r="K29" s="209"/>
      <c r="L29" s="209"/>
      <c r="M29" s="209"/>
      <c r="N29" s="209"/>
      <c r="O29" s="211"/>
      <c r="Q29" s="5"/>
      <c r="S29" s="26"/>
      <c r="T29" s="26"/>
      <c r="U29" s="26"/>
      <c r="V29" s="113" t="s">
        <v>493</v>
      </c>
      <c r="W29" s="287">
        <f t="shared" si="1"/>
        <v>0.96416176615234972</v>
      </c>
      <c r="X29" s="242">
        <v>1</v>
      </c>
    </row>
    <row r="30" spans="2:24">
      <c r="B30" s="5" t="s">
        <v>490</v>
      </c>
      <c r="C30" s="288">
        <f>'W.EUR INCUMB'!C30/Prices!$F$135 +'US TELCO'!C30+'DM ASIA INCUMB'!C30</f>
        <v>80469.221648629915</v>
      </c>
      <c r="D30" s="188">
        <f>'W.EUR INCUMB'!D30/Prices!$F$135 +'US TELCO'!D30+'DM ASIA INCUMB'!D30</f>
        <v>83729.099026959448</v>
      </c>
      <c r="E30" s="188">
        <f>'W.EUR INCUMB'!E30/Prices!$F$135 +'US TELCO'!E30+'DM ASIA INCUMB'!E30</f>
        <v>90651.004834992054</v>
      </c>
      <c r="F30" s="188">
        <f>'W.EUR INCUMB'!F30/Prices!$F$135 +'US TELCO'!F30+'DM ASIA INCUMB'!F30</f>
        <v>97502.86911791288</v>
      </c>
      <c r="G30" s="188">
        <f>'W.EUR INCUMB'!G30/Prices!$F$135 +'US TELCO'!G30+'DM ASIA INCUMB'!G30</f>
        <v>105382.0179612762</v>
      </c>
      <c r="H30" s="233">
        <f t="shared" si="0"/>
        <v>7.9684079566401333E-2</v>
      </c>
      <c r="I30" s="214"/>
      <c r="J30" s="208"/>
      <c r="K30" s="208"/>
      <c r="L30" s="208"/>
      <c r="M30" s="208"/>
      <c r="N30" s="208"/>
      <c r="O30" s="5"/>
      <c r="Q30" s="5"/>
      <c r="S30" s="26"/>
      <c r="T30" s="26"/>
      <c r="U30" s="26"/>
      <c r="V30" s="113" t="s">
        <v>390</v>
      </c>
      <c r="W30" s="287">
        <f t="shared" si="1"/>
        <v>1.4134742728819865</v>
      </c>
      <c r="X30" s="242">
        <v>1</v>
      </c>
    </row>
    <row r="31" spans="2:24">
      <c r="B31" s="5" t="s">
        <v>491</v>
      </c>
      <c r="C31" s="288">
        <f>'W.EUR INCUMB'!C31/Prices!$F$135 +'US TELCO'!C31+'DM ASIA INCUMB'!C31</f>
        <v>43254.040423887702</v>
      </c>
      <c r="D31" s="188">
        <f>'W.EUR INCUMB'!D31/Prices!$F$135 +'US TELCO'!D31+'DM ASIA INCUMB'!D31</f>
        <v>44888.364753408372</v>
      </c>
      <c r="E31" s="188">
        <f>'W.EUR INCUMB'!E31/Prices!$F$135 +'US TELCO'!E31+'DM ASIA INCUMB'!E31</f>
        <v>47048.706511978489</v>
      </c>
      <c r="F31" s="188">
        <f>'W.EUR INCUMB'!F31/Prices!$F$135 +'US TELCO'!F31+'DM ASIA INCUMB'!F31</f>
        <v>50512.858615851757</v>
      </c>
      <c r="G31" s="188">
        <f>'W.EUR INCUMB'!G31/Prices!$F$135 +'US TELCO'!G31+'DM ASIA INCUMB'!G31</f>
        <v>52035.333958994372</v>
      </c>
      <c r="H31" s="233">
        <f t="shared" si="0"/>
        <v>5.0480964712480647E-2</v>
      </c>
      <c r="I31" s="214"/>
      <c r="J31" s="212"/>
      <c r="K31" s="212"/>
      <c r="L31" s="212"/>
      <c r="M31" s="212"/>
      <c r="N31" s="212"/>
      <c r="O31" s="5"/>
      <c r="Q31" s="5"/>
      <c r="S31" s="26"/>
      <c r="T31" s="26"/>
      <c r="U31" s="26"/>
      <c r="V31" s="113" t="s">
        <v>437</v>
      </c>
      <c r="W31" s="287">
        <f t="shared" si="1"/>
        <v>0.98298890801548644</v>
      </c>
      <c r="X31" s="242">
        <v>1</v>
      </c>
    </row>
    <row r="32" spans="2:24">
      <c r="B32" s="5" t="s">
        <v>506</v>
      </c>
      <c r="C32" s="288">
        <f>'W.EUR INCUMB'!C32/Prices!$F$135 +'US TELCO'!C32+'DM ASIA INCUMB'!C32</f>
        <v>4473.8162859237718</v>
      </c>
      <c r="D32" s="188">
        <f>'W.EUR INCUMB'!D32/Prices!$F$135 +'US TELCO'!D32+'DM ASIA INCUMB'!D32</f>
        <v>14908.338230527477</v>
      </c>
      <c r="E32" s="188">
        <f>'W.EUR INCUMB'!E32/Prices!$F$135 +'US TELCO'!E32+'DM ASIA INCUMB'!E32</f>
        <v>16596.621225920804</v>
      </c>
      <c r="F32" s="188">
        <f>'W.EUR INCUMB'!F32/Prices!$F$135 +'US TELCO'!F32+'DM ASIA INCUMB'!F32</f>
        <v>-19017.976694156961</v>
      </c>
      <c r="G32" s="188">
        <f>'W.EUR INCUMB'!G32/Prices!$F$135 +'US TELCO'!G32+'DM ASIA INCUMB'!G32</f>
        <v>11570.759269594259</v>
      </c>
      <c r="H32" s="233">
        <f t="shared" si="0"/>
        <v>-8.1009813730885005E-2</v>
      </c>
      <c r="I32" s="5"/>
      <c r="J32" s="214"/>
      <c r="K32" s="214"/>
      <c r="L32" s="214"/>
      <c r="M32" s="214"/>
      <c r="N32" s="214"/>
      <c r="O32" s="211"/>
      <c r="Q32" s="5"/>
      <c r="S32" s="26"/>
      <c r="T32" s="26"/>
      <c r="U32" s="26"/>
      <c r="V32" s="113" t="s">
        <v>481</v>
      </c>
      <c r="W32" s="242">
        <f>M17/E45</f>
        <v>0.93549931571508693</v>
      </c>
      <c r="X32" s="242">
        <v>1</v>
      </c>
    </row>
    <row r="33" spans="2:24">
      <c r="B33" s="5" t="s">
        <v>3</v>
      </c>
      <c r="C33" s="288">
        <f>'W.EUR INCUMB'!C33/Prices!$F$135 +'US TELCO'!C33+'DM ASIA INCUMB'!C33</f>
        <v>28809.577133654133</v>
      </c>
      <c r="D33" s="188">
        <f>'W.EUR INCUMB'!D33/Prices!$F$135 +'US TELCO'!D33+'DM ASIA INCUMB'!D33</f>
        <v>29552.881136217278</v>
      </c>
      <c r="E33" s="188">
        <f>'W.EUR INCUMB'!E33/Prices!$F$135 +'US TELCO'!E33+'DM ASIA INCUMB'!E33</f>
        <v>30544.523585112725</v>
      </c>
      <c r="F33" s="188">
        <f>'W.EUR INCUMB'!F33/Prices!$F$135 +'US TELCO'!F33+'DM ASIA INCUMB'!F33</f>
        <v>30913.419692073971</v>
      </c>
      <c r="G33" s="188">
        <f>'W.EUR INCUMB'!G33/Prices!$F$135 +'US TELCO'!G33+'DM ASIA INCUMB'!G33</f>
        <v>30668.306002663579</v>
      </c>
      <c r="H33" s="233">
        <f t="shared" si="0"/>
        <v>1.2426071328225374E-2</v>
      </c>
      <c r="I33" s="33"/>
      <c r="J33" s="214"/>
      <c r="K33" s="214"/>
      <c r="L33" s="214"/>
      <c r="M33" s="214"/>
      <c r="N33" s="214"/>
      <c r="O33" s="211"/>
      <c r="Q33" s="5"/>
      <c r="S33" s="26"/>
      <c r="T33" s="26"/>
      <c r="U33" s="26"/>
      <c r="V33" s="113" t="s">
        <v>482</v>
      </c>
      <c r="W33" s="242">
        <f>M19/E47</f>
        <v>1.4134742728819865</v>
      </c>
      <c r="X33" s="242">
        <v>1</v>
      </c>
    </row>
    <row r="34" spans="2:24">
      <c r="H34" s="231"/>
      <c r="I34" s="214"/>
      <c r="J34" s="214"/>
      <c r="K34" s="214"/>
      <c r="L34" s="214"/>
      <c r="M34" s="214"/>
      <c r="N34" s="214"/>
      <c r="O34" s="211"/>
      <c r="Q34" s="5"/>
      <c r="S34" s="26"/>
      <c r="T34" s="26"/>
      <c r="U34" s="26"/>
      <c r="V34" s="26"/>
      <c r="W34" s="26"/>
      <c r="X34" s="26"/>
    </row>
    <row r="35" spans="2:24" ht="12.6" thickBot="1">
      <c r="B35" s="249" t="s">
        <v>715</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D$18/D23</f>
        <v>2.7674262167101658</v>
      </c>
      <c r="E37" s="430">
        <f t="shared" ref="D37:G41" si="2">E$18/E23</f>
        <v>2.632012156456895</v>
      </c>
      <c r="F37" s="430">
        <f t="shared" si="2"/>
        <v>2.4533671668115908</v>
      </c>
      <c r="G37" s="430">
        <f t="shared" si="2"/>
        <v>2.2794509648012689</v>
      </c>
      <c r="H37" s="13">
        <f t="shared" ref="H37:H45" si="3">H23</f>
        <v>2.7678288869384726E-2</v>
      </c>
      <c r="I37" s="217"/>
      <c r="J37" s="217"/>
      <c r="K37" s="217"/>
      <c r="L37" s="217"/>
      <c r="M37" s="217"/>
      <c r="N37" s="217"/>
      <c r="O37" s="14"/>
      <c r="Q37" s="5"/>
      <c r="R37" s="5"/>
      <c r="S37" s="26"/>
      <c r="T37" s="26"/>
      <c r="U37" s="26"/>
      <c r="V37" s="26"/>
      <c r="W37" s="26"/>
      <c r="X37" s="26"/>
    </row>
    <row r="38" spans="2:24">
      <c r="B38" s="5" t="s">
        <v>158</v>
      </c>
      <c r="C38" s="207"/>
      <c r="D38" s="430">
        <f t="shared" si="2"/>
        <v>7.4162899409503646</v>
      </c>
      <c r="E38" s="430">
        <f>E$18/E24</f>
        <v>6.9316661549785561</v>
      </c>
      <c r="F38" s="430">
        <f t="shared" si="2"/>
        <v>6.3395710922104787</v>
      </c>
      <c r="G38" s="430">
        <f t="shared" si="2"/>
        <v>5.8086307370301418</v>
      </c>
      <c r="H38" s="13">
        <f t="shared" si="3"/>
        <v>4.50720347564042E-2</v>
      </c>
      <c r="I38" s="13"/>
      <c r="J38" s="13"/>
      <c r="K38" s="13"/>
      <c r="L38" s="13"/>
      <c r="M38" s="13"/>
      <c r="N38" s="13"/>
      <c r="O38" s="5"/>
      <c r="Q38" s="5"/>
      <c r="R38" s="5"/>
      <c r="S38" s="26"/>
      <c r="T38" s="26"/>
      <c r="U38" s="26"/>
      <c r="V38" s="26"/>
      <c r="W38" s="26"/>
      <c r="X38" s="26"/>
    </row>
    <row r="39" spans="2:24">
      <c r="B39" s="5" t="s">
        <v>159</v>
      </c>
      <c r="C39" s="207"/>
      <c r="D39" s="430">
        <f t="shared" si="2"/>
        <v>13.406776542193803</v>
      </c>
      <c r="E39" s="430">
        <f t="shared" si="2"/>
        <v>12.008991736768529</v>
      </c>
      <c r="F39" s="430">
        <f t="shared" si="2"/>
        <v>10.567297936739303</v>
      </c>
      <c r="G39" s="430">
        <f t="shared" si="2"/>
        <v>9.4139508781799552</v>
      </c>
      <c r="H39" s="13">
        <f t="shared" si="3"/>
        <v>8.38255803885537E-2</v>
      </c>
      <c r="I39" s="5"/>
      <c r="J39" s="5"/>
      <c r="K39" s="5"/>
      <c r="L39" s="5"/>
      <c r="M39" s="5"/>
      <c r="N39" s="5"/>
      <c r="O39" s="5"/>
      <c r="Q39" s="5"/>
      <c r="R39" s="5"/>
      <c r="S39" s="26"/>
      <c r="T39" s="26"/>
      <c r="U39" s="26"/>
      <c r="V39" s="26"/>
      <c r="W39" s="242"/>
      <c r="X39" s="242"/>
    </row>
    <row r="40" spans="2:24">
      <c r="B40" s="5" t="s">
        <v>381</v>
      </c>
      <c r="C40" s="207"/>
      <c r="D40" s="430">
        <f t="shared" si="2"/>
        <v>19.01748708147527</v>
      </c>
      <c r="E40" s="430">
        <f t="shared" si="2"/>
        <v>17.155147279367913</v>
      </c>
      <c r="F40" s="430">
        <f t="shared" si="2"/>
        <v>14.806053207724164</v>
      </c>
      <c r="G40" s="430">
        <f t="shared" si="2"/>
        <v>13.084610304303657</v>
      </c>
      <c r="H40" s="13">
        <f t="shared" si="3"/>
        <v>9.1204198759472055E-2</v>
      </c>
      <c r="I40" s="207"/>
      <c r="J40" s="217"/>
      <c r="K40" s="217"/>
      <c r="L40" s="217"/>
      <c r="M40" s="217"/>
      <c r="N40" s="217"/>
      <c r="O40" s="14"/>
      <c r="Q40" s="5"/>
      <c r="R40" s="5"/>
      <c r="S40" s="26"/>
      <c r="T40" s="26"/>
      <c r="U40" s="26"/>
      <c r="V40" s="26"/>
      <c r="W40" s="242"/>
      <c r="X40" s="242"/>
    </row>
    <row r="41" spans="2:24">
      <c r="B41" s="5" t="s">
        <v>434</v>
      </c>
      <c r="C41" s="207"/>
      <c r="D41" s="430">
        <f t="shared" si="2"/>
        <v>1.7270644603588043</v>
      </c>
      <c r="E41" s="430">
        <f t="shared" si="2"/>
        <v>1.6287947084951608</v>
      </c>
      <c r="F41" s="430">
        <f t="shared" si="2"/>
        <v>1.5396473927042418</v>
      </c>
      <c r="G41" s="430">
        <f t="shared" si="2"/>
        <v>1.4533321665151855</v>
      </c>
      <c r="H41" s="13">
        <f t="shared" si="3"/>
        <v>2.0367153415597361E-2</v>
      </c>
      <c r="I41" s="208"/>
      <c r="J41" s="13"/>
      <c r="K41" s="13"/>
      <c r="L41" s="13"/>
      <c r="M41" s="13"/>
      <c r="N41" s="13"/>
      <c r="O41" s="5"/>
      <c r="Q41" s="5"/>
      <c r="R41" s="5"/>
      <c r="S41" s="26"/>
      <c r="T41" s="26"/>
      <c r="U41" s="26"/>
      <c r="V41" s="26"/>
      <c r="W41" s="242"/>
      <c r="X41" s="242"/>
    </row>
    <row r="42" spans="2:24">
      <c r="B42" s="5" t="s">
        <v>493</v>
      </c>
      <c r="C42" s="207"/>
      <c r="D42" s="430">
        <f>D18/D28</f>
        <v>3.4549705169056364</v>
      </c>
      <c r="E42" s="430">
        <f>E18/E28</f>
        <v>3.3259411509670569</v>
      </c>
      <c r="F42" s="430">
        <f>F18/F28</f>
        <v>3.1799932656175369</v>
      </c>
      <c r="G42" s="430">
        <f>G18/G28</f>
        <v>3.0518533432933617</v>
      </c>
      <c r="H42" s="13">
        <f t="shared" si="3"/>
        <v>4.0040806648999894E-3</v>
      </c>
      <c r="I42" s="207"/>
      <c r="J42" s="5"/>
      <c r="K42" s="5"/>
      <c r="L42" s="5"/>
      <c r="M42" s="5"/>
      <c r="N42" s="5"/>
      <c r="O42" s="5"/>
      <c r="Q42" s="5"/>
      <c r="R42" s="5"/>
      <c r="S42" s="26"/>
      <c r="T42" s="26"/>
      <c r="U42" s="26"/>
      <c r="V42" s="26"/>
      <c r="W42" s="242"/>
      <c r="X42" s="242"/>
    </row>
    <row r="43" spans="2:24">
      <c r="B43" s="5" t="s">
        <v>390</v>
      </c>
      <c r="C43" s="207"/>
      <c r="D43" s="430">
        <f>L26/D29</f>
        <v>18.827399758758645</v>
      </c>
      <c r="E43" s="430">
        <f>M26/E29</f>
        <v>18.963224852750798</v>
      </c>
      <c r="F43" s="430">
        <f>N26/F29</f>
        <v>17.272346307099156</v>
      </c>
      <c r="G43" s="430">
        <f>O26/G29</f>
        <v>15.490815471957758</v>
      </c>
      <c r="H43" s="13">
        <f t="shared" si="3"/>
        <v>4.6193306549674018E-2</v>
      </c>
      <c r="I43" s="207"/>
      <c r="J43" s="207"/>
      <c r="K43" s="207"/>
      <c r="L43" s="207"/>
      <c r="M43" s="207"/>
      <c r="N43" s="207"/>
      <c r="O43" s="14"/>
      <c r="Q43" s="5"/>
      <c r="R43" s="5"/>
      <c r="S43" s="26"/>
      <c r="T43" s="26"/>
      <c r="U43" s="26"/>
      <c r="V43" s="26"/>
      <c r="W43" s="255"/>
      <c r="X43" s="255"/>
    </row>
    <row r="44" spans="2:24">
      <c r="B44" s="5" t="s">
        <v>437</v>
      </c>
      <c r="C44" s="53"/>
      <c r="D44" s="430">
        <f>D11/D30</f>
        <v>13.686511678716959</v>
      </c>
      <c r="E44" s="430">
        <f>E11/E30</f>
        <v>12.440868400987709</v>
      </c>
      <c r="F44" s="430">
        <f>F11/F30</f>
        <v>11.358717183747622</v>
      </c>
      <c r="G44" s="430">
        <f>G11/G30</f>
        <v>10.366714959743941</v>
      </c>
      <c r="H44" s="13">
        <f t="shared" si="3"/>
        <v>7.9684079566401333E-2</v>
      </c>
      <c r="I44" s="208"/>
      <c r="J44" s="208"/>
      <c r="K44" s="208"/>
      <c r="L44" s="208"/>
      <c r="M44" s="208"/>
      <c r="N44" s="208"/>
      <c r="O44" s="208"/>
      <c r="Q44" s="5"/>
      <c r="R44" s="5"/>
      <c r="S44" s="26"/>
      <c r="T44" s="26"/>
      <c r="U44" s="26"/>
      <c r="V44" s="26"/>
      <c r="W44" s="26"/>
      <c r="X44" s="26"/>
    </row>
    <row r="45" spans="2:24">
      <c r="B45" s="5" t="s">
        <v>481</v>
      </c>
      <c r="C45" s="207"/>
      <c r="D45" s="208">
        <f>D31/D11</f>
        <v>3.9170994187380515E-2</v>
      </c>
      <c r="E45" s="208">
        <f>E31/E11</f>
        <v>4.1718085462397088E-2</v>
      </c>
      <c r="F45" s="208">
        <f>F31/F11</f>
        <v>4.5609495137158514E-2</v>
      </c>
      <c r="G45" s="208">
        <f>G31/G11</f>
        <v>4.7631107326096329E-2</v>
      </c>
      <c r="H45" s="13">
        <f t="shared" si="3"/>
        <v>5.0480964712480647E-2</v>
      </c>
      <c r="I45" s="207"/>
      <c r="J45" s="207"/>
      <c r="K45" s="207"/>
      <c r="L45" s="207"/>
      <c r="M45" s="207"/>
      <c r="N45" s="207"/>
      <c r="O45" s="208"/>
      <c r="Q45" s="5"/>
      <c r="R45" s="5"/>
      <c r="S45" s="26"/>
      <c r="T45" s="26"/>
      <c r="U45" s="26"/>
      <c r="V45" s="26"/>
      <c r="W45" s="26"/>
      <c r="X45" s="26"/>
    </row>
    <row r="46" spans="2:24">
      <c r="B46" s="5" t="s">
        <v>505</v>
      </c>
      <c r="C46" s="207"/>
      <c r="D46" s="208">
        <f>(D31+D32)/D11</f>
        <v>5.2180477455027359E-2</v>
      </c>
      <c r="E46" s="208">
        <f>(E31+E32)/E11</f>
        <v>5.6434308585634689E-2</v>
      </c>
      <c r="F46" s="208">
        <f>(F31+F32)/F11</f>
        <v>2.8437623670780218E-2</v>
      </c>
      <c r="G46" s="208">
        <f>(G31+G32)/G11</f>
        <v>5.8222527322531366E-2</v>
      </c>
      <c r="H46" s="233">
        <f>((G31+G32)/(D31+D32))^(1/3)-1</f>
        <v>2.0799607000262288E-2</v>
      </c>
      <c r="I46" s="13"/>
      <c r="J46" s="207"/>
      <c r="K46" s="207"/>
      <c r="L46" s="207"/>
      <c r="M46" s="207"/>
      <c r="N46" s="207"/>
      <c r="O46" s="14"/>
      <c r="Q46" s="5"/>
      <c r="R46" s="5"/>
      <c r="S46" s="26"/>
      <c r="T46" s="26"/>
      <c r="U46" s="26"/>
      <c r="V46" s="26"/>
      <c r="W46" s="26"/>
      <c r="X46" s="26"/>
    </row>
    <row r="47" spans="2:24">
      <c r="B47" s="5" t="s">
        <v>482</v>
      </c>
      <c r="C47" s="5"/>
      <c r="D47" s="208">
        <f>1/D43</f>
        <v>5.3114079098192657E-2</v>
      </c>
      <c r="E47" s="208">
        <f>1/E43</f>
        <v>5.2733646717000267E-2</v>
      </c>
      <c r="F47" s="208">
        <f>1/F43</f>
        <v>5.7896013791072912E-2</v>
      </c>
      <c r="G47" s="208">
        <f>1/G43</f>
        <v>6.4554380743237799E-2</v>
      </c>
      <c r="H47" s="13">
        <f>H29</f>
        <v>4.6193306549674018E-2</v>
      </c>
      <c r="I47" s="207"/>
      <c r="J47" s="208"/>
      <c r="K47" s="208"/>
      <c r="L47" s="208"/>
      <c r="M47" s="208"/>
      <c r="N47" s="208"/>
      <c r="O47" s="208"/>
      <c r="Q47" s="5"/>
      <c r="R47" s="5"/>
      <c r="S47" s="5"/>
      <c r="T47" s="5"/>
      <c r="U47" s="5"/>
    </row>
    <row r="48" spans="2:24">
      <c r="B48" s="5" t="s">
        <v>518</v>
      </c>
      <c r="C48" s="5"/>
      <c r="D48" s="248">
        <f>D31/D29</f>
        <v>0.59892254783918164</v>
      </c>
      <c r="E48" s="248">
        <f>E31/E29</f>
        <v>0.64256317978101596</v>
      </c>
      <c r="F48" s="248">
        <f>F31/F29</f>
        <v>0.64233025763409335</v>
      </c>
      <c r="G48" s="248">
        <f>G31/G29</f>
        <v>0.60631653694273391</v>
      </c>
      <c r="H48" s="13" t="s">
        <v>507</v>
      </c>
      <c r="I48" s="217"/>
      <c r="J48" s="207"/>
      <c r="K48" s="207"/>
      <c r="L48" s="207"/>
      <c r="M48" s="207"/>
      <c r="N48" s="207"/>
      <c r="O48" s="208"/>
      <c r="Q48" s="5"/>
      <c r="R48" s="5"/>
      <c r="S48" s="5"/>
      <c r="T48" s="5"/>
      <c r="U48" s="5"/>
    </row>
  </sheetData>
  <pageMargins left="0.75" right="0.75" top="1" bottom="1" header="0.5" footer="0.5"/>
  <pageSetup scale="70"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217">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720</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718</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30">
        <f>'AGG DM'!D37</f>
        <v>2.538226252582501</v>
      </c>
      <c r="M9" s="430">
        <f>'AGG DM'!E37</f>
        <v>2.3799394980686785</v>
      </c>
      <c r="N9" s="430">
        <f>'AGG DM'!F37</f>
        <v>2.5090104848093389</v>
      </c>
      <c r="O9" s="430">
        <f>'AGG DM'!G37</f>
        <v>2.3422623671791674</v>
      </c>
      <c r="P9" s="14">
        <f>'AGG DM'!H37</f>
        <v>-1.3789849312914271E-2</v>
      </c>
    </row>
    <row r="10" spans="2:63">
      <c r="B10" s="5" t="s">
        <v>226</v>
      </c>
      <c r="C10" s="5"/>
      <c r="D10" s="258"/>
      <c r="E10" s="258"/>
      <c r="F10" s="258"/>
      <c r="G10" s="258"/>
      <c r="H10" s="207"/>
      <c r="I10" s="207"/>
      <c r="J10" s="5" t="s">
        <v>158</v>
      </c>
      <c r="L10" s="430">
        <f>'AGG DM'!D38</f>
        <v>7.4797484713901117</v>
      </c>
      <c r="M10" s="430">
        <f>'AGG DM'!E38</f>
        <v>6.884289723428572</v>
      </c>
      <c r="N10" s="430">
        <f>'AGG DM'!F38</f>
        <v>7.1042891280042326</v>
      </c>
      <c r="O10" s="430">
        <f>'AGG DM'!G38</f>
        <v>6.5259436575407666</v>
      </c>
      <c r="P10" s="14">
        <f>'AGG DM'!H38</f>
        <v>4.8141968520647449E-3</v>
      </c>
    </row>
    <row r="11" spans="2:63">
      <c r="B11" s="25" t="s">
        <v>427</v>
      </c>
      <c r="C11" s="5"/>
      <c r="D11" s="225">
        <f>'W.EUR OTHER'!D11/Prices!$F$135+'DM ASIA OTHER'!D11</f>
        <v>249744.04023510299</v>
      </c>
      <c r="E11" s="225">
        <f>'W.EUR OTHER'!E11/Prices!$F$135+'DM ASIA OTHER'!E11</f>
        <v>247134.68301067679</v>
      </c>
      <c r="F11" s="225">
        <f>'W.EUR OTHER'!F11/Prices!$F$135+'DM ASIA OTHER'!F11</f>
        <v>244736.3733848331</v>
      </c>
      <c r="G11" s="225">
        <f>'W.EUR OTHER'!G11/Prices!$F$135+'DM ASIA OTHER'!G11</f>
        <v>242336.9126677459</v>
      </c>
      <c r="H11" s="209"/>
      <c r="I11" s="209"/>
      <c r="J11" s="5" t="s">
        <v>159</v>
      </c>
      <c r="L11" s="430">
        <f>'AGG DM'!D39</f>
        <v>13.43130082789585</v>
      </c>
      <c r="M11" s="430">
        <f>'AGG DM'!E39</f>
        <v>11.912112379106738</v>
      </c>
      <c r="N11" s="430">
        <f>'AGG DM'!F39</f>
        <v>11.843285832186552</v>
      </c>
      <c r="O11" s="430">
        <f>'AGG DM'!G39</f>
        <v>10.607416189621555</v>
      </c>
      <c r="P11" s="14">
        <f>'AGG DM'!H39</f>
        <v>3.8741206712421539E-2</v>
      </c>
    </row>
    <row r="12" spans="2:63">
      <c r="B12" s="5" t="s">
        <v>191</v>
      </c>
      <c r="C12" s="209"/>
      <c r="D12" s="188">
        <f>'W.EUR OTHER'!D12/Prices!$F$135+'DM ASIA OTHER'!D12</f>
        <v>113554.78878662531</v>
      </c>
      <c r="E12" s="188">
        <f>'W.EUR OTHER'!E12/Prices!$F$135+'DM ASIA OTHER'!E12</f>
        <v>107476.00561311231</v>
      </c>
      <c r="F12" s="188">
        <f>'W.EUR OTHER'!F12/Prices!$F$135+'DM ASIA OTHER'!F12</f>
        <v>107109.88601379973</v>
      </c>
      <c r="G12" s="188">
        <f>'W.EUR OTHER'!G12/Prices!$F$135+'DM ASIA OTHER'!G12</f>
        <v>97479.997130115269</v>
      </c>
      <c r="H12" s="207"/>
      <c r="I12" s="207"/>
      <c r="J12" s="5" t="s">
        <v>381</v>
      </c>
      <c r="L12" s="430">
        <f>'AGG DM'!D40</f>
        <v>19.048615842524175</v>
      </c>
      <c r="M12" s="430">
        <f>'AGG DM'!E40</f>
        <v>17.000481453211133</v>
      </c>
      <c r="N12" s="430">
        <f>'AGG DM'!F40</f>
        <v>16.516072034875915</v>
      </c>
      <c r="O12" s="430">
        <f>'AGG DM'!G40</f>
        <v>14.699052183478283</v>
      </c>
      <c r="P12" s="14">
        <f>'AGG DM'!H40</f>
        <v>4.6797239007460023E-2</v>
      </c>
    </row>
    <row r="13" spans="2:63">
      <c r="B13" s="5" t="s">
        <v>433</v>
      </c>
      <c r="C13" s="216"/>
      <c r="D13" s="188">
        <f>'W.EUR OTHER'!D13/Prices!$F$135+'DM ASIA OTHER'!D13</f>
        <v>25124.131713732662</v>
      </c>
      <c r="E13" s="188">
        <f>'W.EUR OTHER'!E13/Prices!$F$135+'DM ASIA OTHER'!E13</f>
        <v>25262.49156006665</v>
      </c>
      <c r="F13" s="188">
        <f>'W.EUR OTHER'!F13/Prices!$F$135+'DM ASIA OTHER'!F13</f>
        <v>25686.039434911952</v>
      </c>
      <c r="G13" s="188">
        <f>'W.EUR OTHER'!G13/Prices!$F$135+'DM ASIA OTHER'!G13</f>
        <v>25909.381199556108</v>
      </c>
      <c r="H13" s="207"/>
      <c r="I13" s="207"/>
      <c r="J13" s="5" t="s">
        <v>434</v>
      </c>
      <c r="L13" s="430">
        <f>'AGG DM'!D41</f>
        <v>1.5960698202437806</v>
      </c>
      <c r="M13" s="430">
        <f>'AGG DM'!E41</f>
        <v>1.512198298101852</v>
      </c>
      <c r="N13" s="430">
        <f>'AGG DM'!F41</f>
        <v>1.4333711156435276</v>
      </c>
      <c r="O13" s="430">
        <f>'AGG DM'!G41</f>
        <v>1.3580823445789874</v>
      </c>
      <c r="P13" s="14">
        <f>'AGG DM'!H41</f>
        <v>1.3241880031945596E-2</v>
      </c>
    </row>
    <row r="14" spans="2:63">
      <c r="B14" s="5" t="s">
        <v>436</v>
      </c>
      <c r="C14" s="228"/>
      <c r="D14" s="188">
        <f>'W.EUR OTHER'!D14/Prices!$F$135+'DM ASIA OTHER'!D14</f>
        <v>18154.167563015209</v>
      </c>
      <c r="E14" s="188">
        <f>'W.EUR OTHER'!E14/Prices!$F$135+'DM ASIA OTHER'!E14</f>
        <v>18154.167563015209</v>
      </c>
      <c r="F14" s="188">
        <f>'W.EUR OTHER'!F14/Prices!$F$135+'DM ASIA OTHER'!F14</f>
        <v>18154.167563015209</v>
      </c>
      <c r="G14" s="188">
        <f>'W.EUR OTHER'!G14/Prices!$F$135+'DM ASIA OTHER'!G14</f>
        <v>18154.167563015209</v>
      </c>
      <c r="H14" s="207"/>
      <c r="I14" s="207"/>
      <c r="J14" s="5" t="s">
        <v>493</v>
      </c>
      <c r="L14" s="430">
        <f>'AGG DM'!D42</f>
        <v>3.6519242379972408</v>
      </c>
      <c r="M14" s="430">
        <f>'AGG DM'!E42</f>
        <v>3.4495675598502382</v>
      </c>
      <c r="N14" s="430">
        <f>'AGG DM'!F42</f>
        <v>3.3035967431434781</v>
      </c>
      <c r="O14" s="430">
        <f>'AGG DM'!G42</f>
        <v>3.1754841893117352</v>
      </c>
      <c r="P14" s="14">
        <f>'AGG DM'!H42</f>
        <v>5.9470917739592455E-3</v>
      </c>
    </row>
    <row r="15" spans="2:63">
      <c r="B15" s="5" t="s">
        <v>435</v>
      </c>
      <c r="C15" s="216"/>
      <c r="D15" s="188">
        <f>'W.EUR OTHER'!D15/Prices!$F$135+'DM ASIA OTHER'!D15</f>
        <v>14936.073104504176</v>
      </c>
      <c r="E15" s="188">
        <f>'W.EUR OTHER'!E15/Prices!$F$135+'DM ASIA OTHER'!E15</f>
        <v>14936.073104504176</v>
      </c>
      <c r="F15" s="188">
        <f>'W.EUR OTHER'!F15/Prices!$F$135+'DM ASIA OTHER'!F15</f>
        <v>14936.073104504176</v>
      </c>
      <c r="G15" s="188">
        <f>'W.EUR OTHER'!G15/Prices!$F$135+'DM ASIA OTHER'!G15</f>
        <v>14936.073104504176</v>
      </c>
      <c r="H15" s="207"/>
      <c r="I15" s="207"/>
      <c r="J15" s="5" t="s">
        <v>390</v>
      </c>
      <c r="L15" s="430">
        <f>'AGG DM'!D43</f>
        <v>13.732908840748044</v>
      </c>
      <c r="M15" s="430">
        <f>'AGG DM'!E43</f>
        <v>13.416038209231752</v>
      </c>
      <c r="N15" s="430">
        <f>'AGG DM'!F43</f>
        <v>16.892170669601121</v>
      </c>
      <c r="O15" s="430">
        <f>'AGG DM'!G43</f>
        <v>15.115106588953402</v>
      </c>
      <c r="P15" s="14">
        <f>'AGG DM'!H43</f>
        <v>-4.9656282064675872E-2</v>
      </c>
    </row>
    <row r="16" spans="2:63">
      <c r="B16" s="5" t="s">
        <v>438</v>
      </c>
      <c r="C16" s="216"/>
      <c r="D16" s="188">
        <f>'W.EUR OTHER'!D16/Prices!$F$135+'DM ASIA OTHER'!D16</f>
        <v>0</v>
      </c>
      <c r="E16" s="188">
        <f>'W.EUR OTHER'!E16/Prices!$F$135+'DM ASIA OTHER'!E16</f>
        <v>8778.0199776270201</v>
      </c>
      <c r="F16" s="188">
        <f>'W.EUR OTHER'!F16/Prices!$F$135+'DM ASIA OTHER'!F16</f>
        <v>17887.746862537148</v>
      </c>
      <c r="G16" s="188">
        <f>'W.EUR OTHER'!G16/Prices!$F$135+'DM ASIA OTHER'!G16</f>
        <v>27145.629305991755</v>
      </c>
      <c r="H16" s="207"/>
      <c r="I16" s="207"/>
      <c r="J16" s="5" t="s">
        <v>437</v>
      </c>
      <c r="L16" s="430">
        <f>'AGG DM'!D44</f>
        <v>14.18388951735013</v>
      </c>
      <c r="M16" s="430">
        <f>'AGG DM'!E44</f>
        <v>12.656163563538104</v>
      </c>
      <c r="N16" s="430">
        <f>'AGG DM'!F44</f>
        <v>13.784916693324794</v>
      </c>
      <c r="O16" s="430">
        <f>'AGG DM'!G44</f>
        <v>12.507272322495874</v>
      </c>
      <c r="P16" s="14">
        <f>'AGG DM'!H44</f>
        <v>2.7310327344825192E-2</v>
      </c>
    </row>
    <row r="17" spans="2:24">
      <c r="B17" s="5" t="s">
        <v>4</v>
      </c>
      <c r="C17" s="216"/>
      <c r="D17" s="188">
        <f>'W.EUR OTHER'!D17/Prices!$F$135+'DM ASIA OTHER'!D17</f>
        <v>2616.5566752510763</v>
      </c>
      <c r="E17" s="188">
        <f>'W.EUR OTHER'!E17/Prices!$F$135+'DM ASIA OTHER'!E17</f>
        <v>2584.4750811106887</v>
      </c>
      <c r="F17" s="188">
        <f>'W.EUR OTHER'!F17/Prices!$F$135+'DM ASIA OTHER'!F17</f>
        <v>2579.1251368766184</v>
      </c>
      <c r="G17" s="188">
        <f>'W.EUR OTHER'!G17/Prices!$F$135+'DM ASIA OTHER'!G17</f>
        <v>2570.2379708643207</v>
      </c>
      <c r="H17" s="207"/>
      <c r="I17" s="207"/>
      <c r="J17" s="5" t="s">
        <v>481</v>
      </c>
      <c r="L17" s="208">
        <f>'AGG DM'!D45</f>
        <v>3.6676438005961751E-2</v>
      </c>
      <c r="M17" s="208">
        <f>'AGG DM'!E45</f>
        <v>3.9027240403015993E-2</v>
      </c>
      <c r="N17" s="208">
        <f>'AGG DM'!F45</f>
        <v>3.9121081989007662E-2</v>
      </c>
      <c r="O17" s="208">
        <f>'AGG DM'!G45</f>
        <v>4.0989823366933457E-2</v>
      </c>
      <c r="P17" s="14">
        <f>'AGG DM'!H45</f>
        <v>2.232043393880101E-2</v>
      </c>
      <c r="S17" s="72"/>
      <c r="T17" s="72"/>
      <c r="U17" s="72"/>
      <c r="V17" s="26"/>
      <c r="W17" s="26"/>
      <c r="X17" s="26"/>
    </row>
    <row r="18" spans="2:24" ht="12.6" thickBot="1">
      <c r="B18" s="25" t="s">
        <v>76</v>
      </c>
      <c r="C18" s="209"/>
      <c r="D18" s="229">
        <f>'W.EUR OTHER'!D18/Prices!$F$135+'DM ASIA OTHER'!D18</f>
        <v>382588.30960169883</v>
      </c>
      <c r="E18" s="229">
        <f>'W.EUR OTHER'!E18/Prices!$F$135+'DM ASIA OTHER'!E18</f>
        <v>365292.59066660702</v>
      </c>
      <c r="F18" s="229">
        <f>'W.EUR OTHER'!F18/Prices!$F$135+'DM ASIA OTHER'!F18</f>
        <v>353847.33237561997</v>
      </c>
      <c r="G18" s="229">
        <f>'W.EUR OTHER'!G18/Prices!$F$135+'DM ASIA OTHER'!G18</f>
        <v>332792.32926205016</v>
      </c>
      <c r="H18" s="230">
        <f>IF(D18=0,"nm",IF(G18=0,"nm",(G18/D18)^(1/3)-1))</f>
        <v>-4.5416615805875971E-2</v>
      </c>
      <c r="I18" s="214"/>
      <c r="J18" s="5" t="s">
        <v>33</v>
      </c>
      <c r="L18" s="208">
        <f>'AGG DM'!D46</f>
        <v>5.5874053189598601E-2</v>
      </c>
      <c r="M18" s="208">
        <f>'AGG DM'!E46</f>
        <v>6.23338106192401E-2</v>
      </c>
      <c r="N18" s="208">
        <f>'AGG DM'!F46</f>
        <v>2.8516708398037438E-2</v>
      </c>
      <c r="O18" s="208">
        <f>'AGG DM'!G46</f>
        <v>5.0079310257712929E-2</v>
      </c>
      <c r="P18" s="14">
        <f>'AGG DM'!H46</f>
        <v>-5.0182580963662793E-2</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4">
        <f>'AGG DM'!H47</f>
        <v>-4.9656282064675872E-2</v>
      </c>
      <c r="S19" s="72"/>
      <c r="T19" s="72"/>
      <c r="U19" s="72"/>
      <c r="V19" s="26"/>
      <c r="W19" s="26"/>
      <c r="X19" s="26"/>
    </row>
    <row r="20" spans="2:24">
      <c r="H20" s="231"/>
      <c r="I20" s="33"/>
      <c r="J20" s="5" t="s">
        <v>504</v>
      </c>
      <c r="L20" s="248">
        <f>'AGG DM'!D48</f>
        <v>0.46567661843044023</v>
      </c>
      <c r="M20" s="248">
        <f>'AGG DM'!E48</f>
        <v>0.48489668873662817</v>
      </c>
      <c r="N20" s="248">
        <f>'AGG DM'!F48</f>
        <v>0.61435732198073312</v>
      </c>
      <c r="O20" s="248">
        <f>'AGG DM'!G48</f>
        <v>0.57970017610194013</v>
      </c>
      <c r="P20" s="14" t="str">
        <f>'AGG DM'!H48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'W.EUR OTHER'!C23/Prices!$F$135+'DM ASIA OTHER'!C23</f>
        <v>235676.63733225095</v>
      </c>
      <c r="D23" s="188">
        <f>'W.EUR OTHER'!D23/Prices!$F$135+'DM ASIA OTHER'!D23</f>
        <v>246540.01664982311</v>
      </c>
      <c r="E23" s="188">
        <f>'W.EUR OTHER'!E23/Prices!$F$135+'DM ASIA OTHER'!E23</f>
        <v>256209.71933656337</v>
      </c>
      <c r="F23" s="188">
        <f>'W.EUR OTHER'!F23/Prices!$F$135+'DM ASIA OTHER'!F23</f>
        <v>268494.10955419659</v>
      </c>
      <c r="G23" s="188">
        <f>'W.EUR OTHER'!G23/Prices!$F$135+'DM ASIA OTHER'!G23</f>
        <v>276433.51523735863</v>
      </c>
      <c r="H23" s="233">
        <f>IF(D23=0,"nm",IF(G23=0,"nm",(G23/D23)^(1/3)-1))</f>
        <v>3.8885676399306179E-2</v>
      </c>
      <c r="I23" s="209"/>
      <c r="J23" s="249" t="s">
        <v>7</v>
      </c>
      <c r="K23" s="249"/>
      <c r="L23" s="219" t="str">
        <f>L5</f>
        <v>2025E</v>
      </c>
      <c r="M23" s="219" t="str">
        <f>M5</f>
        <v>2026E</v>
      </c>
      <c r="N23" s="219" t="str">
        <f>N5</f>
        <v>2027E</v>
      </c>
      <c r="O23" s="219" t="str">
        <f>O5</f>
        <v>2028E</v>
      </c>
      <c r="P23" s="236" t="str">
        <f>P5</f>
        <v>2025-28</v>
      </c>
      <c r="S23" s="26"/>
      <c r="T23" s="26"/>
      <c r="U23" s="26"/>
      <c r="V23" s="26"/>
      <c r="W23" s="26" t="s">
        <v>508</v>
      </c>
      <c r="X23" s="26" t="s">
        <v>719</v>
      </c>
    </row>
    <row r="24" spans="2:24" ht="12.6" thickTop="1">
      <c r="B24" s="5" t="s">
        <v>397</v>
      </c>
      <c r="C24" s="288">
        <f>'W.EUR OTHER'!C24/Prices!$F$135+'DM ASIA OTHER'!C24</f>
        <v>52747.526210907425</v>
      </c>
      <c r="D24" s="188">
        <f>'W.EUR OTHER'!D24/Prices!$F$135+'DM ASIA OTHER'!D24</f>
        <v>55858.584753705101</v>
      </c>
      <c r="E24" s="188">
        <f>'W.EUR OTHER'!E24/Prices!$F$135+'DM ASIA OTHER'!E24</f>
        <v>59920.376379632871</v>
      </c>
      <c r="F24" s="188">
        <f>'W.EUR OTHER'!F24/Prices!$F$135+'DM ASIA OTHER'!F24</f>
        <v>64601.620758514306</v>
      </c>
      <c r="G24" s="188">
        <f>'W.EUR OTHER'!G24/Prices!$F$135+'DM ASIA OTHER'!G24</f>
        <v>67909.812600078847</v>
      </c>
      <c r="H24" s="233">
        <f t="shared" ref="H24:H28" si="0">IF(D24=0,"nm",IF(G24=0,"nm",(G24/D24)^(1/3)-1))</f>
        <v>6.7286135924666146E-2</v>
      </c>
      <c r="I24" s="208"/>
      <c r="J24" s="13"/>
      <c r="K24" s="13"/>
      <c r="L24" s="13"/>
      <c r="M24" s="13"/>
      <c r="N24" s="13"/>
      <c r="O24" s="208"/>
      <c r="S24" s="26"/>
      <c r="T24" s="26"/>
      <c r="U24" s="26"/>
      <c r="V24" s="113" t="s">
        <v>225</v>
      </c>
      <c r="W24" s="287">
        <f t="shared" ref="W24:W31" si="1">E37/M9</f>
        <v>0.59907244740798637</v>
      </c>
      <c r="X24" s="242">
        <v>1</v>
      </c>
    </row>
    <row r="25" spans="2:24">
      <c r="B25" s="5" t="s">
        <v>157</v>
      </c>
      <c r="C25" s="288">
        <f>'W.EUR OTHER'!C25/Prices!$F$135+'DM ASIA OTHER'!C25</f>
        <v>26639.849969508785</v>
      </c>
      <c r="D25" s="188">
        <f>'W.EUR OTHER'!D25/Prices!$F$135+'DM ASIA OTHER'!D25</f>
        <v>28842.642186163954</v>
      </c>
      <c r="E25" s="188">
        <f>'W.EUR OTHER'!E25/Prices!$F$135+'DM ASIA OTHER'!E25</f>
        <v>32816.394322106571</v>
      </c>
      <c r="F25" s="188">
        <f>'W.EUR OTHER'!F25/Prices!$F$135+'DM ASIA OTHER'!F25</f>
        <v>36780.797739529444</v>
      </c>
      <c r="G25" s="188">
        <f>'W.EUR OTHER'!G25/Prices!$F$135+'DM ASIA OTHER'!G25</f>
        <v>39992.243651900506</v>
      </c>
      <c r="H25" s="233">
        <f t="shared" si="0"/>
        <v>0.11509938375474338</v>
      </c>
      <c r="I25" s="209"/>
      <c r="J25" s="207" t="s">
        <v>8</v>
      </c>
      <c r="K25" s="207"/>
      <c r="L25" s="258">
        <f>'W.EUR OTHER'!L25/Prices!$F$135+'DM ASIA OTHER'!L25</f>
        <v>1896.4065161447347</v>
      </c>
      <c r="M25" s="258">
        <f>'W.EUR OTHER'!M25/Prices!$F$135+'DM ASIA OTHER'!M25</f>
        <v>216.39374522116248</v>
      </c>
      <c r="N25" s="258">
        <f>'W.EUR OTHER'!N25/Prices!$F$135+'DM ASIA OTHER'!N25</f>
        <v>169.84130583018637</v>
      </c>
      <c r="O25" s="258">
        <f>'W.EUR OTHER'!O25/Prices!$F$135+'DM ASIA OTHER'!O25</f>
        <v>116.86747</v>
      </c>
      <c r="P25" s="233">
        <f>IF(L25=0,"nm",IF(O25=0,"nm",(O25/L25)^(1/3)-1))</f>
        <v>-0.60500881723819977</v>
      </c>
      <c r="Q25" s="5"/>
      <c r="S25" s="26"/>
      <c r="T25" s="26"/>
      <c r="U25" s="26"/>
      <c r="V25" s="113" t="s">
        <v>158</v>
      </c>
      <c r="W25" s="287">
        <f t="shared" si="1"/>
        <v>0.88553797810791413</v>
      </c>
      <c r="X25" s="242">
        <v>1</v>
      </c>
    </row>
    <row r="26" spans="2:24">
      <c r="B26" s="5" t="s">
        <v>487</v>
      </c>
      <c r="C26" s="288">
        <f>'W.EUR OTHER'!C26/Prices!$F$135+'DM ASIA OTHER'!C26</f>
        <v>20641.347449299348</v>
      </c>
      <c r="D26" s="188">
        <f>'W.EUR OTHER'!D26/Prices!$F$135+'DM ASIA OTHER'!D26</f>
        <v>20907.554787798996</v>
      </c>
      <c r="E26" s="188">
        <f>'W.EUR OTHER'!E26/Prices!$F$135+'DM ASIA OTHER'!E26</f>
        <v>23455.945034587257</v>
      </c>
      <c r="F26" s="188">
        <f>'W.EUR OTHER'!F26/Prices!$F$135+'DM ASIA OTHER'!F26</f>
        <v>26109.481454004854</v>
      </c>
      <c r="G26" s="188">
        <f>'W.EUR OTHER'!G26/Prices!$F$135+'DM ASIA OTHER'!G26</f>
        <v>28405.909801857852</v>
      </c>
      <c r="H26" s="233">
        <f t="shared" si="0"/>
        <v>0.10756312175548954</v>
      </c>
      <c r="I26" s="209"/>
      <c r="J26" s="209" t="s">
        <v>9</v>
      </c>
      <c r="K26" s="209"/>
      <c r="L26" s="235">
        <f>'W.EUR OTHER'!L26/Prices!$F$135+'DM ASIA OTHER'!L26</f>
        <v>171443.74580873965</v>
      </c>
      <c r="M26" s="235">
        <f>'W.EUR OTHER'!M26/Prices!$F$135+'DM ASIA OTHER'!M26</f>
        <v>167757.42867534392</v>
      </c>
      <c r="N26" s="235">
        <f>'W.EUR OTHER'!N26/Prices!$F$135+'DM ASIA OTHER'!N26</f>
        <v>165915.61947206329</v>
      </c>
      <c r="O26" s="235">
        <f>'W.EUR OTHER'!O26/Prices!$F$135+'DM ASIA OTHER'!O26</f>
        <v>164066.23778109992</v>
      </c>
      <c r="P26" s="233">
        <f>IF(L26=0,"nm",IF(O26=0,"nm",(O26/L26)^(1/3)-1))</f>
        <v>-1.4554696248651022E-2</v>
      </c>
      <c r="Q26" s="25"/>
      <c r="S26" s="26"/>
      <c r="T26" s="26"/>
      <c r="U26" s="26"/>
      <c r="V26" s="113" t="s">
        <v>159</v>
      </c>
      <c r="W26" s="287">
        <f t="shared" si="1"/>
        <v>0.93446108444688591</v>
      </c>
      <c r="X26" s="242">
        <v>1</v>
      </c>
    </row>
    <row r="27" spans="2:24">
      <c r="B27" s="5" t="s">
        <v>488</v>
      </c>
      <c r="C27" s="288">
        <f>'W.EUR OTHER'!C27/Prices!$F$135+'DM ASIA OTHER'!C27</f>
        <v>251971.39342514047</v>
      </c>
      <c r="D27" s="188">
        <f>'W.EUR OTHER'!D27/Prices!$F$135+'DM ASIA OTHER'!D27</f>
        <v>257357.24834850332</v>
      </c>
      <c r="E27" s="188">
        <f>'W.EUR OTHER'!E27/Prices!$F$135+'DM ASIA OTHER'!E27</f>
        <v>255788.92133847921</v>
      </c>
      <c r="F27" s="188">
        <f>'W.EUR OTHER'!F27/Prices!$F$135+'DM ASIA OTHER'!F27</f>
        <v>262962.80273853114</v>
      </c>
      <c r="G27" s="188">
        <f>'W.EUR OTHER'!G27/Prices!$F$135+'DM ASIA OTHER'!G27</f>
        <v>260092.38147677056</v>
      </c>
      <c r="H27" s="233">
        <f t="shared" si="0"/>
        <v>3.5301129716200919E-3</v>
      </c>
      <c r="I27" s="208"/>
      <c r="J27" s="208"/>
      <c r="K27" s="208"/>
      <c r="L27" s="208"/>
      <c r="M27" s="208"/>
      <c r="N27" s="208"/>
      <c r="O27" s="208"/>
      <c r="Q27" s="5"/>
      <c r="S27" s="26"/>
      <c r="T27" s="26"/>
      <c r="U27" s="26"/>
      <c r="V27" s="113" t="s">
        <v>381</v>
      </c>
      <c r="W27" s="287">
        <f t="shared" si="1"/>
        <v>0.91606587947523166</v>
      </c>
      <c r="X27" s="242">
        <v>1</v>
      </c>
    </row>
    <row r="28" spans="2:24" ht="12.6" thickBot="1">
      <c r="B28" s="5" t="s">
        <v>492</v>
      </c>
      <c r="C28" s="288">
        <f>'W.EUR OTHER'!C28/Prices!$F$135+'DM ASIA OTHER'!C28</f>
        <v>102095.51216844827</v>
      </c>
      <c r="D28" s="188">
        <f>'W.EUR OTHER'!D28/Prices!$F$135+'DM ASIA OTHER'!D28</f>
        <v>103787.57928177089</v>
      </c>
      <c r="E28" s="188">
        <f>'W.EUR OTHER'!E28/Prices!$F$135+'DM ASIA OTHER'!E28</f>
        <v>102973.69672516022</v>
      </c>
      <c r="F28" s="188">
        <f>'W.EUR OTHER'!F28/Prices!$F$135+'DM ASIA OTHER'!F28</f>
        <v>102911.39515911421</v>
      </c>
      <c r="G28" s="188">
        <f>'W.EUR OTHER'!G28/Prices!$F$135+'DM ASIA OTHER'!G28</f>
        <v>102384.00051392902</v>
      </c>
      <c r="H28" s="233">
        <f t="shared" si="0"/>
        <v>-4.5283320653959347E-3</v>
      </c>
      <c r="I28" s="212"/>
      <c r="J28" s="249" t="s">
        <v>711</v>
      </c>
      <c r="K28" s="249"/>
      <c r="L28" s="249"/>
      <c r="M28" s="249"/>
      <c r="N28" s="220"/>
      <c r="O28" s="220"/>
      <c r="P28" s="220"/>
      <c r="Q28" s="5"/>
      <c r="S28" s="26"/>
      <c r="T28" s="26"/>
      <c r="U28" s="26"/>
      <c r="V28" s="113" t="s">
        <v>434</v>
      </c>
      <c r="W28" s="287">
        <f t="shared" si="1"/>
        <v>0.94438784324006153</v>
      </c>
      <c r="X28" s="242">
        <v>1</v>
      </c>
    </row>
    <row r="29" spans="2:24" ht="12.6" thickTop="1">
      <c r="B29" s="5" t="s">
        <v>489</v>
      </c>
      <c r="C29" s="288">
        <f>'W.EUR OTHER'!C29/Prices!$F$135+'DM ASIA OTHER'!C29</f>
        <v>9677.3805150758235</v>
      </c>
      <c r="D29" s="188">
        <f>'W.EUR OTHER'!D29/Prices!$F$135+'DM ASIA OTHER'!D29</f>
        <v>12606.971067897928</v>
      </c>
      <c r="E29" s="188">
        <f>'W.EUR OTHER'!E29/Prices!$F$135+'DM ASIA OTHER'!E29</f>
        <v>14539.752045749749</v>
      </c>
      <c r="F29" s="188">
        <f>'W.EUR OTHER'!F29/Prices!$F$135+'DM ASIA OTHER'!F29</f>
        <v>16385.288639917784</v>
      </c>
      <c r="G29" s="188">
        <f>'W.EUR OTHER'!G29/Prices!$F$135+'DM ASIA OTHER'!G29</f>
        <v>18460.214768607875</v>
      </c>
      <c r="H29" s="233">
        <f>IF(D29=0,"nm",IF(G29=0,"nm",(G29/D29)^(1/3)-1))</f>
        <v>0.13555628255179686</v>
      </c>
      <c r="I29" s="214"/>
      <c r="J29" s="209"/>
      <c r="K29" s="209"/>
      <c r="L29" s="209"/>
      <c r="M29" s="209"/>
      <c r="N29" s="209"/>
      <c r="O29" s="211"/>
      <c r="Q29" s="5"/>
      <c r="S29" s="26"/>
      <c r="T29" s="26"/>
      <c r="U29" s="26"/>
      <c r="V29" s="113" t="s">
        <v>493</v>
      </c>
      <c r="W29" s="287">
        <f t="shared" si="1"/>
        <v>1.0283711970593499</v>
      </c>
      <c r="X29" s="242">
        <v>1</v>
      </c>
    </row>
    <row r="30" spans="2:24">
      <c r="B30" s="5" t="s">
        <v>490</v>
      </c>
      <c r="C30" s="288">
        <f>'W.EUR OTHER'!C30/Prices!$F$135+'DM ASIA OTHER'!C30</f>
        <v>10932.661644530555</v>
      </c>
      <c r="D30" s="188">
        <f>'W.EUR OTHER'!D30/Prices!$F$135+'DM ASIA OTHER'!D30</f>
        <v>12666.37319243696</v>
      </c>
      <c r="E30" s="188">
        <f>'W.EUR OTHER'!E30/Prices!$F$135+'DM ASIA OTHER'!E30</f>
        <v>15550.506643975528</v>
      </c>
      <c r="F30" s="188">
        <f>'W.EUR OTHER'!F30/Prices!$F$135+'DM ASIA OTHER'!F30</f>
        <v>17545.491749275381</v>
      </c>
      <c r="G30" s="188">
        <f>'W.EUR OTHER'!G30/Prices!$F$135+'DM ASIA OTHER'!G30</f>
        <v>19730.501544132345</v>
      </c>
      <c r="H30" s="233">
        <f>IF(D30=0,"nm",IF(G30=0,"nm",(G30/D30)^(1/3)-1))</f>
        <v>0.15920954498810214</v>
      </c>
      <c r="I30" s="214"/>
      <c r="J30" s="208"/>
      <c r="K30" s="208"/>
      <c r="L30" s="208"/>
      <c r="M30" s="208"/>
      <c r="N30" s="208"/>
      <c r="O30" s="5"/>
      <c r="Q30" s="5"/>
      <c r="S30" s="26"/>
      <c r="T30" s="26"/>
      <c r="U30" s="26"/>
      <c r="V30" s="113" t="s">
        <v>390</v>
      </c>
      <c r="W30" s="287">
        <f t="shared" si="1"/>
        <v>0.86000400550136502</v>
      </c>
      <c r="X30" s="242">
        <v>1</v>
      </c>
    </row>
    <row r="31" spans="2:24">
      <c r="B31" s="5" t="s">
        <v>491</v>
      </c>
      <c r="C31" s="288">
        <f>'W.EUR OTHER'!C31/Prices!$F$135+'DM ASIA OTHER'!C31</f>
        <v>10066.361678388021</v>
      </c>
      <c r="D31" s="188">
        <f>'W.EUR OTHER'!D31/Prices!$F$135+'DM ASIA OTHER'!D31</f>
        <v>8812.5357918058144</v>
      </c>
      <c r="E31" s="188">
        <f>'W.EUR OTHER'!E31/Prices!$F$135+'DM ASIA OTHER'!E31</f>
        <v>8990.2269806717704</v>
      </c>
      <c r="F31" s="188">
        <f>'W.EUR OTHER'!F31/Prices!$F$135+'DM ASIA OTHER'!F31</f>
        <v>9132.1689677728809</v>
      </c>
      <c r="G31" s="188">
        <f>'W.EUR OTHER'!G31/Prices!$F$135+'DM ASIA OTHER'!G31</f>
        <v>9418.7027175041731</v>
      </c>
      <c r="H31" s="233">
        <f>IF(D31=0,"nm",IF(G31=0,"nm",(G31/D31)^(1/3)-1))</f>
        <v>2.2421715940386333E-2</v>
      </c>
      <c r="I31" s="214"/>
      <c r="J31" s="212"/>
      <c r="K31" s="212"/>
      <c r="L31" s="212"/>
      <c r="M31" s="212"/>
      <c r="N31" s="212"/>
      <c r="O31" s="5"/>
      <c r="Q31" s="5"/>
      <c r="S31" s="26"/>
      <c r="T31" s="26"/>
      <c r="U31" s="26"/>
      <c r="V31" s="113" t="s">
        <v>437</v>
      </c>
      <c r="W31" s="287">
        <f t="shared" si="1"/>
        <v>1.255703419171508</v>
      </c>
      <c r="X31" s="242">
        <v>1</v>
      </c>
    </row>
    <row r="32" spans="2:24">
      <c r="B32" s="5" t="s">
        <v>506</v>
      </c>
      <c r="C32" s="288">
        <f>'W.EUR OTHER'!C32/Prices!$F$135+'DM ASIA OTHER'!C32</f>
        <v>1564.7012913554042</v>
      </c>
      <c r="D32" s="188">
        <f>'W.EUR OTHER'!D32/Prices!$F$135+'DM ASIA OTHER'!D32</f>
        <v>1126.7607044457845</v>
      </c>
      <c r="E32" s="188">
        <f>'W.EUR OTHER'!E32/Prices!$F$135+'DM ASIA OTHER'!E32</f>
        <v>2358.8484956304846</v>
      </c>
      <c r="F32" s="188">
        <f>'W.EUR OTHER'!F32/Prices!$F$135+'DM ASIA OTHER'!F32</f>
        <v>1357.4774782444417</v>
      </c>
      <c r="G32" s="188">
        <f>'W.EUR OTHER'!G32/Prices!$F$135+'DM ASIA OTHER'!G32</f>
        <v>4400.4575149242592</v>
      </c>
      <c r="H32" s="233">
        <f>IF(D32=0,"nm",IF(G32=0,"nm",(G32/D32)^(1/3)-1))</f>
        <v>0.57478781796790046</v>
      </c>
      <c r="I32" s="5"/>
      <c r="J32" s="214"/>
      <c r="K32" s="214"/>
      <c r="L32" s="214"/>
      <c r="M32" s="214"/>
      <c r="N32" s="214"/>
      <c r="O32" s="211"/>
      <c r="Q32" s="5"/>
      <c r="S32" s="26"/>
      <c r="T32" s="26"/>
      <c r="U32" s="26"/>
      <c r="V32" s="113" t="s">
        <v>481</v>
      </c>
      <c r="W32" s="242">
        <f>M17/E45</f>
        <v>1.0728299415038951</v>
      </c>
      <c r="X32" s="242">
        <v>1</v>
      </c>
    </row>
    <row r="33" spans="2:24">
      <c r="B33" s="5" t="s">
        <v>3</v>
      </c>
      <c r="C33" s="288">
        <f>'W.EUR OTHER'!C33/Prices!$F$135+'DM ASIA OTHER'!C33</f>
        <v>2739.1004949073213</v>
      </c>
      <c r="D33" s="188">
        <f>'W.EUR OTHER'!D33/Prices!$F$135+'DM ASIA OTHER'!D33</f>
        <v>3734.8081248138151</v>
      </c>
      <c r="E33" s="188">
        <f>'W.EUR OTHER'!E33/Prices!$F$135+'DM ASIA OTHER'!E33</f>
        <v>3845.1424172383386</v>
      </c>
      <c r="F33" s="188">
        <f>'W.EUR OTHER'!F33/Prices!$F$135+'DM ASIA OTHER'!F33</f>
        <v>3937.636094019761</v>
      </c>
      <c r="G33" s="188">
        <f>'W.EUR OTHER'!G33/Prices!$F$135+'DM ASIA OTHER'!G33</f>
        <v>4087.1927634767512</v>
      </c>
      <c r="H33" s="233">
        <f>IF(D33=0,"nm",IF(G33=0,"nm",(G33/D33)^(1/3)-1))</f>
        <v>3.0510153702039799E-2</v>
      </c>
      <c r="I33" s="33"/>
      <c r="J33" s="214"/>
      <c r="K33" s="214"/>
      <c r="L33" s="214"/>
      <c r="M33" s="214"/>
      <c r="N33" s="214"/>
      <c r="O33" s="211"/>
      <c r="Q33" s="5"/>
      <c r="S33" s="26"/>
      <c r="T33" s="26"/>
      <c r="U33" s="26"/>
      <c r="V33" s="113" t="s">
        <v>482</v>
      </c>
      <c r="W33" s="242">
        <f>M19/E47</f>
        <v>0.86000400550136491</v>
      </c>
      <c r="X33" s="242">
        <v>1</v>
      </c>
    </row>
    <row r="34" spans="2:24">
      <c r="H34" s="231"/>
      <c r="I34" s="214"/>
      <c r="J34" s="214"/>
      <c r="K34" s="214"/>
      <c r="L34" s="214"/>
      <c r="M34" s="214"/>
      <c r="N34" s="214"/>
      <c r="O34" s="211"/>
      <c r="Q34" s="5"/>
      <c r="S34" s="26"/>
      <c r="T34" s="26"/>
      <c r="U34" s="26"/>
      <c r="V34" s="26"/>
      <c r="W34" s="26"/>
      <c r="X34" s="26"/>
    </row>
    <row r="35" spans="2:24" ht="12.6" thickBot="1">
      <c r="B35" s="249" t="s">
        <v>715</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1.5518304687433926</v>
      </c>
      <c r="E37" s="430">
        <f t="shared" si="2"/>
        <v>1.4257561797909379</v>
      </c>
      <c r="F37" s="430">
        <f t="shared" si="2"/>
        <v>1.3178960721452793</v>
      </c>
      <c r="G37" s="430">
        <f t="shared" si="2"/>
        <v>1.203878368280703</v>
      </c>
      <c r="H37" s="13">
        <f t="shared" ref="H37:H45" si="3">H23</f>
        <v>3.8885676399306179E-2</v>
      </c>
      <c r="I37" s="217"/>
      <c r="J37" s="217"/>
      <c r="K37" s="217"/>
      <c r="L37" s="217"/>
      <c r="M37" s="217"/>
      <c r="N37" s="217"/>
      <c r="O37" s="14"/>
      <c r="Q37" s="5"/>
      <c r="R37" s="5"/>
      <c r="S37" s="26"/>
      <c r="T37" s="26"/>
      <c r="U37" s="26"/>
      <c r="V37" s="26"/>
      <c r="W37" s="26"/>
      <c r="X37" s="26"/>
    </row>
    <row r="38" spans="2:24">
      <c r="B38" s="5" t="s">
        <v>158</v>
      </c>
      <c r="C38" s="207"/>
      <c r="D38" s="430">
        <f t="shared" si="2"/>
        <v>6.849230271204136</v>
      </c>
      <c r="E38" s="430">
        <f t="shared" si="2"/>
        <v>6.0963000023940292</v>
      </c>
      <c r="F38" s="430">
        <f t="shared" si="2"/>
        <v>5.477375462425746</v>
      </c>
      <c r="G38" s="430">
        <f t="shared" si="2"/>
        <v>4.9005043088819207</v>
      </c>
      <c r="H38" s="13">
        <f t="shared" si="3"/>
        <v>6.7286135924666146E-2</v>
      </c>
      <c r="I38" s="13"/>
      <c r="J38" s="13"/>
      <c r="K38" s="13"/>
      <c r="L38" s="13"/>
      <c r="M38" s="13"/>
      <c r="N38" s="13"/>
      <c r="O38" s="5"/>
      <c r="Q38" s="5"/>
      <c r="R38" s="5"/>
      <c r="S38" s="26"/>
      <c r="T38" s="26"/>
      <c r="U38" s="26"/>
      <c r="V38" s="26"/>
      <c r="W38" s="26"/>
      <c r="X38" s="26"/>
    </row>
    <row r="39" spans="2:24">
      <c r="B39" s="5" t="s">
        <v>159</v>
      </c>
      <c r="C39" s="207"/>
      <c r="D39" s="430">
        <f t="shared" si="2"/>
        <v>13.264676208659882</v>
      </c>
      <c r="E39" s="430">
        <f t="shared" si="2"/>
        <v>11.131405451833256</v>
      </c>
      <c r="F39" s="430">
        <f t="shared" si="2"/>
        <v>9.6204365898059212</v>
      </c>
      <c r="G39" s="430">
        <f t="shared" si="2"/>
        <v>8.3214218276607053</v>
      </c>
      <c r="H39" s="13">
        <f t="shared" si="3"/>
        <v>0.11509938375474338</v>
      </c>
      <c r="I39" s="5"/>
      <c r="J39" s="5"/>
      <c r="K39" s="5"/>
      <c r="L39" s="5"/>
      <c r="M39" s="5"/>
      <c r="N39" s="5"/>
      <c r="O39" s="5"/>
      <c r="Q39" s="5"/>
      <c r="R39" s="5"/>
      <c r="S39" s="26"/>
      <c r="T39" s="26"/>
      <c r="U39" s="26"/>
      <c r="V39" s="26"/>
      <c r="W39" s="242"/>
      <c r="X39" s="242"/>
    </row>
    <row r="40" spans="2:24">
      <c r="B40" s="5" t="s">
        <v>381</v>
      </c>
      <c r="C40" s="207"/>
      <c r="D40" s="430">
        <f t="shared" si="2"/>
        <v>18.299046133551954</v>
      </c>
      <c r="E40" s="430">
        <f t="shared" si="2"/>
        <v>15.573560993938221</v>
      </c>
      <c r="F40" s="430">
        <f t="shared" si="2"/>
        <v>13.552445803987593</v>
      </c>
      <c r="G40" s="430">
        <f t="shared" si="2"/>
        <v>11.715601844243141</v>
      </c>
      <c r="H40" s="13">
        <f t="shared" si="3"/>
        <v>0.10756312175548954</v>
      </c>
      <c r="I40" s="207"/>
      <c r="J40" s="217"/>
      <c r="K40" s="217"/>
      <c r="L40" s="217"/>
      <c r="M40" s="217"/>
      <c r="N40" s="217"/>
      <c r="O40" s="14"/>
      <c r="Q40" s="5"/>
      <c r="R40" s="5"/>
      <c r="S40" s="26"/>
      <c r="T40" s="26"/>
      <c r="U40" s="26"/>
      <c r="V40" s="26"/>
      <c r="W40" s="242"/>
      <c r="X40" s="242"/>
    </row>
    <row r="41" spans="2:24">
      <c r="B41" s="5" t="s">
        <v>434</v>
      </c>
      <c r="C41" s="207"/>
      <c r="D41" s="430">
        <f t="shared" si="2"/>
        <v>1.4866039797084418</v>
      </c>
      <c r="E41" s="430">
        <f t="shared" si="2"/>
        <v>1.4281016892956997</v>
      </c>
      <c r="F41" s="430">
        <f t="shared" si="2"/>
        <v>1.3456174359666262</v>
      </c>
      <c r="G41" s="430">
        <f t="shared" si="2"/>
        <v>1.2795158680638732</v>
      </c>
      <c r="H41" s="13">
        <f t="shared" si="3"/>
        <v>3.5301129716200919E-3</v>
      </c>
      <c r="I41" s="208"/>
      <c r="J41" s="13"/>
      <c r="K41" s="13"/>
      <c r="L41" s="13"/>
      <c r="M41" s="13"/>
      <c r="N41" s="13"/>
      <c r="O41" s="5"/>
      <c r="Q41" s="5"/>
      <c r="R41" s="5"/>
      <c r="S41" s="26"/>
      <c r="T41" s="26"/>
      <c r="U41" s="26"/>
      <c r="V41" s="26"/>
      <c r="W41" s="242"/>
      <c r="X41" s="242"/>
    </row>
    <row r="42" spans="2:24">
      <c r="B42" s="5" t="s">
        <v>493</v>
      </c>
      <c r="C42" s="207"/>
      <c r="D42" s="430">
        <f>D18/D28</f>
        <v>3.6862629637311151</v>
      </c>
      <c r="E42" s="430">
        <f>E18/E28</f>
        <v>3.5474359208602904</v>
      </c>
      <c r="F42" s="430">
        <f>F18/F28</f>
        <v>3.4383688203675273</v>
      </c>
      <c r="G42" s="430">
        <f>G18/G28</f>
        <v>3.2504329542854191</v>
      </c>
      <c r="H42" s="13">
        <f t="shared" si="3"/>
        <v>-4.5283320653959347E-3</v>
      </c>
      <c r="I42" s="207"/>
      <c r="J42" s="5"/>
      <c r="K42" s="5"/>
      <c r="L42" s="5"/>
      <c r="M42" s="5"/>
      <c r="N42" s="5"/>
      <c r="O42" s="5"/>
      <c r="Q42" s="5"/>
      <c r="R42" s="5"/>
      <c r="S42" s="26"/>
      <c r="T42" s="26"/>
      <c r="U42" s="26"/>
      <c r="V42" s="26"/>
      <c r="W42" s="242"/>
      <c r="X42" s="242"/>
    </row>
    <row r="43" spans="2:24">
      <c r="B43" s="5" t="s">
        <v>390</v>
      </c>
      <c r="C43" s="207"/>
      <c r="D43" s="430">
        <f>L26/D29</f>
        <v>13.599122650903805</v>
      </c>
      <c r="E43" s="430">
        <f>M26/E29</f>
        <v>11.537846597898668</v>
      </c>
      <c r="F43" s="430">
        <f>N26/F29</f>
        <v>10.125889333915072</v>
      </c>
      <c r="G43" s="430">
        <f>O26/G29</f>
        <v>8.8875584513837431</v>
      </c>
      <c r="H43" s="13">
        <f t="shared" si="3"/>
        <v>0.13555628255179686</v>
      </c>
      <c r="I43" s="207"/>
      <c r="J43" s="207"/>
      <c r="K43" s="207"/>
      <c r="L43" s="207"/>
      <c r="M43" s="207"/>
      <c r="N43" s="207"/>
      <c r="O43" s="14"/>
      <c r="Q43" s="5"/>
      <c r="R43" s="5"/>
      <c r="S43" s="26"/>
      <c r="T43" s="26"/>
      <c r="U43" s="26"/>
      <c r="V43" s="26"/>
      <c r="W43" s="255"/>
      <c r="X43" s="255"/>
    </row>
    <row r="44" spans="2:24">
      <c r="B44" s="5" t="s">
        <v>437</v>
      </c>
      <c r="C44" s="53"/>
      <c r="D44" s="430">
        <f>D11/D30</f>
        <v>19.717091581055271</v>
      </c>
      <c r="E44" s="430">
        <f>E11/E30</f>
        <v>15.892387860328656</v>
      </c>
      <c r="F44" s="430">
        <f>F11/F30</f>
        <v>13.948675641703835</v>
      </c>
      <c r="G44" s="430">
        <f>G11/G30</f>
        <v>12.282349342498822</v>
      </c>
      <c r="H44" s="13">
        <f t="shared" si="3"/>
        <v>0.15920954498810214</v>
      </c>
      <c r="I44" s="208"/>
      <c r="J44" s="208"/>
      <c r="K44" s="208"/>
      <c r="L44" s="208"/>
      <c r="M44" s="208"/>
      <c r="N44" s="208"/>
      <c r="O44" s="208"/>
      <c r="Q44" s="5"/>
      <c r="R44" s="5"/>
      <c r="S44" s="26"/>
      <c r="T44" s="26"/>
      <c r="U44" s="26"/>
      <c r="V44" s="26"/>
      <c r="W44" s="26"/>
      <c r="X44" s="26"/>
    </row>
    <row r="45" spans="2:24">
      <c r="B45" s="5" t="s">
        <v>481</v>
      </c>
      <c r="C45" s="207"/>
      <c r="D45" s="208">
        <f>D31/D11</f>
        <v>3.5286270629360794E-2</v>
      </c>
      <c r="E45" s="208">
        <f>E31/E11</f>
        <v>3.6377844142108422E-2</v>
      </c>
      <c r="F45" s="208">
        <f>F31/F11</f>
        <v>3.7314310257483059E-2</v>
      </c>
      <c r="G45" s="208">
        <f>G31/G11</f>
        <v>3.88661496666734E-2</v>
      </c>
      <c r="H45" s="13">
        <f t="shared" si="3"/>
        <v>2.2421715940386333E-2</v>
      </c>
      <c r="I45" s="207"/>
      <c r="J45" s="207"/>
      <c r="K45" s="207"/>
      <c r="L45" s="207"/>
      <c r="M45" s="207"/>
      <c r="N45" s="207"/>
      <c r="O45" s="208"/>
      <c r="Q45" s="5"/>
      <c r="R45" s="5"/>
      <c r="S45" s="26"/>
      <c r="T45" s="26"/>
      <c r="U45" s="26"/>
      <c r="V45" s="26"/>
      <c r="W45" s="26"/>
      <c r="X45" s="26"/>
    </row>
    <row r="46" spans="2:24">
      <c r="B46" s="5" t="s">
        <v>505</v>
      </c>
      <c r="C46" s="207"/>
      <c r="D46" s="208">
        <f>(D31+D32)/D11</f>
        <v>3.9797932662957586E-2</v>
      </c>
      <c r="E46" s="208">
        <f>(E31+E32)/E11</f>
        <v>4.5922633513208466E-2</v>
      </c>
      <c r="F46" s="208">
        <f>(F31+F32)/F11</f>
        <v>4.2861003049689678E-2</v>
      </c>
      <c r="G46" s="208">
        <f>(G31+G32)/G11</f>
        <v>5.7024578221705258E-2</v>
      </c>
      <c r="H46" s="233">
        <f>((G31+G32)/(D31+D32))^(1/3)-1</f>
        <v>0.1161142905086523</v>
      </c>
      <c r="I46" s="13"/>
      <c r="J46" s="207"/>
      <c r="K46" s="207"/>
      <c r="L46" s="207"/>
      <c r="M46" s="207"/>
      <c r="N46" s="207"/>
      <c r="O46" s="14"/>
      <c r="Q46" s="5"/>
      <c r="R46" s="5"/>
      <c r="S46" s="26"/>
      <c r="T46" s="26"/>
      <c r="U46" s="26"/>
      <c r="V46" s="26"/>
      <c r="W46" s="26"/>
      <c r="X46" s="26"/>
    </row>
    <row r="47" spans="2:24">
      <c r="B47" s="5" t="s">
        <v>482</v>
      </c>
      <c r="C47" s="5"/>
      <c r="D47" s="208">
        <f>1/D43</f>
        <v>7.3534155523888853E-2</v>
      </c>
      <c r="E47" s="208">
        <f>1/E43</f>
        <v>8.6671285799737124E-2</v>
      </c>
      <c r="F47" s="208">
        <f>1/F43</f>
        <v>9.8756757754665303E-2</v>
      </c>
      <c r="G47" s="208">
        <f>1/G43</f>
        <v>0.11251684087031862</v>
      </c>
      <c r="H47" s="13">
        <f>H29</f>
        <v>0.13555628255179686</v>
      </c>
      <c r="I47" s="207"/>
      <c r="J47" s="208"/>
      <c r="K47" s="208"/>
      <c r="L47" s="208"/>
      <c r="M47" s="208"/>
      <c r="N47" s="208"/>
      <c r="O47" s="208"/>
      <c r="Q47" s="5"/>
      <c r="R47" s="5"/>
      <c r="S47" s="5"/>
      <c r="T47" s="5"/>
      <c r="U47" s="5"/>
    </row>
    <row r="48" spans="2:24">
      <c r="B48" s="5" t="s">
        <v>518</v>
      </c>
      <c r="C48" s="5"/>
      <c r="D48" s="248">
        <f>D31/D29</f>
        <v>0.69902086269126396</v>
      </c>
      <c r="E48" s="248">
        <f>E31/E29</f>
        <v>0.61832051553449896</v>
      </c>
      <c r="F48" s="248">
        <f>F31/F29</f>
        <v>0.55733952379240503</v>
      </c>
      <c r="G48" s="248">
        <f>G31/G29</f>
        <v>0.51021631305833703</v>
      </c>
      <c r="H48" s="13" t="s">
        <v>507</v>
      </c>
      <c r="I48" s="217"/>
      <c r="J48" s="207"/>
      <c r="K48" s="207"/>
      <c r="L48" s="207"/>
      <c r="M48" s="207"/>
      <c r="N48" s="207"/>
      <c r="O48" s="208"/>
      <c r="Q48" s="5"/>
      <c r="R48" s="5"/>
      <c r="S48" s="5"/>
      <c r="T48" s="5"/>
      <c r="U48" s="5"/>
    </row>
  </sheetData>
  <pageMargins left="0.75" right="0.75" top="1" bottom="1" header="0.5" footer="0.5"/>
  <pageSetup scale="70"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70">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265</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427</v>
      </c>
      <c r="C11" s="5"/>
      <c r="D11" s="225">
        <f>'AGG DM ASIA'!D11+'W.EUR AGG'!D11/Prices!$F$135+'US AGG'!D11</f>
        <v>1774626.843614537</v>
      </c>
      <c r="E11" s="225">
        <f>'AGG DM ASIA'!E11+'W.EUR AGG'!E11/Prices!$F$135+'US AGG'!E11</f>
        <v>1745742.4434853098</v>
      </c>
      <c r="F11" s="225">
        <f>'AGG DM ASIA'!F11+'W.EUR AGG'!F11/Prices!$F$135+'US AGG'!F11</f>
        <v>1717269.6510939747</v>
      </c>
      <c r="G11" s="225">
        <f>'AGG DM ASIA'!G11+'W.EUR AGG'!G11/Prices!$F$135+'US AGG'!G11</f>
        <v>1696599.2657035533</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'AGG DM ASIA'!D12+'W.EUR AGG'!D12/Prices!$F$135+'US AGG'!D12</f>
        <v>1055029.2882759403</v>
      </c>
      <c r="E12" s="188">
        <f>'AGG DM ASIA'!E12+'W.EUR AGG'!E12/Prices!$F$135+'US AGG'!E12</f>
        <v>1051851.9356811738</v>
      </c>
      <c r="F12" s="188">
        <f>'AGG DM ASIA'!F12+'W.EUR AGG'!F12/Prices!$F$135+'US AGG'!F12</f>
        <v>1027874.9354092779</v>
      </c>
      <c r="G12" s="188">
        <f>'AGG DM ASIA'!G12+'W.EUR AGG'!G12/Prices!$F$135+'US AGG'!G12</f>
        <v>1000325.4036149711</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'AGG DM ASIA'!D13+'W.EUR AGG'!D13/Prices!$F$135+'US AGG'!D13</f>
        <v>97864.52566124739</v>
      </c>
      <c r="E13" s="188">
        <f>'AGG DM ASIA'!E13+'W.EUR AGG'!E13/Prices!$F$135+'US AGG'!E13</f>
        <v>96031.276045567734</v>
      </c>
      <c r="F13" s="188">
        <f>'AGG DM ASIA'!F13+'W.EUR AGG'!F13/Prices!$F$135+'US AGG'!F13</f>
        <v>93300.800251965382</v>
      </c>
      <c r="G13" s="188">
        <f>'AGG DM ASIA'!G13+'W.EUR AGG'!G13/Prices!$F$135+'US AGG'!G13</f>
        <v>90493.648830305901</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'AGG DM ASIA'!D14+'W.EUR AGG'!D14/Prices!$F$135+'US AGG'!D14</f>
        <v>48437.541798166792</v>
      </c>
      <c r="E14" s="188">
        <f>'AGG DM ASIA'!E14+'W.EUR AGG'!E14/Prices!$F$135+'US AGG'!E14</f>
        <v>48437.541798166792</v>
      </c>
      <c r="F14" s="188">
        <f>'AGG DM ASIA'!F14+'W.EUR AGG'!F14/Prices!$F$135+'US AGG'!F14</f>
        <v>48437.541798166792</v>
      </c>
      <c r="G14" s="188">
        <f>'AGG DM ASIA'!G14+'W.EUR AGG'!G14/Prices!$F$135+'US AGG'!G14</f>
        <v>48437.541798166792</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'AGG DM ASIA'!D15+'W.EUR AGG'!D15/Prices!$F$135+'US AGG'!D15</f>
        <v>208410.17145262548</v>
      </c>
      <c r="E15" s="188">
        <f>'AGG DM ASIA'!E15+'W.EUR AGG'!E15/Prices!$F$135+'US AGG'!E15</f>
        <v>203946.38812295243</v>
      </c>
      <c r="F15" s="188">
        <f>'AGG DM ASIA'!F15+'W.EUR AGG'!F15/Prices!$F$135+'US AGG'!F15</f>
        <v>202585.97570139269</v>
      </c>
      <c r="G15" s="188">
        <f>'AGG DM ASIA'!G15+'W.EUR AGG'!G15/Prices!$F$135+'US AGG'!G15</f>
        <v>200951.18263499765</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'AGG DM ASIA'!D16+'W.EUR AGG'!D16/Prices!$F$135+'US AGG'!D16</f>
        <v>74485.953796738453</v>
      </c>
      <c r="E16" s="188">
        <f>'AGG DM ASIA'!E16+'W.EUR AGG'!E16/Prices!$F$135+'US AGG'!E16</f>
        <v>138831.63332823719</v>
      </c>
      <c r="F16" s="188">
        <f>'AGG DM ASIA'!F16+'W.EUR AGG'!F16/Prices!$F$135+'US AGG'!F16</f>
        <v>203703.41106062994</v>
      </c>
      <c r="G16" s="188">
        <f>'AGG DM ASIA'!G16+'W.EUR AGG'!G16/Prices!$F$135+'US AGG'!G16</f>
        <v>272261.88596399233</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'AGG DM ASIA'!D17+'W.EUR AGG'!D17/Prices!$F$135+'US AGG'!D17</f>
        <v>7707.6587513528384</v>
      </c>
      <c r="E17" s="188">
        <f>'AGG DM ASIA'!E17+'W.EUR AGG'!E17/Prices!$F$135+'US AGG'!E17</f>
        <v>7664.6032030735641</v>
      </c>
      <c r="F17" s="188">
        <f>'AGG DM ASIA'!F17+'W.EUR AGG'!F17/Prices!$F$135+'US AGG'!F17</f>
        <v>7610.2026914376083</v>
      </c>
      <c r="G17" s="188">
        <f>'AGG DM ASIA'!G17+'W.EUR AGG'!G17/Prices!$F$135+'US AGG'!G17</f>
        <v>7549.0334714464316</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76</v>
      </c>
      <c r="C18" s="209"/>
      <c r="D18" s="229">
        <f>'AGG DM ASIA'!D18+'W.EUR AGG'!D18/Prices!$F$135+'US AGG'!D18</f>
        <v>3005299.6746580917</v>
      </c>
      <c r="E18" s="229">
        <f>'AGG DM ASIA'!E18+'W.EUR AGG'!E18/Prices!$F$135+'US AGG'!E18</f>
        <v>2902638.2650055266</v>
      </c>
      <c r="F18" s="229">
        <f>'AGG DM ASIA'!F18+'W.EUR AGG'!F18/Prices!$F$135+'US AGG'!F18</f>
        <v>2781280.2069063764</v>
      </c>
      <c r="G18" s="229">
        <f>'AGG DM ASIA'!G18+'W.EUR AGG'!G18/Prices!$F$135+'US AGG'!G18</f>
        <v>2660121.0395502225</v>
      </c>
      <c r="H18" s="230">
        <f>IF(D18=0,"nm",IF(G18=0,"nm",(G18/D18)^(1/3)-1))</f>
        <v>-3.9852686122129222E-2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'AGG DM ASIA'!C23+'W.EUR AGG'!C23/Prices!$F$135+'US AGG'!C23</f>
        <v>1165921.0255762548</v>
      </c>
      <c r="D23" s="188">
        <f>'AGG DM ASIA'!D23+'W.EUR AGG'!D23/Prices!$F$135+'US AGG'!D23</f>
        <v>1184015.6769320189</v>
      </c>
      <c r="E23" s="188">
        <f>'AGG DM ASIA'!E23+'W.EUR AGG'!E23/Prices!$F$135+'US AGG'!E23</f>
        <v>1219626.9137770175</v>
      </c>
      <c r="F23" s="188">
        <f>'AGG DM ASIA'!F23+'W.EUR AGG'!F23/Prices!$F$135+'US AGG'!F23</f>
        <v>1108516.7733437063</v>
      </c>
      <c r="G23" s="188">
        <f>'AGG DM ASIA'!G23+'W.EUR AGG'!G23/Prices!$F$135+'US AGG'!G23</f>
        <v>1135705.8358726306</v>
      </c>
      <c r="H23" s="233">
        <f t="shared" ref="H23:H33" si="0">IF(D23=0,"nm",IF(G23=0,"nm",(G23/D23)^(1/3)-1))</f>
        <v>-1.3789849312914271E-2</v>
      </c>
      <c r="I23" s="209"/>
      <c r="J23" s="249" t="s">
        <v>7</v>
      </c>
      <c r="K23" s="249"/>
      <c r="L23" s="219" t="str">
        <f>L5</f>
        <v>2025E</v>
      </c>
      <c r="M23" s="219" t="str">
        <f>M5</f>
        <v>2026E</v>
      </c>
      <c r="N23" s="219" t="str">
        <f>N5</f>
        <v>2027E</v>
      </c>
      <c r="O23" s="219" t="str">
        <f>O5</f>
        <v>2028E</v>
      </c>
      <c r="P23" s="236" t="str">
        <f>P5</f>
        <v>2025-28</v>
      </c>
      <c r="S23" s="26"/>
      <c r="T23" s="26"/>
      <c r="U23" s="26"/>
      <c r="V23" s="26"/>
      <c r="W23" s="26" t="s">
        <v>24</v>
      </c>
      <c r="X23" s="26" t="s">
        <v>446</v>
      </c>
    </row>
    <row r="24" spans="2:24" ht="12.6" thickTop="1">
      <c r="B24" s="5" t="s">
        <v>397</v>
      </c>
      <c r="C24" s="288">
        <f>'AGG DM ASIA'!C24+'W.EUR AGG'!C24/Prices!$F$135+'US AGG'!C24</f>
        <v>390198.43659024162</v>
      </c>
      <c r="D24" s="188">
        <f>'AGG DM ASIA'!D24+'W.EUR AGG'!D24/Prices!$F$135+'US AGG'!D24</f>
        <v>401791.54234307515</v>
      </c>
      <c r="E24" s="188">
        <f>'AGG DM ASIA'!E24+'W.EUR AGG'!E24/Prices!$F$135+'US AGG'!E24</f>
        <v>421632.20631567639</v>
      </c>
      <c r="F24" s="188">
        <f>'AGG DM ASIA'!F24+'W.EUR AGG'!F24/Prices!$F$135+'US AGG'!F24</f>
        <v>391493.10462927422</v>
      </c>
      <c r="G24" s="188">
        <f>'AGG DM ASIA'!G24+'W.EUR AGG'!G24/Prices!$F$135+'US AGG'!G24</f>
        <v>407622.4342630413</v>
      </c>
      <c r="H24" s="233">
        <f t="shared" si="0"/>
        <v>4.8141968520647449E-3</v>
      </c>
      <c r="I24" s="208"/>
      <c r="J24" s="13"/>
      <c r="K24" s="13"/>
      <c r="L24" s="13"/>
      <c r="M24" s="13"/>
      <c r="N24" s="13"/>
      <c r="O24" s="208"/>
      <c r="S24" s="26"/>
      <c r="T24" s="26"/>
      <c r="U24" s="26"/>
      <c r="V24" s="113" t="s">
        <v>225</v>
      </c>
      <c r="W24" s="280">
        <f t="shared" ref="W24:W31" si="1">E37/M9</f>
        <v>1.5789768291881698</v>
      </c>
      <c r="X24" s="242">
        <v>1</v>
      </c>
    </row>
    <row r="25" spans="2:24">
      <c r="B25" s="5" t="s">
        <v>157</v>
      </c>
      <c r="C25" s="288">
        <f>'AGG DM ASIA'!C25+'W.EUR AGG'!C25/Prices!$F$135+'US AGG'!C25</f>
        <v>218595.95667432965</v>
      </c>
      <c r="D25" s="188">
        <f>'AGG DM ASIA'!D25+'W.EUR AGG'!D25/Prices!$F$135+'US AGG'!D25</f>
        <v>223753.43335444469</v>
      </c>
      <c r="E25" s="188">
        <f>'AGG DM ASIA'!E25+'W.EUR AGG'!E25/Prices!$F$135+'US AGG'!E25</f>
        <v>243671.1619759911</v>
      </c>
      <c r="F25" s="188">
        <f>'AGG DM ASIA'!F25+'W.EUR AGG'!F25/Prices!$F$135+'US AGG'!F25</f>
        <v>234840.25010590206</v>
      </c>
      <c r="G25" s="188">
        <f>'AGG DM ASIA'!G25+'W.EUR AGG'!G25/Prices!$F$135+'US AGG'!G25</f>
        <v>250779.35964772667</v>
      </c>
      <c r="H25" s="233">
        <f t="shared" si="0"/>
        <v>3.8741206712421539E-2</v>
      </c>
      <c r="I25" s="209"/>
      <c r="J25" s="207" t="s">
        <v>8</v>
      </c>
      <c r="K25" s="207"/>
      <c r="L25" s="258">
        <f>'AGG DM ASIA'!L25+'W.EUR AGG'!L25/Prices!$F$135+'US AGG'!L25</f>
        <v>267023.05704676075</v>
      </c>
      <c r="M25" s="258">
        <f>'AGG DM ASIA'!M25+'W.EUR AGG'!M25/Prices!$F$135+'US AGG'!M25</f>
        <v>260933.29803246213</v>
      </c>
      <c r="N25" s="258">
        <f>'AGG DM ASIA'!N25+'W.EUR AGG'!N25/Prices!$F$135+'US AGG'!N25</f>
        <v>250959.83239430367</v>
      </c>
      <c r="O25" s="258">
        <f>'AGG DM ASIA'!O25+'W.EUR AGG'!O25/Prices!$F$135+'US AGG'!O25</f>
        <v>237105.21378950705</v>
      </c>
      <c r="P25" s="233">
        <f>IF(L25=0,"nm",IF(O25=0,"nm",(O25/L25)^(1/3)-1))</f>
        <v>-3.8836109244275496E-2</v>
      </c>
      <c r="Q25" s="5"/>
      <c r="S25" s="26"/>
      <c r="T25" s="26"/>
      <c r="U25" s="26"/>
      <c r="V25" s="113" t="s">
        <v>158</v>
      </c>
      <c r="W25" s="280">
        <f t="shared" si="1"/>
        <v>1.5715475974744737</v>
      </c>
      <c r="X25" s="242">
        <v>1</v>
      </c>
    </row>
    <row r="26" spans="2:24">
      <c r="B26" s="5" t="s">
        <v>487</v>
      </c>
      <c r="C26" s="288">
        <f>'AGG DM ASIA'!C26+'W.EUR AGG'!C26/Prices!$F$135+'US AGG'!C26</f>
        <v>154933.08838020553</v>
      </c>
      <c r="D26" s="188">
        <f>'AGG DM ASIA'!D26+'W.EUR AGG'!D26/Prices!$F$135+'US AGG'!D26</f>
        <v>157769.97654333781</v>
      </c>
      <c r="E26" s="188">
        <f>'AGG DM ASIA'!E26+'W.EUR AGG'!E26/Prices!$F$135+'US AGG'!E26</f>
        <v>170738.59190365823</v>
      </c>
      <c r="F26" s="188">
        <f>'AGG DM ASIA'!F26+'W.EUR AGG'!F26/Prices!$F$135+'US AGG'!F26</f>
        <v>168398.40617268608</v>
      </c>
      <c r="G26" s="188">
        <f>'AGG DM ASIA'!G26+'W.EUR AGG'!G26/Prices!$F$135+'US AGG'!G26</f>
        <v>180972.28354221338</v>
      </c>
      <c r="H26" s="233">
        <f t="shared" si="0"/>
        <v>4.6797239007460023E-2</v>
      </c>
      <c r="I26" s="209"/>
      <c r="J26" s="209" t="s">
        <v>9</v>
      </c>
      <c r="K26" s="209"/>
      <c r="L26" s="235">
        <f>'AGG DM ASIA'!L26+'W.EUR AGG'!L26/Prices!$F$135+'US AGG'!L26</f>
        <v>1919430.1032622438</v>
      </c>
      <c r="M26" s="235">
        <f>'AGG DM ASIA'!M26+'W.EUR AGG'!M26/Prices!$F$135+'US AGG'!M26</f>
        <v>1885050.9045781721</v>
      </c>
      <c r="N26" s="235">
        <f>'AGG DM ASIA'!N26+'W.EUR AGG'!N26/Prices!$F$135+'US AGG'!N26</f>
        <v>1847199.3819756324</v>
      </c>
      <c r="O26" s="235">
        <f>'AGG DM ASIA'!O26+'W.EUR AGG'!O26/Prices!$F$135+'US AGG'!O26</f>
        <v>1813272.6179023685</v>
      </c>
      <c r="P26" s="233">
        <f>IF(L26=0,"nm",IF(O26=0,"nm",(O26/L26)^(1/3)-1))</f>
        <v>-1.8786306311199374E-2</v>
      </c>
      <c r="Q26" s="25"/>
      <c r="S26" s="26"/>
      <c r="T26" s="26"/>
      <c r="U26" s="26"/>
      <c r="V26" s="113" t="s">
        <v>159</v>
      </c>
      <c r="W26" s="280">
        <f t="shared" si="1"/>
        <v>1.5869856457192502</v>
      </c>
      <c r="X26" s="242">
        <v>1</v>
      </c>
    </row>
    <row r="27" spans="2:24">
      <c r="B27" s="5" t="s">
        <v>488</v>
      </c>
      <c r="C27" s="288">
        <f>'AGG DM ASIA'!C27+'W.EUR AGG'!C27/Prices!$F$135+'US AGG'!C27</f>
        <v>1739763.6353321997</v>
      </c>
      <c r="D27" s="188">
        <f>'AGG DM ASIA'!D27+'W.EUR AGG'!D27/Prices!$F$135+'US AGG'!D27</f>
        <v>1882937.4733738578</v>
      </c>
      <c r="E27" s="188">
        <f>'AGG DM ASIA'!E27+'W.EUR AGG'!E27/Prices!$F$135+'US AGG'!E27</f>
        <v>1919482.5630004932</v>
      </c>
      <c r="F27" s="188">
        <f>'AGG DM ASIA'!F27+'W.EUR AGG'!F27/Prices!$F$135+'US AGG'!F27</f>
        <v>1940376.9034774294</v>
      </c>
      <c r="G27" s="188">
        <f>'AGG DM ASIA'!G27+'W.EUR AGG'!G27/Prices!$F$135+'US AGG'!G27</f>
        <v>1958733.2463075896</v>
      </c>
      <c r="H27" s="233">
        <f t="shared" si="0"/>
        <v>1.3241880031945596E-2</v>
      </c>
      <c r="I27" s="208"/>
      <c r="J27" s="208"/>
      <c r="K27" s="208"/>
      <c r="L27" s="208"/>
      <c r="M27" s="208"/>
      <c r="N27" s="208"/>
      <c r="O27" s="208"/>
      <c r="Q27" s="5"/>
      <c r="S27" s="26"/>
      <c r="T27" s="26"/>
      <c r="U27" s="26"/>
      <c r="V27" s="113" t="s">
        <v>381</v>
      </c>
      <c r="W27" s="280">
        <f t="shared" si="1"/>
        <v>1.7141430848962438</v>
      </c>
      <c r="X27" s="242">
        <v>1</v>
      </c>
    </row>
    <row r="28" spans="2:24" ht="12.6" thickBot="1">
      <c r="B28" s="5" t="s">
        <v>492</v>
      </c>
      <c r="C28" s="288">
        <f>'AGG DM ASIA'!C28+'W.EUR AGG'!C28/Prices!$F$135+'US AGG'!C28</f>
        <v>723952.68073823536</v>
      </c>
      <c r="D28" s="188">
        <f>'AGG DM ASIA'!D28+'W.EUR AGG'!D28/Prices!$F$135+'US AGG'!D28</f>
        <v>822935.93152585067</v>
      </c>
      <c r="E28" s="188">
        <f>'AGG DM ASIA'!E28+'W.EUR AGG'!E28/Prices!$F$135+'US AGG'!E28</f>
        <v>841449.89615206828</v>
      </c>
      <c r="F28" s="188">
        <f>'AGG DM ASIA'!F28+'W.EUR AGG'!F28/Prices!$F$135+'US AGG'!F28</f>
        <v>841894.58434321475</v>
      </c>
      <c r="G28" s="188">
        <f>'AGG DM ASIA'!G28+'W.EUR AGG'!G28/Prices!$F$135+'US AGG'!G28</f>
        <v>837705.64769424521</v>
      </c>
      <c r="H28" s="233">
        <f t="shared" si="0"/>
        <v>5.9470917739592455E-3</v>
      </c>
      <c r="I28" s="212"/>
      <c r="J28" s="249" t="s">
        <v>628</v>
      </c>
      <c r="K28" s="249"/>
      <c r="L28" s="249"/>
      <c r="M28" s="249"/>
      <c r="N28" s="220"/>
      <c r="O28" s="220"/>
      <c r="P28" s="220"/>
      <c r="Q28" s="5"/>
      <c r="S28" s="26"/>
      <c r="T28" s="26"/>
      <c r="U28" s="26"/>
      <c r="V28" s="113" t="s">
        <v>434</v>
      </c>
      <c r="W28" s="280">
        <f t="shared" si="1"/>
        <v>1.1009240336493915</v>
      </c>
      <c r="X28" s="242">
        <v>1</v>
      </c>
    </row>
    <row r="29" spans="2:24" ht="12.6" thickTop="1">
      <c r="B29" s="5" t="s">
        <v>489</v>
      </c>
      <c r="C29" s="288">
        <f>'AGG DM ASIA'!C29+'W.EUR AGG'!C29/Prices!$F$135+'US AGG'!C29</f>
        <v>127302.33567087632</v>
      </c>
      <c r="D29" s="188">
        <f>'AGG DM ASIA'!D29+'W.EUR AGG'!D29/Prices!$F$135+'US AGG'!D29</f>
        <v>139768.64810803556</v>
      </c>
      <c r="E29" s="188">
        <f>'AGG DM ASIA'!E29+'W.EUR AGG'!E29/Prices!$F$135+'US AGG'!E29</f>
        <v>140507.27011801768</v>
      </c>
      <c r="F29" s="188">
        <f>'AGG DM ASIA'!F29+'W.EUR AGG'!F29/Prices!$F$135+'US AGG'!F29</f>
        <v>109352.39870029391</v>
      </c>
      <c r="G29" s="188">
        <f>'AGG DM ASIA'!G29+'W.EUR AGG'!G29/Prices!$F$135+'US AGG'!G29</f>
        <v>119964.26272161159</v>
      </c>
      <c r="H29" s="233">
        <f t="shared" si="0"/>
        <v>-4.9656282064675872E-2</v>
      </c>
      <c r="I29" s="214"/>
      <c r="J29" s="209"/>
      <c r="K29" s="209"/>
      <c r="L29" s="209"/>
      <c r="M29" s="209"/>
      <c r="N29" s="209"/>
      <c r="O29" s="211"/>
      <c r="Q29" s="5"/>
      <c r="S29" s="26"/>
      <c r="T29" s="26"/>
      <c r="U29" s="26"/>
      <c r="V29" s="113" t="s">
        <v>493</v>
      </c>
      <c r="W29" s="280">
        <f t="shared" si="1"/>
        <v>1.5962324705518947</v>
      </c>
      <c r="X29" s="242">
        <v>1</v>
      </c>
    </row>
    <row r="30" spans="2:24">
      <c r="B30" s="5" t="s">
        <v>490</v>
      </c>
      <c r="C30" s="288">
        <f>'AGG DM ASIA'!C30+'W.EUR AGG'!C30/Prices!$F$135+'US AGG'!C30</f>
        <v>122273.35520569688</v>
      </c>
      <c r="D30" s="188">
        <f>'AGG DM ASIA'!D30+'W.EUR AGG'!D30/Prices!$F$135+'US AGG'!D30</f>
        <v>125115.67024290227</v>
      </c>
      <c r="E30" s="188">
        <f>'AGG DM ASIA'!E30+'W.EUR AGG'!E30/Prices!$F$135+'US AGG'!E30</f>
        <v>137936.14745267067</v>
      </c>
      <c r="F30" s="188">
        <f>'AGG DM ASIA'!F30+'W.EUR AGG'!F30/Prices!$F$135+'US AGG'!F30</f>
        <v>124575.99050457412</v>
      </c>
      <c r="G30" s="188">
        <f>'AGG DM ASIA'!G30+'W.EUR AGG'!G30/Prices!$F$135+'US AGG'!G30</f>
        <v>135649.02258120742</v>
      </c>
      <c r="H30" s="233">
        <f t="shared" si="0"/>
        <v>2.7310327344825192E-2</v>
      </c>
      <c r="I30" s="214"/>
      <c r="J30" s="208"/>
      <c r="K30" s="208"/>
      <c r="L30" s="208"/>
      <c r="M30" s="208"/>
      <c r="N30" s="208"/>
      <c r="O30" s="5"/>
      <c r="Q30" s="5"/>
      <c r="S30" s="26"/>
      <c r="T30" s="26"/>
      <c r="U30" s="26"/>
      <c r="V30" s="113" t="s">
        <v>390</v>
      </c>
      <c r="W30" s="280">
        <f t="shared" si="1"/>
        <v>1.0666385818350086</v>
      </c>
      <c r="X30" s="242">
        <v>1</v>
      </c>
    </row>
    <row r="31" spans="2:24">
      <c r="B31" s="5" t="s">
        <v>491</v>
      </c>
      <c r="C31" s="288">
        <f>'AGG DM ASIA'!C31+'W.EUR AGG'!C31/Prices!$F$135+'US AGG'!C31</f>
        <v>65137.082867344667</v>
      </c>
      <c r="D31" s="188">
        <f>'AGG DM ASIA'!D31+'W.EUR AGG'!D31/Prices!$F$135+'US AGG'!D31</f>
        <v>65086.991413544143</v>
      </c>
      <c r="E31" s="188">
        <f>'AGG DM ASIA'!E31+'W.EUR AGG'!E31/Prices!$F$135+'US AGG'!E31</f>
        <v>68131.510023649753</v>
      </c>
      <c r="F31" s="188">
        <f>'AGG DM ASIA'!F31+'W.EUR AGG'!F31/Prices!$F$135+'US AGG'!F31</f>
        <v>67181.446817681965</v>
      </c>
      <c r="G31" s="188">
        <f>'AGG DM ASIA'!G31+'W.EUR AGG'!G31/Prices!$F$135+'US AGG'!G31</f>
        <v>69543.304225657659</v>
      </c>
      <c r="H31" s="233">
        <f t="shared" si="0"/>
        <v>2.232043393880101E-2</v>
      </c>
      <c r="I31" s="214"/>
      <c r="J31" s="212"/>
      <c r="K31" s="212"/>
      <c r="L31" s="212"/>
      <c r="M31" s="212"/>
      <c r="N31" s="212"/>
      <c r="O31" s="5"/>
      <c r="Q31" s="5"/>
      <c r="S31" s="26"/>
      <c r="T31" s="26"/>
      <c r="U31" s="26"/>
      <c r="V31" s="113" t="s">
        <v>437</v>
      </c>
      <c r="W31" s="280">
        <f t="shared" si="1"/>
        <v>0.97263992274049182</v>
      </c>
      <c r="X31" s="242">
        <v>1</v>
      </c>
    </row>
    <row r="32" spans="2:24">
      <c r="B32" s="5" t="s">
        <v>506</v>
      </c>
      <c r="C32" s="288">
        <f>'AGG DM ASIA'!C32+'W.EUR AGG'!C32/Prices!$F$135+'US AGG'!C32</f>
        <v>29410.498577279177</v>
      </c>
      <c r="D32" s="188">
        <f>'AGG DM ASIA'!D32+'W.EUR AGG'!D32/Prices!$F$135+'US AGG'!D32</f>
        <v>34068.603238263968</v>
      </c>
      <c r="E32" s="188">
        <f>'AGG DM ASIA'!E32+'W.EUR AGG'!E32/Prices!$F$135+'US AGG'!E32</f>
        <v>40687.268838533011</v>
      </c>
      <c r="F32" s="188">
        <f>'AGG DM ASIA'!F32+'W.EUR AGG'!F32/Prices!$F$135+'US AGG'!F32</f>
        <v>-18210.568936635591</v>
      </c>
      <c r="G32" s="188">
        <f>'AGG DM ASIA'!G32+'W.EUR AGG'!G32/Prices!$F$135+'US AGG'!G32</f>
        <v>15421.216784518518</v>
      </c>
      <c r="H32" s="233">
        <f t="shared" si="0"/>
        <v>-0.23218821935971767</v>
      </c>
      <c r="I32" s="5"/>
      <c r="J32" s="214"/>
      <c r="K32" s="214"/>
      <c r="L32" s="214"/>
      <c r="M32" s="214"/>
      <c r="N32" s="214"/>
      <c r="O32" s="211"/>
      <c r="Q32" s="5"/>
      <c r="S32" s="26"/>
      <c r="T32" s="26"/>
      <c r="U32" s="26"/>
      <c r="V32" s="113" t="s">
        <v>481</v>
      </c>
      <c r="W32" s="242">
        <f>M17/E45</f>
        <v>1.3461210734846598</v>
      </c>
      <c r="X32" s="242">
        <v>1</v>
      </c>
    </row>
    <row r="33" spans="2:24">
      <c r="B33" s="5" t="s">
        <v>3</v>
      </c>
      <c r="C33" s="288">
        <f>'AGG DM ASIA'!C33+'W.EUR AGG'!C33/Prices!$F$135+'US AGG'!C33</f>
        <v>29501.586929252855</v>
      </c>
      <c r="D33" s="188">
        <f>'AGG DM ASIA'!D33+'W.EUR AGG'!D33/Prices!$F$135+'US AGG'!D33</f>
        <v>31570.223709790946</v>
      </c>
      <c r="E33" s="188">
        <f>'AGG DM ASIA'!E33+'W.EUR AGG'!E33/Prices!$F$135+'US AGG'!E33</f>
        <v>32210.075925184799</v>
      </c>
      <c r="F33" s="188" t="e">
        <f>'AGG DM ASIA'!F33+'W.EUR AGG'!F33/Prices!$F$135+'US AGG'!F33</f>
        <v>#DIV/0!</v>
      </c>
      <c r="G33" s="188">
        <f>'AGG DM ASIA'!G33+'W.EUR AGG'!G33/Prices!$F$135+'US AGG'!G33</f>
        <v>37186.284143763856</v>
      </c>
      <c r="H33" s="233">
        <f t="shared" si="0"/>
        <v>5.6091891109038006E-2</v>
      </c>
      <c r="I33" s="33"/>
      <c r="J33" s="214"/>
      <c r="K33" s="214"/>
      <c r="L33" s="214"/>
      <c r="M33" s="214"/>
      <c r="N33" s="214"/>
      <c r="O33" s="211"/>
      <c r="Q33" s="5"/>
      <c r="S33" s="26"/>
      <c r="T33" s="26"/>
      <c r="U33" s="26"/>
      <c r="V33" s="113" t="s">
        <v>482</v>
      </c>
      <c r="W33" s="242">
        <f>M19/E47</f>
        <v>1.0666385818350086</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D$18/D23</f>
        <v>2.538226252582501</v>
      </c>
      <c r="E37" s="430">
        <f t="shared" ref="D37:G41" si="2">E$18/E23</f>
        <v>2.3799394980686785</v>
      </c>
      <c r="F37" s="430">
        <f t="shared" si="2"/>
        <v>2.5090104848093389</v>
      </c>
      <c r="G37" s="430">
        <f t="shared" si="2"/>
        <v>2.3422623671791674</v>
      </c>
      <c r="H37" s="13">
        <f t="shared" ref="H37:H45" si="3">H23</f>
        <v>-1.3789849312914271E-2</v>
      </c>
      <c r="I37" s="217"/>
      <c r="J37" s="217"/>
      <c r="K37" s="217"/>
      <c r="L37" s="217"/>
      <c r="M37" s="217"/>
      <c r="N37" s="217"/>
      <c r="O37" s="14"/>
      <c r="Q37" s="5"/>
      <c r="R37" s="5"/>
      <c r="S37" s="26"/>
      <c r="T37" s="26"/>
      <c r="U37" s="26"/>
      <c r="V37" s="26"/>
      <c r="W37" s="26"/>
      <c r="X37" s="26"/>
    </row>
    <row r="38" spans="2:24">
      <c r="B38" s="5" t="s">
        <v>158</v>
      </c>
      <c r="C38" s="207"/>
      <c r="D38" s="430">
        <f t="shared" si="2"/>
        <v>7.4797484713901117</v>
      </c>
      <c r="E38" s="430">
        <f t="shared" si="2"/>
        <v>6.884289723428572</v>
      </c>
      <c r="F38" s="430">
        <f t="shared" si="2"/>
        <v>7.1042891280042326</v>
      </c>
      <c r="G38" s="430">
        <f t="shared" si="2"/>
        <v>6.5259436575407666</v>
      </c>
      <c r="H38" s="13">
        <f t="shared" si="3"/>
        <v>4.8141968520647449E-3</v>
      </c>
      <c r="I38" s="13"/>
      <c r="J38" s="13"/>
      <c r="K38" s="13"/>
      <c r="L38" s="13"/>
      <c r="M38" s="13"/>
      <c r="N38" s="13"/>
      <c r="O38" s="5"/>
      <c r="Q38" s="5"/>
      <c r="R38" s="5"/>
      <c r="S38" s="26"/>
      <c r="T38" s="26"/>
      <c r="U38" s="26"/>
      <c r="V38" s="26"/>
      <c r="W38" s="26"/>
      <c r="X38" s="26"/>
    </row>
    <row r="39" spans="2:24">
      <c r="B39" s="5" t="s">
        <v>159</v>
      </c>
      <c r="C39" s="207"/>
      <c r="D39" s="430">
        <f t="shared" si="2"/>
        <v>13.43130082789585</v>
      </c>
      <c r="E39" s="430">
        <f t="shared" si="2"/>
        <v>11.912112379106738</v>
      </c>
      <c r="F39" s="430">
        <f t="shared" si="2"/>
        <v>11.843285832186552</v>
      </c>
      <c r="G39" s="430">
        <f t="shared" si="2"/>
        <v>10.607416189621555</v>
      </c>
      <c r="H39" s="13">
        <f t="shared" si="3"/>
        <v>3.8741206712421539E-2</v>
      </c>
      <c r="I39" s="5"/>
      <c r="J39" s="5"/>
      <c r="K39" s="5"/>
      <c r="L39" s="5"/>
      <c r="M39" s="5"/>
      <c r="N39" s="5"/>
      <c r="O39" s="5"/>
      <c r="Q39" s="5"/>
      <c r="R39" s="5"/>
      <c r="S39" s="26"/>
      <c r="T39" s="26"/>
      <c r="U39" s="26"/>
      <c r="V39" s="26"/>
      <c r="W39" s="242"/>
      <c r="X39" s="242"/>
    </row>
    <row r="40" spans="2:24">
      <c r="B40" s="5" t="s">
        <v>381</v>
      </c>
      <c r="C40" s="207"/>
      <c r="D40" s="430">
        <f t="shared" si="2"/>
        <v>19.048615842524175</v>
      </c>
      <c r="E40" s="430">
        <f t="shared" si="2"/>
        <v>17.000481453211133</v>
      </c>
      <c r="F40" s="430">
        <f t="shared" si="2"/>
        <v>16.516072034875915</v>
      </c>
      <c r="G40" s="430">
        <f t="shared" si="2"/>
        <v>14.699052183478283</v>
      </c>
      <c r="H40" s="13">
        <f t="shared" si="3"/>
        <v>4.6797239007460023E-2</v>
      </c>
      <c r="I40" s="207"/>
      <c r="J40" s="217"/>
      <c r="K40" s="217"/>
      <c r="L40" s="217"/>
      <c r="M40" s="217"/>
      <c r="N40" s="217"/>
      <c r="O40" s="14"/>
      <c r="Q40" s="5"/>
      <c r="R40" s="5"/>
      <c r="S40" s="26"/>
      <c r="T40" s="26"/>
      <c r="U40" s="26"/>
      <c r="V40" s="26"/>
      <c r="W40" s="242"/>
      <c r="X40" s="242"/>
    </row>
    <row r="41" spans="2:24">
      <c r="B41" s="5" t="s">
        <v>434</v>
      </c>
      <c r="C41" s="207"/>
      <c r="D41" s="430">
        <f t="shared" si="2"/>
        <v>1.5960698202437806</v>
      </c>
      <c r="E41" s="430">
        <f t="shared" si="2"/>
        <v>1.512198298101852</v>
      </c>
      <c r="F41" s="430">
        <f t="shared" si="2"/>
        <v>1.4333711156435276</v>
      </c>
      <c r="G41" s="430">
        <f t="shared" si="2"/>
        <v>1.3580823445789874</v>
      </c>
      <c r="H41" s="13">
        <f t="shared" si="3"/>
        <v>1.3241880031945596E-2</v>
      </c>
      <c r="I41" s="208"/>
      <c r="J41" s="13"/>
      <c r="K41" s="13"/>
      <c r="L41" s="13"/>
      <c r="M41" s="13"/>
      <c r="N41" s="13"/>
      <c r="O41" s="5"/>
      <c r="Q41" s="5"/>
      <c r="R41" s="5"/>
      <c r="S41" s="26"/>
      <c r="T41" s="26"/>
      <c r="U41" s="26"/>
      <c r="V41" s="26"/>
      <c r="W41" s="242"/>
      <c r="X41" s="242"/>
    </row>
    <row r="42" spans="2:24">
      <c r="B42" s="5" t="s">
        <v>493</v>
      </c>
      <c r="C42" s="207"/>
      <c r="D42" s="430">
        <f>D18/D28</f>
        <v>3.6519242379972408</v>
      </c>
      <c r="E42" s="430">
        <f>E18/E28</f>
        <v>3.4495675598502382</v>
      </c>
      <c r="F42" s="430">
        <f>F18/F28</f>
        <v>3.3035967431434781</v>
      </c>
      <c r="G42" s="430">
        <f>G18/G28</f>
        <v>3.1754841893117352</v>
      </c>
      <c r="H42" s="13">
        <f t="shared" si="3"/>
        <v>5.9470917739592455E-3</v>
      </c>
      <c r="I42" s="207"/>
      <c r="J42" s="5"/>
      <c r="K42" s="5"/>
      <c r="L42" s="5"/>
      <c r="M42" s="5"/>
      <c r="N42" s="5"/>
      <c r="O42" s="5"/>
      <c r="Q42" s="5"/>
      <c r="R42" s="5"/>
      <c r="S42" s="26"/>
      <c r="T42" s="26"/>
      <c r="U42" s="26"/>
      <c r="V42" s="26"/>
      <c r="W42" s="242"/>
      <c r="X42" s="242"/>
    </row>
    <row r="43" spans="2:24">
      <c r="B43" s="5" t="s">
        <v>390</v>
      </c>
      <c r="C43" s="207"/>
      <c r="D43" s="430">
        <f>L26/D29</f>
        <v>13.732908840748044</v>
      </c>
      <c r="E43" s="430">
        <f>M26/E29</f>
        <v>13.416038209231752</v>
      </c>
      <c r="F43" s="430">
        <f>N26/F29</f>
        <v>16.892170669601121</v>
      </c>
      <c r="G43" s="430">
        <f>O26/G29</f>
        <v>15.115106588953402</v>
      </c>
      <c r="H43" s="13">
        <f t="shared" si="3"/>
        <v>-4.9656282064675872E-2</v>
      </c>
      <c r="I43" s="207"/>
      <c r="J43" s="207"/>
      <c r="K43" s="207"/>
      <c r="L43" s="207"/>
      <c r="M43" s="207"/>
      <c r="N43" s="207"/>
      <c r="O43" s="14"/>
      <c r="Q43" s="5"/>
      <c r="R43" s="5"/>
      <c r="S43" s="26"/>
      <c r="T43" s="26"/>
      <c r="U43" s="26"/>
      <c r="V43" s="26"/>
      <c r="W43" s="255"/>
      <c r="X43" s="255"/>
    </row>
    <row r="44" spans="2:24">
      <c r="B44" s="5" t="s">
        <v>437</v>
      </c>
      <c r="C44" s="53"/>
      <c r="D44" s="430">
        <f>D11/D30</f>
        <v>14.18388951735013</v>
      </c>
      <c r="E44" s="430">
        <f>E11/E30</f>
        <v>12.656163563538104</v>
      </c>
      <c r="F44" s="430">
        <f>F11/F30</f>
        <v>13.784916693324794</v>
      </c>
      <c r="G44" s="430">
        <f>G11/G30</f>
        <v>12.507272322495874</v>
      </c>
      <c r="H44" s="13">
        <f t="shared" si="3"/>
        <v>2.7310327344825192E-2</v>
      </c>
      <c r="I44" s="208"/>
      <c r="J44" s="208"/>
      <c r="K44" s="208"/>
      <c r="L44" s="208"/>
      <c r="M44" s="208"/>
      <c r="N44" s="208"/>
      <c r="O44" s="208"/>
      <c r="Q44" s="5"/>
      <c r="R44" s="5"/>
      <c r="S44" s="26"/>
      <c r="T44" s="26"/>
      <c r="U44" s="26"/>
      <c r="V44" s="26"/>
      <c r="W44" s="26"/>
      <c r="X44" s="26"/>
    </row>
    <row r="45" spans="2:24">
      <c r="B45" s="5" t="s">
        <v>481</v>
      </c>
      <c r="C45" s="207"/>
      <c r="D45" s="208">
        <f>D31/D11</f>
        <v>3.6676438005961751E-2</v>
      </c>
      <c r="E45" s="208">
        <f>E31/E11</f>
        <v>3.9027240403015993E-2</v>
      </c>
      <c r="F45" s="208">
        <f>F31/F11</f>
        <v>3.9121081989007662E-2</v>
      </c>
      <c r="G45" s="208">
        <f>G31/G11</f>
        <v>4.0989823366933457E-2</v>
      </c>
      <c r="H45" s="13">
        <f t="shared" si="3"/>
        <v>2.232043393880101E-2</v>
      </c>
      <c r="I45" s="207"/>
      <c r="J45" s="207"/>
      <c r="K45" s="207"/>
      <c r="L45" s="207"/>
      <c r="M45" s="207"/>
      <c r="N45" s="207"/>
      <c r="O45" s="208"/>
      <c r="Q45" s="5"/>
      <c r="R45" s="5"/>
      <c r="S45" s="26"/>
      <c r="T45" s="26"/>
      <c r="U45" s="26"/>
      <c r="V45" s="26"/>
      <c r="W45" s="26"/>
      <c r="X45" s="26"/>
    </row>
    <row r="46" spans="2:24">
      <c r="B46" s="5" t="s">
        <v>505</v>
      </c>
      <c r="C46" s="207"/>
      <c r="D46" s="208">
        <f>(D31+D32)/D11</f>
        <v>5.5874053189598601E-2</v>
      </c>
      <c r="E46" s="208">
        <f>(E31+E32)/E11</f>
        <v>6.23338106192401E-2</v>
      </c>
      <c r="F46" s="208">
        <f>(F31+F32)/F11</f>
        <v>2.8516708398037438E-2</v>
      </c>
      <c r="G46" s="208">
        <f>(G31+G32)/G11</f>
        <v>5.0079310257712929E-2</v>
      </c>
      <c r="H46" s="233">
        <f>((G31+G32)/(D31+D32))^(1/3)-1</f>
        <v>-5.0182580963662793E-2</v>
      </c>
      <c r="I46" s="13"/>
      <c r="J46" s="207"/>
      <c r="K46" s="207"/>
      <c r="L46" s="207"/>
      <c r="M46" s="207"/>
      <c r="N46" s="207"/>
      <c r="O46" s="14"/>
      <c r="Q46" s="5"/>
      <c r="R46" s="5"/>
      <c r="S46" s="26"/>
      <c r="T46" s="26"/>
      <c r="U46" s="26"/>
      <c r="V46" s="26"/>
      <c r="W46" s="26"/>
      <c r="X46" s="26"/>
    </row>
    <row r="47" spans="2:24">
      <c r="B47" s="5" t="s">
        <v>482</v>
      </c>
      <c r="C47" s="5"/>
      <c r="D47" s="208">
        <f>1/D43</f>
        <v>7.2817784753133857E-2</v>
      </c>
      <c r="E47" s="208">
        <f>1/E43</f>
        <v>7.4537652949727501E-2</v>
      </c>
      <c r="F47" s="208">
        <f>1/F43</f>
        <v>5.9199023000613173E-2</v>
      </c>
      <c r="G47" s="208">
        <f>1/G43</f>
        <v>6.6158977716427855E-2</v>
      </c>
      <c r="H47" s="13">
        <f>H29</f>
        <v>-4.9656282064675872E-2</v>
      </c>
      <c r="I47" s="207"/>
      <c r="J47" s="208"/>
      <c r="K47" s="208"/>
      <c r="L47" s="208"/>
      <c r="M47" s="208"/>
      <c r="N47" s="208"/>
      <c r="O47" s="208"/>
      <c r="Q47" s="5"/>
      <c r="R47" s="5"/>
      <c r="S47" s="5"/>
      <c r="T47" s="5"/>
      <c r="U47" s="5"/>
    </row>
    <row r="48" spans="2:24">
      <c r="B48" s="5" t="s">
        <v>518</v>
      </c>
      <c r="C48" s="5"/>
      <c r="D48" s="248">
        <f>D31/D29</f>
        <v>0.46567661843044023</v>
      </c>
      <c r="E48" s="248">
        <f>E31/E29</f>
        <v>0.48489668873662817</v>
      </c>
      <c r="F48" s="248">
        <f>F31/F29</f>
        <v>0.61435732198073312</v>
      </c>
      <c r="G48" s="248">
        <f>G31/G29</f>
        <v>0.57970017610194013</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25">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262</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290</v>
      </c>
      <c r="C11" s="5"/>
      <c r="D11" s="225">
        <f>'LATAM INCUMB'!D11+'EM ASIA INCUMB'!D11</f>
        <v>209078.01479841722</v>
      </c>
      <c r="E11" s="225">
        <f>'LATAM INCUMB'!E11+'EM ASIA INCUMB'!E11</f>
        <v>206743.88552138454</v>
      </c>
      <c r="F11" s="225">
        <f>'LATAM INCUMB'!F11+'EM ASIA INCUMB'!F11</f>
        <v>204464.23750435095</v>
      </c>
      <c r="G11" s="225">
        <f>'LATAM INCUMB'!G11+'EM ASIA INCUMB'!G11</f>
        <v>202182.07074731655</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'LATAM INCUMB'!D12+'EM ASIA INCUMB'!D12</f>
        <v>41386.337469731909</v>
      </c>
      <c r="E12" s="188">
        <f>'LATAM INCUMB'!E12+'EM ASIA INCUMB'!E12</f>
        <v>32091.370955629471</v>
      </c>
      <c r="F12" s="188">
        <f>'LATAM INCUMB'!F12+'EM ASIA INCUMB'!F12</f>
        <v>30314.972535020024</v>
      </c>
      <c r="G12" s="188">
        <f>'LATAM INCUMB'!G12+'EM ASIA INCUMB'!G12</f>
        <v>18585.024792683209</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'LATAM INCUMB'!D13+'EM ASIA INCUMB'!D13</f>
        <v>593.38745541279934</v>
      </c>
      <c r="E13" s="188">
        <f>'LATAM INCUMB'!E13+'EM ASIA INCUMB'!E13</f>
        <v>525.85395604185373</v>
      </c>
      <c r="F13" s="188">
        <f>'LATAM INCUMB'!F13+'EM ASIA INCUMB'!F13</f>
        <v>475.38455437819653</v>
      </c>
      <c r="G13" s="188">
        <f>'LATAM INCUMB'!G13+'EM ASIA INCUMB'!G13</f>
        <v>420.62525357312825</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'LATAM INCUMB'!D14+'EM ASIA INCUMB'!D14</f>
        <v>23897.727527350078</v>
      </c>
      <c r="E14" s="188">
        <f>'LATAM INCUMB'!E14+'EM ASIA INCUMB'!E14</f>
        <v>23897.727527350078</v>
      </c>
      <c r="F14" s="188">
        <f>'LATAM INCUMB'!F14+'EM ASIA INCUMB'!F14</f>
        <v>23897.727527350078</v>
      </c>
      <c r="G14" s="188">
        <f>'LATAM INCUMB'!G14+'EM ASIA INCUMB'!G14</f>
        <v>23897.727527350078</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'LATAM INCUMB'!D15+'EM ASIA INCUMB'!D15</f>
        <v>13656.490439116909</v>
      </c>
      <c r="E15" s="188">
        <f>'LATAM INCUMB'!E15+'EM ASIA INCUMB'!E15</f>
        <v>13656.490439116909</v>
      </c>
      <c r="F15" s="188">
        <f>'LATAM INCUMB'!F15+'EM ASIA INCUMB'!F15</f>
        <v>13656.490439116909</v>
      </c>
      <c r="G15" s="188">
        <f>'LATAM INCUMB'!G15+'EM ASIA INCUMB'!G15</f>
        <v>13656.490439116909</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'LATAM INCUMB'!D16+'EM ASIA INCUMB'!D16</f>
        <v>10129.039969363084</v>
      </c>
      <c r="E16" s="188">
        <f>'LATAM INCUMB'!E16+'EM ASIA INCUMB'!E16</f>
        <v>15172.163006654271</v>
      </c>
      <c r="F16" s="188">
        <f>'LATAM INCUMB'!F16+'EM ASIA INCUMB'!F16</f>
        <v>20747.94289206215</v>
      </c>
      <c r="G16" s="188">
        <f>'LATAM INCUMB'!G16+'EM ASIA INCUMB'!G16</f>
        <v>26801.571718736308</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'LATAM INCUMB'!D17+'EM ASIA INCUMB'!D17</f>
        <v>1822.8761560093294</v>
      </c>
      <c r="E17" s="188">
        <f>'LATAM INCUMB'!E17+'EM ASIA INCUMB'!E17</f>
        <v>1822.8761560093294</v>
      </c>
      <c r="F17" s="188">
        <f>'LATAM INCUMB'!F17+'EM ASIA INCUMB'!F17</f>
        <v>1822.8761560093294</v>
      </c>
      <c r="G17" s="188">
        <f>'LATAM INCUMB'!G17+'EM ASIA INCUMB'!G17</f>
        <v>1822.8761560093294</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291</v>
      </c>
      <c r="C18" s="209"/>
      <c r="D18" s="229">
        <f>'LATAM INCUMB'!D18+'EM ASIA INCUMB'!D18</f>
        <v>228864.58650995634</v>
      </c>
      <c r="E18" s="229">
        <f>'LATAM INCUMB'!E18+'EM ASIA INCUMB'!E18</f>
        <v>212124.83418215904</v>
      </c>
      <c r="F18" s="229">
        <f>'LATAM INCUMB'!F18+'EM ASIA INCUMB'!F18</f>
        <v>202442.53845744452</v>
      </c>
      <c r="G18" s="229">
        <f>'LATAM INCUMB'!G18+'EM ASIA INCUMB'!G18</f>
        <v>182322.03583059408</v>
      </c>
      <c r="H18" s="230">
        <f>IF(D18=0,"nm",IF(G18=0,"nm",(G18/D18)^(1/3)-1))</f>
        <v>-7.2984800781884962E-2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'LATAM INCUMB'!C23+'EM ASIA INCUMB'!C23</f>
        <v>222717.53552751089</v>
      </c>
      <c r="D23" s="188">
        <f>'LATAM INCUMB'!D23+'EM ASIA INCUMB'!D23</f>
        <v>228673.20797432165</v>
      </c>
      <c r="E23" s="188">
        <f>'LATAM INCUMB'!E23+'EM ASIA INCUMB'!E23</f>
        <v>239054.90979151349</v>
      </c>
      <c r="F23" s="188">
        <f>'LATAM INCUMB'!F23+'EM ASIA INCUMB'!F23</f>
        <v>245629.68840854039</v>
      </c>
      <c r="G23" s="188">
        <f>'LATAM INCUMB'!G23+'EM ASIA INCUMB'!G23</f>
        <v>252181.64256622735</v>
      </c>
      <c r="H23" s="233">
        <f t="shared" ref="H23:H33" si="0">IF(D23=0,"nm",IF(G23=0,"nm",(G23/D23)^(1/3)-1))</f>
        <v>3.3156379224546617E-2</v>
      </c>
      <c r="I23" s="209"/>
      <c r="J23" s="249" t="s">
        <v>7</v>
      </c>
      <c r="K23" s="249"/>
      <c r="L23" s="219" t="str">
        <f>L5</f>
        <v>2025E</v>
      </c>
      <c r="M23" s="219" t="str">
        <f>M5</f>
        <v>2026E</v>
      </c>
      <c r="N23" s="219" t="str">
        <f>N5</f>
        <v>2027E</v>
      </c>
      <c r="O23" s="219" t="str">
        <f>O5</f>
        <v>2028E</v>
      </c>
      <c r="P23" s="236" t="str">
        <f>P5</f>
        <v>2025-28</v>
      </c>
      <c r="S23" s="26"/>
      <c r="T23" s="26"/>
      <c r="U23" s="26"/>
      <c r="V23" s="26"/>
      <c r="W23" s="26" t="s">
        <v>463</v>
      </c>
      <c r="X23" s="26" t="s">
        <v>24</v>
      </c>
    </row>
    <row r="24" spans="2:24" ht="12.6" thickTop="1">
      <c r="B24" s="5" t="s">
        <v>397</v>
      </c>
      <c r="C24" s="288">
        <f>'LATAM INCUMB'!C24+'EM ASIA INCUMB'!C24</f>
        <v>66888.802495843178</v>
      </c>
      <c r="D24" s="188">
        <f>'LATAM INCUMB'!D24+'EM ASIA INCUMB'!D24</f>
        <v>70239.828637387764</v>
      </c>
      <c r="E24" s="188">
        <f>'LATAM INCUMB'!E24+'EM ASIA INCUMB'!E24</f>
        <v>74239.930523991032</v>
      </c>
      <c r="F24" s="188">
        <f>'LATAM INCUMB'!F24+'EM ASIA INCUMB'!F24</f>
        <v>76531.661476151392</v>
      </c>
      <c r="G24" s="188">
        <f>'LATAM INCUMB'!G24+'EM ASIA INCUMB'!G24</f>
        <v>78878.764573403285</v>
      </c>
      <c r="H24" s="233">
        <f t="shared" si="0"/>
        <v>3.9422751898065433E-2</v>
      </c>
      <c r="I24" s="208"/>
      <c r="J24" s="13"/>
      <c r="K24" s="13"/>
      <c r="L24" s="13"/>
      <c r="M24" s="13"/>
      <c r="N24" s="13"/>
      <c r="O24" s="208"/>
      <c r="S24" s="26"/>
      <c r="T24" s="26"/>
      <c r="U24" s="26"/>
      <c r="V24" s="113" t="s">
        <v>225</v>
      </c>
      <c r="W24" s="242">
        <f t="shared" ref="W24:W31" si="1">E37/M9</f>
        <v>0.58871308435903669</v>
      </c>
      <c r="X24" s="242">
        <v>1</v>
      </c>
    </row>
    <row r="25" spans="2:24">
      <c r="B25" s="5" t="s">
        <v>157</v>
      </c>
      <c r="C25" s="288">
        <f>'LATAM INCUMB'!C25+'EM ASIA INCUMB'!C25</f>
        <v>31669.493051745754</v>
      </c>
      <c r="D25" s="188">
        <f>'LATAM INCUMB'!D25+'EM ASIA INCUMB'!D25</f>
        <v>37324.658537401352</v>
      </c>
      <c r="E25" s="188">
        <f>'LATAM INCUMB'!E25+'EM ASIA INCUMB'!E25</f>
        <v>40958.456055768795</v>
      </c>
      <c r="F25" s="188">
        <f>'LATAM INCUMB'!F25+'EM ASIA INCUMB'!F25</f>
        <v>43426.948105049894</v>
      </c>
      <c r="G25" s="188">
        <f>'LATAM INCUMB'!G25+'EM ASIA INCUMB'!G25</f>
        <v>46326.59614443998</v>
      </c>
      <c r="H25" s="233">
        <f t="shared" si="0"/>
        <v>7.4677565269395396E-2</v>
      </c>
      <c r="I25" s="209"/>
      <c r="J25" s="207" t="s">
        <v>8</v>
      </c>
      <c r="K25" s="207"/>
      <c r="L25" s="258">
        <f>'LATAM INCUMB'!L25+'EM ASIA INCUMB'!L25</f>
        <v>-1745.0907471317146</v>
      </c>
      <c r="M25" s="258">
        <f>'LATAM INCUMB'!M25+'EM ASIA INCUMB'!M25</f>
        <v>-1565.7089841795005</v>
      </c>
      <c r="N25" s="258">
        <f>'LATAM INCUMB'!N25+'EM ASIA INCUMB'!N25</f>
        <v>-1565.7089841795005</v>
      </c>
      <c r="O25" s="258">
        <f>'LATAM INCUMB'!O25+'EM ASIA INCUMB'!O25</f>
        <v>-1565.7089841795005</v>
      </c>
      <c r="P25" s="233">
        <f>IF(L25=0,"nm",IF(O25=0,"nm",(O25/L25)^(1/3)-1))</f>
        <v>-3.5510118207151886E-2</v>
      </c>
      <c r="Q25" s="5"/>
      <c r="S25" s="26"/>
      <c r="T25" s="26"/>
      <c r="U25" s="26"/>
      <c r="V25" s="113" t="s">
        <v>158</v>
      </c>
      <c r="W25" s="242">
        <f t="shared" si="1"/>
        <v>0.65226242217831976</v>
      </c>
      <c r="X25" s="242">
        <v>1</v>
      </c>
    </row>
    <row r="26" spans="2:24">
      <c r="B26" s="5" t="s">
        <v>487</v>
      </c>
      <c r="C26" s="288">
        <f>'LATAM INCUMB'!C26+'EM ASIA INCUMB'!C26</f>
        <v>24607.784518437875</v>
      </c>
      <c r="D26" s="188">
        <f>'LATAM INCUMB'!D26+'EM ASIA INCUMB'!D26</f>
        <v>27819.744545134992</v>
      </c>
      <c r="E26" s="188">
        <f>'LATAM INCUMB'!E26+'EM ASIA INCUMB'!E26</f>
        <v>30498.455743835584</v>
      </c>
      <c r="F26" s="188">
        <f>'LATAM INCUMB'!F26+'EM ASIA INCUMB'!F26</f>
        <v>32356.300822279532</v>
      </c>
      <c r="G26" s="188">
        <f>'LATAM INCUMB'!G26+'EM ASIA INCUMB'!G26</f>
        <v>34536.652465732383</v>
      </c>
      <c r="H26" s="233">
        <f t="shared" si="0"/>
        <v>7.4753911091564262E-2</v>
      </c>
      <c r="I26" s="209"/>
      <c r="J26" s="209" t="s">
        <v>9</v>
      </c>
      <c r="K26" s="209"/>
      <c r="L26" s="235">
        <f>'LATAM INCUMB'!L26+'EM ASIA INCUMB'!L26</f>
        <v>207332.92405128552</v>
      </c>
      <c r="M26" s="235">
        <f>'LATAM INCUMB'!M26+'EM ASIA INCUMB'!M26</f>
        <v>205178.176537205</v>
      </c>
      <c r="N26" s="235">
        <f>'LATAM INCUMB'!N26+'EM ASIA INCUMB'!N26</f>
        <v>202898.52852017147</v>
      </c>
      <c r="O26" s="235">
        <f>'LATAM INCUMB'!O26+'EM ASIA INCUMB'!O26</f>
        <v>200616.36176313704</v>
      </c>
      <c r="P26" s="233">
        <f>IF(L26=0,"nm",IF(O26=0,"nm",(O26/L26)^(1/3)-1))</f>
        <v>-1.0917102382201893E-2</v>
      </c>
      <c r="Q26" s="25"/>
      <c r="S26" s="26"/>
      <c r="T26" s="26"/>
      <c r="U26" s="26"/>
      <c r="V26" s="113" t="s">
        <v>159</v>
      </c>
      <c r="W26" s="242">
        <f t="shared" si="1"/>
        <v>0.68997309350408487</v>
      </c>
      <c r="X26" s="242">
        <v>1</v>
      </c>
    </row>
    <row r="27" spans="2:24">
      <c r="B27" s="5" t="s">
        <v>488</v>
      </c>
      <c r="C27" s="288">
        <f>'LATAM INCUMB'!C27+'EM ASIA INCUMB'!C27</f>
        <v>229426.80701351809</v>
      </c>
      <c r="D27" s="188">
        <f>'LATAM INCUMB'!D27+'EM ASIA INCUMB'!D27</f>
        <v>224922.63370138867</v>
      </c>
      <c r="E27" s="188">
        <f>'LATAM INCUMB'!E27+'EM ASIA INCUMB'!E27</f>
        <v>223596.12455586955</v>
      </c>
      <c r="F27" s="188">
        <f>'LATAM INCUMB'!F27+'EM ASIA INCUMB'!F27</f>
        <v>227347.20146184234</v>
      </c>
      <c r="G27" s="188">
        <f>'LATAM INCUMB'!G27+'EM ASIA INCUMB'!G27</f>
        <v>221716.7944592805</v>
      </c>
      <c r="H27" s="233">
        <f t="shared" si="0"/>
        <v>-4.7737778021701427E-3</v>
      </c>
      <c r="I27" s="208"/>
      <c r="J27" s="208"/>
      <c r="K27" s="208"/>
      <c r="L27" s="208"/>
      <c r="M27" s="208"/>
      <c r="N27" s="208"/>
      <c r="O27" s="208"/>
      <c r="Q27" s="5"/>
      <c r="S27" s="26"/>
      <c r="T27" s="26"/>
      <c r="U27" s="26"/>
      <c r="V27" s="113" t="s">
        <v>381</v>
      </c>
      <c r="W27" s="242">
        <f t="shared" si="1"/>
        <v>0.70129301976760905</v>
      </c>
      <c r="X27" s="242">
        <v>1</v>
      </c>
    </row>
    <row r="28" spans="2:24" ht="12.6" thickBot="1">
      <c r="B28" s="5" t="s">
        <v>492</v>
      </c>
      <c r="C28" s="288">
        <f>'LATAM INCUMB'!C28+'EM ASIA INCUMB'!C28</f>
        <v>178232.26056835853</v>
      </c>
      <c r="D28" s="188">
        <f>'LATAM INCUMB'!D28+'EM ASIA INCUMB'!D28</f>
        <v>167116.91599588885</v>
      </c>
      <c r="E28" s="188">
        <f>'LATAM INCUMB'!E28+'EM ASIA INCUMB'!E28</f>
        <v>157615.34098297538</v>
      </c>
      <c r="F28" s="188">
        <f>'LATAM INCUMB'!F28+'EM ASIA INCUMB'!F28</f>
        <v>145718.73225208191</v>
      </c>
      <c r="G28" s="188">
        <f>'LATAM INCUMB'!G28+'EM ASIA INCUMB'!G28</f>
        <v>133147.44045394691</v>
      </c>
      <c r="H28" s="233">
        <f t="shared" si="0"/>
        <v>-7.2947911627430417E-2</v>
      </c>
      <c r="I28" s="212"/>
      <c r="J28" s="249" t="s">
        <v>628</v>
      </c>
      <c r="K28" s="249"/>
      <c r="L28" s="249"/>
      <c r="M28" s="249"/>
      <c r="N28" s="220"/>
      <c r="O28" s="220"/>
      <c r="P28" s="220"/>
      <c r="Q28" s="5"/>
      <c r="S28" s="26"/>
      <c r="T28" s="26"/>
      <c r="U28" s="26"/>
      <c r="V28" s="113" t="s">
        <v>434</v>
      </c>
      <c r="W28" s="242">
        <f t="shared" si="1"/>
        <v>0.69067836396934168</v>
      </c>
      <c r="X28" s="242">
        <v>1</v>
      </c>
    </row>
    <row r="29" spans="2:24" ht="12.6" thickTop="1">
      <c r="B29" s="5" t="s">
        <v>489</v>
      </c>
      <c r="C29" s="288">
        <f>'LATAM INCUMB'!C29+'EM ASIA INCUMB'!C29</f>
        <v>15338.024614959013</v>
      </c>
      <c r="D29" s="188">
        <f>'LATAM INCUMB'!D29+'EM ASIA INCUMB'!D29</f>
        <v>20100.234347942045</v>
      </c>
      <c r="E29" s="188">
        <f>'LATAM INCUMB'!E29+'EM ASIA INCUMB'!E29</f>
        <v>23304.535498471523</v>
      </c>
      <c r="F29" s="188">
        <f>'LATAM INCUMB'!F29+'EM ASIA INCUMB'!F29</f>
        <v>25168.150071272383</v>
      </c>
      <c r="G29" s="188">
        <f>'LATAM INCUMB'!G29+'EM ASIA INCUMB'!G29</f>
        <v>27498.037220087041</v>
      </c>
      <c r="H29" s="233">
        <f t="shared" si="0"/>
        <v>0.11011215571418109</v>
      </c>
      <c r="I29" s="214"/>
      <c r="J29" s="209"/>
      <c r="K29" s="209"/>
      <c r="L29" s="209"/>
      <c r="M29" s="209"/>
      <c r="N29" s="209"/>
      <c r="O29" s="211"/>
      <c r="Q29" s="5"/>
      <c r="S29" s="26"/>
      <c r="T29" s="26"/>
      <c r="U29" s="26"/>
      <c r="V29" s="113" t="s">
        <v>493</v>
      </c>
      <c r="W29" s="242">
        <f t="shared" si="1"/>
        <v>0.62276545758871171</v>
      </c>
      <c r="X29" s="242">
        <v>1</v>
      </c>
    </row>
    <row r="30" spans="2:24">
      <c r="B30" s="5" t="s">
        <v>490</v>
      </c>
      <c r="C30" s="288">
        <f>'LATAM INCUMB'!C30+'EM ASIA INCUMB'!C30</f>
        <v>15294.681398511215</v>
      </c>
      <c r="D30" s="188">
        <f>'LATAM INCUMB'!D30+'EM ASIA INCUMB'!D30</f>
        <v>16691.459163753148</v>
      </c>
      <c r="E30" s="188">
        <f>'LATAM INCUMB'!E30+'EM ASIA INCUMB'!E30</f>
        <v>18996.126148671588</v>
      </c>
      <c r="F30" s="188">
        <f>'LATAM INCUMB'!F30+'EM ASIA INCUMB'!F30</f>
        <v>20986.772659722945</v>
      </c>
      <c r="G30" s="188">
        <f>'LATAM INCUMB'!G30+'EM ASIA INCUMB'!G30</f>
        <v>22909.331167084936</v>
      </c>
      <c r="H30" s="233">
        <f t="shared" si="0"/>
        <v>0.11132061006560745</v>
      </c>
      <c r="I30" s="214"/>
      <c r="J30" s="208"/>
      <c r="K30" s="208"/>
      <c r="L30" s="208"/>
      <c r="M30" s="208"/>
      <c r="N30" s="208"/>
      <c r="O30" s="5"/>
      <c r="Q30" s="5"/>
      <c r="S30" s="26"/>
      <c r="T30" s="26"/>
      <c r="U30" s="26"/>
      <c r="V30" s="113" t="s">
        <v>390</v>
      </c>
      <c r="W30" s="242">
        <f t="shared" si="1"/>
        <v>0.69997691432206</v>
      </c>
      <c r="X30" s="242">
        <v>1</v>
      </c>
    </row>
    <row r="31" spans="2:24">
      <c r="B31" s="5" t="s">
        <v>491</v>
      </c>
      <c r="C31" s="288">
        <f>'LATAM INCUMB'!C31+'EM ASIA INCUMB'!C31</f>
        <v>9353.4134832677119</v>
      </c>
      <c r="D31" s="188">
        <f>'LATAM INCUMB'!D31+'EM ASIA INCUMB'!D31</f>
        <v>9766.6644178394599</v>
      </c>
      <c r="E31" s="188">
        <f>'LATAM INCUMB'!E31+'EM ASIA INCUMB'!E31</f>
        <v>11548.903871984901</v>
      </c>
      <c r="F31" s="188">
        <f>'LATAM INCUMB'!F31+'EM ASIA INCUMB'!F31</f>
        <v>12689.48956934148</v>
      </c>
      <c r="G31" s="188">
        <f>'LATAM INCUMB'!G31+'EM ASIA INCUMB'!G31</f>
        <v>14082.442622972605</v>
      </c>
      <c r="H31" s="233">
        <f t="shared" si="0"/>
        <v>0.12973671135672182</v>
      </c>
      <c r="I31" s="214"/>
      <c r="J31" s="212"/>
      <c r="K31" s="212"/>
      <c r="L31" s="212"/>
      <c r="M31" s="212"/>
      <c r="N31" s="212"/>
      <c r="O31" s="5"/>
      <c r="Q31" s="5"/>
      <c r="S31" s="26"/>
      <c r="T31" s="26"/>
      <c r="U31" s="26"/>
      <c r="V31" s="113" t="s">
        <v>437</v>
      </c>
      <c r="W31" s="242">
        <f t="shared" si="1"/>
        <v>0.83640696725384078</v>
      </c>
      <c r="X31" s="242">
        <v>1</v>
      </c>
    </row>
    <row r="32" spans="2:24">
      <c r="B32" s="5" t="s">
        <v>506</v>
      </c>
      <c r="C32" s="288">
        <f>'LATAM INCUMB'!C32+'EM ASIA INCUMB'!C32</f>
        <v>1659.1679741387068</v>
      </c>
      <c r="D32" s="188">
        <f>'LATAM INCUMB'!D32+'EM ASIA INCUMB'!D32</f>
        <v>1030.2661115936426</v>
      </c>
      <c r="E32" s="188">
        <f>'LATAM INCUMB'!E32+'EM ASIA INCUMB'!E32</f>
        <v>1730.8613634353926</v>
      </c>
      <c r="F32" s="188">
        <f>'LATAM INCUMB'!F32+'EM ASIA INCUMB'!F32</f>
        <v>1788.5836305050075</v>
      </c>
      <c r="G32" s="188">
        <f>'LATAM INCUMB'!G32+'EM ASIA INCUMB'!G32</f>
        <v>1881.5302875491445</v>
      </c>
      <c r="H32" s="233">
        <f t="shared" si="0"/>
        <v>0.22232660952863359</v>
      </c>
      <c r="I32" s="5"/>
      <c r="J32" s="214"/>
      <c r="K32" s="214"/>
      <c r="L32" s="214"/>
      <c r="M32" s="214"/>
      <c r="N32" s="214"/>
      <c r="O32" s="211"/>
      <c r="Q32" s="5"/>
      <c r="S32" s="26"/>
      <c r="T32" s="26"/>
      <c r="U32" s="26"/>
      <c r="V32" s="113" t="s">
        <v>481</v>
      </c>
      <c r="W32" s="242">
        <f>M17/E45</f>
        <v>0.94046767820562827</v>
      </c>
      <c r="X32" s="242">
        <v>1</v>
      </c>
    </row>
    <row r="33" spans="2:24">
      <c r="B33" s="5" t="s">
        <v>3</v>
      </c>
      <c r="C33" s="288">
        <f>'LATAM INCUMB'!C33+'EM ASIA INCUMB'!C33</f>
        <v>-1957.2983349368928</v>
      </c>
      <c r="D33" s="188">
        <f>'LATAM INCUMB'!D33+'EM ASIA INCUMB'!D33</f>
        <v>-2091.5607235638786</v>
      </c>
      <c r="E33" s="188">
        <f>'LATAM INCUMB'!E33+'EM ASIA INCUMB'!E33</f>
        <v>-1826.1235118439579</v>
      </c>
      <c r="F33" s="188">
        <f>'LATAM INCUMB'!F33+'EM ASIA INCUMB'!F33</f>
        <v>-1590.8365690190915</v>
      </c>
      <c r="G33" s="188">
        <f>'LATAM INCUMB'!G33+'EM ASIA INCUMB'!G33</f>
        <v>-1531.6912582012665</v>
      </c>
      <c r="H33" s="233">
        <f t="shared" si="0"/>
        <v>-9.8635909973510461E-2</v>
      </c>
      <c r="I33" s="33"/>
      <c r="J33" s="214"/>
      <c r="K33" s="214"/>
      <c r="L33" s="214"/>
      <c r="M33" s="214"/>
      <c r="N33" s="214"/>
      <c r="O33" s="211"/>
      <c r="Q33" s="5"/>
      <c r="S33" s="26"/>
      <c r="T33" s="26"/>
      <c r="U33" s="26"/>
      <c r="V33" s="113" t="s">
        <v>482</v>
      </c>
      <c r="W33" s="242">
        <f>M19/E47</f>
        <v>0.69997691432206</v>
      </c>
      <c r="X33" s="242">
        <v>1</v>
      </c>
    </row>
    <row r="34" spans="2:24">
      <c r="H34" s="231"/>
      <c r="I34" s="214"/>
      <c r="J34" s="214"/>
      <c r="K34" s="214"/>
      <c r="L34" s="214"/>
      <c r="M34" s="214"/>
      <c r="N34" s="214"/>
      <c r="O34" s="211"/>
      <c r="Q34" s="5"/>
      <c r="S34" s="26"/>
      <c r="T34" s="26"/>
      <c r="U34" s="26"/>
      <c r="V34" s="26"/>
      <c r="W34" s="26"/>
      <c r="X34" s="26"/>
    </row>
    <row r="35" spans="2:24" ht="12.6" thickBot="1">
      <c r="B35" s="249" t="s">
        <v>277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1.0008369084307251</v>
      </c>
      <c r="E37" s="430">
        <f t="shared" si="2"/>
        <v>0.88734774101548086</v>
      </c>
      <c r="F37" s="430">
        <f t="shared" si="2"/>
        <v>0.82417780916097816</v>
      </c>
      <c r="G37" s="430">
        <f t="shared" si="2"/>
        <v>0.72297901613799298</v>
      </c>
      <c r="H37" s="13">
        <f t="shared" ref="H37:H45" si="3">H23</f>
        <v>3.3156379224546617E-2</v>
      </c>
      <c r="I37" s="217"/>
      <c r="J37" s="217"/>
      <c r="K37" s="217"/>
      <c r="L37" s="217"/>
      <c r="M37" s="217"/>
      <c r="N37" s="217"/>
      <c r="O37" s="14"/>
      <c r="Q37" s="5"/>
      <c r="R37" s="5"/>
      <c r="S37" s="26"/>
      <c r="T37" s="26"/>
      <c r="U37" s="26"/>
      <c r="V37" s="26"/>
      <c r="W37" s="26"/>
      <c r="X37" s="26"/>
    </row>
    <row r="38" spans="2:24">
      <c r="B38" s="5" t="s">
        <v>158</v>
      </c>
      <c r="C38" s="207"/>
      <c r="D38" s="430">
        <f t="shared" si="2"/>
        <v>3.2583306501424838</v>
      </c>
      <c r="E38" s="430">
        <f t="shared" si="2"/>
        <v>2.8572876171214863</v>
      </c>
      <c r="F38" s="430">
        <f t="shared" si="2"/>
        <v>2.6452129034272849</v>
      </c>
      <c r="G38" s="430">
        <f t="shared" si="2"/>
        <v>2.3114210372923396</v>
      </c>
      <c r="H38" s="13">
        <f t="shared" si="3"/>
        <v>3.9422751898065433E-2</v>
      </c>
      <c r="I38" s="13"/>
      <c r="J38" s="13"/>
      <c r="K38" s="13"/>
      <c r="L38" s="13"/>
      <c r="M38" s="13"/>
      <c r="N38" s="13"/>
      <c r="O38" s="5"/>
      <c r="Q38" s="5"/>
      <c r="R38" s="5"/>
      <c r="S38" s="26"/>
      <c r="T38" s="26"/>
      <c r="U38" s="26"/>
      <c r="V38" s="26"/>
      <c r="W38" s="26"/>
      <c r="X38" s="26"/>
    </row>
    <row r="39" spans="2:24">
      <c r="B39" s="5" t="s">
        <v>159</v>
      </c>
      <c r="C39" s="207"/>
      <c r="D39" s="430">
        <f t="shared" si="2"/>
        <v>6.1317261959843918</v>
      </c>
      <c r="E39" s="430">
        <f t="shared" si="2"/>
        <v>5.1790241774087162</v>
      </c>
      <c r="F39" s="430">
        <f t="shared" si="2"/>
        <v>4.6616800694291367</v>
      </c>
      <c r="G39" s="430">
        <f t="shared" si="2"/>
        <v>3.9355802283020958</v>
      </c>
      <c r="H39" s="13">
        <f t="shared" si="3"/>
        <v>7.4677565269395396E-2</v>
      </c>
      <c r="I39" s="5"/>
      <c r="J39" s="5"/>
      <c r="K39" s="5"/>
      <c r="L39" s="5"/>
      <c r="M39" s="5"/>
      <c r="N39" s="5"/>
      <c r="O39" s="5"/>
      <c r="Q39" s="5"/>
      <c r="R39" s="5"/>
      <c r="S39" s="26"/>
      <c r="T39" s="26"/>
      <c r="U39" s="26"/>
      <c r="V39" s="26"/>
      <c r="W39" s="242"/>
      <c r="X39" s="242"/>
    </row>
    <row r="40" spans="2:24">
      <c r="B40" s="5" t="s">
        <v>381</v>
      </c>
      <c r="C40" s="207"/>
      <c r="D40" s="430">
        <f t="shared" si="2"/>
        <v>8.2266961919310386</v>
      </c>
      <c r="E40" s="430">
        <f t="shared" si="2"/>
        <v>6.9552647505778777</v>
      </c>
      <c r="F40" s="430">
        <f t="shared" si="2"/>
        <v>6.2566651104334197</v>
      </c>
      <c r="G40" s="430">
        <f t="shared" si="2"/>
        <v>5.2790882385458708</v>
      </c>
      <c r="H40" s="13">
        <f t="shared" si="3"/>
        <v>7.4753911091564262E-2</v>
      </c>
      <c r="I40" s="207"/>
      <c r="J40" s="217"/>
      <c r="K40" s="217"/>
      <c r="L40" s="217"/>
      <c r="M40" s="217"/>
      <c r="N40" s="217"/>
      <c r="O40" s="14"/>
      <c r="Q40" s="5"/>
      <c r="R40" s="5"/>
      <c r="S40" s="26"/>
      <c r="T40" s="26"/>
      <c r="U40" s="26"/>
      <c r="V40" s="26"/>
      <c r="W40" s="242"/>
      <c r="X40" s="242"/>
    </row>
    <row r="41" spans="2:24">
      <c r="B41" s="5" t="s">
        <v>434</v>
      </c>
      <c r="C41" s="207"/>
      <c r="D41" s="430">
        <f t="shared" si="2"/>
        <v>1.0175258165160963</v>
      </c>
      <c r="E41" s="430">
        <f t="shared" si="2"/>
        <v>0.94869638104642462</v>
      </c>
      <c r="F41" s="430">
        <f t="shared" si="2"/>
        <v>0.89045537906663963</v>
      </c>
      <c r="G41" s="430">
        <f t="shared" si="2"/>
        <v>0.82231946513225684</v>
      </c>
      <c r="H41" s="13">
        <f t="shared" si="3"/>
        <v>-4.7737778021701427E-3</v>
      </c>
      <c r="I41" s="208"/>
      <c r="J41" s="13"/>
      <c r="K41" s="13"/>
      <c r="L41" s="13"/>
      <c r="M41" s="13"/>
      <c r="N41" s="13"/>
      <c r="O41" s="5"/>
      <c r="Q41" s="5"/>
      <c r="R41" s="5"/>
      <c r="S41" s="26"/>
      <c r="T41" s="26"/>
      <c r="U41" s="26"/>
      <c r="V41" s="26"/>
      <c r="W41" s="242"/>
      <c r="X41" s="242"/>
    </row>
    <row r="42" spans="2:24">
      <c r="B42" s="5" t="s">
        <v>493</v>
      </c>
      <c r="C42" s="207"/>
      <c r="D42" s="430">
        <f>D18/D28</f>
        <v>1.3694878531362229</v>
      </c>
      <c r="E42" s="430">
        <f>E18/E28</f>
        <v>1.3458387543955599</v>
      </c>
      <c r="F42" s="430">
        <f>F18/F28</f>
        <v>1.3892691442527436</v>
      </c>
      <c r="G42" s="430">
        <f>G18/G28</f>
        <v>1.3693243761126275</v>
      </c>
      <c r="H42" s="13">
        <f t="shared" si="3"/>
        <v>-7.2947911627430417E-2</v>
      </c>
      <c r="I42" s="207"/>
      <c r="J42" s="5"/>
      <c r="K42" s="5"/>
      <c r="L42" s="5"/>
      <c r="M42" s="5"/>
      <c r="N42" s="5"/>
      <c r="O42" s="5"/>
      <c r="Q42" s="5"/>
      <c r="R42" s="5"/>
      <c r="S42" s="26"/>
      <c r="T42" s="26"/>
      <c r="U42" s="26"/>
      <c r="V42" s="26"/>
      <c r="W42" s="242"/>
      <c r="X42" s="242"/>
    </row>
    <row r="43" spans="2:24">
      <c r="B43" s="5" t="s">
        <v>390</v>
      </c>
      <c r="C43" s="207"/>
      <c r="D43" s="430">
        <f>L26/D29</f>
        <v>10.31495058526585</v>
      </c>
      <c r="E43" s="430">
        <f>M26/E29</f>
        <v>8.8042165247473836</v>
      </c>
      <c r="F43" s="430">
        <f>N26/F29</f>
        <v>8.0617180025386705</v>
      </c>
      <c r="G43" s="430">
        <f>O26/G29</f>
        <v>7.2956611469195627</v>
      </c>
      <c r="H43" s="13">
        <f t="shared" si="3"/>
        <v>0.11011215571418109</v>
      </c>
      <c r="I43" s="207"/>
      <c r="J43" s="207"/>
      <c r="K43" s="207"/>
      <c r="L43" s="207"/>
      <c r="M43" s="207"/>
      <c r="N43" s="207"/>
      <c r="O43" s="14"/>
      <c r="Q43" s="5"/>
      <c r="R43" s="5"/>
      <c r="S43" s="26"/>
      <c r="T43" s="26"/>
      <c r="U43" s="26"/>
      <c r="V43" s="26"/>
      <c r="W43" s="255"/>
      <c r="X43" s="255"/>
    </row>
    <row r="44" spans="2:24">
      <c r="B44" s="5" t="s">
        <v>437</v>
      </c>
      <c r="C44" s="53"/>
      <c r="D44" s="430">
        <f>D11/D30</f>
        <v>12.526047767737827</v>
      </c>
      <c r="E44" s="430">
        <f>E11/E30</f>
        <v>10.883476131044869</v>
      </c>
      <c r="F44" s="430">
        <f>F11/F30</f>
        <v>9.7425288213442798</v>
      </c>
      <c r="G44" s="430">
        <f>G11/G30</f>
        <v>8.8253152950096752</v>
      </c>
      <c r="H44" s="13">
        <f t="shared" si="3"/>
        <v>0.11132061006560745</v>
      </c>
      <c r="I44" s="208"/>
      <c r="J44" s="208"/>
      <c r="K44" s="208"/>
      <c r="L44" s="208"/>
      <c r="M44" s="208"/>
      <c r="N44" s="208"/>
      <c r="O44" s="208"/>
      <c r="Q44" s="5"/>
      <c r="R44" s="5"/>
      <c r="S44" s="26"/>
      <c r="T44" s="26"/>
      <c r="U44" s="26"/>
      <c r="V44" s="26"/>
      <c r="W44" s="26"/>
      <c r="X44" s="26"/>
    </row>
    <row r="45" spans="2:24">
      <c r="B45" s="5" t="s">
        <v>481</v>
      </c>
      <c r="C45" s="207"/>
      <c r="D45" s="208">
        <f>D31/D11</f>
        <v>4.6713014887079352E-2</v>
      </c>
      <c r="E45" s="208">
        <f>E31/E11</f>
        <v>5.5860921075657842E-2</v>
      </c>
      <c r="F45" s="208">
        <f>F31/F11</f>
        <v>6.2062147024960539E-2</v>
      </c>
      <c r="G45" s="208">
        <f>G31/G11</f>
        <v>6.9652282078822819E-2</v>
      </c>
      <c r="H45" s="13">
        <f t="shared" si="3"/>
        <v>0.12973671135672182</v>
      </c>
      <c r="I45" s="207"/>
      <c r="J45" s="207"/>
      <c r="K45" s="207"/>
      <c r="L45" s="207"/>
      <c r="M45" s="207"/>
      <c r="N45" s="207"/>
      <c r="O45" s="208"/>
      <c r="Q45" s="5"/>
      <c r="R45" s="5"/>
      <c r="S45" s="26"/>
      <c r="T45" s="26"/>
      <c r="U45" s="26"/>
      <c r="V45" s="26"/>
      <c r="W45" s="26"/>
      <c r="X45" s="26"/>
    </row>
    <row r="46" spans="2:24">
      <c r="B46" s="5" t="s">
        <v>505</v>
      </c>
      <c r="C46" s="207"/>
      <c r="D46" s="208">
        <f>(D31+D32)/D11</f>
        <v>5.1640678432129626E-2</v>
      </c>
      <c r="E46" s="208">
        <f>(E31+E32)/E11</f>
        <v>6.4232928591480415E-2</v>
      </c>
      <c r="F46" s="208">
        <f>(F31+F32)/F11</f>
        <v>7.0809807018395565E-2</v>
      </c>
      <c r="G46" s="208">
        <f>(G31+G32)/G11</f>
        <v>7.8958400472973839E-2</v>
      </c>
      <c r="H46" s="233">
        <f>((G31+G32)/(D31+D32))^(1/3)-1</f>
        <v>0.13923562780326715</v>
      </c>
      <c r="I46" s="13"/>
      <c r="J46" s="207"/>
      <c r="K46" s="207"/>
      <c r="L46" s="207"/>
      <c r="M46" s="207"/>
      <c r="N46" s="207"/>
      <c r="O46" s="14"/>
      <c r="Q46" s="5"/>
      <c r="R46" s="5"/>
      <c r="S46" s="26"/>
      <c r="T46" s="26"/>
      <c r="U46" s="26"/>
      <c r="V46" s="26"/>
      <c r="W46" s="26"/>
      <c r="X46" s="26"/>
    </row>
    <row r="47" spans="2:24">
      <c r="B47" s="5" t="s">
        <v>482</v>
      </c>
      <c r="C47" s="5"/>
      <c r="D47" s="208">
        <f>1/D43</f>
        <v>9.6946659291652512E-2</v>
      </c>
      <c r="E47" s="208">
        <f>1/E43</f>
        <v>0.11358194078816032</v>
      </c>
      <c r="F47" s="208">
        <f>1/F43</f>
        <v>0.12404303892608196</v>
      </c>
      <c r="G47" s="208">
        <f>1/G43</f>
        <v>0.137067769440228</v>
      </c>
      <c r="H47" s="13">
        <f>H29</f>
        <v>0.11011215571418109</v>
      </c>
      <c r="I47" s="207"/>
      <c r="J47" s="208"/>
      <c r="K47" s="208"/>
      <c r="L47" s="208"/>
      <c r="M47" s="208"/>
      <c r="N47" s="208"/>
      <c r="O47" s="208"/>
      <c r="Q47" s="5"/>
      <c r="R47" s="5"/>
      <c r="S47" s="5"/>
      <c r="T47" s="5"/>
      <c r="U47" s="5"/>
    </row>
    <row r="48" spans="2:24">
      <c r="B48" s="5" t="s">
        <v>518</v>
      </c>
      <c r="C48" s="5"/>
      <c r="D48" s="248">
        <f>D31/D29</f>
        <v>0.48589803724549191</v>
      </c>
      <c r="E48" s="248">
        <f>E31/E29</f>
        <v>0.49556464546321294</v>
      </c>
      <c r="F48" s="248">
        <f>F31/F29</f>
        <v>0.50418841009000548</v>
      </c>
      <c r="G48" s="248">
        <f>G31/G29</f>
        <v>0.51212537499532951</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28">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261</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453</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290</v>
      </c>
      <c r="C11" s="5"/>
      <c r="D11" s="225">
        <f>'LATAM OTHER'!D11+'EM ASIA CELLULAR'!D11+'EMEA CELLULAR'!D11</f>
        <v>544554.92556967097</v>
      </c>
      <c r="E11" s="225">
        <f>'LATAM OTHER'!E11+'EM ASIA CELLULAR'!E11+'EMEA CELLULAR'!E11</f>
        <v>543555.65680634265</v>
      </c>
      <c r="F11" s="225">
        <f>'LATAM OTHER'!F11+'EM ASIA CELLULAR'!F11+'EMEA CELLULAR'!F11</f>
        <v>542479.95566335414</v>
      </c>
      <c r="G11" s="225">
        <f>'LATAM OTHER'!G11+'EM ASIA CELLULAR'!G11+'EMEA CELLULAR'!G11</f>
        <v>541399.67578034301</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'LATAM OTHER'!D12+'EM ASIA CELLULAR'!D12+'EMEA CELLULAR'!D12</f>
        <v>86274.672083437705</v>
      </c>
      <c r="E12" s="188">
        <f>'LATAM OTHER'!E12+'EM ASIA CELLULAR'!E12+'EMEA CELLULAR'!E12</f>
        <v>75229.167970459734</v>
      </c>
      <c r="F12" s="188">
        <f>'LATAM OTHER'!F12+'EM ASIA CELLULAR'!F12+'EMEA CELLULAR'!F12</f>
        <v>69086.210972201938</v>
      </c>
      <c r="G12" s="188">
        <f>'LATAM OTHER'!G12+'EM ASIA CELLULAR'!G12+'EMEA CELLULAR'!G12</f>
        <v>51093.075524873915</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'LATAM OTHER'!D13+'EM ASIA CELLULAR'!D13+'EMEA CELLULAR'!D13</f>
        <v>11889.866175127008</v>
      </c>
      <c r="E13" s="188">
        <f>'LATAM OTHER'!E13+'EM ASIA CELLULAR'!E13+'EMEA CELLULAR'!E13</f>
        <v>11519.247337826875</v>
      </c>
      <c r="F13" s="188">
        <f>'LATAM OTHER'!F13+'EM ASIA CELLULAR'!F13+'EMEA CELLULAR'!F13</f>
        <v>11337.730191147119</v>
      </c>
      <c r="G13" s="188">
        <f>'LATAM OTHER'!G13+'EM ASIA CELLULAR'!G13+'EMEA CELLULAR'!G13</f>
        <v>11174.134764380446</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'LATAM OTHER'!D14+'EM ASIA CELLULAR'!D14+'EMEA CELLULAR'!D14</f>
        <v>27162.607922695559</v>
      </c>
      <c r="E14" s="188">
        <f>'LATAM OTHER'!E14+'EM ASIA CELLULAR'!E14+'EMEA CELLULAR'!E14</f>
        <v>25215.687811962456</v>
      </c>
      <c r="F14" s="188">
        <f>'LATAM OTHER'!F14+'EM ASIA CELLULAR'!F14+'EMEA CELLULAR'!F14</f>
        <v>25212.363216096819</v>
      </c>
      <c r="G14" s="188">
        <f>'LATAM OTHER'!G14+'EM ASIA CELLULAR'!G14+'EMEA CELLULAR'!G14</f>
        <v>25210.700918163999</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'LATAM OTHER'!D15+'EM ASIA CELLULAR'!D15+'EMEA CELLULAR'!D15</f>
        <v>25351.387176612989</v>
      </c>
      <c r="E15" s="188">
        <f>'LATAM OTHER'!E15+'EM ASIA CELLULAR'!E15+'EMEA CELLULAR'!E15</f>
        <v>25342.53646786524</v>
      </c>
      <c r="F15" s="188">
        <f>'LATAM OTHER'!F15+'EM ASIA CELLULAR'!F15+'EMEA CELLULAR'!F15</f>
        <v>25361.122799646691</v>
      </c>
      <c r="G15" s="188">
        <f>'LATAM OTHER'!G15+'EM ASIA CELLULAR'!G15+'EMEA CELLULAR'!G15</f>
        <v>25405.38842871552</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'LATAM OTHER'!D16+'EM ASIA CELLULAR'!D16+'EMEA CELLULAR'!D16</f>
        <v>179.01553391928798</v>
      </c>
      <c r="E16" s="188">
        <f>'LATAM OTHER'!E16+'EM ASIA CELLULAR'!E16+'EMEA CELLULAR'!E16</f>
        <v>24725.012093629353</v>
      </c>
      <c r="F16" s="188">
        <f>'LATAM OTHER'!F16+'EM ASIA CELLULAR'!F16+'EMEA CELLULAR'!F16</f>
        <v>53011.238920365678</v>
      </c>
      <c r="G16" s="188">
        <f>'LATAM OTHER'!G16+'EM ASIA CELLULAR'!G16+'EMEA CELLULAR'!G16</f>
        <v>84436.499354515458</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'LATAM OTHER'!D17+'EM ASIA CELLULAR'!D17+'EMEA CELLULAR'!D17</f>
        <v>196.06774196589191</v>
      </c>
      <c r="E17" s="188">
        <f>'LATAM OTHER'!E17+'EM ASIA CELLULAR'!E17+'EMEA CELLULAR'!E17</f>
        <v>196.06774196589191</v>
      </c>
      <c r="F17" s="188">
        <f>'LATAM OTHER'!F17+'EM ASIA CELLULAR'!F17+'EMEA CELLULAR'!F17</f>
        <v>196.06774196589191</v>
      </c>
      <c r="G17" s="188">
        <f>'LATAM OTHER'!G17+'EM ASIA CELLULAR'!G17+'EMEA CELLULAR'!G17</f>
        <v>196.06774196589191</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291</v>
      </c>
      <c r="C18" s="209"/>
      <c r="D18" s="229">
        <f>'LATAM OTHER'!D18+'EM ASIA CELLULAR'!D18+'EMEA CELLULAR'!D18</f>
        <v>644041.72001210903</v>
      </c>
      <c r="E18" s="229">
        <f>'LATAM OTHER'!E18+'EM ASIA CELLULAR'!E18+'EMEA CELLULAR'!E18</f>
        <v>609018.40114077809</v>
      </c>
      <c r="F18" s="229">
        <f>'LATAM OTHER'!F18+'EM ASIA CELLULAR'!F18+'EMEA CELLULAR'!F18</f>
        <v>573353.90995376266</v>
      </c>
      <c r="G18" s="229">
        <f>'LATAM OTHER'!G18+'EM ASIA CELLULAR'!G18+'EMEA CELLULAR'!G18</f>
        <v>522737.56668950873</v>
      </c>
      <c r="H18" s="230">
        <f>IF(D18=0,"nm",IF(G18=0,"nm",(G18/D18)^(1/3)-1))</f>
        <v>-6.7197065680011714E-2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'LATAM OTHER'!C23+'EM ASIA CELLULAR'!C23+'EMEA CELLULAR'!C23</f>
        <v>279728.46732602437</v>
      </c>
      <c r="D23" s="188">
        <f>'LATAM OTHER'!D23+'EM ASIA CELLULAR'!D23+'EMEA CELLULAR'!D23</f>
        <v>287555.95944084396</v>
      </c>
      <c r="E23" s="188">
        <f>'LATAM OTHER'!E23+'EM ASIA CELLULAR'!E23+'EMEA CELLULAR'!E23</f>
        <v>305734.62921638577</v>
      </c>
      <c r="F23" s="188">
        <f>'LATAM OTHER'!F23+'EM ASIA CELLULAR'!F23+'EMEA CELLULAR'!F23</f>
        <v>321012.04893844953</v>
      </c>
      <c r="G23" s="188">
        <f>'LATAM OTHER'!G23+'EM ASIA CELLULAR'!G23+'EMEA CELLULAR'!G23</f>
        <v>336175.90368565702</v>
      </c>
      <c r="H23" s="233">
        <f t="shared" ref="H23:H33" si="0">IF(D23=0,"nm",IF(G23=0,"nm",(G23/D23)^(1/3)-1))</f>
        <v>5.3451961576052032E-2</v>
      </c>
      <c r="I23" s="209"/>
      <c r="J23" s="249" t="s">
        <v>7</v>
      </c>
      <c r="K23" s="249"/>
      <c r="L23" s="219" t="str">
        <f>L5</f>
        <v>2025E</v>
      </c>
      <c r="M23" s="219" t="str">
        <f>M5</f>
        <v>2026E</v>
      </c>
      <c r="N23" s="219" t="str">
        <f>N5</f>
        <v>2027E</v>
      </c>
      <c r="O23" s="219" t="str">
        <f>O5</f>
        <v>2028E</v>
      </c>
      <c r="P23" s="236" t="str">
        <f>P5</f>
        <v>2025-28</v>
      </c>
      <c r="S23" s="26"/>
      <c r="T23" s="26"/>
      <c r="U23" s="26"/>
      <c r="V23" s="26"/>
      <c r="W23" s="26" t="s">
        <v>465</v>
      </c>
      <c r="X23" s="26" t="s">
        <v>24</v>
      </c>
    </row>
    <row r="24" spans="2:24" ht="12.6" thickTop="1">
      <c r="B24" s="5" t="s">
        <v>397</v>
      </c>
      <c r="C24" s="288">
        <f>'LATAM OTHER'!C24+'EM ASIA CELLULAR'!C24+'EMEA CELLULAR'!C24</f>
        <v>99436.136766496973</v>
      </c>
      <c r="D24" s="188">
        <f>'LATAM OTHER'!D24+'EM ASIA CELLULAR'!D24+'EMEA CELLULAR'!D24</f>
        <v>105199.88178019758</v>
      </c>
      <c r="E24" s="188">
        <f>'LATAM OTHER'!E24+'EM ASIA CELLULAR'!E24+'EMEA CELLULAR'!E24</f>
        <v>113210.87856419614</v>
      </c>
      <c r="F24" s="188">
        <f>'LATAM OTHER'!F24+'EM ASIA CELLULAR'!F24+'EMEA CELLULAR'!F24</f>
        <v>123163.02740527445</v>
      </c>
      <c r="G24" s="188">
        <f>'LATAM OTHER'!G24+'EM ASIA CELLULAR'!G24+'EMEA CELLULAR'!G24</f>
        <v>131221.71177316143</v>
      </c>
      <c r="H24" s="233">
        <f t="shared" si="0"/>
        <v>7.6457320810068063E-2</v>
      </c>
      <c r="I24" s="208"/>
      <c r="J24" s="13"/>
      <c r="K24" s="13"/>
      <c r="L24" s="13"/>
      <c r="M24" s="13"/>
      <c r="N24" s="13"/>
      <c r="O24" s="208"/>
      <c r="S24" s="26"/>
      <c r="T24" s="26"/>
      <c r="U24" s="26"/>
      <c r="V24" s="113" t="s">
        <v>225</v>
      </c>
      <c r="W24" s="242">
        <f t="shared" ref="W24:W29" si="1">E37/M9</f>
        <v>1.3215865888956713</v>
      </c>
      <c r="X24" s="242">
        <v>1</v>
      </c>
    </row>
    <row r="25" spans="2:24">
      <c r="B25" s="5" t="s">
        <v>157</v>
      </c>
      <c r="C25" s="288">
        <f>'LATAM OTHER'!C25+'EM ASIA CELLULAR'!C25+'EMEA CELLULAR'!C25</f>
        <v>54579.545895003394</v>
      </c>
      <c r="D25" s="188">
        <f>'LATAM OTHER'!D25+'EM ASIA CELLULAR'!D25+'EMEA CELLULAR'!D25</f>
        <v>61730.70157473888</v>
      </c>
      <c r="E25" s="188">
        <f>'LATAM OTHER'!E25+'EM ASIA CELLULAR'!E25+'EMEA CELLULAR'!E25</f>
        <v>68437.970544656317</v>
      </c>
      <c r="F25" s="188">
        <f>'LATAM OTHER'!F25+'EM ASIA CELLULAR'!F25+'EMEA CELLULAR'!F25</f>
        <v>77912.943772261191</v>
      </c>
      <c r="G25" s="188">
        <f>'LATAM OTHER'!G25+'EM ASIA CELLULAR'!G25+'EMEA CELLULAR'!G25</f>
        <v>85377.006314715458</v>
      </c>
      <c r="H25" s="233">
        <f t="shared" si="0"/>
        <v>0.11415745332884453</v>
      </c>
      <c r="I25" s="209"/>
      <c r="J25" s="207" t="s">
        <v>8</v>
      </c>
      <c r="K25" s="207"/>
      <c r="L25" s="258">
        <f>'LATAM OTHER'!L25+'EM ASIA CELLULAR'!L25+'EMEA CELLULAR'!L25</f>
        <v>228.56787752876636</v>
      </c>
      <c r="M25" s="258">
        <f>'LATAM OTHER'!M25+'EM ASIA CELLULAR'!M25+'EMEA CELLULAR'!M25</f>
        <v>268.77272445617689</v>
      </c>
      <c r="N25" s="258">
        <f>'LATAM OTHER'!N25+'EM ASIA CELLULAR'!N25+'EMEA CELLULAR'!N25</f>
        <v>0</v>
      </c>
      <c r="O25" s="258">
        <f>'LATAM OTHER'!O25+'EM ASIA CELLULAR'!O25+'EMEA CELLULAR'!O25</f>
        <v>0</v>
      </c>
      <c r="P25" s="233" t="str">
        <f>IF(L25=0,"nm",IF(O25=0,"nm",(O25/L25)^(1/3)-1))</f>
        <v>nm</v>
      </c>
      <c r="Q25" s="5"/>
      <c r="S25" s="26"/>
      <c r="T25" s="26"/>
      <c r="U25" s="26"/>
      <c r="V25" s="113" t="s">
        <v>158</v>
      </c>
      <c r="W25" s="242">
        <f t="shared" si="1"/>
        <v>1.228034743175529</v>
      </c>
      <c r="X25" s="242">
        <v>1</v>
      </c>
    </row>
    <row r="26" spans="2:24">
      <c r="B26" s="5" t="s">
        <v>487</v>
      </c>
      <c r="C26" s="288">
        <f>'LATAM OTHER'!C26+'EM ASIA CELLULAR'!C26+'EMEA CELLULAR'!C26</f>
        <v>41974.813107359092</v>
      </c>
      <c r="D26" s="188">
        <f>'LATAM OTHER'!D26+'EM ASIA CELLULAR'!D26+'EMEA CELLULAR'!D26</f>
        <v>47522.041031999128</v>
      </c>
      <c r="E26" s="188">
        <f>'LATAM OTHER'!E26+'EM ASIA CELLULAR'!E26+'EMEA CELLULAR'!E26</f>
        <v>52296.669936106577</v>
      </c>
      <c r="F26" s="188">
        <f>'LATAM OTHER'!F26+'EM ASIA CELLULAR'!F26+'EMEA CELLULAR'!F26</f>
        <v>59220.00437797347</v>
      </c>
      <c r="G26" s="188">
        <f>'LATAM OTHER'!G26+'EM ASIA CELLULAR'!G26+'EMEA CELLULAR'!G26</f>
        <v>64859.015042720843</v>
      </c>
      <c r="H26" s="233">
        <f t="shared" si="0"/>
        <v>0.10923889124747621</v>
      </c>
      <c r="I26" s="209"/>
      <c r="J26" s="209" t="s">
        <v>9</v>
      </c>
      <c r="K26" s="209"/>
      <c r="L26" s="235">
        <f>'LATAM OTHER'!L26+'EM ASIA CELLULAR'!L26+'EMEA CELLULAR'!L26</f>
        <v>540155.39175201056</v>
      </c>
      <c r="M26" s="235">
        <f>'LATAM OTHER'!M26+'EM ASIA CELLULAR'!M26+'EMEA CELLULAR'!M26</f>
        <v>539238.95283560955</v>
      </c>
      <c r="N26" s="235">
        <f>'LATAM OTHER'!N26+'EM ASIA CELLULAR'!N26+'EMEA CELLULAR'!N26</f>
        <v>537937.10396816488</v>
      </c>
      <c r="O26" s="235">
        <f>'LATAM OTHER'!O26+'EM ASIA CELLULAR'!O26+'EMEA CELLULAR'!O26</f>
        <v>536899.44908515376</v>
      </c>
      <c r="P26" s="233">
        <f>IF(L26=0,"nm",IF(O26=0,"nm",(O26/L26)^(1/3)-1))</f>
        <v>-2.0133136735115409E-3</v>
      </c>
      <c r="Q26" s="25"/>
      <c r="S26" s="26"/>
      <c r="T26" s="26"/>
      <c r="U26" s="26"/>
      <c r="V26" s="113" t="s">
        <v>159</v>
      </c>
      <c r="W26" s="242">
        <f t="shared" si="1"/>
        <v>1.1855435414691788</v>
      </c>
      <c r="X26" s="242">
        <v>1</v>
      </c>
    </row>
    <row r="27" spans="2:24">
      <c r="B27" s="5" t="s">
        <v>488</v>
      </c>
      <c r="C27" s="288">
        <f>'LATAM OTHER'!C27+'EM ASIA CELLULAR'!C27+'EMEA CELLULAR'!C27</f>
        <v>373868.80552443798</v>
      </c>
      <c r="D27" s="188">
        <f>'LATAM OTHER'!D27+'EM ASIA CELLULAR'!D27+'EMEA CELLULAR'!D27</f>
        <v>371928.41207315231</v>
      </c>
      <c r="E27" s="188">
        <f>'LATAM OTHER'!E27+'EM ASIA CELLULAR'!E27+'EMEA CELLULAR'!E27</f>
        <v>374219.86556287523</v>
      </c>
      <c r="F27" s="188">
        <f>'LATAM OTHER'!F27+'EM ASIA CELLULAR'!F27+'EMEA CELLULAR'!F27</f>
        <v>380326.36680552014</v>
      </c>
      <c r="G27" s="188">
        <f>'LATAM OTHER'!G27+'EM ASIA CELLULAR'!G27+'EMEA CELLULAR'!G27</f>
        <v>378580.29591435299</v>
      </c>
      <c r="H27" s="233">
        <f t="shared" si="0"/>
        <v>5.92642475520333E-3</v>
      </c>
      <c r="I27" s="208"/>
      <c r="J27" s="208"/>
      <c r="K27" s="208"/>
      <c r="L27" s="208"/>
      <c r="M27" s="208"/>
      <c r="N27" s="208"/>
      <c r="O27" s="208"/>
      <c r="Q27" s="5"/>
      <c r="S27" s="26"/>
      <c r="T27" s="26"/>
      <c r="U27" s="26"/>
      <c r="V27" s="113" t="s">
        <v>381</v>
      </c>
      <c r="W27" s="242">
        <f t="shared" si="1"/>
        <v>1.1742004152104257</v>
      </c>
      <c r="X27" s="242">
        <v>1</v>
      </c>
    </row>
    <row r="28" spans="2:24" ht="12.6" thickBot="1">
      <c r="B28" s="5" t="s">
        <v>492</v>
      </c>
      <c r="C28" s="288">
        <f>'LATAM OTHER'!C28+'EM ASIA CELLULAR'!C28+'EMEA CELLULAR'!C28</f>
        <v>235407.28791218778</v>
      </c>
      <c r="D28" s="188">
        <f>'LATAM OTHER'!D28+'EM ASIA CELLULAR'!D28+'EMEA CELLULAR'!D28</f>
        <v>226169.38755497077</v>
      </c>
      <c r="E28" s="188">
        <f>'LATAM OTHER'!E28+'EM ASIA CELLULAR'!E28+'EMEA CELLULAR'!E28</f>
        <v>222355.61840690623</v>
      </c>
      <c r="F28" s="188">
        <f>'LATAM OTHER'!F28+'EM ASIA CELLULAR'!F28+'EMEA CELLULAR'!F28</f>
        <v>215431.64545963559</v>
      </c>
      <c r="G28" s="188">
        <f>'LATAM OTHER'!G28+'EM ASIA CELLULAR'!G28+'EMEA CELLULAR'!G28</f>
        <v>209183.81877056236</v>
      </c>
      <c r="H28" s="233">
        <f t="shared" si="0"/>
        <v>-2.5687917394514592E-2</v>
      </c>
      <c r="I28" s="212"/>
      <c r="J28" s="249" t="s">
        <v>628</v>
      </c>
      <c r="K28" s="249"/>
      <c r="L28" s="249"/>
      <c r="M28" s="249"/>
      <c r="N28" s="220"/>
      <c r="O28" s="220"/>
      <c r="P28" s="220"/>
      <c r="Q28" s="5"/>
      <c r="S28" s="26"/>
      <c r="T28" s="26"/>
      <c r="U28" s="26"/>
      <c r="V28" s="113" t="s">
        <v>434</v>
      </c>
      <c r="W28" s="242">
        <f t="shared" si="1"/>
        <v>1.184819474919393</v>
      </c>
      <c r="X28" s="242">
        <v>1</v>
      </c>
    </row>
    <row r="29" spans="2:24" ht="12.6" thickTop="1">
      <c r="B29" s="5" t="s">
        <v>489</v>
      </c>
      <c r="C29" s="288">
        <f>'LATAM OTHER'!C29+'EM ASIA CELLULAR'!C29+'EMEA CELLULAR'!C29</f>
        <v>27999.562057365787</v>
      </c>
      <c r="D29" s="188">
        <f>'LATAM OTHER'!D29+'EM ASIA CELLULAR'!D29+'EMEA CELLULAR'!D29</f>
        <v>29386.454629567379</v>
      </c>
      <c r="E29" s="188">
        <f>'LATAM OTHER'!E29+'EM ASIA CELLULAR'!E29+'EMEA CELLULAR'!E29</f>
        <v>35880.152170465546</v>
      </c>
      <c r="F29" s="188">
        <f>'LATAM OTHER'!F29+'EM ASIA CELLULAR'!F29+'EMEA CELLULAR'!F29</f>
        <v>40946.507368297032</v>
      </c>
      <c r="G29" s="188">
        <f>'LATAM OTHER'!G29+'EM ASIA CELLULAR'!G29+'EMEA CELLULAR'!G29</f>
        <v>45692.40141918369</v>
      </c>
      <c r="H29" s="233">
        <f t="shared" si="0"/>
        <v>0.15850771455356516</v>
      </c>
      <c r="I29" s="214"/>
      <c r="J29" s="209"/>
      <c r="K29" s="209"/>
      <c r="L29" s="209"/>
      <c r="M29" s="209"/>
      <c r="N29" s="209"/>
      <c r="O29" s="211"/>
      <c r="Q29" s="5"/>
      <c r="S29" s="26"/>
      <c r="T29" s="26"/>
      <c r="U29" s="26"/>
      <c r="V29" s="113" t="s">
        <v>493</v>
      </c>
      <c r="W29" s="242">
        <f t="shared" si="1"/>
        <v>1.2674002638597825</v>
      </c>
      <c r="X29" s="242">
        <v>1</v>
      </c>
    </row>
    <row r="30" spans="2:24">
      <c r="B30" s="5" t="s">
        <v>490</v>
      </c>
      <c r="C30" s="288">
        <f>'LATAM OTHER'!C30+'EM ASIA CELLULAR'!C30+'EMEA CELLULAR'!C30</f>
        <v>27258.764040176447</v>
      </c>
      <c r="D30" s="188">
        <f>'LATAM OTHER'!D30+'EM ASIA CELLULAR'!D30+'EMEA CELLULAR'!D30</f>
        <v>33125.034521641282</v>
      </c>
      <c r="E30" s="188">
        <f>'LATAM OTHER'!E30+'EM ASIA CELLULAR'!E30+'EMEA CELLULAR'!E30</f>
        <v>38665.208995914283</v>
      </c>
      <c r="F30" s="188">
        <f>'LATAM OTHER'!F30+'EM ASIA CELLULAR'!F30+'EMEA CELLULAR'!F30</f>
        <v>44770.032628011642</v>
      </c>
      <c r="G30" s="188">
        <f>'LATAM OTHER'!G30+'EM ASIA CELLULAR'!G30+'EMEA CELLULAR'!G30</f>
        <v>50768.755495808051</v>
      </c>
      <c r="H30" s="233">
        <f t="shared" si="0"/>
        <v>0.1529577493733687</v>
      </c>
      <c r="I30" s="214"/>
      <c r="J30" s="208"/>
      <c r="K30" s="208"/>
      <c r="L30" s="208"/>
      <c r="M30" s="208"/>
      <c r="N30" s="208"/>
      <c r="O30" s="5"/>
      <c r="Q30" s="5"/>
      <c r="S30" s="26"/>
      <c r="T30" s="26"/>
      <c r="U30" s="26"/>
      <c r="V30" s="113" t="s">
        <v>310</v>
      </c>
      <c r="W30" s="242">
        <f>F43/N15</f>
        <v>1.1724397290507402</v>
      </c>
      <c r="X30" s="242">
        <v>1</v>
      </c>
    </row>
    <row r="31" spans="2:24">
      <c r="B31" s="5" t="s">
        <v>491</v>
      </c>
      <c r="C31" s="288">
        <f>'LATAM OTHER'!C31+'EM ASIA CELLULAR'!C31+'EMEA CELLULAR'!C31</f>
        <v>22280.723652712324</v>
      </c>
      <c r="D31" s="188">
        <f>'LATAM OTHER'!D31+'EM ASIA CELLULAR'!D31+'EMEA CELLULAR'!D31</f>
        <v>24381.767888531853</v>
      </c>
      <c r="E31" s="188">
        <f>'LATAM OTHER'!E31+'EM ASIA CELLULAR'!E31+'EMEA CELLULAR'!E31</f>
        <v>27868.375761086179</v>
      </c>
      <c r="F31" s="188">
        <f>'LATAM OTHER'!F31+'EM ASIA CELLULAR'!F31+'EMEA CELLULAR'!F31</f>
        <v>31332.233314873232</v>
      </c>
      <c r="G31" s="188">
        <f>'LATAM OTHER'!G31+'EM ASIA CELLULAR'!G31+'EMEA CELLULAR'!G31</f>
        <v>34850.935493001074</v>
      </c>
      <c r="H31" s="233">
        <f t="shared" si="0"/>
        <v>0.12646166295875116</v>
      </c>
      <c r="I31" s="214"/>
      <c r="J31" s="212"/>
      <c r="K31" s="212"/>
      <c r="L31" s="212"/>
      <c r="M31" s="212"/>
      <c r="N31" s="212"/>
      <c r="O31" s="5"/>
      <c r="Q31" s="5"/>
      <c r="S31" s="26"/>
      <c r="T31" s="26"/>
      <c r="U31" s="26"/>
      <c r="V31" s="113" t="s">
        <v>437</v>
      </c>
      <c r="W31" s="242">
        <f>E44/M16</f>
        <v>1.0803728718346819</v>
      </c>
      <c r="X31" s="242">
        <v>1</v>
      </c>
    </row>
    <row r="32" spans="2:24">
      <c r="B32" s="5" t="s">
        <v>506</v>
      </c>
      <c r="C32" s="288">
        <f>'LATAM OTHER'!C32+'EM ASIA CELLULAR'!C32+'EMEA CELLULAR'!C32</f>
        <v>-252.82401965206145</v>
      </c>
      <c r="D32" s="188">
        <f>'LATAM OTHER'!D32+'EM ASIA CELLULAR'!D32+'EMEA CELLULAR'!D32</f>
        <v>-77.410626496372004</v>
      </c>
      <c r="E32" s="188">
        <f>'LATAM OTHER'!E32+'EM ASIA CELLULAR'!E32+'EMEA CELLULAR'!E32</f>
        <v>-5807.9723685534527</v>
      </c>
      <c r="F32" s="188">
        <f>'LATAM OTHER'!F32+'EM ASIA CELLULAR'!F32+'EMEA CELLULAR'!F32</f>
        <v>1103.5304977140436</v>
      </c>
      <c r="G32" s="188">
        <f>'LATAM OTHER'!G32+'EM ASIA CELLULAR'!G32+'EMEA CELLULAR'!G32</f>
        <v>318.15291700765931</v>
      </c>
      <c r="H32" s="233">
        <f t="shared" si="0"/>
        <v>-2.6018128588551379</v>
      </c>
      <c r="I32" s="5"/>
      <c r="J32" s="214"/>
      <c r="K32" s="214"/>
      <c r="L32" s="214"/>
      <c r="M32" s="214"/>
      <c r="N32" s="214"/>
      <c r="O32" s="211"/>
      <c r="Q32" s="5"/>
      <c r="S32" s="26"/>
      <c r="T32" s="26"/>
      <c r="U32" s="26"/>
      <c r="V32" s="113" t="s">
        <v>481</v>
      </c>
      <c r="W32" s="242">
        <f>M17/E45</f>
        <v>1.0246707259717411</v>
      </c>
      <c r="X32" s="242">
        <v>1</v>
      </c>
    </row>
    <row r="33" spans="2:24">
      <c r="B33" s="5" t="s">
        <v>3</v>
      </c>
      <c r="C33" s="288">
        <f>'LATAM OTHER'!C33+'EM ASIA CELLULAR'!C33+'EMEA CELLULAR'!C33</f>
        <v>9490.2664375894656</v>
      </c>
      <c r="D33" s="188">
        <f>'LATAM OTHER'!D33+'EM ASIA CELLULAR'!D33+'EMEA CELLULAR'!D33</f>
        <v>9629.9266707620609</v>
      </c>
      <c r="E33" s="188">
        <f>'LATAM OTHER'!E33+'EM ASIA CELLULAR'!E33+'EMEA CELLULAR'!E33</f>
        <v>8941.667586243344</v>
      </c>
      <c r="F33" s="188">
        <f>'LATAM OTHER'!F33+'EM ASIA CELLULAR'!F33+'EMEA CELLULAR'!F33</f>
        <v>8685.8372057472698</v>
      </c>
      <c r="G33" s="188">
        <f>'LATAM OTHER'!G33+'EM ASIA CELLULAR'!G33+'EMEA CELLULAR'!G33</f>
        <v>8227.7069226186886</v>
      </c>
      <c r="H33" s="233">
        <f t="shared" si="0"/>
        <v>-5.110401050707658E-2</v>
      </c>
      <c r="I33" s="33"/>
      <c r="J33" s="214"/>
      <c r="K33" s="214"/>
      <c r="L33" s="214"/>
      <c r="M33" s="214"/>
      <c r="N33" s="214"/>
      <c r="O33" s="211"/>
      <c r="Q33" s="5"/>
      <c r="S33" s="26"/>
      <c r="T33" s="26"/>
      <c r="U33" s="26"/>
      <c r="V33" s="113" t="s">
        <v>218</v>
      </c>
      <c r="W33" s="242">
        <f>N19/F47</f>
        <v>1.1724397290507402</v>
      </c>
      <c r="X33" s="242">
        <v>1</v>
      </c>
    </row>
    <row r="34" spans="2:24">
      <c r="H34" s="231"/>
      <c r="I34" s="214"/>
      <c r="J34" s="214"/>
      <c r="K34" s="214"/>
      <c r="L34" s="214"/>
      <c r="M34" s="214"/>
      <c r="N34" s="214"/>
      <c r="O34" s="211"/>
      <c r="Q34" s="5"/>
      <c r="S34" s="26"/>
      <c r="T34" s="26"/>
      <c r="U34" s="26"/>
      <c r="V34" s="26"/>
      <c r="W34" s="26"/>
      <c r="X34" s="26"/>
    </row>
    <row r="35" spans="2:24" ht="12.6" thickBot="1">
      <c r="B35" s="249" t="s">
        <v>230</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2.239709172657927</v>
      </c>
      <c r="E37" s="48">
        <f t="shared" si="2"/>
        <v>1.9919837105195604</v>
      </c>
      <c r="F37" s="48">
        <f t="shared" si="2"/>
        <v>1.7860822104646199</v>
      </c>
      <c r="G37" s="48">
        <f t="shared" si="2"/>
        <v>1.5549525143191023</v>
      </c>
      <c r="H37" s="13">
        <f t="shared" ref="H37:H45" si="3">H23</f>
        <v>5.3451961576052032E-2</v>
      </c>
      <c r="I37" s="217"/>
      <c r="J37" s="217"/>
      <c r="K37" s="217"/>
      <c r="L37" s="217"/>
      <c r="M37" s="217"/>
      <c r="N37" s="217"/>
      <c r="O37" s="14"/>
      <c r="Q37" s="5"/>
      <c r="R37" s="5"/>
      <c r="S37" s="26"/>
      <c r="T37" s="26"/>
      <c r="U37" s="26"/>
      <c r="V37" s="26"/>
      <c r="W37" s="26"/>
      <c r="X37" s="26"/>
    </row>
    <row r="38" spans="2:24">
      <c r="B38" s="5" t="s">
        <v>158</v>
      </c>
      <c r="C38" s="207"/>
      <c r="D38" s="48">
        <f t="shared" si="2"/>
        <v>6.1220764616233714</v>
      </c>
      <c r="E38" s="48">
        <f t="shared" si="2"/>
        <v>5.3795042390333068</v>
      </c>
      <c r="F38" s="48">
        <f t="shared" si="2"/>
        <v>4.6552437207240072</v>
      </c>
      <c r="G38" s="48">
        <f t="shared" si="2"/>
        <v>3.9836210001066563</v>
      </c>
      <c r="H38" s="13">
        <f t="shared" si="3"/>
        <v>7.6457320810068063E-2</v>
      </c>
      <c r="I38" s="13"/>
      <c r="J38" s="13"/>
      <c r="K38" s="13"/>
      <c r="L38" s="13"/>
      <c r="M38" s="13"/>
      <c r="N38" s="13"/>
      <c r="O38" s="5"/>
      <c r="Q38" s="5"/>
      <c r="R38" s="5"/>
      <c r="S38" s="26"/>
      <c r="T38" s="26"/>
      <c r="U38" s="26"/>
      <c r="V38" s="26"/>
      <c r="W38" s="26"/>
      <c r="X38" s="26"/>
    </row>
    <row r="39" spans="2:24">
      <c r="B39" s="5" t="s">
        <v>159</v>
      </c>
      <c r="C39" s="207"/>
      <c r="D39" s="48">
        <f t="shared" si="2"/>
        <v>10.433086026607876</v>
      </c>
      <c r="E39" s="48">
        <f t="shared" si="2"/>
        <v>8.8988378278018754</v>
      </c>
      <c r="F39" s="48">
        <f t="shared" si="2"/>
        <v>7.3589044668838444</v>
      </c>
      <c r="G39" s="48">
        <f t="shared" si="2"/>
        <v>6.1226973075467326</v>
      </c>
      <c r="H39" s="13">
        <f t="shared" si="3"/>
        <v>0.11415745332884453</v>
      </c>
      <c r="I39" s="5"/>
      <c r="J39" s="5"/>
      <c r="K39" s="5"/>
      <c r="L39" s="5"/>
      <c r="M39" s="5"/>
      <c r="N39" s="5"/>
      <c r="O39" s="5"/>
      <c r="Q39" s="5"/>
      <c r="R39" s="5"/>
      <c r="S39" s="26"/>
      <c r="T39" s="26"/>
      <c r="U39" s="26"/>
      <c r="V39" s="26"/>
      <c r="W39" s="242"/>
      <c r="X39" s="242"/>
    </row>
    <row r="40" spans="2:24">
      <c r="B40" s="5" t="s">
        <v>381</v>
      </c>
      <c r="C40" s="207"/>
      <c r="D40" s="48">
        <f t="shared" si="2"/>
        <v>13.552484405676964</v>
      </c>
      <c r="E40" s="48">
        <f t="shared" si="2"/>
        <v>11.645452796226719</v>
      </c>
      <c r="F40" s="48">
        <f t="shared" si="2"/>
        <v>9.6817606816492958</v>
      </c>
      <c r="G40" s="48">
        <f t="shared" si="2"/>
        <v>8.0595976726627114</v>
      </c>
      <c r="H40" s="13">
        <f t="shared" si="3"/>
        <v>0.10923889124747621</v>
      </c>
      <c r="I40" s="207"/>
      <c r="J40" s="217"/>
      <c r="K40" s="217"/>
      <c r="L40" s="217"/>
      <c r="M40" s="217"/>
      <c r="N40" s="217"/>
      <c r="O40" s="14"/>
      <c r="Q40" s="5"/>
      <c r="R40" s="5"/>
      <c r="S40" s="26"/>
      <c r="T40" s="26"/>
      <c r="U40" s="26"/>
      <c r="V40" s="26"/>
      <c r="W40" s="242"/>
      <c r="X40" s="242"/>
    </row>
    <row r="41" spans="2:24">
      <c r="B41" s="5" t="s">
        <v>434</v>
      </c>
      <c r="C41" s="207"/>
      <c r="D41" s="48">
        <f t="shared" si="2"/>
        <v>1.7316281819454988</v>
      </c>
      <c r="E41" s="48">
        <f t="shared" si="2"/>
        <v>1.6274347173545567</v>
      </c>
      <c r="F41" s="48">
        <f t="shared" si="2"/>
        <v>1.5075313204539067</v>
      </c>
      <c r="G41" s="48">
        <f t="shared" si="2"/>
        <v>1.3807838715614738</v>
      </c>
      <c r="H41" s="13">
        <f t="shared" si="3"/>
        <v>5.92642475520333E-3</v>
      </c>
      <c r="I41" s="208"/>
      <c r="J41" s="13"/>
      <c r="K41" s="13"/>
      <c r="L41" s="13"/>
      <c r="M41" s="13"/>
      <c r="N41" s="13"/>
      <c r="O41" s="5"/>
      <c r="Q41" s="5"/>
      <c r="R41" s="5"/>
      <c r="S41" s="26"/>
      <c r="T41" s="26"/>
      <c r="U41" s="26"/>
      <c r="V41" s="26"/>
      <c r="W41" s="242"/>
      <c r="X41" s="242"/>
    </row>
    <row r="42" spans="2:24">
      <c r="B42" s="5" t="s">
        <v>493</v>
      </c>
      <c r="C42" s="207"/>
      <c r="D42" s="48">
        <f>D18/D28</f>
        <v>2.8476078348824898</v>
      </c>
      <c r="E42" s="48">
        <f>E18/E28</f>
        <v>2.7389386672761598</v>
      </c>
      <c r="F42" s="48">
        <f>F18/F28</f>
        <v>2.6614191649071781</v>
      </c>
      <c r="G42" s="48">
        <f>G18/G28</f>
        <v>2.498938826921691</v>
      </c>
      <c r="H42" s="13">
        <f t="shared" si="3"/>
        <v>-2.5687917394514592E-2</v>
      </c>
      <c r="I42" s="207"/>
      <c r="J42" s="5"/>
      <c r="K42" s="5"/>
      <c r="L42" s="5"/>
      <c r="M42" s="5"/>
      <c r="N42" s="5"/>
      <c r="O42" s="5"/>
      <c r="Q42" s="5"/>
      <c r="R42" s="5"/>
      <c r="S42" s="26"/>
      <c r="T42" s="26"/>
      <c r="U42" s="26"/>
      <c r="V42" s="26"/>
      <c r="W42" s="242"/>
      <c r="X42" s="242"/>
    </row>
    <row r="43" spans="2:24">
      <c r="B43" s="5" t="s">
        <v>390</v>
      </c>
      <c r="C43" s="207"/>
      <c r="D43" s="48">
        <f>L26/D29</f>
        <v>18.381101039950888</v>
      </c>
      <c r="E43" s="48">
        <f>M26/E29</f>
        <v>15.028892583111164</v>
      </c>
      <c r="F43" s="48">
        <f>N26/F29</f>
        <v>13.137557719627742</v>
      </c>
      <c r="G43" s="48">
        <f>O26/G29</f>
        <v>11.750300540337538</v>
      </c>
      <c r="H43" s="13">
        <f t="shared" si="3"/>
        <v>0.15850771455356516</v>
      </c>
      <c r="I43" s="207"/>
      <c r="J43" s="207"/>
      <c r="K43" s="207"/>
      <c r="L43" s="207"/>
      <c r="M43" s="207"/>
      <c r="N43" s="207"/>
      <c r="O43" s="14"/>
      <c r="Q43" s="5"/>
      <c r="R43" s="5"/>
      <c r="S43" s="26"/>
      <c r="T43" s="26"/>
      <c r="U43" s="26"/>
      <c r="V43" s="26"/>
      <c r="W43" s="255"/>
      <c r="X43" s="255"/>
    </row>
    <row r="44" spans="2:24">
      <c r="B44" s="5" t="s">
        <v>437</v>
      </c>
      <c r="C44" s="53"/>
      <c r="D44" s="48">
        <f>D11/D30</f>
        <v>16.43937684695549</v>
      </c>
      <c r="E44" s="48">
        <f>E11/E30</f>
        <v>14.058003846915186</v>
      </c>
      <c r="F44" s="48">
        <f>F11/F30</f>
        <v>12.117032841381851</v>
      </c>
      <c r="G44" s="48">
        <f>G11/G30</f>
        <v>10.664032838564383</v>
      </c>
      <c r="H44" s="13">
        <f t="shared" si="3"/>
        <v>0.1529577493733687</v>
      </c>
      <c r="I44" s="208"/>
      <c r="J44" s="208"/>
      <c r="K44" s="208"/>
      <c r="L44" s="208"/>
      <c r="M44" s="208"/>
      <c r="N44" s="208"/>
      <c r="O44" s="208"/>
      <c r="Q44" s="5"/>
      <c r="R44" s="5"/>
      <c r="S44" s="26"/>
      <c r="T44" s="26"/>
      <c r="U44" s="26"/>
      <c r="V44" s="26"/>
      <c r="W44" s="26"/>
      <c r="X44" s="26"/>
    </row>
    <row r="45" spans="2:24">
      <c r="B45" s="5" t="s">
        <v>481</v>
      </c>
      <c r="C45" s="207"/>
      <c r="D45" s="208">
        <f>D31/D11</f>
        <v>4.4773753286733282E-2</v>
      </c>
      <c r="E45" s="208">
        <f>E31/E11</f>
        <v>5.1270510042755547E-2</v>
      </c>
      <c r="F45" s="208">
        <f>F31/F11</f>
        <v>5.7757402808661602E-2</v>
      </c>
      <c r="G45" s="208">
        <f>G31/G11</f>
        <v>6.4371917923240166E-2</v>
      </c>
      <c r="H45" s="13">
        <f t="shared" si="3"/>
        <v>0.12646166295875116</v>
      </c>
      <c r="I45" s="207"/>
      <c r="J45" s="207"/>
      <c r="K45" s="207"/>
      <c r="L45" s="207"/>
      <c r="M45" s="207"/>
      <c r="N45" s="207"/>
      <c r="O45" s="208"/>
      <c r="Q45" s="5"/>
      <c r="R45" s="5"/>
      <c r="S45" s="26"/>
      <c r="T45" s="26"/>
      <c r="U45" s="26"/>
      <c r="V45" s="26"/>
      <c r="W45" s="26"/>
      <c r="X45" s="26"/>
    </row>
    <row r="46" spans="2:24">
      <c r="B46" s="5" t="s">
        <v>505</v>
      </c>
      <c r="C46" s="207"/>
      <c r="D46" s="208">
        <f>(D31+D32)/D11</f>
        <v>4.4631599349891395E-2</v>
      </c>
      <c r="E46" s="208">
        <f>(E31+E32)/E11</f>
        <v>4.0585362540698167E-2</v>
      </c>
      <c r="F46" s="208">
        <f>(F31+F32)/F11</f>
        <v>5.9791635569141438E-2</v>
      </c>
      <c r="G46" s="208">
        <f>(G31+G32)/G11</f>
        <v>6.4959566810449218E-2</v>
      </c>
      <c r="H46" s="233">
        <f>((G31+G32)/(D31+D32))^(1/3)-1</f>
        <v>0.13107739688292019</v>
      </c>
      <c r="I46" s="13"/>
      <c r="J46" s="207"/>
      <c r="K46" s="207"/>
      <c r="L46" s="207"/>
      <c r="M46" s="207"/>
      <c r="N46" s="207"/>
      <c r="O46" s="14"/>
      <c r="Q46" s="5"/>
      <c r="R46" s="5"/>
      <c r="S46" s="26"/>
      <c r="T46" s="26"/>
      <c r="U46" s="26"/>
      <c r="V46" s="26"/>
      <c r="W46" s="26"/>
      <c r="X46" s="26"/>
    </row>
    <row r="47" spans="2:24">
      <c r="B47" s="5" t="s">
        <v>482</v>
      </c>
      <c r="C47" s="5"/>
      <c r="D47" s="208">
        <f>1/D43</f>
        <v>5.4403705078739498E-2</v>
      </c>
      <c r="E47" s="208">
        <f>1/E43</f>
        <v>6.6538502053288873E-2</v>
      </c>
      <c r="F47" s="208">
        <f>1/F43</f>
        <v>7.6117648450440861E-2</v>
      </c>
      <c r="G47" s="208">
        <f>1/G43</f>
        <v>8.5104206191757042E-2</v>
      </c>
      <c r="H47" s="13">
        <f>H29</f>
        <v>0.15850771455356516</v>
      </c>
      <c r="I47" s="207"/>
      <c r="J47" s="208"/>
      <c r="K47" s="208"/>
      <c r="L47" s="208"/>
      <c r="M47" s="208"/>
      <c r="N47" s="208"/>
      <c r="O47" s="208"/>
      <c r="Q47" s="5"/>
      <c r="R47" s="5"/>
      <c r="S47" s="5"/>
      <c r="T47" s="5"/>
      <c r="U47" s="5"/>
    </row>
    <row r="48" spans="2:24">
      <c r="B48" s="5" t="s">
        <v>518</v>
      </c>
      <c r="C48" s="5"/>
      <c r="D48" s="248">
        <f>D31/D29</f>
        <v>0.82969409531968419</v>
      </c>
      <c r="E48" s="248">
        <f>E31/E29</f>
        <v>0.77670729011082085</v>
      </c>
      <c r="F48" s="248">
        <f>F31/F29</f>
        <v>0.76519916663593923</v>
      </c>
      <c r="G48" s="248">
        <f>G31/G29</f>
        <v>0.76272934690556904</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FB5CB-9A04-465E-96B3-1CA18CB3A2A5}">
  <sheetPr codeName="Sheet80">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1105</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EM'!D37</f>
        <v>1.6909279088061491</v>
      </c>
      <c r="M9" s="48">
        <f>'AGG EM'!E37</f>
        <v>1.5072668921255312</v>
      </c>
      <c r="N9" s="48">
        <f>'AGG EM'!F37</f>
        <v>1.369112787285097</v>
      </c>
      <c r="O9" s="48">
        <f>'AGG EM'!G37</f>
        <v>1.1983522723753026</v>
      </c>
      <c r="P9" s="13">
        <f>'AGG EM'!H37</f>
        <v>4.4558890265639972E-2</v>
      </c>
    </row>
    <row r="10" spans="2:63">
      <c r="B10" s="5" t="s">
        <v>226</v>
      </c>
      <c r="C10" s="5"/>
      <c r="D10" s="258"/>
      <c r="E10" s="258"/>
      <c r="F10" s="258"/>
      <c r="G10" s="258"/>
      <c r="H10" s="207"/>
      <c r="I10" s="207"/>
      <c r="J10" s="5" t="s">
        <v>158</v>
      </c>
      <c r="L10" s="48">
        <f>'AGG EM'!D38</f>
        <v>4.9755343556162694</v>
      </c>
      <c r="M10" s="48">
        <f>'AGG EM'!E38</f>
        <v>4.3805798402109115</v>
      </c>
      <c r="N10" s="48">
        <f>'AGG EM'!F38</f>
        <v>3.8849127773841672</v>
      </c>
      <c r="O10" s="48">
        <f>'AGG EM'!G38</f>
        <v>3.3558210565743494</v>
      </c>
      <c r="P10" s="13">
        <f>'AGG EM'!H38</f>
        <v>6.193934493836073E-2</v>
      </c>
    </row>
    <row r="11" spans="2:63">
      <c r="B11" s="25" t="s">
        <v>1106</v>
      </c>
      <c r="C11" s="5"/>
      <c r="D11" s="225">
        <f>ChinaTow!D11/Prices!$C$155+BHIN!D11/Prices!$C$132+IHS!D11+SITES!D11/Prices!$C$160+(TOWR!D11/1000)/Prices!$C$152+(TBIG!D11/1000)/Prices!$C$152+HTWS!D11/Prices!$C$133</f>
        <v>44552.0285884283</v>
      </c>
      <c r="E11" s="225">
        <f>ChinaTow!E11/Prices!$C$155+BHIN!E11/Prices!$C$132+IHS!E11+SITES!E11/Prices!$C$160+(TOWR!E11/1000)/Prices!$C$152+(TBIG!E11/1000)/Prices!$C$152+HTWS!E11/Prices!$C$133</f>
        <v>44421.373618316386</v>
      </c>
      <c r="F11" s="225">
        <f>ChinaTow!F11/Prices!$C$155+BHIN!F11/Prices!$C$132+IHS!F11+SITES!F11/Prices!$C$160+(TOWR!F11/1000)/Prices!$C$152+(TBIG!F11/1000)/Prices!$C$152+HTWS!F11/Prices!$C$133</f>
        <v>44256.561823928998</v>
      </c>
      <c r="G11" s="225">
        <f>ChinaTow!G11/Prices!$C$155+BHIN!G11/Prices!$C$132+IHS!G11+SITES!G11/Prices!$C$160+(TOWR!G11/1000)/Prices!$C$152+(TBIG!G11/1000)/Prices!$C$152+HTWS!G11/Prices!$C$133</f>
        <v>44074.60332556934</v>
      </c>
      <c r="H11" s="209"/>
      <c r="I11" s="209"/>
      <c r="J11" s="5" t="s">
        <v>159</v>
      </c>
      <c r="L11" s="48">
        <f>'AGG EM'!D39</f>
        <v>8.8123076382121184</v>
      </c>
      <c r="M11" s="48">
        <f>'AGG EM'!E39</f>
        <v>7.5061248419219044</v>
      </c>
      <c r="N11" s="48">
        <f>'AGG EM'!F39</f>
        <v>6.3935811744057656</v>
      </c>
      <c r="O11" s="48">
        <f>'AGG EM'!G39</f>
        <v>5.3533812997921562</v>
      </c>
      <c r="P11" s="13">
        <f>'AGG EM'!H39</f>
        <v>9.9613064453166533E-2</v>
      </c>
    </row>
    <row r="12" spans="2:63">
      <c r="B12" s="5" t="s">
        <v>191</v>
      </c>
      <c r="C12" s="209"/>
      <c r="D12" s="188">
        <f>ChinaTow!D12/Prices!$C$155+BHIN!D12/Prices!$C$132+IHS!D12+SITES!D12/Prices!$C$160+(TOWR!D12/1000)/Prices!$C$152+(TBIG!D12/1000)/Prices!$C$152+HTWS!D12/Prices!$C$133</f>
        <v>18384.401163157982</v>
      </c>
      <c r="E12" s="188">
        <f>ChinaTow!E12/Prices!$C$155+BHIN!E12/Prices!$C$132+IHS!E12+SITES!E12/Prices!$C$160+(TOWR!E12/1000)/Prices!$C$152+(TBIG!E12/1000)/Prices!$C$152+HTWS!E12/Prices!$C$133</f>
        <v>15216.210461706696</v>
      </c>
      <c r="F12" s="188">
        <f>ChinaTow!F12/Prices!$C$155+BHIN!F12/Prices!$C$132+IHS!F12+SITES!F12/Prices!$C$160+(TOWR!F12/1000)/Prices!$C$152+(TBIG!F12/1000)/Prices!$C$152+HTWS!F12/Prices!$C$133</f>
        <v>12683.824186102525</v>
      </c>
      <c r="G12" s="188">
        <f>ChinaTow!G12/Prices!$C$155+BHIN!G12/Prices!$C$132+IHS!G12+SITES!G12/Prices!$C$160+(TOWR!G12/1000)/Prices!$C$152+(TBIG!G12/1000)/Prices!$C$152+HTWS!G12/Prices!$C$133</f>
        <v>10558.272931200338</v>
      </c>
      <c r="H12" s="207"/>
      <c r="I12" s="207"/>
      <c r="J12" s="5" t="s">
        <v>381</v>
      </c>
      <c r="L12" s="48">
        <f>'AGG EM'!D40</f>
        <v>11.585951936703083</v>
      </c>
      <c r="M12" s="48">
        <f>'AGG EM'!E40</f>
        <v>9.9177726777926267</v>
      </c>
      <c r="N12" s="48">
        <f>'AGG EM'!F40</f>
        <v>8.4715849445415703</v>
      </c>
      <c r="O12" s="48">
        <f>'AGG EM'!G40</f>
        <v>7.0934641337374211</v>
      </c>
      <c r="P12" s="13">
        <f>'AGG EM'!H40</f>
        <v>9.6757253507685714E-2</v>
      </c>
    </row>
    <row r="13" spans="2:63">
      <c r="B13" s="5" t="s">
        <v>433</v>
      </c>
      <c r="C13" s="216"/>
      <c r="D13" s="188">
        <f>ChinaTow!D13/Prices!$C$155+BHIN!D13/Prices!$C$132+IHS!D13+SITES!D13/Prices!$C$160+(TOWR!D13/1000)/Prices!$C$152+(TBIG!D13/1000)/Prices!$C$152+HTWS!D13/Prices!$C$133</f>
        <v>0</v>
      </c>
      <c r="E13" s="188">
        <f>ChinaTow!E13/Prices!$C$155+BHIN!E13/Prices!$C$132+IHS!E13+SITES!E13/Prices!$C$160+(TOWR!E13/1000)/Prices!$C$152+(TBIG!E13/1000)/Prices!$C$152+HTWS!E13/Prices!$C$133</f>
        <v>0</v>
      </c>
      <c r="F13" s="188">
        <f>ChinaTow!F13/Prices!$C$155+BHIN!F13/Prices!$C$132+IHS!F13+SITES!F13/Prices!$C$160+(TOWR!F13/1000)/Prices!$C$152+(TBIG!F13/1000)/Prices!$C$152+HTWS!F13/Prices!$C$133</f>
        <v>0</v>
      </c>
      <c r="G13" s="188">
        <f>ChinaTow!G13/Prices!$C$155+BHIN!G13/Prices!$C$132+IHS!G13+SITES!G13/Prices!$C$160+(TOWR!G13/1000)/Prices!$C$152+(TBIG!G13/1000)/Prices!$C$152+HTWS!G13/Prices!$C$133</f>
        <v>0</v>
      </c>
      <c r="H13" s="207"/>
      <c r="I13" s="207"/>
      <c r="J13" s="5" t="s">
        <v>434</v>
      </c>
      <c r="L13" s="48">
        <f>'AGG EM'!D41</f>
        <v>1.4625195225875562</v>
      </c>
      <c r="M13" s="48">
        <f>'AGG EM'!E41</f>
        <v>1.3735718831472417</v>
      </c>
      <c r="N13" s="48">
        <f>'AGG EM'!F41</f>
        <v>1.2766664356049044</v>
      </c>
      <c r="O13" s="48">
        <f>'AGG EM'!G41</f>
        <v>1.1745177743261488</v>
      </c>
      <c r="P13" s="13">
        <f>'AGG EM'!H41</f>
        <v>1.9208777252657239E-3</v>
      </c>
    </row>
    <row r="14" spans="2:63">
      <c r="B14" s="5" t="s">
        <v>436</v>
      </c>
      <c r="C14" s="228"/>
      <c r="D14" s="188">
        <f>ChinaTow!D14/Prices!$C$155+BHIN!D14/Prices!$C$132+IHS!D14+SITES!D14/Prices!$C$160+(TOWR!D14/1000)/Prices!$C$152+(TBIG!D14/1000)/Prices!$C$152+HTWS!D14/Prices!$C$133</f>
        <v>0</v>
      </c>
      <c r="E14" s="188">
        <f>ChinaTow!E14/Prices!$C$155+BHIN!E14/Prices!$C$132+IHS!E14+SITES!E14/Prices!$C$160+(TOWR!E14/1000)/Prices!$C$152+(TBIG!E14/1000)/Prices!$C$152+HTWS!E14/Prices!$C$133</f>
        <v>0</v>
      </c>
      <c r="F14" s="188">
        <f>ChinaTow!F14/Prices!$C$155+BHIN!F14/Prices!$C$132+IHS!F14+SITES!F14/Prices!$C$160+(TOWR!F14/1000)/Prices!$C$152+(TBIG!F14/1000)/Prices!$C$152+HTWS!F14/Prices!$C$133</f>
        <v>0</v>
      </c>
      <c r="G14" s="188">
        <f>ChinaTow!G14/Prices!$C$155+BHIN!G14/Prices!$C$132+IHS!G14+SITES!G14/Prices!$C$160+(TOWR!G14/1000)/Prices!$C$152+(TBIG!G14/1000)/Prices!$C$152+HTWS!G14/Prices!$C$133</f>
        <v>0</v>
      </c>
      <c r="H14" s="207"/>
      <c r="I14" s="207"/>
      <c r="J14" s="5" t="s">
        <v>493</v>
      </c>
      <c r="L14" s="48">
        <f>'AGG EM'!D42</f>
        <v>2.2195187033997015</v>
      </c>
      <c r="M14" s="48">
        <f>'AGG EM'!E42</f>
        <v>2.1610684054419442</v>
      </c>
      <c r="N14" s="48">
        <f>'AGG EM'!F42</f>
        <v>2.1481258120972373</v>
      </c>
      <c r="O14" s="48">
        <f>'AGG EM'!G42</f>
        <v>2.0595828850607751</v>
      </c>
      <c r="P14" s="13">
        <f>'AGG EM'!H42</f>
        <v>-4.5199630283956016E-2</v>
      </c>
    </row>
    <row r="15" spans="2:63">
      <c r="B15" s="5" t="s">
        <v>435</v>
      </c>
      <c r="C15" s="216"/>
      <c r="D15" s="188">
        <f>ChinaTow!D15/Prices!$C$155+BHIN!D15/Prices!$C$132+IHS!D15+SITES!D15/Prices!$C$160+(TOWR!D15/1000)/Prices!$C$152+(TBIG!D15/1000)/Prices!$C$152+HTWS!D15/Prices!$C$133</f>
        <v>466.78270060342305</v>
      </c>
      <c r="E15" s="188">
        <f>ChinaTow!E15/Prices!$C$155+BHIN!E15/Prices!$C$132+IHS!E15+SITES!E15/Prices!$C$160+(TOWR!E15/1000)/Prices!$C$152+(TBIG!E15/1000)/Prices!$C$152+HTWS!E15/Prices!$C$133</f>
        <v>466.78270060342305</v>
      </c>
      <c r="F15" s="188">
        <f>ChinaTow!F15/Prices!$C$155+BHIN!F15/Prices!$C$132+IHS!F15+SITES!F15/Prices!$C$160+(TOWR!F15/1000)/Prices!$C$152+(TBIG!F15/1000)/Prices!$C$152+HTWS!F15/Prices!$C$133</f>
        <v>466.78270060342305</v>
      </c>
      <c r="G15" s="188">
        <f>ChinaTow!G15/Prices!$C$155+BHIN!G15/Prices!$C$132+IHS!G15+SITES!G15/Prices!$C$160+(TOWR!G15/1000)/Prices!$C$152+(TBIG!G15/1000)/Prices!$C$152+HTWS!G15/Prices!$C$133</f>
        <v>466.78270060342305</v>
      </c>
      <c r="H15" s="207"/>
      <c r="I15" s="207"/>
      <c r="J15" s="5" t="s">
        <v>390</v>
      </c>
      <c r="L15" s="48">
        <f>'AGG EM'!D43</f>
        <v>15.104835891183031</v>
      </c>
      <c r="M15" s="48">
        <f>'AGG EM'!E43</f>
        <v>12.577866990476997</v>
      </c>
      <c r="N15" s="48">
        <f>'AGG EM'!F43</f>
        <v>11.205316055149801</v>
      </c>
      <c r="O15" s="48">
        <f>'AGG EM'!G43</f>
        <v>10.076668818494726</v>
      </c>
      <c r="P15" s="13">
        <f>'AGG EM'!H43</f>
        <v>0.13934517517401579</v>
      </c>
    </row>
    <row r="16" spans="2:63">
      <c r="B16" s="5" t="s">
        <v>438</v>
      </c>
      <c r="C16" s="216"/>
      <c r="D16" s="188">
        <f>ChinaTow!D16/Prices!$C$155+BHIN!D16/Prices!$C$132+IHS!D16+SITES!D16/Prices!$C$160+(TOWR!D16/1000)/Prices!$C$152+(TBIG!D16/1000)/Prices!$C$152+HTWS!D16/Prices!$C$133</f>
        <v>-223.93464017613198</v>
      </c>
      <c r="E16" s="188">
        <f>ChinaTow!E16/Prices!$C$155+BHIN!E16/Prices!$C$132+IHS!E16+SITES!E16/Prices!$C$160+(TOWR!E16/1000)/Prices!$C$152+(TBIG!E16/1000)/Prices!$C$152+HTWS!E16/Prices!$C$133</f>
        <v>695.0830166613556</v>
      </c>
      <c r="F16" s="188">
        <f>ChinaTow!F16/Prices!$C$155+BHIN!F16/Prices!$C$132+IHS!F16+SITES!F16/Prices!$C$160+(TOWR!F16/1000)/Prices!$C$152+(TBIG!F16/1000)/Prices!$C$152+HTWS!F16/Prices!$C$133</f>
        <v>2154.9398722321298</v>
      </c>
      <c r="G16" s="188">
        <f>ChinaTow!G16/Prices!$C$155+BHIN!G16/Prices!$C$132+IHS!G16+SITES!G16/Prices!$C$160+(TOWR!G16/1000)/Prices!$C$152+(TBIG!G16/1000)/Prices!$C$152+HTWS!G16/Prices!$C$133</f>
        <v>4039.8781741994958</v>
      </c>
      <c r="H16" s="207"/>
      <c r="I16" s="207"/>
      <c r="J16" s="5" t="s">
        <v>437</v>
      </c>
      <c r="L16" s="48">
        <f>'AGG EM'!D44</f>
        <v>15.128181142725504</v>
      </c>
      <c r="M16" s="48">
        <f>'AGG EM'!E44</f>
        <v>13.012177752151421</v>
      </c>
      <c r="N16" s="48">
        <f>'AGG EM'!F44</f>
        <v>11.359192252410569</v>
      </c>
      <c r="O16" s="48">
        <f>'AGG EM'!G44</f>
        <v>10.092305327224993</v>
      </c>
      <c r="P16" s="13">
        <f>'AGG EM'!H44</f>
        <v>0.13934450175390167</v>
      </c>
    </row>
    <row r="17" spans="2:24">
      <c r="B17" s="5" t="s">
        <v>4</v>
      </c>
      <c r="C17" s="216"/>
      <c r="D17" s="188">
        <f>ChinaTow!D17/Prices!$C$155+BHIN!D17/Prices!$C$132+IHS!D17+SITES!D17/Prices!$C$160+(TOWR!D17/1000)/Prices!$C$152+(TBIG!D17/1000)/Prices!$C$152+HTWS!D17/Prices!$C$133</f>
        <v>0</v>
      </c>
      <c r="E17" s="188">
        <f>ChinaTow!E17/Prices!$C$155+BHIN!E17/Prices!$C$132+IHS!E17+SITES!E17/Prices!$C$160+(TOWR!E17/1000)/Prices!$C$152+(TBIG!E17/1000)/Prices!$C$152+HTWS!E17/Prices!$C$133</f>
        <v>0</v>
      </c>
      <c r="F17" s="188">
        <f>ChinaTow!F17/Prices!$C$155+BHIN!F17/Prices!$C$132+IHS!F17+SITES!F17/Prices!$C$160+(TOWR!F17/1000)/Prices!$C$152+(TBIG!F17/1000)/Prices!$C$152+HTWS!F17/Prices!$C$133</f>
        <v>0</v>
      </c>
      <c r="G17" s="188">
        <f>ChinaTow!G17/Prices!$C$155+BHIN!G17/Prices!$C$132+IHS!G17+SITES!G17/Prices!$C$160+(TOWR!G17/1000)/Prices!$C$152+(TBIG!G17/1000)/Prices!$C$152+HTWS!G17/Prices!$C$133</f>
        <v>0</v>
      </c>
      <c r="H17" s="207"/>
      <c r="I17" s="207"/>
      <c r="J17" s="5" t="s">
        <v>481</v>
      </c>
      <c r="L17" s="208">
        <f>'AGG EM'!D45</f>
        <v>4.5311756529236351E-2</v>
      </c>
      <c r="M17" s="208">
        <f>'AGG EM'!E45</f>
        <v>5.2535390746451777E-2</v>
      </c>
      <c r="N17" s="208">
        <f>'AGG EM'!F45</f>
        <v>5.8935758905258519E-2</v>
      </c>
      <c r="O17" s="208">
        <f>'AGG EM'!G45</f>
        <v>6.5807664516349812E-2</v>
      </c>
      <c r="P17" s="13">
        <f>'AGG EM'!H45</f>
        <v>0.12740029080856541</v>
      </c>
      <c r="S17" s="72"/>
      <c r="T17" s="72"/>
      <c r="U17" s="72"/>
      <c r="V17" s="26"/>
      <c r="W17" s="26"/>
      <c r="X17" s="26"/>
    </row>
    <row r="18" spans="2:24" ht="12.6" thickBot="1">
      <c r="B18" s="25" t="s">
        <v>371</v>
      </c>
      <c r="C18" s="209"/>
      <c r="D18" s="229">
        <f>ChinaTow!D18/Prices!$C$155+BHIN!D18/Prices!$C$132+IHS!D18+SITES!D18/Prices!$C$160+(TOWR!D18/1000)/Prices!$C$152+(TBIG!D18/1000)/Prices!$C$152+HTWS!D18/Prices!$C$133</f>
        <v>63627.147092365827</v>
      </c>
      <c r="E18" s="229">
        <f>ChinaTow!E18/Prices!$C$155+BHIN!E18/Prices!$C$132+IHS!E18+SITES!E18/Prices!$C$160+(TOWR!E18/1000)/Prices!$C$152+(TBIG!E18/1000)/Prices!$C$152+HTWS!E18/Prices!$C$133</f>
        <v>59409.283763965148</v>
      </c>
      <c r="F18" s="229">
        <f>ChinaTow!F18/Prices!$C$155+BHIN!F18/Prices!$C$132+IHS!F18+SITES!F18/Prices!$C$160+(TOWR!F18/1000)/Prices!$C$152+(TBIG!F18/1000)/Prices!$C$152+HTWS!F18/Prices!$C$133</f>
        <v>55252.228838402807</v>
      </c>
      <c r="G18" s="229">
        <f>ChinaTow!G18/Prices!$C$155+BHIN!G18/Prices!$C$132+IHS!G18+SITES!G18/Prices!$C$160+(TOWR!G18/1000)/Prices!$C$152+(TBIG!G18/1000)/Prices!$C$152+HTWS!G18/Prices!$C$133</f>
        <v>51059.780783173592</v>
      </c>
      <c r="H18" s="230">
        <f>IF(D18=0,"nm",IF(G18=0,"nm",(G18/D18)^(1/3)-1))</f>
        <v>-7.0722336574633227E-2</v>
      </c>
      <c r="I18" s="214"/>
      <c r="J18" s="5" t="s">
        <v>33</v>
      </c>
      <c r="L18" s="208">
        <f>'AGG EM'!D46</f>
        <v>4.6576106100569947E-2</v>
      </c>
      <c r="M18" s="208">
        <f>'AGG EM'!E46</f>
        <v>4.7101413014745797E-2</v>
      </c>
      <c r="N18" s="208">
        <f>'AGG EM'!F46</f>
        <v>6.2807686894890413E-2</v>
      </c>
      <c r="O18" s="208">
        <f>'AGG EM'!G46</f>
        <v>6.8765890985502356E-2</v>
      </c>
      <c r="P18" s="13">
        <f>'AGG EM'!H46</f>
        <v>0.13359933245216205</v>
      </c>
      <c r="S18" s="72"/>
      <c r="T18" s="72"/>
      <c r="U18" s="72"/>
      <c r="V18" s="26"/>
      <c r="W18" s="26"/>
      <c r="X18" s="26"/>
    </row>
    <row r="19" spans="2:24" ht="12.6" thickTop="1">
      <c r="B19" s="25"/>
      <c r="C19" s="209"/>
      <c r="D19" s="189"/>
      <c r="E19" s="189"/>
      <c r="F19" s="189"/>
      <c r="G19" s="189"/>
      <c r="H19" s="230"/>
      <c r="I19" s="13"/>
      <c r="J19" s="5" t="s">
        <v>482</v>
      </c>
      <c r="L19" s="208">
        <f>'AGG EM'!D47</f>
        <v>6.6203963234298904E-2</v>
      </c>
      <c r="M19" s="208">
        <f>'AGG EM'!E47</f>
        <v>7.950473643560739E-2</v>
      </c>
      <c r="N19" s="208">
        <f>'AGG EM'!F47</f>
        <v>8.9243355125214377E-2</v>
      </c>
      <c r="O19" s="208">
        <f>'AGG EM'!G47</f>
        <v>9.9239145198917245E-2</v>
      </c>
      <c r="P19" s="13">
        <f>'AGG EM'!H47</f>
        <v>0.13934517517401579</v>
      </c>
      <c r="S19" s="72"/>
      <c r="T19" s="72"/>
      <c r="U19" s="72"/>
      <c r="V19" s="26"/>
      <c r="W19" s="26"/>
      <c r="X19" s="26"/>
    </row>
    <row r="20" spans="2:24">
      <c r="H20" s="231"/>
      <c r="I20" s="33"/>
      <c r="J20" s="5" t="s">
        <v>504</v>
      </c>
      <c r="L20" s="208">
        <f>'AGG EM'!D48</f>
        <v>0.69005288112710461</v>
      </c>
      <c r="M20" s="208">
        <f>'AGG EM'!E48</f>
        <v>0.66600469117215844</v>
      </c>
      <c r="N20" s="208">
        <f>'AGG EM'!F48</f>
        <v>0.66583908302711481</v>
      </c>
      <c r="O20" s="208">
        <f>'AGG EM'!G48</f>
        <v>0.66857610127394718</v>
      </c>
      <c r="P20" s="13" t="str">
        <f>'AGG EM'!H48</f>
        <v>nm</v>
      </c>
      <c r="S20" s="26"/>
      <c r="T20" s="26"/>
      <c r="U20" s="26"/>
      <c r="V20" s="26"/>
      <c r="W20" s="26"/>
      <c r="X20" s="26"/>
    </row>
    <row r="21" spans="2:24" ht="12.6" thickBot="1">
      <c r="B21" s="249" t="s">
        <v>256</v>
      </c>
      <c r="C21" s="219">
        <v>2022</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ChinaTow!C23/Prices!$C$155+BHIN!C23/Prices!$C$132+IHS!C23+SITES!C23/Prices!$C$160+(TOWR!C23/1000)/Prices!$C$152+(TBIG!C23/1000)/Prices!$C$152+HTWS!C23/Prices!$C$133</f>
        <v>21013.504017493469</v>
      </c>
      <c r="D23" s="273">
        <f>ChinaTow!D23/Prices!$C$155+BHIN!D23/Prices!$C$132+IHS!D23+SITES!D23/Prices!$C$160+(TOWR!D23/1000)/Prices!$C$152+(TBIG!D23/1000)/Prices!$C$152+HTWS!D23/Prices!$C$133</f>
        <v>22128.213437332535</v>
      </c>
      <c r="E23" s="273">
        <f>ChinaTow!E23/Prices!$C$155+BHIN!E23/Prices!$C$132+IHS!E23+SITES!E23/Prices!$C$160+(TOWR!E23/1000)/Prices!$C$152+(TBIG!E23/1000)/Prices!$C$152+HTWS!E23/Prices!$C$133</f>
        <v>23217.06180397268</v>
      </c>
      <c r="F23" s="273">
        <f>ChinaTow!F23/Prices!$C$155+BHIN!F23/Prices!$C$132+IHS!F23+SITES!F23/Prices!$C$160+(TOWR!F23/1000)/Prices!$C$152+(TBIG!F23/1000)/Prices!$C$152+HTWS!F23/Prices!$C$133</f>
        <v>24242.939065127899</v>
      </c>
      <c r="G23" s="273">
        <f>ChinaTow!G23/Prices!$C$155+BHIN!G23/Prices!$C$132+IHS!G23+SITES!G23/Prices!$C$160+(TOWR!G23/1000)/Prices!$C$152+(TBIG!G23/1000)/Prices!$C$152+HTWS!G23/Prices!$C$133</f>
        <v>25201.245375333347</v>
      </c>
      <c r="H23" s="233">
        <f t="shared" ref="H23:H33" si="0">IF(D23=0,"nm",IF(G23=0,"nm",(G23/D23)^(1/3)-1))</f>
        <v>4.4299853446136295E-2</v>
      </c>
      <c r="I23" s="209"/>
      <c r="J23" s="249" t="s">
        <v>7</v>
      </c>
      <c r="K23" s="249"/>
      <c r="L23" s="219" t="str">
        <f>L5</f>
        <v>2025E</v>
      </c>
      <c r="M23" s="219" t="str">
        <f>M5</f>
        <v>2026E</v>
      </c>
      <c r="N23" s="219" t="str">
        <f>N5</f>
        <v>2027E</v>
      </c>
      <c r="O23" s="219" t="str">
        <f>O5</f>
        <v>2028E</v>
      </c>
      <c r="P23" s="236" t="str">
        <f>P5</f>
        <v>2025-28</v>
      </c>
      <c r="S23" s="26"/>
      <c r="T23" s="26"/>
      <c r="U23" s="26"/>
      <c r="V23" s="26"/>
      <c r="W23" s="26" t="s">
        <v>1108</v>
      </c>
      <c r="X23" s="26" t="s">
        <v>1107</v>
      </c>
    </row>
    <row r="24" spans="2:24" ht="12.6" thickTop="1">
      <c r="B24" s="5" t="s">
        <v>397</v>
      </c>
      <c r="C24" s="288">
        <f>ChinaTow!C24/Prices!$C$155+BHIN!C24/Prices!$C$132+IHS!C24+SITES!C24/Prices!$C$160+(TOWR!C24/1000)/Prices!$C$152+(TBIG!C24/1000)/Prices!$C$152+HTWS!C24/Prices!$C$133</f>
        <v>13914.543197537258</v>
      </c>
      <c r="D24" s="273">
        <f>ChinaTow!D24/Prices!$C$155+BHIN!D24/Prices!$C$132+IHS!D24+SITES!D24/Prices!$C$160+(TOWR!D24/1000)/Prices!$C$152+(TBIG!D24/1000)/Prices!$C$152+HTWS!D24/Prices!$C$133</f>
        <v>14303.330831595791</v>
      </c>
      <c r="E24" s="273">
        <f>ChinaTow!E24/Prices!$C$155+BHIN!E24/Prices!$C$132+IHS!E24+SITES!E24/Prices!$C$160+(TOWR!E24/1000)/Prices!$C$152+(TBIG!E24/1000)/Prices!$C$152+HTWS!E24/Prices!$C$133</f>
        <v>15047.591317680806</v>
      </c>
      <c r="F24" s="273">
        <f>ChinaTow!F24/Prices!$C$155+BHIN!F24/Prices!$C$132+IHS!F24+SITES!F24/Prices!$C$160+(TOWR!F24/1000)/Prices!$C$152+(TBIG!F24/1000)/Prices!$C$152+HTWS!F24/Prices!$C$133</f>
        <v>15704.032148344999</v>
      </c>
      <c r="G24" s="273">
        <f>ChinaTow!G24/Prices!$C$155+BHIN!G24/Prices!$C$132+IHS!G24+SITES!G24/Prices!$C$160+(TOWR!G24/1000)/Prices!$C$152+(TBIG!G24/1000)/Prices!$C$152+HTWS!G24/Prices!$C$133</f>
        <v>16316.363821342122</v>
      </c>
      <c r="H24" s="233">
        <f t="shared" si="0"/>
        <v>4.4869532220161101E-2</v>
      </c>
      <c r="I24" s="208"/>
      <c r="J24" s="13"/>
      <c r="K24" s="13"/>
      <c r="L24" s="13"/>
      <c r="M24" s="13"/>
      <c r="N24" s="13"/>
      <c r="O24" s="208"/>
      <c r="S24" s="26"/>
      <c r="T24" s="26"/>
      <c r="U24" s="26"/>
      <c r="V24" s="113" t="s">
        <v>225</v>
      </c>
      <c r="W24" s="242">
        <f t="shared" ref="W24:W27" si="1">E37/M9</f>
        <v>1.6976841708965353</v>
      </c>
      <c r="X24" s="242">
        <v>1</v>
      </c>
    </row>
    <row r="25" spans="2:24">
      <c r="B25" s="5" t="s">
        <v>157</v>
      </c>
      <c r="C25" s="288">
        <f>ChinaTow!C25/Prices!$C$155+BHIN!C25/Prices!$C$132+IHS!C25+SITES!C25/Prices!$C$160+(TOWR!C25/1000)/Prices!$C$152+(TBIG!C25/1000)/Prices!$C$152+HTWS!C25/Prices!$C$133</f>
        <v>9134.6165798818038</v>
      </c>
      <c r="D25" s="273">
        <f>ChinaTow!D25/Prices!$C$155+BHIN!D25/Prices!$C$132+IHS!D25+SITES!D25/Prices!$C$160+(TOWR!D25/1000)/Prices!$C$152+(TBIG!D25/1000)/Prices!$C$152+HTWS!D25/Prices!$C$133</f>
        <v>9838.1981562756064</v>
      </c>
      <c r="E25" s="273">
        <f>ChinaTow!E25/Prices!$C$155+BHIN!E25/Prices!$C$132+IHS!E25+SITES!E25/Prices!$C$160+(TOWR!E25/1000)/Prices!$C$152+(TBIG!E25/1000)/Prices!$C$152+HTWS!E25/Prices!$C$133</f>
        <v>10456.38513561573</v>
      </c>
      <c r="F25" s="273">
        <f>ChinaTow!F25/Prices!$C$155+BHIN!F25/Prices!$C$132+IHS!F25+SITES!F25/Prices!$C$160+(TOWR!F25/1000)/Prices!$C$152+(TBIG!F25/1000)/Prices!$C$152+HTWS!F25/Prices!$C$133</f>
        <v>10989.985872751577</v>
      </c>
      <c r="G25" s="273">
        <f>ChinaTow!G25/Prices!$C$155+BHIN!G25/Prices!$C$132+IHS!G25+SITES!G25/Prices!$C$160+(TOWR!G25/1000)/Prices!$C$152+(TBIG!G25/1000)/Prices!$C$152+HTWS!G25/Prices!$C$133</f>
        <v>11468.935433687857</v>
      </c>
      <c r="H25" s="233">
        <f t="shared" si="0"/>
        <v>5.2452524167129866E-2</v>
      </c>
      <c r="I25" s="209"/>
      <c r="J25" s="207" t="s">
        <v>8</v>
      </c>
      <c r="K25" s="207"/>
      <c r="L25" s="258">
        <f>ChinaTow!L25/Prices!$C$155+BHIN!L25/Prices!$C$132+IHS!L25+SITES!L25/Prices!$C$160+(TOWR!L25/1000)/Prices!$C$152+(TBIG!L25/1000)/Prices!$C$152</f>
        <v>0</v>
      </c>
      <c r="M25" s="258">
        <f>ChinaTow!M25/Prices!$C$155+BHIN!M25/Prices!$C$132+IHS!M25+SITES!M25/Prices!$C$160+(TOWR!M25/1000)/Prices!$C$152+(TBIG!M25/1000)/Prices!$C$152</f>
        <v>0</v>
      </c>
      <c r="N25" s="258">
        <f>ChinaTow!N25/Prices!$C$155+BHIN!N25/Prices!$C$132+IHS!N25+SITES!N25/Prices!$C$160+(TOWR!N25/1000)/Prices!$C$152+(TBIG!N25/1000)/Prices!$C$152</f>
        <v>0</v>
      </c>
      <c r="O25" s="258">
        <f>ChinaTow!O25/Prices!$C$155+BHIN!O25/Prices!$C$132+IHS!O25+SITES!O25/Prices!$C$160+(TOWR!O25/1000)/Prices!$C$152+(TBIG!O25/1000)/Prices!$C$152</f>
        <v>0</v>
      </c>
      <c r="P25" s="233" t="str">
        <f>IF(L25=0,"nm",IF(O25=0,"nm",(O25/L25)^(1/3)-1))</f>
        <v>nm</v>
      </c>
      <c r="Q25" s="5"/>
      <c r="S25" s="26"/>
      <c r="T25" s="26"/>
      <c r="U25" s="26"/>
      <c r="V25" s="113" t="s">
        <v>158</v>
      </c>
      <c r="W25" s="242">
        <f t="shared" si="1"/>
        <v>0.90127168846025718</v>
      </c>
      <c r="X25" s="242">
        <v>1</v>
      </c>
    </row>
    <row r="26" spans="2:24">
      <c r="B26" s="5" t="s">
        <v>487</v>
      </c>
      <c r="C26" s="288">
        <f>ChinaTow!C26/Prices!$C$155+BHIN!C26/Prices!$C$132+IHS!C26+SITES!C26/Prices!$C$160+(TOWR!C26/1000)/Prices!$C$152+(TBIG!C26/1000)/Prices!$C$152+HTWS!C26/Prices!$C$133</f>
        <v>7972.266071429317</v>
      </c>
      <c r="D26" s="273">
        <f>ChinaTow!D26/Prices!$C$155+BHIN!D26/Prices!$C$132+IHS!D26+SITES!D26/Prices!$C$160+(TOWR!D26/1000)/Prices!$C$152+(TBIG!D26/1000)/Prices!$C$152+HTWS!D26/Prices!$C$133</f>
        <v>8851.8416841329235</v>
      </c>
      <c r="E26" s="273">
        <f>ChinaTow!E26/Prices!$C$155+BHIN!E26/Prices!$C$132+IHS!E26+SITES!E26/Prices!$C$160+(TOWR!E26/1000)/Prices!$C$152+(TBIG!E26/1000)/Prices!$C$152+HTWS!E26/Prices!$C$133</f>
        <v>9433.8769693186678</v>
      </c>
      <c r="F26" s="273">
        <f>ChinaTow!F26/Prices!$C$155+BHIN!F26/Prices!$C$132+IHS!F26+SITES!F26/Prices!$C$160+(TOWR!F26/1000)/Prices!$C$152+(TBIG!F26/1000)/Prices!$C$152+HTWS!F26/Prices!$C$133</f>
        <v>9900.8721930468655</v>
      </c>
      <c r="G26" s="273">
        <f>ChinaTow!G26/Prices!$C$155+BHIN!G26/Prices!$C$132+IHS!G26+SITES!G26/Prices!$C$160+(TOWR!G26/1000)/Prices!$C$152+(TBIG!G26/1000)/Prices!$C$152+HTWS!G26/Prices!$C$133</f>
        <v>10324.832191855661</v>
      </c>
      <c r="H26" s="233">
        <f t="shared" si="0"/>
        <v>5.2647882819422342E-2</v>
      </c>
      <c r="I26" s="209"/>
      <c r="J26" s="209" t="s">
        <v>9</v>
      </c>
      <c r="K26" s="209"/>
      <c r="L26" s="235">
        <f>ChinaTow!L26/Prices!$C$155+BHIN!L26/Prices!$C$132+IHS!L26+SITES!L26/Prices!$C$160+(TOWR!L26/1000)/Prices!$C$152+(TBIG!L26/1000)/Prices!$C$152</f>
        <v>41755.883213946741</v>
      </c>
      <c r="M26" s="235">
        <f>ChinaTow!M26/Prices!$C$155+BHIN!M26/Prices!$C$132+IHS!M26+SITES!M26/Prices!$C$160+(TOWR!M26/1000)/Prices!$C$152+(TBIG!M26/1000)/Prices!$C$152</f>
        <v>41643.35378186281</v>
      </c>
      <c r="N26" s="235">
        <f>ChinaTow!N26/Prices!$C$155+BHIN!N26/Prices!$C$132+IHS!N26+SITES!N26/Prices!$C$160+(TOWR!N26/1000)/Prices!$C$152+(TBIG!N26/1000)/Prices!$C$152</f>
        <v>41517.581607843393</v>
      </c>
      <c r="O26" s="235">
        <f>ChinaTow!O26/Prices!$C$155+BHIN!O26/Prices!$C$132+IHS!O26+SITES!O26/Prices!$C$160+(TOWR!O26/1000)/Prices!$C$152+(TBIG!O26/1000)/Prices!$C$152</f>
        <v>41378.566691888496</v>
      </c>
      <c r="P26" s="233">
        <f>IF(L26=0,"nm",IF(O26=0,"nm",(O26/L26)^(1/3)-1))</f>
        <v>-3.0212011779856551E-3</v>
      </c>
      <c r="Q26" s="25"/>
      <c r="S26" s="26"/>
      <c r="T26" s="26"/>
      <c r="U26" s="26"/>
      <c r="V26" s="113" t="s">
        <v>159</v>
      </c>
      <c r="W26" s="242">
        <f t="shared" si="1"/>
        <v>0.75693216795704432</v>
      </c>
      <c r="X26" s="242">
        <v>1</v>
      </c>
    </row>
    <row r="27" spans="2:24">
      <c r="B27" s="5" t="s">
        <v>488</v>
      </c>
      <c r="C27" s="288">
        <f>ChinaTow!C27/Prices!$C$155+BHIN!C27/Prices!$C$132+IHS!C27+SITES!C27/Prices!$C$160+(TOWR!C27/1000)/Prices!$C$152+(TBIG!C27/1000)/Prices!$C$152+HTWS!C27/Prices!$C$133</f>
        <v>54898.989589268851</v>
      </c>
      <c r="D27" s="273">
        <f>ChinaTow!D27/Prices!$C$155+BHIN!D27/Prices!$C$132+IHS!D27+SITES!D27/Prices!$C$160+(TOWR!D27/1000)/Prices!$C$152+(TBIG!D27/1000)/Prices!$C$152+HTWS!D27/Prices!$C$133</f>
        <v>53336.753565906351</v>
      </c>
      <c r="E27" s="273">
        <f>ChinaTow!E27/Prices!$C$155+BHIN!E27/Prices!$C$132+IHS!E27+SITES!E27/Prices!$C$160+(TOWR!E27/1000)/Prices!$C$152+(TBIG!E27/1000)/Prices!$C$152+HTWS!E27/Prices!$C$133</f>
        <v>52500.048025429038</v>
      </c>
      <c r="F27" s="273">
        <f>ChinaTow!F27/Prices!$C$155+BHIN!F27/Prices!$C$132+IHS!F27+SITES!F27/Prices!$C$160+(TOWR!F27/1000)/Prices!$C$152+(TBIG!F27/1000)/Prices!$C$152+HTWS!F27/Prices!$C$133</f>
        <v>52449.174152495601</v>
      </c>
      <c r="G27" s="273">
        <f>ChinaTow!G27/Prices!$C$155+BHIN!G27/Prices!$C$132+IHS!G27+SITES!G27/Prices!$C$160+(TOWR!G27/1000)/Prices!$C$152+(TBIG!G27/1000)/Prices!$C$152+HTWS!G27/Prices!$C$133</f>
        <v>52860.185376751935</v>
      </c>
      <c r="H27" s="233">
        <f t="shared" si="0"/>
        <v>-2.9872751084933924E-3</v>
      </c>
      <c r="I27" s="208"/>
      <c r="J27" s="208"/>
      <c r="K27" s="208"/>
      <c r="L27" s="208"/>
      <c r="M27" s="208"/>
      <c r="N27" s="208"/>
      <c r="O27" s="208"/>
      <c r="Q27" s="5"/>
      <c r="S27" s="26"/>
      <c r="T27" s="26"/>
      <c r="U27" s="26"/>
      <c r="V27" s="113" t="s">
        <v>381</v>
      </c>
      <c r="W27" s="242">
        <f t="shared" si="1"/>
        <v>0.63496525080009014</v>
      </c>
      <c r="X27" s="242">
        <v>1</v>
      </c>
    </row>
    <row r="28" spans="2:24" ht="12.6" thickBot="1">
      <c r="B28" s="5" t="s">
        <v>492</v>
      </c>
      <c r="C28" s="288">
        <f>ChinaTow!C28/Prices!$C$155+BHIN!C28/Prices!$C$132+IHS!C28+SITES!C28/Prices!$C$160+(TOWR!C28/1000)/Prices!$C$152+(TBIG!C28/1000)/Prices!$C$152+HTWS!C28/Prices!$C$133</f>
        <v>35647.80784751771</v>
      </c>
      <c r="D28" s="273">
        <f>ChinaTow!D28/Prices!$C$155+BHIN!D28/Prices!$C$132+IHS!D28+SITES!D28/Prices!$C$160+(TOWR!D28/1000)/Prices!$C$152+(TBIG!D28/1000)/Prices!$C$152+HTWS!D28/Prices!$C$133</f>
        <v>31833.197399895726</v>
      </c>
      <c r="E28" s="273">
        <f>ChinaTow!E28/Prices!$C$155+BHIN!E28/Prices!$C$132+IHS!E28+SITES!E28/Prices!$C$160+(TOWR!E28/1000)/Prices!$C$152+(TBIG!E28/1000)/Prices!$C$152+HTWS!E28/Prices!$C$133</f>
        <v>29097.492105650093</v>
      </c>
      <c r="F28" s="273">
        <f>ChinaTow!F28/Prices!$C$155+BHIN!F28/Prices!$C$132+IHS!F28+SITES!F28/Prices!$C$160+(TOWR!F28/1000)/Prices!$C$152+(TBIG!F28/1000)/Prices!$C$152+HTWS!F28/Prices!$C$133</f>
        <v>27135.813556983798</v>
      </c>
      <c r="G28" s="273">
        <f>ChinaTow!G28/Prices!$C$155+BHIN!G28/Prices!$C$132+IHS!G28+SITES!G28/Prices!$C$160+(TOWR!G28/1000)/Prices!$C$152+(TBIG!G28/1000)/Prices!$C$152+HTWS!G28/Prices!$C$133</f>
        <v>25607.326584202787</v>
      </c>
      <c r="H28" s="233">
        <f t="shared" si="0"/>
        <v>-6.9974922183852928E-2</v>
      </c>
      <c r="I28" s="212"/>
      <c r="J28" s="249" t="s">
        <v>1109</v>
      </c>
      <c r="K28" s="249"/>
      <c r="L28" s="249"/>
      <c r="M28" s="249"/>
      <c r="N28" s="220"/>
      <c r="O28" s="220"/>
      <c r="P28" s="220"/>
      <c r="Q28" s="5"/>
      <c r="S28" s="26"/>
      <c r="T28" s="26"/>
      <c r="U28" s="26"/>
      <c r="V28" s="113" t="s">
        <v>434</v>
      </c>
      <c r="W28" s="242" t="e">
        <f>#REF!/M13</f>
        <v>#REF!</v>
      </c>
      <c r="X28" s="242">
        <v>1</v>
      </c>
    </row>
    <row r="29" spans="2:24" ht="12.6" thickTop="1">
      <c r="B29" s="5" t="s">
        <v>489</v>
      </c>
      <c r="C29" s="288">
        <f>ChinaTow!C29/Prices!$C$155+BHIN!C29/Prices!$C$132+IHS!C29+SITES!C29/Prices!$C$160+(TOWR!C29/1000)/Prices!$C$152+(TBIG!C29/1000)/Prices!$C$152+HTWS!C29/Prices!$C$133</f>
        <v>3488.3762038809691</v>
      </c>
      <c r="D29" s="273">
        <f>ChinaTow!D29/Prices!$C$155+BHIN!D29/Prices!$C$132+IHS!D29+SITES!D29/Prices!$C$160+(TOWR!D29/1000)/Prices!$C$152+(TBIG!D29/1000)/Prices!$C$152+HTWS!D29/Prices!$C$133</f>
        <v>5150.9544531373995</v>
      </c>
      <c r="E29" s="273">
        <f>ChinaTow!E29/Prices!$C$155+BHIN!E29/Prices!$C$132+IHS!E29+SITES!E29/Prices!$C$160+(TOWR!E29/1000)/Prices!$C$152+(TBIG!E29/1000)/Prices!$C$152+HTWS!E29/Prices!$C$133</f>
        <v>5401.9109737068147</v>
      </c>
      <c r="F29" s="273">
        <f>ChinaTow!F29/Prices!$C$155+BHIN!F29/Prices!$C$132+IHS!F29+SITES!F29/Prices!$C$160+(TOWR!F29/1000)/Prices!$C$152+(TBIG!F29/1000)/Prices!$C$152+HTWS!F29/Prices!$C$133</f>
        <v>5634.5304590672049</v>
      </c>
      <c r="G29" s="273">
        <f>ChinaTow!G29/Prices!$C$155+BHIN!G29/Prices!$C$132+IHS!G29+SITES!G29/Prices!$C$160+(TOWR!G29/1000)/Prices!$C$152+(TBIG!G29/1000)/Prices!$C$152+HTWS!G29/Prices!$C$133</f>
        <v>5861.1752803255058</v>
      </c>
      <c r="H29" s="233">
        <f t="shared" si="0"/>
        <v>4.3996397047496583E-2</v>
      </c>
      <c r="I29" s="214"/>
      <c r="J29" s="209"/>
      <c r="K29" s="209"/>
      <c r="L29" s="209"/>
      <c r="M29" s="209"/>
      <c r="N29" s="209"/>
      <c r="O29" s="211"/>
      <c r="Q29" s="5"/>
      <c r="S29" s="26"/>
      <c r="T29" s="26"/>
      <c r="U29" s="26"/>
      <c r="V29" s="113" t="s">
        <v>493</v>
      </c>
      <c r="W29" s="242" t="e">
        <f>#REF!/M14</f>
        <v>#REF!</v>
      </c>
      <c r="X29" s="242">
        <v>1</v>
      </c>
    </row>
    <row r="30" spans="2:24">
      <c r="B30" s="5" t="s">
        <v>490</v>
      </c>
      <c r="C30" s="288">
        <f>ChinaTow!C30/Prices!$C$155+BHIN!C30/Prices!$C$132+IHS!C30+SITES!C30/Prices!$C$160+(TOWR!C30/1000)/Prices!$C$152+(TBIG!C30/1000)/Prices!$C$152+HTWS!C30/Prices!$C$133</f>
        <v>2919.7944950659053</v>
      </c>
      <c r="D30" s="273">
        <f>ChinaTow!D30/Prices!$C$155+BHIN!D30/Prices!$C$132+IHS!D30+SITES!D30/Prices!$C$160+(TOWR!D30/1000)/Prices!$C$152+(TBIG!D30/1000)/Prices!$C$152+HTWS!D30/Prices!$C$133</f>
        <v>3315.656735604387</v>
      </c>
      <c r="E30" s="273">
        <f>ChinaTow!E30/Prices!$C$155+BHIN!E30/Prices!$C$132+IHS!E30+SITES!E30/Prices!$C$160+(TOWR!E30/1000)/Prices!$C$152+(TBIG!E30/1000)/Prices!$C$152+HTWS!E30/Prices!$C$133</f>
        <v>4571.7270273378235</v>
      </c>
      <c r="F30" s="273">
        <f>ChinaTow!F30/Prices!$C$155+BHIN!F30/Prices!$C$132+IHS!F30+SITES!F30/Prices!$C$160+(TOWR!F30/1000)/Prices!$C$152+(TBIG!F30/1000)/Prices!$C$152+HTWS!F30/Prices!$C$133</f>
        <v>5581.702065790224</v>
      </c>
      <c r="G30" s="273">
        <f>ChinaTow!G30/Prices!$C$155+BHIN!G30/Prices!$C$132+IHS!G30+SITES!G30/Prices!$C$160+(TOWR!G30/1000)/Prices!$C$152+(TBIG!G30/1000)/Prices!$C$152+HTWS!G30/Prices!$C$133</f>
        <v>6294.8151360446236</v>
      </c>
      <c r="H30" s="233">
        <f t="shared" si="0"/>
        <v>0.23823898313652681</v>
      </c>
      <c r="I30" s="214"/>
      <c r="J30" s="208"/>
      <c r="K30" s="208"/>
      <c r="L30" s="208"/>
      <c r="M30" s="208"/>
      <c r="N30" s="208"/>
      <c r="O30" s="5"/>
      <c r="Q30" s="5"/>
      <c r="S30" s="26"/>
      <c r="T30" s="26"/>
      <c r="U30" s="26"/>
      <c r="V30" s="113" t="s">
        <v>390</v>
      </c>
      <c r="W30" s="242">
        <f>E43/M15</f>
        <v>0.6129023382349158</v>
      </c>
      <c r="X30" s="242">
        <v>1</v>
      </c>
    </row>
    <row r="31" spans="2:24">
      <c r="B31" s="5" t="s">
        <v>491</v>
      </c>
      <c r="C31" s="288">
        <f>ChinaTow!C31/Prices!$C$155+BHIN!C31/Prices!$C$132+IHS!C31+SITES!C31/Prices!$C$160+(TOWR!C31/1000)/Prices!$C$152+(TBIG!C31/1000)/Prices!$C$152+HTWS!C31/Prices!$C$133</f>
        <v>1066.5191110042849</v>
      </c>
      <c r="D31" s="273">
        <f>ChinaTow!D31/Prices!$C$155+BHIN!D31/Prices!$C$132+IHS!D31+SITES!D31/Prices!$C$160+(TOWR!D31/1000)/Prices!$C$152+(TBIG!D31/1000)/Prices!$C$152+HTWS!D31/Prices!$C$133</f>
        <v>1787.0367573400877</v>
      </c>
      <c r="E31" s="273">
        <f>ChinaTow!E31/Prices!$C$155+BHIN!E31/Prices!$C$132+IHS!E31+SITES!E31/Prices!$C$160+(TOWR!E31/1000)/Prices!$C$152+(TBIG!E31/1000)/Prices!$C$152+HTWS!E31/Prices!$C$133</f>
        <v>2553.3265132912848</v>
      </c>
      <c r="F31" s="273">
        <f>ChinaTow!F31/Prices!$C$155+BHIN!F31/Prices!$C$132+IHS!F31+SITES!F31/Prices!$C$160+(TOWR!F31/1000)/Prices!$C$152+(TBIG!F31/1000)/Prices!$C$152+HTWS!F31/Prices!$C$133</f>
        <v>3114.3746624002747</v>
      </c>
      <c r="G31" s="273">
        <f>ChinaTow!G31/Prices!$C$155+BHIN!G31/Prices!$C$132+IHS!G31+SITES!G31/Prices!$C$160+(TOWR!G31/1000)/Prices!$C$152+(TBIG!G31/1000)/Prices!$C$152+HTWS!G31/Prices!$C$133</f>
        <v>3471.6746991851555</v>
      </c>
      <c r="H31" s="233">
        <f t="shared" si="0"/>
        <v>0.24777183848156481</v>
      </c>
      <c r="I31" s="214"/>
      <c r="J31" s="212"/>
      <c r="K31" s="212"/>
      <c r="L31" s="212"/>
      <c r="M31" s="212"/>
      <c r="N31" s="212"/>
      <c r="O31" s="5"/>
      <c r="Q31" s="5"/>
      <c r="S31" s="26"/>
      <c r="T31" s="26"/>
      <c r="U31" s="26"/>
      <c r="V31" s="113" t="s">
        <v>437</v>
      </c>
      <c r="W31" s="242">
        <f>E44/M16</f>
        <v>0.7467267430576171</v>
      </c>
      <c r="X31" s="242">
        <v>1</v>
      </c>
    </row>
    <row r="32" spans="2:24">
      <c r="B32" s="5" t="s">
        <v>506</v>
      </c>
      <c r="C32" s="288">
        <f>ChinaTow!C32/Prices!$C$155+BHIN!C32/Prices!$C$132+IHS!C32+SITES!C32/Prices!$C$160+(TOWR!C32/1000)/Prices!$C$152+(TBIG!C32/1000)/Prices!$C$152+HTWS!C32/Prices!$C$133</f>
        <v>76.219221654811179</v>
      </c>
      <c r="D32" s="273">
        <f>ChinaTow!D32/Prices!$C$155+BHIN!D32/Prices!$C$132+IHS!D32+SITES!D32/Prices!$C$160+(TOWR!D32/1000)/Prices!$C$152+(TBIG!D32/1000)/Prices!$C$152+HTWS!D32/Prices!$C$133</f>
        <v>-265.61715682747968</v>
      </c>
      <c r="E32" s="273">
        <f>ChinaTow!E32/Prices!$C$155+BHIN!E32/Prices!$C$132+IHS!E32+SITES!E32/Prices!$C$160+(TOWR!E32/1000)/Prices!$C$152+(TBIG!E32/1000)/Prices!$C$152+HTWS!E32/Prices!$C$133</f>
        <v>-323.83039551307388</v>
      </c>
      <c r="F32" s="273">
        <f>ChinaTow!F32/Prices!$C$155+BHIN!F32/Prices!$C$132+IHS!F32+SITES!F32/Prices!$C$160+(TOWR!F32/1000)/Prices!$C$152+(TBIG!F32/1000)/Prices!$C$152+HTWS!F32/Prices!$C$133</f>
        <v>-374.57854591575091</v>
      </c>
      <c r="G32" s="273">
        <f>ChinaTow!G32/Prices!$C$155+BHIN!G32/Prices!$C$132+IHS!G32+SITES!G32/Prices!$C$160+(TOWR!G32/1000)/Prices!$C$152+(TBIG!G32/1000)/Prices!$C$152+HTWS!G32/Prices!$C$133</f>
        <v>-410.60671381324681</v>
      </c>
      <c r="H32" s="233">
        <f t="shared" si="0"/>
        <v>0.15626303260590846</v>
      </c>
      <c r="I32" s="5"/>
      <c r="J32" s="214"/>
      <c r="K32" s="214"/>
      <c r="L32" s="214"/>
      <c r="M32" s="214"/>
      <c r="N32" s="214"/>
      <c r="O32" s="211"/>
      <c r="Q32" s="5"/>
      <c r="S32" s="26"/>
      <c r="T32" s="26"/>
      <c r="U32" s="26"/>
      <c r="V32" s="113" t="s">
        <v>481</v>
      </c>
      <c r="W32" s="242">
        <f>M17/E45</f>
        <v>0.91398190101594223</v>
      </c>
      <c r="X32" s="242">
        <v>1</v>
      </c>
    </row>
    <row r="33" spans="2:24">
      <c r="B33" s="5" t="s">
        <v>3</v>
      </c>
      <c r="C33" s="288">
        <f>ChinaTow!C33/Prices!$C$155+BHIN!C33/Prices!$C$132+IHS!C33+SITES!C33/Prices!$C$160+(TOWR!C33/1000)/Prices!$C$152+(TBIG!C33/1000)/Prices!$C$152+HTWS!C33/Prices!$C$133</f>
        <v>-63.179698789767912</v>
      </c>
      <c r="D33" s="273">
        <f>ChinaTow!D33/Prices!$C$155+BHIN!D33/Prices!$C$132+IHS!D33+SITES!D33/Prices!$C$160+(TOWR!D33/1000)/Prices!$C$152+(TBIG!D33/1000)/Prices!$C$152+HTWS!D33/Prices!$C$133</f>
        <v>118.17930305092403</v>
      </c>
      <c r="E33" s="273">
        <f>ChinaTow!E33/Prices!$C$155+BHIN!E33/Prices!$C$132+IHS!E33+SITES!E33/Prices!$C$160+(TOWR!E33/1000)/Prices!$C$152+(TBIG!E33/1000)/Prices!$C$152+HTWS!E33/Prices!$C$133</f>
        <v>153.1527557588212</v>
      </c>
      <c r="F33" s="273">
        <f>ChinaTow!F33/Prices!$C$155+BHIN!F33/Prices!$C$132+IHS!F33+SITES!F33/Prices!$C$160+(TOWR!F33/1000)/Prices!$C$152+(TBIG!F33/1000)/Prices!$C$152+HTWS!F33/Prices!$C$133</f>
        <v>176.10846927217835</v>
      </c>
      <c r="G33" s="273">
        <f>ChinaTow!G33/Prices!$C$155+BHIN!G33/Prices!$C$132+IHS!G33+SITES!G33/Prices!$C$160+(TOWR!G33/1000)/Prices!$C$152+(TBIG!G33/1000)/Prices!$C$152+HTWS!G33/Prices!$C$133</f>
        <v>194.43709990866054</v>
      </c>
      <c r="H33" s="233">
        <f t="shared" si="0"/>
        <v>0.18053600414293403</v>
      </c>
      <c r="I33" s="33"/>
      <c r="J33" s="214"/>
      <c r="K33" s="214"/>
      <c r="L33" s="214"/>
      <c r="M33" s="214"/>
      <c r="N33" s="214"/>
      <c r="O33" s="211"/>
      <c r="Q33" s="5"/>
      <c r="S33" s="26"/>
      <c r="T33" s="26"/>
      <c r="U33" s="26"/>
      <c r="V33" s="113" t="s">
        <v>482</v>
      </c>
      <c r="W33" s="242">
        <f>M19/E47</f>
        <v>0.61290233823491569</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0" si="2">D$18/D23</f>
        <v>2.8753856370989439</v>
      </c>
      <c r="E37" s="430">
        <f t="shared" si="2"/>
        <v>2.5588631440779301</v>
      </c>
      <c r="F37" s="430">
        <f t="shared" si="2"/>
        <v>2.2791060394933726</v>
      </c>
      <c r="G37" s="430">
        <f t="shared" si="2"/>
        <v>2.0260816488517763</v>
      </c>
      <c r="H37" s="13">
        <f t="shared" ref="H37:H41" si="3">H23</f>
        <v>4.4299853446136295E-2</v>
      </c>
      <c r="I37" s="217"/>
      <c r="J37" s="217"/>
      <c r="K37" s="217"/>
      <c r="L37" s="217"/>
      <c r="M37" s="217"/>
      <c r="N37" s="217"/>
      <c r="O37" s="14"/>
      <c r="Q37" s="5"/>
      <c r="R37" s="5"/>
      <c r="S37" s="26"/>
      <c r="T37" s="26"/>
      <c r="U37" s="26"/>
      <c r="V37" s="26"/>
      <c r="W37" s="26"/>
      <c r="X37" s="26"/>
    </row>
    <row r="38" spans="2:24">
      <c r="B38" s="5" t="s">
        <v>158</v>
      </c>
      <c r="C38" s="207"/>
      <c r="D38" s="430">
        <f t="shared" si="2"/>
        <v>4.4484146973524972</v>
      </c>
      <c r="E38" s="430">
        <f t="shared" si="2"/>
        <v>3.9480925890218517</v>
      </c>
      <c r="F38" s="430">
        <f t="shared" si="2"/>
        <v>3.5183466460380162</v>
      </c>
      <c r="G38" s="430">
        <f t="shared" si="2"/>
        <v>3.129360275503688</v>
      </c>
      <c r="H38" s="13">
        <f t="shared" si="3"/>
        <v>4.4869532220161101E-2</v>
      </c>
      <c r="I38" s="13"/>
      <c r="J38" s="13"/>
      <c r="K38" s="13"/>
      <c r="L38" s="13"/>
      <c r="M38" s="13"/>
      <c r="N38" s="13"/>
      <c r="O38" s="5"/>
      <c r="Q38" s="5"/>
      <c r="R38" s="5"/>
      <c r="S38" s="26"/>
      <c r="T38" s="26"/>
      <c r="U38" s="26"/>
      <c r="V38" s="26"/>
      <c r="W38" s="26"/>
      <c r="X38" s="26"/>
    </row>
    <row r="39" spans="2:24">
      <c r="B39" s="5" t="s">
        <v>159</v>
      </c>
      <c r="C39" s="207"/>
      <c r="D39" s="430">
        <f t="shared" si="2"/>
        <v>6.467357750034668</v>
      </c>
      <c r="E39" s="430">
        <f t="shared" si="2"/>
        <v>5.6816273495521736</v>
      </c>
      <c r="F39" s="430">
        <f t="shared" si="2"/>
        <v>5.0275068119418096</v>
      </c>
      <c r="G39" s="430">
        <f t="shared" si="2"/>
        <v>4.4520069956270758</v>
      </c>
      <c r="H39" s="13">
        <f t="shared" si="3"/>
        <v>5.2452524167129866E-2</v>
      </c>
      <c r="I39" s="5"/>
      <c r="J39" s="5"/>
      <c r="K39" s="5"/>
      <c r="L39" s="5"/>
      <c r="M39" s="5"/>
      <c r="N39" s="5"/>
      <c r="O39" s="5"/>
      <c r="Q39" s="5"/>
      <c r="R39" s="5"/>
      <c r="S39" s="26"/>
      <c r="T39" s="26"/>
      <c r="U39" s="26"/>
      <c r="V39" s="26"/>
      <c r="W39" s="242"/>
      <c r="X39" s="242"/>
    </row>
    <row r="40" spans="2:24">
      <c r="B40" s="5" t="s">
        <v>381</v>
      </c>
      <c r="C40" s="207"/>
      <c r="D40" s="430">
        <f t="shared" si="2"/>
        <v>7.1880123213702038</v>
      </c>
      <c r="E40" s="430">
        <f t="shared" si="2"/>
        <v>6.2974410157328773</v>
      </c>
      <c r="F40" s="430">
        <f t="shared" si="2"/>
        <v>5.5805415685706015</v>
      </c>
      <c r="G40" s="430">
        <f t="shared" si="2"/>
        <v>4.9453375933267081</v>
      </c>
      <c r="H40" s="13">
        <f t="shared" si="3"/>
        <v>5.2647882819422342E-2</v>
      </c>
      <c r="I40" s="207"/>
      <c r="J40" s="217"/>
      <c r="K40" s="217"/>
      <c r="L40" s="217"/>
      <c r="M40" s="217"/>
      <c r="N40" s="217"/>
      <c r="O40" s="14"/>
      <c r="Q40" s="5"/>
      <c r="R40" s="5"/>
      <c r="S40" s="26"/>
      <c r="T40" s="26"/>
      <c r="U40" s="26"/>
      <c r="V40" s="26"/>
      <c r="W40" s="242"/>
      <c r="X40" s="242"/>
    </row>
    <row r="41" spans="2:24">
      <c r="B41" s="5" t="s">
        <v>434</v>
      </c>
      <c r="D41" s="430">
        <f>D18/D27</f>
        <v>1.1929325059828397</v>
      </c>
      <c r="E41" s="430">
        <f t="shared" ref="E41:G41" si="4">E18/E27</f>
        <v>1.1316043698700911</v>
      </c>
      <c r="F41" s="430">
        <f t="shared" si="4"/>
        <v>1.053443256852002</v>
      </c>
      <c r="G41" s="430">
        <f t="shared" si="4"/>
        <v>0.96594025199218903</v>
      </c>
      <c r="H41" s="13">
        <f t="shared" si="3"/>
        <v>-2.9872751084933924E-3</v>
      </c>
      <c r="I41" s="208"/>
      <c r="J41" s="13"/>
      <c r="K41" s="13"/>
      <c r="L41" s="13"/>
      <c r="M41" s="13"/>
      <c r="N41" s="13"/>
      <c r="O41" s="5"/>
      <c r="Q41" s="5"/>
      <c r="R41" s="5"/>
      <c r="S41" s="26"/>
      <c r="T41" s="26"/>
      <c r="U41" s="26"/>
      <c r="V41" s="26"/>
      <c r="W41" s="242"/>
      <c r="X41" s="242"/>
    </row>
    <row r="42" spans="2:24">
      <c r="B42" s="5" t="s">
        <v>493</v>
      </c>
      <c r="D42" s="430">
        <f>IFERROR(D18/D28,"na")</f>
        <v>1.9987670824600938</v>
      </c>
      <c r="E42" s="430">
        <f>IFERROR(E18/E28,"na")</f>
        <v>2.0417321035179237</v>
      </c>
      <c r="F42" s="430">
        <f>IFERROR(F18/F28,"na")</f>
        <v>2.0361368094741659</v>
      </c>
      <c r="G42" s="430">
        <f>IFERROR(G18/G28,"na")</f>
        <v>1.9939520283492802</v>
      </c>
      <c r="H42" s="13">
        <f>H28</f>
        <v>-6.9974922183852928E-2</v>
      </c>
      <c r="I42" s="207"/>
      <c r="J42" s="5"/>
      <c r="K42" s="5"/>
      <c r="L42" s="5"/>
      <c r="M42" s="5"/>
      <c r="N42" s="5"/>
      <c r="O42" s="5"/>
      <c r="Q42" s="5"/>
      <c r="R42" s="5"/>
      <c r="S42" s="26"/>
      <c r="T42" s="26"/>
      <c r="U42" s="26"/>
      <c r="V42" s="26"/>
      <c r="W42" s="242"/>
      <c r="X42" s="242"/>
    </row>
    <row r="43" spans="2:24">
      <c r="B43" s="5" t="s">
        <v>390</v>
      </c>
      <c r="C43" s="207"/>
      <c r="D43" s="430">
        <f>L26/D29</f>
        <v>8.1064361166140024</v>
      </c>
      <c r="E43" s="430">
        <f>M26/E29</f>
        <v>7.7090040884711142</v>
      </c>
      <c r="F43" s="430">
        <f>N26/F29</f>
        <v>7.368419056291093</v>
      </c>
      <c r="G43" s="430">
        <f>O26/G29</f>
        <v>7.059772948743908</v>
      </c>
      <c r="H43" s="13">
        <f>H29</f>
        <v>4.3996397047496583E-2</v>
      </c>
      <c r="I43" s="207"/>
      <c r="J43" s="207"/>
      <c r="K43" s="207"/>
      <c r="L43" s="207"/>
      <c r="M43" s="207"/>
      <c r="N43" s="207"/>
      <c r="O43" s="14"/>
      <c r="Q43" s="5"/>
      <c r="R43" s="5"/>
      <c r="S43" s="26"/>
      <c r="T43" s="26"/>
      <c r="U43" s="26"/>
      <c r="V43" s="26"/>
      <c r="W43" s="255"/>
      <c r="X43" s="255"/>
    </row>
    <row r="44" spans="2:24">
      <c r="B44" s="5" t="s">
        <v>437</v>
      </c>
      <c r="C44" s="53"/>
      <c r="D44" s="430">
        <f>D11/D30</f>
        <v>13.436863988366767</v>
      </c>
      <c r="E44" s="430">
        <f>E11/E30</f>
        <v>9.7165411129508161</v>
      </c>
      <c r="F44" s="430">
        <f>F11/F30</f>
        <v>7.9288649416051227</v>
      </c>
      <c r="G44" s="430">
        <f>G11/G30</f>
        <v>7.0017311665269686</v>
      </c>
      <c r="H44" s="13">
        <f>H30</f>
        <v>0.23823898313652681</v>
      </c>
      <c r="I44" s="208"/>
      <c r="J44" s="208"/>
      <c r="K44" s="208"/>
      <c r="L44" s="208"/>
      <c r="M44" s="208"/>
      <c r="N44" s="208"/>
      <c r="O44" s="208"/>
      <c r="Q44" s="5"/>
      <c r="R44" s="5"/>
      <c r="S44" s="26"/>
      <c r="T44" s="26"/>
      <c r="U44" s="26"/>
      <c r="V44" s="26"/>
      <c r="W44" s="26"/>
      <c r="X44" s="26"/>
    </row>
    <row r="45" spans="2:24">
      <c r="B45" s="5" t="s">
        <v>481</v>
      </c>
      <c r="C45" s="207"/>
      <c r="D45" s="208">
        <f>D31/D11</f>
        <v>4.0111232057438634E-2</v>
      </c>
      <c r="E45" s="208">
        <f>E31/E11</f>
        <v>5.7479683884391737E-2</v>
      </c>
      <c r="F45" s="208">
        <f>F31/F11</f>
        <v>7.0370913013770742E-2</v>
      </c>
      <c r="G45" s="208">
        <f>G31/G11</f>
        <v>7.8768143947675784E-2</v>
      </c>
      <c r="H45" s="13">
        <f>H31</f>
        <v>0.24777183848156481</v>
      </c>
      <c r="I45" s="207"/>
      <c r="J45" s="207"/>
      <c r="K45" s="207"/>
      <c r="L45" s="207"/>
      <c r="M45" s="207"/>
      <c r="N45" s="207"/>
      <c r="O45" s="208"/>
      <c r="Q45" s="5"/>
      <c r="R45" s="5"/>
      <c r="S45" s="26"/>
      <c r="T45" s="26"/>
      <c r="U45" s="26"/>
      <c r="V45" s="26"/>
      <c r="W45" s="26"/>
      <c r="X45" s="26"/>
    </row>
    <row r="46" spans="2:24">
      <c r="B46" s="5" t="s">
        <v>505</v>
      </c>
      <c r="C46" s="207"/>
      <c r="D46" s="208">
        <f>(D31+D32)/D11</f>
        <v>3.4149277793105323E-2</v>
      </c>
      <c r="E46" s="208">
        <f>(E31+E32)/E11</f>
        <v>5.0189715809664123E-2</v>
      </c>
      <c r="F46" s="208">
        <f>(F31+F32)/F11</f>
        <v>6.1907116223455669E-2</v>
      </c>
      <c r="G46" s="208">
        <f>(G31+G32)/G11</f>
        <v>6.9451969034422772E-2</v>
      </c>
      <c r="H46" s="233">
        <f>((G31+G32)/(D31+D32))^(1/3)-1</f>
        <v>0.2624319853567012</v>
      </c>
      <c r="I46" s="13"/>
      <c r="J46" s="207"/>
      <c r="K46" s="207"/>
      <c r="L46" s="207"/>
      <c r="M46" s="207"/>
      <c r="N46" s="207"/>
      <c r="O46" s="14"/>
      <c r="Q46" s="5"/>
      <c r="R46" s="5"/>
      <c r="S46" s="26"/>
      <c r="T46" s="26"/>
      <c r="U46" s="26"/>
      <c r="V46" s="26"/>
      <c r="W46" s="26"/>
      <c r="X46" s="26"/>
    </row>
    <row r="47" spans="2:24">
      <c r="B47" s="5" t="s">
        <v>482</v>
      </c>
      <c r="C47" s="5"/>
      <c r="D47" s="208">
        <f>1/D43</f>
        <v>0.12335877142737449</v>
      </c>
      <c r="E47" s="208">
        <f>1/E43</f>
        <v>0.12971844203527005</v>
      </c>
      <c r="F47" s="208">
        <f>1/F43</f>
        <v>0.13571432248362811</v>
      </c>
      <c r="G47" s="208">
        <f>1/G43</f>
        <v>0.14164761491060734</v>
      </c>
      <c r="H47" s="13">
        <f>H29</f>
        <v>4.3996397047496583E-2</v>
      </c>
      <c r="I47" s="207"/>
      <c r="J47" s="208"/>
      <c r="K47" s="208"/>
      <c r="L47" s="208"/>
      <c r="M47" s="208"/>
      <c r="N47" s="208"/>
      <c r="O47" s="208"/>
      <c r="Q47" s="5"/>
      <c r="R47" s="5"/>
      <c r="S47" s="5"/>
      <c r="T47" s="5"/>
      <c r="U47" s="5"/>
    </row>
    <row r="48" spans="2:24">
      <c r="B48" s="5" t="s">
        <v>518</v>
      </c>
      <c r="C48" s="5"/>
      <c r="D48" s="248">
        <f>D31/D29</f>
        <v>0.34693313124747588</v>
      </c>
      <c r="E48" s="248">
        <f>E31/E29</f>
        <v>0.47267097249830853</v>
      </c>
      <c r="F48" s="248">
        <f>F31/F29</f>
        <v>0.55273011389769977</v>
      </c>
      <c r="G48" s="248">
        <f>G31/G29</f>
        <v>0.59231716049146255</v>
      </c>
      <c r="H48" s="13" t="s">
        <v>507</v>
      </c>
      <c r="I48" s="217"/>
      <c r="J48" s="207"/>
      <c r="K48" s="207"/>
      <c r="L48" s="207"/>
      <c r="M48" s="207"/>
      <c r="N48" s="207"/>
      <c r="O48" s="208"/>
      <c r="Q48" s="5"/>
      <c r="R48" s="5"/>
      <c r="S48" s="5"/>
      <c r="T48" s="5"/>
      <c r="U48" s="5"/>
    </row>
  </sheetData>
  <pageMargins left="0.75" right="0.75" top="1" bottom="1" header="0.5" footer="0.5"/>
  <pageSetup scale="69"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0">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263</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78</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427</v>
      </c>
      <c r="C11" s="225"/>
      <c r="D11" s="225">
        <f>'EM INCUMB'!D11+'EM CELLULAR'!D11</f>
        <v>753632.9403680882</v>
      </c>
      <c r="E11" s="225">
        <f>'EM INCUMB'!E11+'EM CELLULAR'!E11</f>
        <v>750299.54232772719</v>
      </c>
      <c r="F11" s="225">
        <f>'EM INCUMB'!F11+'EM CELLULAR'!F11</f>
        <v>746944.19316770509</v>
      </c>
      <c r="G11" s="225">
        <f>'EM INCUMB'!G11+'EM CELLULAR'!G11</f>
        <v>743581.74652765959</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188"/>
      <c r="D12" s="188">
        <f>'EM INCUMB'!D12+'EM CELLULAR'!D12</f>
        <v>127661.00955316961</v>
      </c>
      <c r="E12" s="188">
        <f>'EM INCUMB'!E12+'EM CELLULAR'!E12</f>
        <v>107320.53892608921</v>
      </c>
      <c r="F12" s="188">
        <f>'EM INCUMB'!F12+'EM CELLULAR'!F12</f>
        <v>99401.183507221955</v>
      </c>
      <c r="G12" s="188">
        <f>'EM INCUMB'!G12+'EM CELLULAR'!G12</f>
        <v>69678.100317557124</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188"/>
      <c r="D13" s="188">
        <f>'EM INCUMB'!D13+'EM CELLULAR'!D13</f>
        <v>12483.253630539808</v>
      </c>
      <c r="E13" s="188">
        <f>'EM INCUMB'!E13+'EM CELLULAR'!E13</f>
        <v>12045.101293868729</v>
      </c>
      <c r="F13" s="188">
        <f>'EM INCUMB'!F13+'EM CELLULAR'!F13</f>
        <v>11813.114745525316</v>
      </c>
      <c r="G13" s="188">
        <f>'EM INCUMB'!G13+'EM CELLULAR'!G13</f>
        <v>11594.760017953573</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188"/>
      <c r="D14" s="188">
        <f>'EM INCUMB'!D14+'EM CELLULAR'!D14</f>
        <v>51060.335450045633</v>
      </c>
      <c r="E14" s="188">
        <f>'EM INCUMB'!E14+'EM CELLULAR'!E14</f>
        <v>49113.415339312531</v>
      </c>
      <c r="F14" s="188">
        <f>'EM INCUMB'!F14+'EM CELLULAR'!F14</f>
        <v>49110.090743446897</v>
      </c>
      <c r="G14" s="188">
        <f>'EM INCUMB'!G14+'EM CELLULAR'!G14</f>
        <v>49108.428445514073</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188"/>
      <c r="D15" s="188">
        <f>'EM INCUMB'!D15+'EM CELLULAR'!D15</f>
        <v>39007.8776157299</v>
      </c>
      <c r="E15" s="188">
        <f>'EM INCUMB'!E15+'EM CELLULAR'!E15</f>
        <v>38999.026906982152</v>
      </c>
      <c r="F15" s="188">
        <f>'EM INCUMB'!F15+'EM CELLULAR'!F15</f>
        <v>39017.613238763603</v>
      </c>
      <c r="G15" s="188">
        <f>'EM INCUMB'!G15+'EM CELLULAR'!G15</f>
        <v>39061.878867832427</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188"/>
      <c r="D16" s="188">
        <f>'EM INCUMB'!D16+'EM CELLULAR'!D16</f>
        <v>10308.055503282372</v>
      </c>
      <c r="E16" s="188">
        <f>'EM INCUMB'!E16+'EM CELLULAR'!E16</f>
        <v>39897.175100283624</v>
      </c>
      <c r="F16" s="188">
        <f>'EM INCUMB'!F16+'EM CELLULAR'!F16</f>
        <v>73759.181812427822</v>
      </c>
      <c r="G16" s="188">
        <f>'EM INCUMB'!G16+'EM CELLULAR'!G16</f>
        <v>111238.07107325176</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188"/>
      <c r="D17" s="188">
        <f>'EM INCUMB'!D17+'EM CELLULAR'!D17</f>
        <v>2018.9438979752213</v>
      </c>
      <c r="E17" s="188">
        <f>'EM INCUMB'!E17+'EM CELLULAR'!E17</f>
        <v>2018.9438979752213</v>
      </c>
      <c r="F17" s="188">
        <f>'EM INCUMB'!F17+'EM CELLULAR'!F17</f>
        <v>2018.9438979752213</v>
      </c>
      <c r="G17" s="188">
        <f>'EM INCUMB'!G17+'EM CELLULAR'!G17</f>
        <v>2018.9438979752213</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76</v>
      </c>
      <c r="C18" s="189"/>
      <c r="D18" s="229">
        <f>'EM INCUMB'!D18+'EM CELLULAR'!D18</f>
        <v>872906.30652206531</v>
      </c>
      <c r="E18" s="229">
        <f>'EM INCUMB'!E18+'EM CELLULAR'!E18</f>
        <v>821143.23532293714</v>
      </c>
      <c r="F18" s="229">
        <f>'EM INCUMB'!F18+'EM CELLULAR'!F18</f>
        <v>775796.44841120718</v>
      </c>
      <c r="G18" s="229">
        <f>'EM INCUMB'!G18+'EM CELLULAR'!G18</f>
        <v>705059.60252010287</v>
      </c>
      <c r="H18" s="230">
        <f>IF(D18=0,"nm",IF(G18=0,"nm",(G18/D18)^(1/3)-1))</f>
        <v>-6.8707582714456983E-2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72"/>
      <c r="U18" s="72"/>
      <c r="V18" s="26"/>
      <c r="W18" s="26"/>
      <c r="X18" s="26"/>
    </row>
    <row r="19" spans="2:24" ht="12.6" thickTop="1">
      <c r="B19" s="25"/>
      <c r="C19" s="18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'W.EUR AGG'!H47</f>
        <v>0.12929504760505051</v>
      </c>
      <c r="S19" s="72"/>
      <c r="T19" s="72"/>
      <c r="U19" s="72"/>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'W.EUR AGG'!H48</f>
        <v>nm</v>
      </c>
      <c r="S20" s="26"/>
      <c r="T20" s="26"/>
      <c r="U20" s="26"/>
      <c r="V20" s="26"/>
      <c r="W20" s="26"/>
      <c r="X20" s="26"/>
    </row>
    <row r="21" spans="2:24" ht="12.6" thickBot="1">
      <c r="B21" s="249" t="s">
        <v>256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'EM INCUMB'!C23+'EM CELLULAR'!C23</f>
        <v>502446.00285353523</v>
      </c>
      <c r="D23" s="188">
        <f>'EM INCUMB'!D23+'EM CELLULAR'!D23</f>
        <v>516229.16741516558</v>
      </c>
      <c r="E23" s="188">
        <f>'EM INCUMB'!E23+'EM CELLULAR'!E23</f>
        <v>544789.53900789924</v>
      </c>
      <c r="F23" s="188">
        <f>'EM INCUMB'!F23+'EM CELLULAR'!F23</f>
        <v>566641.73734698992</v>
      </c>
      <c r="G23" s="188">
        <f>'EM INCUMB'!G23+'EM CELLULAR'!G23</f>
        <v>588357.54625188443</v>
      </c>
      <c r="H23" s="233">
        <f t="shared" ref="H23:H33" si="0">IF(D23=0,"nm",IF(G23=0,"nm",(G23/D23)^(1/3)-1))</f>
        <v>4.4558890265639972E-2</v>
      </c>
      <c r="I23" s="209"/>
      <c r="J23" s="249" t="s">
        <v>7</v>
      </c>
      <c r="K23" s="249"/>
      <c r="L23" s="219" t="str">
        <f>L5</f>
        <v>2025E</v>
      </c>
      <c r="M23" s="219" t="str">
        <f>M5</f>
        <v>2026E</v>
      </c>
      <c r="N23" s="219" t="str">
        <f>N5</f>
        <v>2027E</v>
      </c>
      <c r="O23" s="219" t="str">
        <f>O5</f>
        <v>2028E</v>
      </c>
      <c r="P23" s="236" t="str">
        <f>P5</f>
        <v>2025-28</v>
      </c>
      <c r="S23" s="26"/>
      <c r="T23" s="26"/>
      <c r="U23" s="26"/>
      <c r="V23" s="26"/>
      <c r="W23" s="26" t="s">
        <v>24</v>
      </c>
      <c r="X23" s="26" t="s">
        <v>508</v>
      </c>
    </row>
    <row r="24" spans="2:24" ht="12.6" thickTop="1">
      <c r="B24" s="5" t="s">
        <v>397</v>
      </c>
      <c r="C24" s="288">
        <f>'EM INCUMB'!C24+'EM CELLULAR'!C24</f>
        <v>166324.93926234014</v>
      </c>
      <c r="D24" s="188">
        <f>'EM INCUMB'!D24+'EM CELLULAR'!D24</f>
        <v>175439.71041758533</v>
      </c>
      <c r="E24" s="188">
        <f>'EM INCUMB'!E24+'EM CELLULAR'!E24</f>
        <v>187450.80908818718</v>
      </c>
      <c r="F24" s="188">
        <f>'EM INCUMB'!F24+'EM CELLULAR'!F24</f>
        <v>199694.68888142583</v>
      </c>
      <c r="G24" s="188">
        <f>'EM INCUMB'!G24+'EM CELLULAR'!G24</f>
        <v>210100.47634656471</v>
      </c>
      <c r="H24" s="233">
        <f t="shared" si="0"/>
        <v>6.193934493836073E-2</v>
      </c>
      <c r="I24" s="208"/>
      <c r="J24" s="13"/>
      <c r="K24" s="13"/>
      <c r="L24" s="13"/>
      <c r="M24" s="13"/>
      <c r="N24" s="13"/>
      <c r="O24" s="208"/>
      <c r="S24" s="26"/>
      <c r="T24" s="26"/>
      <c r="U24" s="26"/>
      <c r="V24" s="113" t="s">
        <v>225</v>
      </c>
      <c r="W24" s="280">
        <f t="shared" ref="W24:W31" si="1">E37/M9</f>
        <v>0.63332151651278479</v>
      </c>
      <c r="X24" s="242">
        <v>1</v>
      </c>
    </row>
    <row r="25" spans="2:24">
      <c r="B25" s="5" t="s">
        <v>157</v>
      </c>
      <c r="C25" s="288">
        <f>'EM INCUMB'!C25+'EM CELLULAR'!C25</f>
        <v>86249.038946749148</v>
      </c>
      <c r="D25" s="188">
        <f>'EM INCUMB'!D25+'EM CELLULAR'!D25</f>
        <v>99055.360112140232</v>
      </c>
      <c r="E25" s="188">
        <f>'EM INCUMB'!E25+'EM CELLULAR'!E25</f>
        <v>109396.42660042511</v>
      </c>
      <c r="F25" s="188">
        <f>'EM INCUMB'!F25+'EM CELLULAR'!F25</f>
        <v>121339.89187731108</v>
      </c>
      <c r="G25" s="188">
        <f>'EM INCUMB'!G25+'EM CELLULAR'!G25</f>
        <v>131703.60245915543</v>
      </c>
      <c r="H25" s="233">
        <f t="shared" si="0"/>
        <v>9.9613064453166533E-2</v>
      </c>
      <c r="I25" s="209"/>
      <c r="J25" s="207" t="s">
        <v>8</v>
      </c>
      <c r="K25" s="207"/>
      <c r="L25" s="258">
        <f>'EM INCUMB'!L25+'EM CELLULAR'!L25</f>
        <v>-1516.5228696029483</v>
      </c>
      <c r="M25" s="258">
        <f>'EM INCUMB'!M25+'EM CELLULAR'!M25</f>
        <v>-1296.9362597233235</v>
      </c>
      <c r="N25" s="258">
        <f>'EM INCUMB'!N25+'EM CELLULAR'!N25</f>
        <v>-1565.7089841795005</v>
      </c>
      <c r="O25" s="258">
        <f>'EM INCUMB'!O25+'EM CELLULAR'!O25</f>
        <v>-1565.7089841795005</v>
      </c>
      <c r="P25" s="233">
        <f>IF(L25=0,"nm",IF(O25=0,"nm",(O25/L25)^(1/3)-1))</f>
        <v>1.0696340463245413E-2</v>
      </c>
      <c r="Q25" s="5"/>
      <c r="S25" s="26"/>
      <c r="T25" s="26"/>
      <c r="U25" s="26"/>
      <c r="V25" s="113" t="s">
        <v>158</v>
      </c>
      <c r="W25" s="280">
        <f t="shared" si="1"/>
        <v>0.63631543938410229</v>
      </c>
      <c r="X25" s="242">
        <v>1</v>
      </c>
    </row>
    <row r="26" spans="2:24">
      <c r="B26" s="5" t="s">
        <v>487</v>
      </c>
      <c r="C26" s="288">
        <f>'EM INCUMB'!C26+'EM CELLULAR'!C26</f>
        <v>66582.597625796974</v>
      </c>
      <c r="D26" s="188">
        <f>'EM INCUMB'!D26+'EM CELLULAR'!D26</f>
        <v>75341.785577134113</v>
      </c>
      <c r="E26" s="188">
        <f>'EM INCUMB'!E26+'EM CELLULAR'!E26</f>
        <v>82795.125679942168</v>
      </c>
      <c r="F26" s="188">
        <f>'EM INCUMB'!F26+'EM CELLULAR'!F26</f>
        <v>91576.305200253002</v>
      </c>
      <c r="G26" s="188">
        <f>'EM INCUMB'!G26+'EM CELLULAR'!G26</f>
        <v>99395.667508453218</v>
      </c>
      <c r="H26" s="233">
        <f t="shared" si="0"/>
        <v>9.6757253507685714E-2</v>
      </c>
      <c r="I26" s="209"/>
      <c r="J26" s="209" t="s">
        <v>9</v>
      </c>
      <c r="K26" s="209"/>
      <c r="L26" s="235">
        <f>'EM INCUMB'!L26+'EM CELLULAR'!L26</f>
        <v>747488.31580329605</v>
      </c>
      <c r="M26" s="235">
        <f>'EM INCUMB'!M26+'EM CELLULAR'!M26</f>
        <v>744417.12937281455</v>
      </c>
      <c r="N26" s="235">
        <f>'EM INCUMB'!N26+'EM CELLULAR'!N26</f>
        <v>740835.63248833641</v>
      </c>
      <c r="O26" s="235">
        <f>'EM INCUMB'!O26+'EM CELLULAR'!O26</f>
        <v>737515.8108482908</v>
      </c>
      <c r="P26" s="233">
        <f>IF(L26=0,"nm",IF(O26=0,"nm",(O26/L26)^(1/3)-1))</f>
        <v>-4.4670421839344554E-3</v>
      </c>
      <c r="Q26" s="25"/>
      <c r="S26" s="26"/>
      <c r="T26" s="26"/>
      <c r="U26" s="26"/>
      <c r="V26" s="113" t="s">
        <v>159</v>
      </c>
      <c r="W26" s="280">
        <f t="shared" si="1"/>
        <v>0.63012542217846101</v>
      </c>
      <c r="X26" s="242">
        <v>1</v>
      </c>
    </row>
    <row r="27" spans="2:24">
      <c r="B27" s="5" t="s">
        <v>488</v>
      </c>
      <c r="C27" s="288">
        <f>'EM INCUMB'!C27+'EM CELLULAR'!C27</f>
        <v>603295.6125379561</v>
      </c>
      <c r="D27" s="188">
        <f>'EM INCUMB'!D27+'EM CELLULAR'!D27</f>
        <v>596851.04577454098</v>
      </c>
      <c r="E27" s="188">
        <f>'EM INCUMB'!E27+'EM CELLULAR'!E27</f>
        <v>597815.99011874478</v>
      </c>
      <c r="F27" s="188">
        <f>'EM INCUMB'!F27+'EM CELLULAR'!F27</f>
        <v>607673.56826736243</v>
      </c>
      <c r="G27" s="188">
        <f>'EM INCUMB'!G27+'EM CELLULAR'!G27</f>
        <v>600297.09037363343</v>
      </c>
      <c r="H27" s="233">
        <f t="shared" si="0"/>
        <v>1.9208777252657239E-3</v>
      </c>
      <c r="I27" s="208"/>
      <c r="J27" s="208"/>
      <c r="K27" s="208"/>
      <c r="L27" s="208"/>
      <c r="M27" s="208"/>
      <c r="N27" s="208"/>
      <c r="O27" s="208"/>
      <c r="Q27" s="5"/>
      <c r="S27" s="26"/>
      <c r="T27" s="26"/>
      <c r="U27" s="26"/>
      <c r="V27" s="113" t="s">
        <v>381</v>
      </c>
      <c r="W27" s="280">
        <f t="shared" si="1"/>
        <v>0.58338187098338379</v>
      </c>
      <c r="X27" s="242">
        <v>1</v>
      </c>
    </row>
    <row r="28" spans="2:24" ht="12.6" thickBot="1">
      <c r="B28" s="5" t="s">
        <v>492</v>
      </c>
      <c r="C28" s="288">
        <f>'EM INCUMB'!C28+'EM CELLULAR'!C28</f>
        <v>413639.54848054633</v>
      </c>
      <c r="D28" s="188">
        <f>'EM INCUMB'!D28+'EM CELLULAR'!D28</f>
        <v>393286.30355085962</v>
      </c>
      <c r="E28" s="188">
        <f>'EM INCUMB'!E28+'EM CELLULAR'!E28</f>
        <v>379970.95938988158</v>
      </c>
      <c r="F28" s="188">
        <f>'EM INCUMB'!F28+'EM CELLULAR'!F28</f>
        <v>361150.37771171751</v>
      </c>
      <c r="G28" s="188">
        <f>'EM INCUMB'!G28+'EM CELLULAR'!G28</f>
        <v>342331.25922450924</v>
      </c>
      <c r="H28" s="233">
        <f t="shared" si="0"/>
        <v>-4.5199630283956016E-2</v>
      </c>
      <c r="I28" s="212"/>
      <c r="J28" s="249" t="s">
        <v>628</v>
      </c>
      <c r="K28" s="249"/>
      <c r="L28" s="249"/>
      <c r="M28" s="249"/>
      <c r="N28" s="220"/>
      <c r="O28" s="220"/>
      <c r="P28" s="220"/>
      <c r="Q28" s="5"/>
      <c r="S28" s="26"/>
      <c r="T28" s="26"/>
      <c r="U28" s="26"/>
      <c r="V28" s="113" t="s">
        <v>434</v>
      </c>
      <c r="W28" s="280">
        <f t="shared" si="1"/>
        <v>0.90832788588069591</v>
      </c>
      <c r="X28" s="242">
        <v>1</v>
      </c>
    </row>
    <row r="29" spans="2:24" ht="12.6" thickTop="1">
      <c r="B29" s="5" t="s">
        <v>489</v>
      </c>
      <c r="C29" s="288">
        <f>'EM INCUMB'!C29+'EM CELLULAR'!C29</f>
        <v>43337.586672324804</v>
      </c>
      <c r="D29" s="188">
        <f>'EM INCUMB'!D29+'EM CELLULAR'!D29</f>
        <v>49486.688977509424</v>
      </c>
      <c r="E29" s="188">
        <f>'EM INCUMB'!E29+'EM CELLULAR'!E29</f>
        <v>59184.687668937069</v>
      </c>
      <c r="F29" s="188">
        <f>'EM INCUMB'!F29+'EM CELLULAR'!F29</f>
        <v>66114.657439569419</v>
      </c>
      <c r="G29" s="188">
        <f>'EM INCUMB'!G29+'EM CELLULAR'!G29</f>
        <v>73190.438639270724</v>
      </c>
      <c r="H29" s="233">
        <f t="shared" si="0"/>
        <v>0.13934517517401579</v>
      </c>
      <c r="I29" s="214"/>
      <c r="J29" s="209"/>
      <c r="K29" s="209"/>
      <c r="L29" s="209"/>
      <c r="M29" s="209"/>
      <c r="N29" s="209"/>
      <c r="O29" s="211"/>
      <c r="Q29" s="5"/>
      <c r="S29" s="26"/>
      <c r="T29" s="26"/>
      <c r="U29" s="26"/>
      <c r="V29" s="113" t="s">
        <v>493</v>
      </c>
      <c r="W29" s="280">
        <f t="shared" si="1"/>
        <v>0.62647516476986065</v>
      </c>
      <c r="X29" s="242">
        <v>1</v>
      </c>
    </row>
    <row r="30" spans="2:24">
      <c r="B30" s="5" t="s">
        <v>490</v>
      </c>
      <c r="C30" s="288">
        <f>'EM INCUMB'!C30+'EM CELLULAR'!C30</f>
        <v>42553.44543868766</v>
      </c>
      <c r="D30" s="188">
        <f>'EM INCUMB'!D30+'EM CELLULAR'!D30</f>
        <v>49816.493685394431</v>
      </c>
      <c r="E30" s="188">
        <f>'EM INCUMB'!E30+'EM CELLULAR'!E30</f>
        <v>57661.335144585872</v>
      </c>
      <c r="F30" s="188">
        <f>'EM INCUMB'!F30+'EM CELLULAR'!F30</f>
        <v>65756.805287734591</v>
      </c>
      <c r="G30" s="188">
        <f>'EM INCUMB'!G30+'EM CELLULAR'!G30</f>
        <v>73678.08666289298</v>
      </c>
      <c r="H30" s="233">
        <f t="shared" si="0"/>
        <v>0.13934450175390167</v>
      </c>
      <c r="I30" s="214"/>
      <c r="J30" s="208"/>
      <c r="K30" s="208"/>
      <c r="L30" s="208"/>
      <c r="M30" s="208"/>
      <c r="N30" s="208"/>
      <c r="O30" s="5"/>
      <c r="Q30" s="5"/>
      <c r="S30" s="26"/>
      <c r="T30" s="26"/>
      <c r="U30" s="26"/>
      <c r="V30" s="113" t="s">
        <v>390</v>
      </c>
      <c r="W30" s="280">
        <f t="shared" si="1"/>
        <v>0.93752468458400784</v>
      </c>
      <c r="X30" s="242">
        <v>1</v>
      </c>
    </row>
    <row r="31" spans="2:24">
      <c r="B31" s="5" t="s">
        <v>491</v>
      </c>
      <c r="C31" s="288">
        <f>'EM INCUMB'!C31+'EM CELLULAR'!C31</f>
        <v>31634.137135980036</v>
      </c>
      <c r="D31" s="188">
        <f>'EM INCUMB'!D31+'EM CELLULAR'!D31</f>
        <v>34148.432306371309</v>
      </c>
      <c r="E31" s="188">
        <f>'EM INCUMB'!E31+'EM CELLULAR'!E31</f>
        <v>39417.279633071084</v>
      </c>
      <c r="F31" s="188">
        <f>'EM INCUMB'!F31+'EM CELLULAR'!F31</f>
        <v>44021.722884214716</v>
      </c>
      <c r="G31" s="188">
        <f>'EM INCUMB'!G31+'EM CELLULAR'!G31</f>
        <v>48933.378115973683</v>
      </c>
      <c r="H31" s="233">
        <f t="shared" si="0"/>
        <v>0.12740029080856541</v>
      </c>
      <c r="I31" s="214"/>
      <c r="J31" s="212"/>
      <c r="K31" s="212"/>
      <c r="L31" s="212"/>
      <c r="M31" s="212"/>
      <c r="N31" s="212"/>
      <c r="O31" s="5"/>
      <c r="Q31" s="5"/>
      <c r="S31" s="26"/>
      <c r="T31" s="26"/>
      <c r="U31" s="26"/>
      <c r="V31" s="113" t="s">
        <v>437</v>
      </c>
      <c r="W31" s="280">
        <f t="shared" si="1"/>
        <v>1.0281297082505301</v>
      </c>
      <c r="X31" s="242">
        <v>1</v>
      </c>
    </row>
    <row r="32" spans="2:24">
      <c r="B32" s="5" t="s">
        <v>506</v>
      </c>
      <c r="C32" s="288">
        <f>'EM INCUMB'!C32+'EM CELLULAR'!C32</f>
        <v>1406.3439544866453</v>
      </c>
      <c r="D32" s="188">
        <f>'EM INCUMB'!D32+'EM CELLULAR'!D32</f>
        <v>952.8554850972705</v>
      </c>
      <c r="E32" s="188">
        <f>'EM INCUMB'!E32+'EM CELLULAR'!E32</f>
        <v>-4077.1110051180603</v>
      </c>
      <c r="F32" s="188">
        <f>'EM INCUMB'!F32+'EM CELLULAR'!F32</f>
        <v>2892.1141282190511</v>
      </c>
      <c r="G32" s="188">
        <f>'EM INCUMB'!G32+'EM CELLULAR'!G32</f>
        <v>2199.683204556804</v>
      </c>
      <c r="H32" s="233">
        <f t="shared" si="0"/>
        <v>0.32163348519563306</v>
      </c>
      <c r="I32" s="5"/>
      <c r="J32" s="214"/>
      <c r="K32" s="214"/>
      <c r="L32" s="214"/>
      <c r="M32" s="214"/>
      <c r="N32" s="214"/>
      <c r="O32" s="211"/>
      <c r="Q32" s="5"/>
      <c r="S32" s="26"/>
      <c r="T32" s="26"/>
      <c r="U32" s="26"/>
      <c r="V32" s="113" t="s">
        <v>481</v>
      </c>
      <c r="W32" s="242">
        <f>M17/E45</f>
        <v>0.74287522846019527</v>
      </c>
      <c r="X32" s="242">
        <v>1</v>
      </c>
    </row>
    <row r="33" spans="2:24">
      <c r="B33" s="5" t="s">
        <v>3</v>
      </c>
      <c r="C33" s="288">
        <f>'EM INCUMB'!C33+'EM CELLULAR'!C33</f>
        <v>7532.9681026525723</v>
      </c>
      <c r="D33" s="188">
        <f>'EM INCUMB'!D33+'EM CELLULAR'!D33</f>
        <v>7538.3659471981828</v>
      </c>
      <c r="E33" s="188">
        <f>'EM INCUMB'!E33+'EM CELLULAR'!E33</f>
        <v>7115.5440743993859</v>
      </c>
      <c r="F33" s="188">
        <f>'EM INCUMB'!F33+'EM CELLULAR'!F33</f>
        <v>7095.0006367281785</v>
      </c>
      <c r="G33" s="188">
        <f>'EM INCUMB'!G33+'EM CELLULAR'!G33</f>
        <v>6696.0156644174222</v>
      </c>
      <c r="H33" s="233">
        <f t="shared" si="0"/>
        <v>-3.8727728737568134E-2</v>
      </c>
      <c r="I33" s="33"/>
      <c r="J33" s="214"/>
      <c r="K33" s="214"/>
      <c r="L33" s="214"/>
      <c r="M33" s="214"/>
      <c r="N33" s="214"/>
      <c r="O33" s="211"/>
      <c r="Q33" s="5"/>
      <c r="S33" s="26"/>
      <c r="T33" s="26"/>
      <c r="U33" s="26"/>
      <c r="V33" s="113" t="s">
        <v>482</v>
      </c>
      <c r="W33" s="242">
        <f>M19/E47</f>
        <v>0.93752468458400795</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430"/>
      <c r="D37" s="430">
        <f t="shared" ref="D37:G41" si="2">D$18/D23</f>
        <v>1.6909279088061491</v>
      </c>
      <c r="E37" s="430">
        <f t="shared" si="2"/>
        <v>1.5072668921255312</v>
      </c>
      <c r="F37" s="430">
        <f t="shared" si="2"/>
        <v>1.369112787285097</v>
      </c>
      <c r="G37" s="430">
        <f t="shared" si="2"/>
        <v>1.1983522723753026</v>
      </c>
      <c r="H37" s="13">
        <f t="shared" ref="H37:H45" si="3">H23</f>
        <v>4.4558890265639972E-2</v>
      </c>
      <c r="I37" s="217"/>
      <c r="J37" s="217"/>
      <c r="K37" s="217"/>
      <c r="L37" s="217"/>
      <c r="M37" s="217"/>
      <c r="N37" s="217"/>
      <c r="O37" s="14"/>
      <c r="Q37" s="5"/>
      <c r="R37" s="5"/>
      <c r="S37" s="26"/>
      <c r="T37" s="26"/>
      <c r="U37" s="26"/>
      <c r="V37" s="26"/>
      <c r="W37" s="26"/>
      <c r="X37" s="26"/>
    </row>
    <row r="38" spans="2:24">
      <c r="B38" s="5" t="s">
        <v>158</v>
      </c>
      <c r="C38" s="430"/>
      <c r="D38" s="430">
        <f t="shared" si="2"/>
        <v>4.9755343556162694</v>
      </c>
      <c r="E38" s="430">
        <f t="shared" si="2"/>
        <v>4.3805798402109115</v>
      </c>
      <c r="F38" s="430">
        <f t="shared" si="2"/>
        <v>3.8849127773841672</v>
      </c>
      <c r="G38" s="430">
        <f t="shared" si="2"/>
        <v>3.3558210565743494</v>
      </c>
      <c r="H38" s="13">
        <f t="shared" si="3"/>
        <v>6.193934493836073E-2</v>
      </c>
      <c r="I38" s="13"/>
      <c r="J38" s="13"/>
      <c r="K38" s="13"/>
      <c r="L38" s="13"/>
      <c r="M38" s="13"/>
      <c r="N38" s="13"/>
      <c r="O38" s="5"/>
      <c r="Q38" s="5"/>
      <c r="R38" s="5"/>
      <c r="S38" s="26"/>
      <c r="T38" s="26"/>
      <c r="U38" s="26"/>
      <c r="V38" s="26"/>
      <c r="W38" s="26"/>
      <c r="X38" s="26"/>
    </row>
    <row r="39" spans="2:24">
      <c r="B39" s="5" t="s">
        <v>159</v>
      </c>
      <c r="C39" s="430"/>
      <c r="D39" s="430">
        <f t="shared" si="2"/>
        <v>8.8123076382121184</v>
      </c>
      <c r="E39" s="430">
        <f t="shared" si="2"/>
        <v>7.5061248419219044</v>
      </c>
      <c r="F39" s="430">
        <f t="shared" si="2"/>
        <v>6.3935811744057656</v>
      </c>
      <c r="G39" s="430">
        <f t="shared" si="2"/>
        <v>5.3533812997921562</v>
      </c>
      <c r="H39" s="13">
        <f t="shared" si="3"/>
        <v>9.9613064453166533E-2</v>
      </c>
      <c r="I39" s="5"/>
      <c r="J39" s="5"/>
      <c r="K39" s="5"/>
      <c r="L39" s="5"/>
      <c r="M39" s="5"/>
      <c r="N39" s="5"/>
      <c r="O39" s="5"/>
      <c r="Q39" s="5"/>
      <c r="R39" s="5"/>
      <c r="S39" s="26"/>
      <c r="T39" s="26"/>
      <c r="U39" s="26"/>
      <c r="V39" s="26"/>
      <c r="W39" s="242"/>
      <c r="X39" s="242"/>
    </row>
    <row r="40" spans="2:24">
      <c r="B40" s="5" t="s">
        <v>381</v>
      </c>
      <c r="C40" s="430"/>
      <c r="D40" s="430">
        <f t="shared" si="2"/>
        <v>11.585951936703083</v>
      </c>
      <c r="E40" s="430">
        <f t="shared" si="2"/>
        <v>9.9177726777926267</v>
      </c>
      <c r="F40" s="430">
        <f t="shared" si="2"/>
        <v>8.4715849445415703</v>
      </c>
      <c r="G40" s="430">
        <f t="shared" si="2"/>
        <v>7.0934641337374211</v>
      </c>
      <c r="H40" s="13">
        <f t="shared" si="3"/>
        <v>9.6757253507685714E-2</v>
      </c>
      <c r="I40" s="207"/>
      <c r="J40" s="217"/>
      <c r="K40" s="217"/>
      <c r="L40" s="217"/>
      <c r="M40" s="217"/>
      <c r="N40" s="217"/>
      <c r="O40" s="14"/>
      <c r="Q40" s="5"/>
      <c r="R40" s="5"/>
      <c r="S40" s="26"/>
      <c r="T40" s="26"/>
      <c r="U40" s="26"/>
      <c r="V40" s="26"/>
      <c r="W40" s="242"/>
      <c r="X40" s="242"/>
    </row>
    <row r="41" spans="2:24">
      <c r="B41" s="5" t="s">
        <v>434</v>
      </c>
      <c r="C41" s="430"/>
      <c r="D41" s="430">
        <f t="shared" si="2"/>
        <v>1.4625195225875562</v>
      </c>
      <c r="E41" s="430">
        <f t="shared" si="2"/>
        <v>1.3735718831472417</v>
      </c>
      <c r="F41" s="430">
        <f t="shared" si="2"/>
        <v>1.2766664356049044</v>
      </c>
      <c r="G41" s="430">
        <f t="shared" si="2"/>
        <v>1.1745177743261488</v>
      </c>
      <c r="H41" s="13">
        <f t="shared" si="3"/>
        <v>1.9208777252657239E-3</v>
      </c>
      <c r="I41" s="208"/>
      <c r="J41" s="13"/>
      <c r="K41" s="13"/>
      <c r="L41" s="13"/>
      <c r="M41" s="13"/>
      <c r="N41" s="13"/>
      <c r="O41" s="5"/>
      <c r="Q41" s="5"/>
      <c r="R41" s="5"/>
      <c r="S41" s="26"/>
      <c r="T41" s="26"/>
      <c r="U41" s="26"/>
      <c r="V41" s="26"/>
      <c r="W41" s="242"/>
      <c r="X41" s="242"/>
    </row>
    <row r="42" spans="2:24">
      <c r="B42" s="5" t="s">
        <v>493</v>
      </c>
      <c r="C42" s="430"/>
      <c r="D42" s="430">
        <f>D18/D28</f>
        <v>2.2195187033997015</v>
      </c>
      <c r="E42" s="430">
        <f>E18/E28</f>
        <v>2.1610684054419442</v>
      </c>
      <c r="F42" s="430">
        <f>F18/F28</f>
        <v>2.1481258120972373</v>
      </c>
      <c r="G42" s="430">
        <f>G18/G28</f>
        <v>2.0595828850607751</v>
      </c>
      <c r="H42" s="13">
        <f t="shared" si="3"/>
        <v>-4.5199630283956016E-2</v>
      </c>
      <c r="I42" s="207"/>
      <c r="J42" s="5"/>
      <c r="K42" s="5"/>
      <c r="L42" s="5"/>
      <c r="M42" s="5"/>
      <c r="N42" s="5"/>
      <c r="O42" s="5"/>
      <c r="Q42" s="5"/>
      <c r="R42" s="5"/>
      <c r="S42" s="26"/>
      <c r="T42" s="26"/>
      <c r="U42" s="26"/>
      <c r="V42" s="26"/>
      <c r="W42" s="242"/>
      <c r="X42" s="242"/>
    </row>
    <row r="43" spans="2:24">
      <c r="B43" s="5" t="s">
        <v>390</v>
      </c>
      <c r="C43" s="430"/>
      <c r="D43" s="430">
        <f>L26/D29</f>
        <v>15.104835891183031</v>
      </c>
      <c r="E43" s="430">
        <f>M26/E29</f>
        <v>12.577866990476997</v>
      </c>
      <c r="F43" s="430">
        <f>N26/F29</f>
        <v>11.205316055149801</v>
      </c>
      <c r="G43" s="430">
        <f>O26/G29</f>
        <v>10.076668818494726</v>
      </c>
      <c r="H43" s="13">
        <f t="shared" si="3"/>
        <v>0.13934517517401579</v>
      </c>
      <c r="I43" s="207"/>
      <c r="J43" s="207"/>
      <c r="K43" s="207"/>
      <c r="L43" s="207"/>
      <c r="M43" s="207"/>
      <c r="N43" s="207"/>
      <c r="O43" s="14"/>
      <c r="Q43" s="5"/>
      <c r="R43" s="5"/>
      <c r="S43" s="26"/>
      <c r="T43" s="26"/>
      <c r="U43" s="26"/>
      <c r="V43" s="26"/>
      <c r="W43" s="255"/>
      <c r="X43" s="255"/>
    </row>
    <row r="44" spans="2:24">
      <c r="B44" s="5" t="s">
        <v>437</v>
      </c>
      <c r="C44" s="430"/>
      <c r="D44" s="430">
        <f>D11/D30</f>
        <v>15.128181142725504</v>
      </c>
      <c r="E44" s="430">
        <f>E11/E30</f>
        <v>13.012177752151421</v>
      </c>
      <c r="F44" s="430">
        <f>F11/F30</f>
        <v>11.359192252410569</v>
      </c>
      <c r="G44" s="430">
        <f>G11/G30</f>
        <v>10.092305327224993</v>
      </c>
      <c r="H44" s="13">
        <f t="shared" si="3"/>
        <v>0.13934450175390167</v>
      </c>
      <c r="I44" s="208"/>
      <c r="J44" s="208"/>
      <c r="K44" s="208"/>
      <c r="L44" s="208"/>
      <c r="M44" s="208"/>
      <c r="N44" s="208"/>
      <c r="O44" s="208"/>
      <c r="Q44" s="5"/>
      <c r="R44" s="5"/>
      <c r="S44" s="26"/>
      <c r="T44" s="26"/>
      <c r="U44" s="26"/>
      <c r="V44" s="26"/>
      <c r="W44" s="26"/>
      <c r="X44" s="26"/>
    </row>
    <row r="45" spans="2:24">
      <c r="B45" s="5" t="s">
        <v>481</v>
      </c>
      <c r="C45" s="208"/>
      <c r="D45" s="208">
        <f>D31/D11</f>
        <v>4.5311756529236351E-2</v>
      </c>
      <c r="E45" s="208">
        <f>E31/E11</f>
        <v>5.2535390746451777E-2</v>
      </c>
      <c r="F45" s="208">
        <f>F31/F11</f>
        <v>5.8935758905258519E-2</v>
      </c>
      <c r="G45" s="208">
        <f>G31/G11</f>
        <v>6.5807664516349812E-2</v>
      </c>
      <c r="H45" s="13">
        <f t="shared" si="3"/>
        <v>0.12740029080856541</v>
      </c>
      <c r="I45" s="207"/>
      <c r="J45" s="207"/>
      <c r="K45" s="207"/>
      <c r="L45" s="207"/>
      <c r="M45" s="207"/>
      <c r="N45" s="207"/>
      <c r="O45" s="208"/>
      <c r="Q45" s="5"/>
      <c r="R45" s="5"/>
      <c r="S45" s="26"/>
      <c r="T45" s="26"/>
      <c r="U45" s="26"/>
      <c r="V45" s="26"/>
      <c r="W45" s="26"/>
      <c r="X45" s="26"/>
    </row>
    <row r="46" spans="2:24">
      <c r="B46" s="5" t="s">
        <v>505</v>
      </c>
      <c r="C46" s="208"/>
      <c r="D46" s="208">
        <f>(D31+D32)/D11</f>
        <v>4.6576106100569947E-2</v>
      </c>
      <c r="E46" s="208">
        <f>(E31+E32)/E11</f>
        <v>4.7101413014745797E-2</v>
      </c>
      <c r="F46" s="208">
        <f>(F31+F32)/F11</f>
        <v>6.2807686894890413E-2</v>
      </c>
      <c r="G46" s="208">
        <f>(G31+G32)/G11</f>
        <v>6.8765890985502356E-2</v>
      </c>
      <c r="H46" s="233">
        <f>((G31+G32)/(D31+D32))^(1/3)-1</f>
        <v>0.13359933245216205</v>
      </c>
      <c r="I46" s="13"/>
      <c r="J46" s="207"/>
      <c r="K46" s="207"/>
      <c r="L46" s="207"/>
      <c r="M46" s="207"/>
      <c r="N46" s="207"/>
      <c r="O46" s="14"/>
      <c r="Q46" s="5"/>
      <c r="R46" s="5"/>
      <c r="S46" s="26"/>
      <c r="T46" s="26"/>
      <c r="U46" s="26"/>
      <c r="V46" s="26"/>
      <c r="W46" s="26"/>
      <c r="X46" s="26"/>
    </row>
    <row r="47" spans="2:24">
      <c r="B47" s="5" t="s">
        <v>482</v>
      </c>
      <c r="C47" s="208"/>
      <c r="D47" s="208">
        <f>1/D43</f>
        <v>6.6203963234298904E-2</v>
      </c>
      <c r="E47" s="208">
        <f>1/E43</f>
        <v>7.950473643560739E-2</v>
      </c>
      <c r="F47" s="208">
        <f>1/F43</f>
        <v>8.9243355125214377E-2</v>
      </c>
      <c r="G47" s="208">
        <f>1/G43</f>
        <v>9.9239145198917245E-2</v>
      </c>
      <c r="H47" s="13">
        <f>H29</f>
        <v>0.13934517517401579</v>
      </c>
      <c r="I47" s="207"/>
      <c r="J47" s="208"/>
      <c r="K47" s="208"/>
      <c r="L47" s="208"/>
      <c r="M47" s="208"/>
      <c r="N47" s="208"/>
      <c r="O47" s="208"/>
      <c r="Q47" s="5"/>
      <c r="R47" s="5"/>
      <c r="S47" s="5"/>
      <c r="T47" s="5"/>
      <c r="U47" s="5"/>
    </row>
    <row r="48" spans="2:24">
      <c r="B48" s="5" t="s">
        <v>518</v>
      </c>
      <c r="C48" s="5"/>
      <c r="D48" s="248">
        <f>D31/D29</f>
        <v>0.69005288112710461</v>
      </c>
      <c r="E48" s="248">
        <f>E31/E29</f>
        <v>0.66600469117215844</v>
      </c>
      <c r="F48" s="248">
        <f>F31/F29</f>
        <v>0.66583908302711481</v>
      </c>
      <c r="G48" s="248">
        <f>G31/G29</f>
        <v>0.66857610127394718</v>
      </c>
      <c r="H48" s="13" t="s">
        <v>507</v>
      </c>
      <c r="I48" s="217"/>
      <c r="J48" s="207"/>
      <c r="K48" s="207"/>
      <c r="L48" s="207"/>
      <c r="M48" s="207"/>
      <c r="N48" s="207"/>
      <c r="O48" s="208"/>
      <c r="Q48" s="5"/>
      <c r="R48" s="5"/>
      <c r="S48" s="5"/>
      <c r="T48" s="5"/>
      <c r="U48" s="5"/>
    </row>
  </sheetData>
  <phoneticPr fontId="7"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07">
    <pageSetUpPr fitToPage="1"/>
  </sheetPr>
  <dimension ref="B1:X56"/>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1145</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11</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851</v>
      </c>
      <c r="M9" s="355"/>
      <c r="N9" s="356" t="s">
        <v>107</v>
      </c>
      <c r="O9" s="356"/>
      <c r="P9" s="355" t="s">
        <v>108</v>
      </c>
      <c r="Q9" s="355"/>
      <c r="R9" s="355" t="s">
        <v>572</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267</v>
      </c>
      <c r="C11" s="293"/>
      <c r="E11" s="290" t="str">
        <f t="shared" ref="E11:E17" si="0">"DCF, "&amp;TEXT(H11,"0.0")&amp;"x 19E EBITDA"</f>
        <v>DCF, 9.0x 19E EBITDA</v>
      </c>
      <c r="F11" s="373">
        <v>2027.0602597671832</v>
      </c>
      <c r="G11" s="142" t="s">
        <v>113</v>
      </c>
      <c r="H11" s="388">
        <f t="shared" ref="H11:H17" si="1">J11/F11</f>
        <v>8.9792189958612934</v>
      </c>
      <c r="I11" s="142" t="s">
        <v>114</v>
      </c>
      <c r="J11" s="373">
        <v>18201.417990257018</v>
      </c>
      <c r="K11" s="142" t="s">
        <v>115</v>
      </c>
      <c r="L11" s="176"/>
      <c r="M11" s="142" t="s">
        <v>114</v>
      </c>
      <c r="N11" s="142">
        <f t="shared" ref="N11:N14" si="2">J11-L11</f>
        <v>18201.417990257018</v>
      </c>
      <c r="O11" s="142" t="s">
        <v>113</v>
      </c>
      <c r="P11" s="379">
        <v>1</v>
      </c>
      <c r="Q11" s="312" t="s">
        <v>114</v>
      </c>
      <c r="R11" s="176">
        <f t="shared" ref="R11:R14" si="3">P11*N11</f>
        <v>18201.417990257018</v>
      </c>
      <c r="S11" s="176"/>
      <c r="T11" s="176">
        <f t="shared" ref="T11:T14" si="4">N11-R11</f>
        <v>0</v>
      </c>
      <c r="U11" s="176"/>
      <c r="V11" s="313">
        <f>N11/$J$32</f>
        <v>0.40595928548963361</v>
      </c>
      <c r="W11" s="293"/>
      <c r="X11" s="352">
        <f t="shared" ref="X11:X16" si="5">$J$37*V11</f>
        <v>2.0365404115910217</v>
      </c>
    </row>
    <row r="12" spans="2:24">
      <c r="B12" s="293" t="s">
        <v>289</v>
      </c>
      <c r="C12" s="293"/>
      <c r="D12" s="293"/>
      <c r="E12" s="290" t="str">
        <f t="shared" si="0"/>
        <v>DCF, 5.9x 19E EBITDA</v>
      </c>
      <c r="F12" s="373">
        <v>3282.3190498285367</v>
      </c>
      <c r="G12" s="142" t="s">
        <v>113</v>
      </c>
      <c r="H12" s="388">
        <f t="shared" si="1"/>
        <v>5.8784993694771623</v>
      </c>
      <c r="I12" s="142" t="s">
        <v>114</v>
      </c>
      <c r="J12" s="373">
        <v>19295.110464839931</v>
      </c>
      <c r="K12" s="142" t="s">
        <v>115</v>
      </c>
      <c r="L12" s="176"/>
      <c r="M12" s="142" t="s">
        <v>114</v>
      </c>
      <c r="N12" s="142">
        <f t="shared" si="2"/>
        <v>19295.110464839931</v>
      </c>
      <c r="O12" s="142" t="s">
        <v>113</v>
      </c>
      <c r="P12" s="379">
        <v>0.66359999999999997</v>
      </c>
      <c r="Q12" s="312" t="s">
        <v>114</v>
      </c>
      <c r="R12" s="176">
        <f t="shared" si="3"/>
        <v>12804.235304467777</v>
      </c>
      <c r="S12" s="176"/>
      <c r="T12" s="176">
        <f t="shared" si="4"/>
        <v>6490.8751603721539</v>
      </c>
      <c r="U12" s="176"/>
      <c r="V12" s="313">
        <f t="shared" ref="V12:V19" si="6">N12/$J$32</f>
        <v>0.43035269350678551</v>
      </c>
      <c r="W12" s="293"/>
      <c r="X12" s="352">
        <f t="shared" si="5"/>
        <v>2.1589126862969463</v>
      </c>
    </row>
    <row r="13" spans="2:24">
      <c r="B13" s="293" t="s">
        <v>93</v>
      </c>
      <c r="C13" s="293"/>
      <c r="E13" s="290" t="str">
        <f t="shared" si="0"/>
        <v>DCF, 7.3x 19E EBITDA</v>
      </c>
      <c r="F13" s="373">
        <v>1115.6014750908043</v>
      </c>
      <c r="G13" s="142" t="s">
        <v>113</v>
      </c>
      <c r="H13" s="388">
        <f t="shared" si="1"/>
        <v>7.3076482202803081</v>
      </c>
      <c r="I13" s="142" t="s">
        <v>114</v>
      </c>
      <c r="J13" s="373">
        <v>8152.4231339894031</v>
      </c>
      <c r="K13" s="142" t="s">
        <v>115</v>
      </c>
      <c r="L13" s="176"/>
      <c r="M13" s="142" t="s">
        <v>114</v>
      </c>
      <c r="N13" s="142">
        <f t="shared" si="2"/>
        <v>8152.4231339894031</v>
      </c>
      <c r="O13" s="142" t="s">
        <v>113</v>
      </c>
      <c r="P13" s="379">
        <v>0.83299999999999996</v>
      </c>
      <c r="Q13" s="312" t="s">
        <v>114</v>
      </c>
      <c r="R13" s="176">
        <f t="shared" si="3"/>
        <v>6790.9684706131729</v>
      </c>
      <c r="S13" s="176"/>
      <c r="T13" s="176">
        <f t="shared" si="4"/>
        <v>1361.4546633762302</v>
      </c>
      <c r="U13" s="176"/>
      <c r="V13" s="313">
        <f t="shared" si="6"/>
        <v>0.18182934276082544</v>
      </c>
      <c r="W13" s="293"/>
      <c r="X13" s="352">
        <f t="shared" si="5"/>
        <v>0.91216734727185411</v>
      </c>
    </row>
    <row r="14" spans="2:24">
      <c r="B14" s="293" t="s">
        <v>83</v>
      </c>
      <c r="C14" s="293"/>
      <c r="E14" s="290" t="str">
        <f t="shared" si="0"/>
        <v>DCF, 3.7x 19E EBITDA</v>
      </c>
      <c r="F14" s="373">
        <v>1472.4180763678473</v>
      </c>
      <c r="G14" s="142" t="s">
        <v>113</v>
      </c>
      <c r="H14" s="388">
        <f t="shared" si="1"/>
        <v>3.6912467188860862</v>
      </c>
      <c r="I14" s="142" t="s">
        <v>114</v>
      </c>
      <c r="J14" s="373">
        <v>5435.0583932213794</v>
      </c>
      <c r="K14" s="142" t="s">
        <v>115</v>
      </c>
      <c r="L14" s="176"/>
      <c r="M14" s="142" t="s">
        <v>114</v>
      </c>
      <c r="N14" s="142">
        <f t="shared" si="2"/>
        <v>5435.0583932213794</v>
      </c>
      <c r="O14" s="142" t="s">
        <v>113</v>
      </c>
      <c r="P14" s="379">
        <v>0.68700000000000006</v>
      </c>
      <c r="Q14" s="312" t="s">
        <v>114</v>
      </c>
      <c r="R14" s="176">
        <f t="shared" si="3"/>
        <v>3733.885116143088</v>
      </c>
      <c r="S14" s="176"/>
      <c r="T14" s="176">
        <f t="shared" si="4"/>
        <v>1701.1732770782914</v>
      </c>
      <c r="U14" s="176"/>
      <c r="V14" s="313">
        <f t="shared" si="6"/>
        <v>0.12122200715832421</v>
      </c>
      <c r="W14" s="293"/>
      <c r="X14" s="352">
        <f t="shared" si="5"/>
        <v>0.60812383205952658</v>
      </c>
    </row>
    <row r="15" spans="2:24">
      <c r="B15" s="293" t="s">
        <v>784</v>
      </c>
      <c r="E15" s="290" t="str">
        <f t="shared" si="0"/>
        <v>DCF, 2.8x 19E EBITDA</v>
      </c>
      <c r="F15" s="373">
        <v>1296.7941929067417</v>
      </c>
      <c r="G15" s="142" t="s">
        <v>113</v>
      </c>
      <c r="H15" s="388">
        <f t="shared" si="1"/>
        <v>2.8003034520415309</v>
      </c>
      <c r="I15" s="142" t="s">
        <v>114</v>
      </c>
      <c r="J15" s="373">
        <v>3631.4172549841596</v>
      </c>
      <c r="K15" s="142" t="s">
        <v>115</v>
      </c>
      <c r="L15" s="176"/>
      <c r="M15" s="142" t="s">
        <v>114</v>
      </c>
      <c r="N15" s="142">
        <f t="shared" ref="N15" si="7">J15-L15</f>
        <v>3631.4172549841596</v>
      </c>
      <c r="O15" s="142" t="s">
        <v>113</v>
      </c>
      <c r="P15" s="379">
        <v>0.8</v>
      </c>
      <c r="Q15" s="312" t="s">
        <v>114</v>
      </c>
      <c r="R15" s="176">
        <f t="shared" ref="R15" si="8">P15*N15</f>
        <v>2905.1338039873281</v>
      </c>
      <c r="S15" s="176"/>
      <c r="T15" s="176">
        <f t="shared" ref="T15" si="9">N15-R15</f>
        <v>726.28345099683156</v>
      </c>
      <c r="U15" s="176"/>
      <c r="V15" s="313">
        <f t="shared" si="6"/>
        <v>8.0994104686635968E-2</v>
      </c>
      <c r="W15" s="293"/>
      <c r="X15" s="352">
        <f t="shared" si="5"/>
        <v>0.40631603510687514</v>
      </c>
    </row>
    <row r="16" spans="2:24">
      <c r="B16" s="293" t="s">
        <v>268</v>
      </c>
      <c r="C16" s="293"/>
      <c r="E16" s="290" t="str">
        <f t="shared" si="0"/>
        <v>DCF, 3.1x 19E EBITDA</v>
      </c>
      <c r="F16" s="373">
        <v>546.76521376066478</v>
      </c>
      <c r="G16" s="142" t="s">
        <v>113</v>
      </c>
      <c r="H16" s="388">
        <f t="shared" si="1"/>
        <v>3.112363954917861</v>
      </c>
      <c r="I16" s="142" t="s">
        <v>114</v>
      </c>
      <c r="J16" s="373">
        <v>1701.7323431116522</v>
      </c>
      <c r="K16" s="142" t="s">
        <v>115</v>
      </c>
      <c r="L16" s="176"/>
      <c r="M16" s="142" t="s">
        <v>114</v>
      </c>
      <c r="N16" s="142">
        <f>J16-L16</f>
        <v>1701.7323431116522</v>
      </c>
      <c r="O16" s="142" t="s">
        <v>113</v>
      </c>
      <c r="P16" s="379">
        <v>0.82479999999999998</v>
      </c>
      <c r="Q16" s="312" t="s">
        <v>114</v>
      </c>
      <c r="R16" s="176">
        <f>P16*N16</f>
        <v>1403.5888365984906</v>
      </c>
      <c r="S16" s="176"/>
      <c r="T16" s="176">
        <f>N16-R16</f>
        <v>298.14350651316158</v>
      </c>
      <c r="U16" s="176"/>
      <c r="V16" s="313">
        <f t="shared" si="6"/>
        <v>3.7954957491443841E-2</v>
      </c>
      <c r="W16" s="293"/>
      <c r="X16" s="352">
        <f t="shared" si="5"/>
        <v>0.19040531283405904</v>
      </c>
    </row>
    <row r="17" spans="2:24">
      <c r="B17" s="293" t="s">
        <v>869</v>
      </c>
      <c r="C17" s="293"/>
      <c r="E17" s="290" t="str">
        <f t="shared" si="0"/>
        <v>DCF, 40.5x 19E EBITDA</v>
      </c>
      <c r="F17" s="373">
        <v>389.207244743194</v>
      </c>
      <c r="G17" s="142"/>
      <c r="H17" s="388">
        <f t="shared" si="1"/>
        <v>40.522349955903515</v>
      </c>
      <c r="I17" s="142"/>
      <c r="J17" s="373">
        <v>15771.592176856695</v>
      </c>
      <c r="K17" s="142"/>
      <c r="L17" s="176"/>
      <c r="M17" s="142"/>
      <c r="N17" s="142">
        <f>J17-L17</f>
        <v>15771.592176856695</v>
      </c>
      <c r="O17" s="142"/>
      <c r="P17" s="379">
        <v>1.6E-2</v>
      </c>
      <c r="Q17" s="312" t="s">
        <v>114</v>
      </c>
      <c r="R17" s="176">
        <f>P17*N17</f>
        <v>252.34547482970711</v>
      </c>
      <c r="S17" s="176"/>
      <c r="T17" s="176">
        <f>N17-R17</f>
        <v>15519.246702026989</v>
      </c>
      <c r="U17" s="176"/>
      <c r="V17" s="313">
        <f t="shared" si="6"/>
        <v>0.35176513690185457</v>
      </c>
      <c r="W17" s="293"/>
      <c r="X17" s="352"/>
    </row>
    <row r="18" spans="2:24">
      <c r="B18" s="293" t="s">
        <v>120</v>
      </c>
      <c r="C18" s="293"/>
      <c r="F18" s="176"/>
      <c r="H18" s="388"/>
      <c r="J18" s="373">
        <v>12000</v>
      </c>
      <c r="K18" s="142" t="s">
        <v>115</v>
      </c>
      <c r="L18" s="176"/>
      <c r="M18" s="142" t="s">
        <v>114</v>
      </c>
      <c r="N18" s="142">
        <f>J18-L18</f>
        <v>12000</v>
      </c>
      <c r="O18" s="142" t="s">
        <v>113</v>
      </c>
      <c r="P18" s="379">
        <v>1</v>
      </c>
      <c r="Q18" s="312" t="s">
        <v>114</v>
      </c>
      <c r="R18" s="176">
        <f>P18*N18</f>
        <v>12000</v>
      </c>
      <c r="S18" s="176"/>
      <c r="T18" s="176">
        <f>N18-R18</f>
        <v>0</v>
      </c>
      <c r="U18" s="176"/>
      <c r="V18" s="313">
        <f t="shared" si="6"/>
        <v>0.2676446103530648</v>
      </c>
      <c r="W18" s="293"/>
      <c r="X18" s="352">
        <f>$J$37*V18</f>
        <v>1.3426692883034643</v>
      </c>
    </row>
    <row r="19" spans="2:24">
      <c r="B19" s="269" t="s">
        <v>117</v>
      </c>
      <c r="C19" s="293"/>
      <c r="F19" s="170"/>
      <c r="G19" s="157"/>
      <c r="H19" s="295"/>
      <c r="I19" s="299"/>
      <c r="J19" s="317">
        <f>SUM(J11:J18)</f>
        <v>84188.751757260237</v>
      </c>
      <c r="K19" s="298"/>
      <c r="L19" s="317">
        <f>-J28</f>
        <v>13698</v>
      </c>
      <c r="M19" s="157"/>
      <c r="N19" s="317">
        <f>SUM(N11:N18)</f>
        <v>84188.751757260237</v>
      </c>
      <c r="P19" s="300"/>
      <c r="Q19" s="301"/>
      <c r="R19" s="317">
        <f>SUM(R11:R18)</f>
        <v>58091.574996896583</v>
      </c>
      <c r="S19" s="293"/>
      <c r="T19" s="317">
        <f>SUM(T11:T18)</f>
        <v>26097.176760363658</v>
      </c>
      <c r="U19" s="293"/>
      <c r="V19" s="333">
        <f t="shared" si="6"/>
        <v>1.8777221383485678</v>
      </c>
      <c r="W19" s="293"/>
      <c r="X19" s="351">
        <f>$J$37*V19</f>
        <v>9.4198042837564682</v>
      </c>
    </row>
    <row r="21" spans="2:24">
      <c r="B21" s="293"/>
      <c r="C21" s="293"/>
      <c r="F21" s="170"/>
      <c r="G21" s="157"/>
      <c r="H21" s="295"/>
      <c r="I21" s="299"/>
      <c r="J21" s="157"/>
      <c r="K21" s="298"/>
      <c r="L21" s="293"/>
      <c r="M21" s="157"/>
      <c r="N21" s="170"/>
      <c r="P21" s="300"/>
      <c r="Q21" s="301"/>
      <c r="R21" s="170"/>
    </row>
    <row r="22" spans="2:24">
      <c r="B22" s="293" t="s">
        <v>118</v>
      </c>
      <c r="C22" s="293"/>
      <c r="F22" s="176"/>
      <c r="G22" s="142"/>
      <c r="H22" s="296"/>
      <c r="I22" s="321"/>
      <c r="J22" s="322"/>
      <c r="K22" s="322"/>
      <c r="L22" s="142"/>
      <c r="M22" s="142"/>
      <c r="N22" s="293"/>
      <c r="P22" s="382"/>
      <c r="Q22" s="383"/>
      <c r="R22" s="293"/>
    </row>
    <row r="23" spans="2:24">
      <c r="B23" s="293" t="s">
        <v>785</v>
      </c>
      <c r="C23" s="293"/>
      <c r="E23" s="290" t="str">
        <f>"DCF, "&amp;TEXT(H23,"0.0")&amp;"x 19E EBITDA"</f>
        <v>DCF, 0.0x 19E EBITDA</v>
      </c>
      <c r="F23" s="176"/>
      <c r="G23" s="142"/>
      <c r="H23" s="296"/>
      <c r="I23" s="142" t="s">
        <v>114</v>
      </c>
      <c r="J23" s="373"/>
      <c r="K23" s="142" t="s">
        <v>115</v>
      </c>
      <c r="L23" s="373"/>
      <c r="M23" s="142" t="s">
        <v>114</v>
      </c>
      <c r="N23" s="142">
        <f>(J23-L23)</f>
        <v>0</v>
      </c>
      <c r="O23" s="142" t="s">
        <v>113</v>
      </c>
      <c r="P23" s="379"/>
      <c r="Q23" s="312" t="s">
        <v>114</v>
      </c>
      <c r="R23" s="176">
        <f>P23*N23</f>
        <v>0</v>
      </c>
    </row>
    <row r="24" spans="2:24">
      <c r="B24" s="293" t="s">
        <v>195</v>
      </c>
      <c r="C24" s="293"/>
      <c r="E24" s="290" t="str">
        <f>"DCF, "&amp;TEXT(H24,"0.0")&amp;"x 19E EBITDA"</f>
        <v>DCF, 4.9x 19E EBITDA</v>
      </c>
      <c r="F24" s="168">
        <v>6335.6762797222818</v>
      </c>
      <c r="G24" s="389" t="s">
        <v>113</v>
      </c>
      <c r="H24" s="388">
        <v>4.9040997767279331</v>
      </c>
      <c r="I24" s="142" t="s">
        <v>114</v>
      </c>
      <c r="J24" s="373"/>
      <c r="K24" s="142" t="s">
        <v>115</v>
      </c>
      <c r="L24" s="373"/>
      <c r="M24" s="142" t="s">
        <v>114</v>
      </c>
      <c r="N24" s="142">
        <f>(J24-L24)</f>
        <v>0</v>
      </c>
      <c r="O24" s="142" t="s">
        <v>113</v>
      </c>
      <c r="P24" s="379"/>
      <c r="Q24" s="312" t="s">
        <v>114</v>
      </c>
      <c r="R24" s="308">
        <f>P24*N24</f>
        <v>0</v>
      </c>
    </row>
    <row r="25" spans="2:24">
      <c r="B25" s="269" t="s">
        <v>117</v>
      </c>
      <c r="C25" s="293"/>
      <c r="R25" s="170">
        <f>R23+R24</f>
        <v>0</v>
      </c>
    </row>
    <row r="26" spans="2:24">
      <c r="D26" s="269"/>
      <c r="E26" s="304"/>
      <c r="F26" s="304"/>
      <c r="G26" s="304"/>
      <c r="H26" s="304"/>
      <c r="I26" s="304"/>
      <c r="J26" s="304"/>
      <c r="K26" s="304"/>
      <c r="Q26" s="337"/>
      <c r="R26" s="338"/>
    </row>
    <row r="27" spans="2:24" ht="12.6" thickBot="1">
      <c r="B27" s="305" t="s">
        <v>121</v>
      </c>
      <c r="D27" s="269"/>
      <c r="E27" s="304"/>
      <c r="H27" s="304"/>
      <c r="I27" s="304"/>
      <c r="J27" s="297">
        <f>J19</f>
        <v>84188.751757260237</v>
      </c>
      <c r="T27" s="357" t="s">
        <v>452</v>
      </c>
      <c r="U27" s="291"/>
      <c r="V27" s="291"/>
      <c r="W27" s="291"/>
      <c r="X27" s="291"/>
    </row>
    <row r="28" spans="2:24" ht="12.6" thickTop="1">
      <c r="B28" s="306" t="s">
        <v>1179</v>
      </c>
      <c r="D28" s="324"/>
      <c r="J28" s="373">
        <f>-AXI!D12</f>
        <v>-13698</v>
      </c>
      <c r="T28" s="105"/>
    </row>
    <row r="29" spans="2:24">
      <c r="B29" s="306" t="s">
        <v>553</v>
      </c>
      <c r="D29" s="309"/>
      <c r="E29" s="304"/>
      <c r="G29" s="304"/>
      <c r="H29" s="304"/>
      <c r="I29" s="304"/>
      <c r="J29" s="373">
        <v>442</v>
      </c>
      <c r="K29" s="304"/>
    </row>
    <row r="30" spans="2:24">
      <c r="B30" s="307" t="s">
        <v>301</v>
      </c>
      <c r="J30" s="176">
        <f>-T19</f>
        <v>-26097.176760363658</v>
      </c>
    </row>
    <row r="31" spans="2:24">
      <c r="B31" s="307" t="s">
        <v>303</v>
      </c>
      <c r="J31" s="308">
        <f>R25</f>
        <v>0</v>
      </c>
      <c r="K31" s="304"/>
    </row>
    <row r="32" spans="2:24">
      <c r="B32" s="305" t="s">
        <v>407</v>
      </c>
      <c r="D32" s="269"/>
      <c r="E32" s="304"/>
      <c r="F32" s="304"/>
      <c r="G32" s="304"/>
      <c r="H32" s="304"/>
      <c r="I32" s="304"/>
      <c r="J32" s="170">
        <f>SUM(J27:J31)</f>
        <v>44835.574996896583</v>
      </c>
      <c r="K32" s="304"/>
    </row>
    <row r="33" spans="2:24">
      <c r="B33" s="307" t="s">
        <v>408</v>
      </c>
      <c r="D33" s="293"/>
      <c r="J33" s="373">
        <f>AXI!D10</f>
        <v>9194</v>
      </c>
      <c r="K33" s="304"/>
    </row>
    <row r="34" spans="2:24">
      <c r="B34" s="305" t="s">
        <v>409</v>
      </c>
      <c r="D34" s="293"/>
      <c r="J34" s="364">
        <f>J32/J33</f>
        <v>4.8766124643133111</v>
      </c>
      <c r="K34" s="304"/>
    </row>
    <row r="35" spans="2:24">
      <c r="B35" s="307" t="s">
        <v>850</v>
      </c>
      <c r="D35" s="293"/>
      <c r="J35" s="374">
        <v>0.14000000000000001</v>
      </c>
      <c r="K35" s="304"/>
    </row>
    <row r="36" spans="2:24" ht="12.6" thickBot="1">
      <c r="B36" s="307" t="s">
        <v>870</v>
      </c>
      <c r="D36" s="293"/>
      <c r="J36" s="374">
        <v>0</v>
      </c>
      <c r="K36" s="304"/>
    </row>
    <row r="37" spans="2:24" ht="12.6" thickBot="1">
      <c r="B37" s="305" t="s">
        <v>55</v>
      </c>
      <c r="D37" s="269"/>
      <c r="E37" s="304"/>
      <c r="H37" s="304"/>
      <c r="I37" s="304"/>
      <c r="J37" s="361">
        <f>J34+J35+J36</f>
        <v>5.0166124643133108</v>
      </c>
    </row>
    <row r="38" spans="2:24">
      <c r="B38" s="307" t="s">
        <v>410</v>
      </c>
      <c r="D38" s="293"/>
      <c r="J38" s="352">
        <f>Prices!C75</f>
        <v>2.2400000000000002</v>
      </c>
    </row>
    <row r="39" spans="2:24">
      <c r="B39" s="305" t="s">
        <v>84</v>
      </c>
      <c r="D39" s="269"/>
      <c r="E39" s="304"/>
      <c r="H39" s="304"/>
      <c r="I39" s="304"/>
      <c r="J39" s="310">
        <f>J37/J38-1</f>
        <v>1.2395591358541562</v>
      </c>
      <c r="K39" s="304"/>
    </row>
    <row r="40" spans="2:24">
      <c r="D40" s="269"/>
      <c r="E40" s="269"/>
      <c r="H40" s="304"/>
      <c r="I40" s="304"/>
    </row>
    <row r="41" spans="2:24">
      <c r="K41" s="304"/>
    </row>
    <row r="42" spans="2:24">
      <c r="D42" s="269"/>
      <c r="E42" s="269"/>
      <c r="F42" s="269"/>
      <c r="G42" s="269"/>
      <c r="H42" s="269"/>
      <c r="I42" s="269"/>
    </row>
    <row r="43" spans="2:24">
      <c r="B43" s="290" t="s">
        <v>269</v>
      </c>
      <c r="D43" s="309">
        <f>Prices!C139</f>
        <v>3.9649931999999999</v>
      </c>
      <c r="E43" s="360"/>
      <c r="F43" s="269"/>
      <c r="G43" s="269"/>
      <c r="H43" s="269"/>
      <c r="I43" s="269"/>
    </row>
    <row r="44" spans="2:24">
      <c r="B44" s="290" t="s">
        <v>270</v>
      </c>
      <c r="D44" s="309">
        <f>Prices!C132/Prices!C139</f>
        <v>23.769902051786623</v>
      </c>
      <c r="E44" s="269"/>
      <c r="F44" s="269"/>
      <c r="G44" s="269"/>
      <c r="H44" s="269"/>
      <c r="I44" s="269"/>
      <c r="K44" s="304"/>
    </row>
    <row r="45" spans="2:24">
      <c r="D45" s="309"/>
      <c r="E45" s="360"/>
      <c r="F45" s="269"/>
      <c r="G45" s="269"/>
      <c r="H45" s="269"/>
      <c r="I45" s="269"/>
    </row>
    <row r="46" spans="2:24">
      <c r="D46" s="309"/>
      <c r="E46" s="269"/>
      <c r="F46" s="269"/>
      <c r="G46" s="269"/>
      <c r="H46" s="269"/>
      <c r="I46" s="269"/>
    </row>
    <row r="47" spans="2:24" ht="12.6" thickBot="1">
      <c r="T47" s="357" t="s">
        <v>452</v>
      </c>
      <c r="U47" s="291"/>
      <c r="V47" s="291"/>
      <c r="W47" s="291"/>
      <c r="X47" s="291"/>
    </row>
    <row r="48" spans="2:24" ht="12.6" thickTop="1">
      <c r="D48" s="269"/>
      <c r="E48" s="269"/>
      <c r="F48" s="269"/>
      <c r="G48" s="269"/>
      <c r="H48" s="269"/>
      <c r="I48" s="269"/>
      <c r="S48" s="337"/>
      <c r="T48" s="293" t="str">
        <f t="shared" ref="T48:T53" si="10">B11</f>
        <v>Malaysia</v>
      </c>
      <c r="X48" s="313">
        <f t="shared" ref="X48:X53" si="11">(J11)/($J$19+$R$25)</f>
        <v>0.21619774150752116</v>
      </c>
    </row>
    <row r="49" spans="20:24">
      <c r="T49" s="293" t="str">
        <f t="shared" si="10"/>
        <v>XL Axiata</v>
      </c>
      <c r="X49" s="313">
        <f t="shared" si="11"/>
        <v>0.22918869875245498</v>
      </c>
    </row>
    <row r="50" spans="20:24">
      <c r="T50" s="293" t="str">
        <f t="shared" si="10"/>
        <v>Sri Lanka</v>
      </c>
      <c r="X50" s="313">
        <f t="shared" si="11"/>
        <v>9.6835063637659383E-2</v>
      </c>
    </row>
    <row r="51" spans="20:24">
      <c r="T51" s="293" t="str">
        <f t="shared" si="10"/>
        <v>Bangladesh</v>
      </c>
      <c r="X51" s="313">
        <f t="shared" si="11"/>
        <v>6.4558011370594678E-2</v>
      </c>
    </row>
    <row r="52" spans="20:24">
      <c r="T52" s="293" t="str">
        <f t="shared" si="10"/>
        <v>Nepal</v>
      </c>
      <c r="X52" s="313">
        <f t="shared" si="11"/>
        <v>4.313423324596323E-2</v>
      </c>
    </row>
    <row r="53" spans="20:24">
      <c r="T53" s="293" t="str">
        <f t="shared" si="10"/>
        <v>Cambodia</v>
      </c>
      <c r="X53" s="313">
        <f t="shared" si="11"/>
        <v>2.0213298185228157E-2</v>
      </c>
    </row>
    <row r="54" spans="20:24">
      <c r="T54" s="293" t="str">
        <f>B18</f>
        <v>Other</v>
      </c>
      <c r="X54" s="313">
        <f>(J18)/($J$19+$R$25)</f>
        <v>0.14253685616576622</v>
      </c>
    </row>
    <row r="55" spans="20:24">
      <c r="T55" s="293" t="str">
        <f>B23</f>
        <v>Mobileone (Singapore)</v>
      </c>
      <c r="X55" s="313">
        <f>(J23/(R25+J19))</f>
        <v>0</v>
      </c>
    </row>
    <row r="56" spans="20:24">
      <c r="T56" s="293" t="str">
        <f>B24</f>
        <v>IDEA Cellular</v>
      </c>
      <c r="X56" s="313">
        <f>(J24/(R25+J19))</f>
        <v>0</v>
      </c>
    </row>
  </sheetData>
  <phoneticPr fontId="26" type="noConversion"/>
  <pageMargins left="0.75" right="0.75" top="1" bottom="1" header="0.5" footer="0.5"/>
  <pageSetup scale="46"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01">
    <pageSetUpPr fitToPage="1"/>
  </sheetPr>
  <dimension ref="B1:X50"/>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1.6640625" style="290" bestFit="1" customWidth="1"/>
    <col min="11" max="11" width="2.109375" style="290" customWidth="1"/>
    <col min="12" max="12" width="18.44140625" style="290" bestFit="1" customWidth="1"/>
    <col min="13" max="13" width="2.109375" style="290" customWidth="1"/>
    <col min="14" max="14" width="13.44140625" style="290" bestFit="1" customWidth="1"/>
    <col min="15" max="15" width="2.109375" style="290" customWidth="1"/>
    <col min="16" max="16" width="12" style="290" bestFit="1" customWidth="1"/>
    <col min="17" max="17" width="2.33203125" style="290" bestFit="1" customWidth="1"/>
    <col min="18" max="18" width="14.109375" style="290" bestFit="1"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5" width="10" style="290" customWidth="1"/>
    <col min="26" max="16384" width="9.109375" style="290"/>
  </cols>
  <sheetData>
    <row r="1" spans="2:24" s="365" customFormat="1">
      <c r="E1" s="116"/>
    </row>
    <row r="2" spans="2:24" s="365" customFormat="1">
      <c r="E2" s="116"/>
    </row>
    <row r="3" spans="2:24" s="365" customFormat="1"/>
    <row r="4" spans="2:24" s="368" customFormat="1" ht="21">
      <c r="B4" s="100" t="s">
        <v>1146</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74</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848</v>
      </c>
      <c r="M9" s="355"/>
      <c r="N9" s="356" t="s">
        <v>107</v>
      </c>
      <c r="O9" s="356"/>
      <c r="P9" s="355" t="s">
        <v>108</v>
      </c>
      <c r="Q9" s="355"/>
      <c r="R9" s="355" t="s">
        <v>573</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626</v>
      </c>
      <c r="C11" s="293"/>
      <c r="E11" s="290" t="str">
        <f t="shared" ref="E11:E17" si="0">"DCF, "&amp;TEXT(H11,"0.0")&amp;"x FY19E EBITDA"</f>
        <v>DCF, 17.2x FY19E EBITDA</v>
      </c>
      <c r="F11" s="373">
        <v>177309.6987465912</v>
      </c>
      <c r="G11" s="142" t="s">
        <v>113</v>
      </c>
      <c r="H11" s="388">
        <f t="shared" ref="H11:H12" si="1">J11/F11</f>
        <v>17.17914183691121</v>
      </c>
      <c r="I11" s="142" t="s">
        <v>114</v>
      </c>
      <c r="J11" s="373">
        <v>3046028.4638276882</v>
      </c>
      <c r="K11" s="142" t="s">
        <v>115</v>
      </c>
      <c r="L11" s="373"/>
      <c r="M11" s="142" t="s">
        <v>114</v>
      </c>
      <c r="N11" s="142">
        <f t="shared" ref="N11:N17" si="2">J11-L11</f>
        <v>3046028.4638276882</v>
      </c>
      <c r="O11" s="142" t="s">
        <v>113</v>
      </c>
      <c r="P11" s="379">
        <v>1</v>
      </c>
      <c r="Q11" s="312" t="s">
        <v>114</v>
      </c>
      <c r="R11" s="176">
        <f t="shared" ref="R11:R17" si="3">P11*N11</f>
        <v>3046028.4638276882</v>
      </c>
      <c r="S11" s="176"/>
      <c r="T11" s="176">
        <f t="shared" ref="T11:T17" si="4">N11-R11</f>
        <v>0</v>
      </c>
      <c r="U11" s="176"/>
      <c r="V11" s="313">
        <f t="shared" ref="V11:V18" si="5">N11/$J$28</f>
        <v>1.0501254908087869</v>
      </c>
      <c r="W11" s="293"/>
      <c r="X11" s="296">
        <f t="shared" ref="X11:X18" si="6">$J$33*V11</f>
        <v>501.94082594513714</v>
      </c>
    </row>
    <row r="12" spans="2:24">
      <c r="B12" s="293" t="s">
        <v>627</v>
      </c>
      <c r="C12" s="293"/>
      <c r="E12" s="290" t="str">
        <f t="shared" si="0"/>
        <v>DCF, -3.8x FY19E EBITDA</v>
      </c>
      <c r="F12" s="373">
        <v>464.72110806427628</v>
      </c>
      <c r="G12" s="142" t="s">
        <v>113</v>
      </c>
      <c r="H12" s="388">
        <f t="shared" si="1"/>
        <v>-3.8374656063842294</v>
      </c>
      <c r="I12" s="142" t="s">
        <v>114</v>
      </c>
      <c r="J12" s="373">
        <v>-1783.3512687574289</v>
      </c>
      <c r="K12" s="142" t="s">
        <v>115</v>
      </c>
      <c r="L12" s="373"/>
      <c r="M12" s="142" t="s">
        <v>114</v>
      </c>
      <c r="N12" s="142">
        <f t="shared" si="2"/>
        <v>-1783.3512687574289</v>
      </c>
      <c r="O12" s="142" t="s">
        <v>113</v>
      </c>
      <c r="P12" s="379">
        <v>1</v>
      </c>
      <c r="Q12" s="312" t="s">
        <v>114</v>
      </c>
      <c r="R12" s="176">
        <f t="shared" si="3"/>
        <v>-1783.3512687574289</v>
      </c>
      <c r="S12" s="176"/>
      <c r="T12" s="176">
        <f t="shared" si="4"/>
        <v>0</v>
      </c>
      <c r="U12" s="176"/>
      <c r="V12" s="313">
        <f t="shared" si="5"/>
        <v>-6.1481455233515763E-4</v>
      </c>
      <c r="W12" s="293"/>
      <c r="X12" s="296">
        <f t="shared" si="6"/>
        <v>-0.293870139238807</v>
      </c>
    </row>
    <row r="13" spans="2:24">
      <c r="B13" s="293" t="s">
        <v>554</v>
      </c>
      <c r="C13" s="293"/>
      <c r="E13" s="290" t="str">
        <f t="shared" si="0"/>
        <v>DCF, 11.2x FY19E EBITDA</v>
      </c>
      <c r="F13" s="373">
        <v>22013.288620825904</v>
      </c>
      <c r="G13" s="142" t="s">
        <v>113</v>
      </c>
      <c r="H13" s="388">
        <f>J13/F13</f>
        <v>11.160086350667859</v>
      </c>
      <c r="I13" s="142" t="s">
        <v>114</v>
      </c>
      <c r="J13" s="373">
        <v>245670.20187059126</v>
      </c>
      <c r="K13" s="142" t="s">
        <v>115</v>
      </c>
      <c r="L13" s="376"/>
      <c r="M13" s="142" t="s">
        <v>114</v>
      </c>
      <c r="N13" s="142">
        <f t="shared" si="2"/>
        <v>245670.20187059126</v>
      </c>
      <c r="O13" s="142" t="s">
        <v>113</v>
      </c>
      <c r="P13" s="379">
        <v>0.8</v>
      </c>
      <c r="Q13" s="312" t="s">
        <v>114</v>
      </c>
      <c r="R13" s="176">
        <f t="shared" si="3"/>
        <v>196536.16149647301</v>
      </c>
      <c r="S13" s="176"/>
      <c r="T13" s="176">
        <f t="shared" si="4"/>
        <v>49134.040374118253</v>
      </c>
      <c r="U13" s="176"/>
      <c r="V13" s="313">
        <f t="shared" si="5"/>
        <v>8.4695381011725968E-2</v>
      </c>
      <c r="W13" s="293"/>
      <c r="X13" s="296">
        <f t="shared" si="6"/>
        <v>40.482846927200882</v>
      </c>
    </row>
    <row r="14" spans="2:24">
      <c r="B14" s="293" t="s">
        <v>871</v>
      </c>
      <c r="C14" s="293"/>
      <c r="E14" s="290" t="str">
        <f t="shared" si="0"/>
        <v>DCF, 18.4x FY19E EBITDA</v>
      </c>
      <c r="F14" s="373">
        <v>4998.2192452455847</v>
      </c>
      <c r="G14" s="142" t="s">
        <v>113</v>
      </c>
      <c r="H14" s="388">
        <f t="shared" ref="H14:H17" si="7">J14/F14</f>
        <v>18.36061746426784</v>
      </c>
      <c r="I14" s="142" t="s">
        <v>114</v>
      </c>
      <c r="J14" s="373">
        <v>91770.391564495701</v>
      </c>
      <c r="K14" s="142" t="s">
        <v>115</v>
      </c>
      <c r="L14" s="373"/>
      <c r="M14" s="142" t="s">
        <v>114</v>
      </c>
      <c r="N14" s="142">
        <f t="shared" si="2"/>
        <v>91770.391564495701</v>
      </c>
      <c r="O14" s="142" t="s">
        <v>113</v>
      </c>
      <c r="P14" s="379">
        <v>1</v>
      </c>
      <c r="Q14" s="312" t="s">
        <v>114</v>
      </c>
      <c r="R14" s="176">
        <f t="shared" si="3"/>
        <v>91770.391564495701</v>
      </c>
      <c r="S14" s="176"/>
      <c r="T14" s="176">
        <f t="shared" si="4"/>
        <v>0</v>
      </c>
      <c r="U14" s="176"/>
      <c r="V14" s="313">
        <f t="shared" si="5"/>
        <v>3.1638058746923194E-2</v>
      </c>
      <c r="W14" s="293"/>
      <c r="X14" s="296">
        <f t="shared" si="6"/>
        <v>15.122414871103251</v>
      </c>
    </row>
    <row r="15" spans="2:24">
      <c r="B15" s="293" t="s">
        <v>471</v>
      </c>
      <c r="C15" s="293"/>
      <c r="E15" s="290" t="str">
        <f t="shared" si="0"/>
        <v>DCF, 14.0x FY19E EBITDA</v>
      </c>
      <c r="F15" s="373">
        <v>41852.580201459088</v>
      </c>
      <c r="G15" s="142" t="s">
        <v>113</v>
      </c>
      <c r="H15" s="388">
        <f t="shared" si="7"/>
        <v>13.973242544290823</v>
      </c>
      <c r="I15" s="142" t="s">
        <v>114</v>
      </c>
      <c r="J15" s="373">
        <v>584816.2542593719</v>
      </c>
      <c r="K15" s="142" t="s">
        <v>115</v>
      </c>
      <c r="L15" s="373"/>
      <c r="M15" s="142" t="s">
        <v>114</v>
      </c>
      <c r="N15" s="142">
        <f t="shared" si="2"/>
        <v>584816.2542593719</v>
      </c>
      <c r="O15" s="142" t="s">
        <v>113</v>
      </c>
      <c r="P15" s="379">
        <v>1</v>
      </c>
      <c r="Q15" s="312" t="s">
        <v>114</v>
      </c>
      <c r="R15" s="176">
        <f t="shared" si="3"/>
        <v>584816.2542593719</v>
      </c>
      <c r="S15" s="176"/>
      <c r="T15" s="176">
        <f t="shared" si="4"/>
        <v>0</v>
      </c>
      <c r="U15" s="176"/>
      <c r="V15" s="313">
        <f t="shared" si="5"/>
        <v>0.20161678176354039</v>
      </c>
      <c r="W15" s="293"/>
      <c r="X15" s="296">
        <f t="shared" si="6"/>
        <v>96.369143353381347</v>
      </c>
    </row>
    <row r="16" spans="2:24">
      <c r="B16" s="293" t="s">
        <v>40</v>
      </c>
      <c r="C16" s="293"/>
      <c r="E16" s="290" t="str">
        <f t="shared" si="0"/>
        <v>DCF, 27.0x FY19E EBITDA</v>
      </c>
      <c r="F16" s="373">
        <v>32784.01873389</v>
      </c>
      <c r="G16" s="142" t="s">
        <v>113</v>
      </c>
      <c r="H16" s="388">
        <f t="shared" si="7"/>
        <v>26.994860123269273</v>
      </c>
      <c r="I16" s="142" t="s">
        <v>114</v>
      </c>
      <c r="J16" s="373">
        <v>885000</v>
      </c>
      <c r="K16" s="142" t="s">
        <v>115</v>
      </c>
      <c r="L16" s="373"/>
      <c r="M16" s="142" t="s">
        <v>114</v>
      </c>
      <c r="N16" s="142">
        <f t="shared" si="2"/>
        <v>885000</v>
      </c>
      <c r="O16" s="142" t="s">
        <v>113</v>
      </c>
      <c r="P16" s="379">
        <v>0.372</v>
      </c>
      <c r="Q16" s="312" t="s">
        <v>114</v>
      </c>
      <c r="R16" s="176">
        <f t="shared" si="3"/>
        <v>329220</v>
      </c>
      <c r="S16" s="176"/>
      <c r="T16" s="176">
        <f t="shared" si="4"/>
        <v>555780</v>
      </c>
      <c r="U16" s="176"/>
      <c r="V16" s="313">
        <f t="shared" si="5"/>
        <v>0.30510583548452019</v>
      </c>
      <c r="W16" s="293"/>
      <c r="X16" s="296">
        <f t="shared" si="6"/>
        <v>145.83502296076227</v>
      </c>
    </row>
    <row r="17" spans="2:24">
      <c r="B17" s="293" t="s">
        <v>346</v>
      </c>
      <c r="C17" s="293"/>
      <c r="E17" s="290" t="str">
        <f t="shared" si="0"/>
        <v>DCF, 24.7x FY19E EBITDA</v>
      </c>
      <c r="F17" s="373">
        <v>24205.991842561514</v>
      </c>
      <c r="G17" s="142" t="s">
        <v>113</v>
      </c>
      <c r="H17" s="388">
        <f t="shared" si="7"/>
        <v>24.725283057711955</v>
      </c>
      <c r="I17" s="142"/>
      <c r="J17" s="373">
        <v>598500</v>
      </c>
      <c r="K17" s="142" t="s">
        <v>115</v>
      </c>
      <c r="L17" s="373"/>
      <c r="M17" s="142" t="s">
        <v>114</v>
      </c>
      <c r="N17" s="142">
        <f t="shared" si="2"/>
        <v>598500</v>
      </c>
      <c r="O17" s="142" t="s">
        <v>113</v>
      </c>
      <c r="P17" s="379">
        <v>0.56999999999999995</v>
      </c>
      <c r="Q17" s="312" t="s">
        <v>114</v>
      </c>
      <c r="R17" s="176">
        <f t="shared" si="3"/>
        <v>341144.99999999994</v>
      </c>
      <c r="S17" s="176"/>
      <c r="T17" s="176">
        <f t="shared" si="4"/>
        <v>257355.00000000006</v>
      </c>
      <c r="U17" s="176"/>
      <c r="V17" s="313">
        <f t="shared" si="5"/>
        <v>0.20633428535309078</v>
      </c>
      <c r="W17" s="293"/>
      <c r="X17" s="296">
        <f t="shared" si="6"/>
        <v>98.624024002278219</v>
      </c>
    </row>
    <row r="18" spans="2:24">
      <c r="B18" s="293" t="s">
        <v>739</v>
      </c>
      <c r="J18" s="373">
        <v>43512</v>
      </c>
      <c r="K18" s="142" t="s">
        <v>115</v>
      </c>
      <c r="L18" s="373"/>
      <c r="M18" s="142" t="s">
        <v>114</v>
      </c>
      <c r="N18" s="142">
        <f t="shared" ref="N18" si="8">J18-L18</f>
        <v>43512</v>
      </c>
      <c r="O18" s="142" t="s">
        <v>113</v>
      </c>
      <c r="P18" s="379">
        <v>0.25</v>
      </c>
      <c r="Q18" s="312" t="s">
        <v>114</v>
      </c>
      <c r="R18" s="176">
        <f t="shared" ref="R18" si="9">P18*N18</f>
        <v>10878</v>
      </c>
      <c r="S18" s="176"/>
      <c r="T18" s="176">
        <f t="shared" ref="T18" si="10">N18-R18</f>
        <v>32634</v>
      </c>
      <c r="U18" s="176"/>
      <c r="V18" s="313">
        <f t="shared" si="5"/>
        <v>1.5000864535144003E-2</v>
      </c>
      <c r="W18" s="293"/>
      <c r="X18" s="296">
        <f t="shared" si="6"/>
        <v>7.1701395695691392</v>
      </c>
    </row>
    <row r="19" spans="2:24">
      <c r="B19" s="293" t="s">
        <v>179</v>
      </c>
      <c r="C19" s="293"/>
      <c r="I19" s="142"/>
      <c r="J19" s="373">
        <v>-67437.253277208642</v>
      </c>
      <c r="K19" s="142" t="s">
        <v>115</v>
      </c>
      <c r="L19" s="387"/>
      <c r="M19" s="142" t="s">
        <v>114</v>
      </c>
      <c r="N19" s="308">
        <f>J19-L19</f>
        <v>-67437.253277208642</v>
      </c>
      <c r="O19" s="142" t="s">
        <v>113</v>
      </c>
      <c r="P19" s="379">
        <v>1</v>
      </c>
      <c r="Q19" s="312" t="s">
        <v>114</v>
      </c>
      <c r="R19" s="308">
        <f>P19*N19</f>
        <v>-67437.253277208642</v>
      </c>
      <c r="S19" s="176"/>
      <c r="T19" s="308">
        <f>N19-R19</f>
        <v>0</v>
      </c>
      <c r="U19" s="176"/>
      <c r="V19" s="314">
        <f>N19/$J$29</f>
        <v>-11.066172182016516</v>
      </c>
      <c r="W19" s="293"/>
      <c r="X19" s="315">
        <f>$J$34*V19</f>
        <v>-20081.782658705371</v>
      </c>
    </row>
    <row r="20" spans="2:24">
      <c r="B20" s="269" t="s">
        <v>117</v>
      </c>
      <c r="C20" s="293"/>
      <c r="F20" s="170"/>
      <c r="G20" s="157"/>
      <c r="H20" s="295"/>
      <c r="I20" s="299"/>
      <c r="J20" s="170">
        <f>SUM(J11:J19)</f>
        <v>5426076.7069761809</v>
      </c>
      <c r="K20" s="298"/>
      <c r="L20" s="170">
        <f>-J24</f>
        <v>1722917.8465362489</v>
      </c>
      <c r="M20" s="157"/>
      <c r="N20" s="170">
        <f>SUM(N11:N19)</f>
        <v>5426076.7069761809</v>
      </c>
      <c r="P20" s="300"/>
      <c r="Q20" s="301"/>
      <c r="R20" s="170">
        <f>SUM(R11:R19)</f>
        <v>4531173.666602063</v>
      </c>
      <c r="S20" s="293"/>
      <c r="T20" s="170">
        <f>SUM(T11:T19)</f>
        <v>894903.04037411837</v>
      </c>
      <c r="U20" s="293"/>
      <c r="V20" s="310">
        <f>N20/$J$28</f>
        <v>1.8706527311695613</v>
      </c>
      <c r="W20" s="293"/>
      <c r="X20" s="295">
        <f>$J$33*V20</f>
        <v>894.13787700421324</v>
      </c>
    </row>
    <row r="21" spans="2:24">
      <c r="B21" s="269"/>
      <c r="C21" s="269"/>
      <c r="F21" s="170"/>
      <c r="G21" s="157"/>
      <c r="H21" s="295"/>
      <c r="I21" s="299"/>
      <c r="J21" s="298"/>
      <c r="K21" s="298"/>
      <c r="L21" s="157"/>
      <c r="M21" s="157"/>
      <c r="N21" s="293"/>
      <c r="P21" s="300"/>
      <c r="Q21" s="301"/>
      <c r="R21" s="293"/>
    </row>
    <row r="22" spans="2:24">
      <c r="B22" s="269"/>
      <c r="C22" s="269"/>
      <c r="I22" s="299"/>
      <c r="J22" s="298"/>
      <c r="K22" s="298"/>
      <c r="L22" s="157"/>
      <c r="M22" s="157"/>
    </row>
    <row r="23" spans="2:24" ht="12.6" thickBot="1">
      <c r="B23" s="305" t="s">
        <v>121</v>
      </c>
      <c r="D23" s="269"/>
      <c r="E23" s="304"/>
      <c r="I23" s="304"/>
      <c r="J23" s="297">
        <f>J20</f>
        <v>5426076.7069761809</v>
      </c>
      <c r="T23" s="357" t="s">
        <v>452</v>
      </c>
      <c r="U23" s="291"/>
      <c r="V23" s="291"/>
      <c r="W23" s="291"/>
      <c r="X23" s="291"/>
    </row>
    <row r="24" spans="2:24" ht="12.6" thickTop="1">
      <c r="B24" s="306" t="s">
        <v>872</v>
      </c>
      <c r="J24" s="176">
        <f>-BHART!D12</f>
        <v>-1722917.8465362489</v>
      </c>
    </row>
    <row r="25" spans="2:24">
      <c r="B25" s="307" t="s">
        <v>301</v>
      </c>
      <c r="J25" s="176">
        <f>-T20</f>
        <v>-894903.04037411837</v>
      </c>
    </row>
    <row r="26" spans="2:24">
      <c r="B26" s="307" t="s">
        <v>303</v>
      </c>
      <c r="D26" s="293"/>
      <c r="J26" s="308">
        <v>0</v>
      </c>
      <c r="K26" s="304"/>
    </row>
    <row r="27" spans="2:24">
      <c r="B27" s="307" t="s">
        <v>873</v>
      </c>
      <c r="D27" s="293"/>
      <c r="J27" s="373">
        <v>92377</v>
      </c>
      <c r="K27" s="304"/>
      <c r="P27" s="269"/>
      <c r="Q27" s="310"/>
      <c r="R27" s="293"/>
    </row>
    <row r="28" spans="2:24">
      <c r="B28" s="305" t="s">
        <v>407</v>
      </c>
      <c r="D28" s="269"/>
      <c r="E28" s="304"/>
      <c r="F28" s="304"/>
      <c r="G28" s="304"/>
      <c r="H28" s="304"/>
      <c r="I28" s="304"/>
      <c r="J28" s="170">
        <f>SUM(J23:J27)</f>
        <v>2900632.8200658136</v>
      </c>
      <c r="R28" s="293"/>
    </row>
    <row r="29" spans="2:24" ht="12.6" thickBot="1">
      <c r="B29" s="307" t="s">
        <v>408</v>
      </c>
      <c r="D29" s="293"/>
      <c r="J29" s="176">
        <f>BHART!D10</f>
        <v>6094</v>
      </c>
      <c r="K29" s="304"/>
      <c r="R29" s="293"/>
    </row>
    <row r="30" spans="2:24" ht="12.6" thickBot="1">
      <c r="B30" s="305" t="s">
        <v>409</v>
      </c>
      <c r="D30" s="293"/>
      <c r="J30" s="359">
        <f>J28/J29</f>
        <v>475.98175583620178</v>
      </c>
      <c r="K30" s="304"/>
      <c r="R30" s="293"/>
    </row>
    <row r="31" spans="2:24">
      <c r="B31" s="307" t="s">
        <v>874</v>
      </c>
      <c r="J31" s="375">
        <v>2</v>
      </c>
      <c r="K31" s="304"/>
      <c r="R31" s="293"/>
    </row>
    <row r="32" spans="2:24" ht="12.6" thickBot="1">
      <c r="B32" s="307" t="s">
        <v>813</v>
      </c>
      <c r="J32" s="375"/>
      <c r="K32" s="304"/>
    </row>
    <row r="33" spans="2:24" ht="12.6" thickBot="1">
      <c r="B33" s="305" t="s">
        <v>55</v>
      </c>
      <c r="D33" s="269"/>
      <c r="E33" s="304"/>
      <c r="H33" s="304"/>
      <c r="I33" s="304"/>
      <c r="J33" s="359">
        <f>J30+J31+J32</f>
        <v>477.98175583620178</v>
      </c>
      <c r="K33" s="304"/>
    </row>
    <row r="34" spans="2:24">
      <c r="B34" s="307" t="s">
        <v>410</v>
      </c>
      <c r="D34" s="293"/>
      <c r="J34" s="319">
        <f>Prices!C76</f>
        <v>1814.7</v>
      </c>
    </row>
    <row r="35" spans="2:24">
      <c r="B35" s="305" t="s">
        <v>84</v>
      </c>
      <c r="D35" s="269"/>
      <c r="E35" s="304"/>
      <c r="F35" s="304"/>
      <c r="G35" s="304"/>
      <c r="H35" s="304"/>
      <c r="I35" s="304"/>
      <c r="J35" s="310">
        <f>J33/J34-1</f>
        <v>-0.73660563407935098</v>
      </c>
      <c r="K35" s="304"/>
    </row>
    <row r="36" spans="2:24">
      <c r="K36" s="304"/>
      <c r="L36" s="303"/>
    </row>
    <row r="39" spans="2:24">
      <c r="D39" s="269"/>
      <c r="E39" s="304"/>
      <c r="H39" s="304"/>
      <c r="I39" s="304"/>
    </row>
    <row r="40" spans="2:24">
      <c r="D40" s="269"/>
      <c r="E40" s="304"/>
      <c r="F40" s="304"/>
      <c r="G40" s="304"/>
      <c r="H40" s="304"/>
      <c r="I40" s="304"/>
      <c r="J40" s="304"/>
    </row>
    <row r="41" spans="2:24" ht="12.6" thickBot="1">
      <c r="D41" s="309"/>
      <c r="E41" s="269"/>
      <c r="H41" s="304"/>
      <c r="I41" s="304"/>
      <c r="K41" s="304"/>
      <c r="T41" s="357" t="s">
        <v>452</v>
      </c>
      <c r="U41" s="291"/>
      <c r="V41" s="291"/>
      <c r="W41" s="291"/>
      <c r="X41" s="291"/>
    </row>
    <row r="42" spans="2:24" ht="12.6" thickTop="1">
      <c r="D42" s="269"/>
      <c r="E42" s="269"/>
      <c r="F42" s="269"/>
      <c r="G42" s="269"/>
      <c r="H42" s="269"/>
      <c r="I42" s="269"/>
      <c r="T42" s="293" t="str">
        <f t="shared" ref="T42:T50" si="11">B11</f>
        <v>Indian Mobile</v>
      </c>
      <c r="X42" s="313">
        <f>(R11)/($R$20)</f>
        <v>0.67223829584795225</v>
      </c>
    </row>
    <row r="43" spans="2:24">
      <c r="D43" s="269"/>
      <c r="E43" s="269"/>
      <c r="F43" s="269"/>
      <c r="G43" s="269"/>
      <c r="H43" s="269"/>
      <c r="I43" s="269"/>
      <c r="T43" s="293" t="str">
        <f t="shared" si="11"/>
        <v>South Asian Mobile</v>
      </c>
      <c r="X43" s="313">
        <f t="shared" ref="X43:X50" si="12">(R12)/($R$20)</f>
        <v>-3.9357380669427484E-4</v>
      </c>
    </row>
    <row r="44" spans="2:24">
      <c r="D44" s="269"/>
      <c r="E44" s="269"/>
      <c r="F44" s="269"/>
      <c r="G44" s="269"/>
      <c r="H44" s="269"/>
      <c r="I44" s="269"/>
      <c r="T44" s="293" t="str">
        <f t="shared" si="11"/>
        <v>Digital TV</v>
      </c>
      <c r="X44" s="313">
        <f t="shared" si="12"/>
        <v>4.3374228391439236E-2</v>
      </c>
    </row>
    <row r="45" spans="2:24">
      <c r="D45" s="269"/>
      <c r="E45" s="269"/>
      <c r="F45" s="269"/>
      <c r="G45" s="269"/>
      <c r="H45" s="269"/>
      <c r="I45" s="269"/>
      <c r="T45" s="293" t="str">
        <f t="shared" si="11"/>
        <v>Home services</v>
      </c>
      <c r="X45" s="313">
        <f t="shared" si="12"/>
        <v>2.0253117253242362E-2</v>
      </c>
    </row>
    <row r="46" spans="2:24">
      <c r="D46" s="269"/>
      <c r="E46" s="269"/>
      <c r="F46" s="269"/>
      <c r="G46" s="269"/>
      <c r="H46" s="269"/>
      <c r="I46" s="269"/>
      <c r="T46" s="293" t="str">
        <f t="shared" si="11"/>
        <v>Enterprise</v>
      </c>
      <c r="X46" s="313">
        <f t="shared" si="12"/>
        <v>0.12906507172079479</v>
      </c>
    </row>
    <row r="47" spans="2:24">
      <c r="D47" s="269"/>
      <c r="E47" s="269"/>
      <c r="F47" s="269"/>
      <c r="G47" s="269"/>
      <c r="H47" s="269"/>
      <c r="I47" s="269"/>
      <c r="T47" s="293" t="str">
        <f t="shared" si="11"/>
        <v>Infratel</v>
      </c>
      <c r="X47" s="313">
        <f t="shared" si="12"/>
        <v>7.2656672249528403E-2</v>
      </c>
    </row>
    <row r="48" spans="2:24">
      <c r="D48" s="269"/>
      <c r="E48" s="269"/>
      <c r="F48" s="269"/>
      <c r="G48" s="269"/>
      <c r="H48" s="269"/>
      <c r="I48" s="269"/>
      <c r="T48" s="293" t="str">
        <f t="shared" si="11"/>
        <v>Africa</v>
      </c>
      <c r="X48" s="313">
        <f t="shared" si="12"/>
        <v>7.5288440722208139E-2</v>
      </c>
    </row>
    <row r="49" spans="20:24">
      <c r="T49" s="293" t="str">
        <f t="shared" si="11"/>
        <v>Bangladesh (ROBI)</v>
      </c>
      <c r="X49" s="313">
        <f t="shared" si="12"/>
        <v>2.4007025111790598E-3</v>
      </c>
    </row>
    <row r="50" spans="20:24">
      <c r="T50" s="293" t="str">
        <f t="shared" si="11"/>
        <v>Overhead</v>
      </c>
      <c r="X50" s="313">
        <f t="shared" si="12"/>
        <v>-1.4882954889650033E-2</v>
      </c>
    </row>
  </sheetData>
  <phoneticPr fontId="26" type="noConversion"/>
  <pageMargins left="0.75" right="0.75" top="1" bottom="1" header="0.5" footer="0.5"/>
  <pageSetup scale="4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4">
    <pageSetUpPr fitToPage="1"/>
  </sheetPr>
  <dimension ref="B1:AA49"/>
  <sheetViews>
    <sheetView showGridLines="0" zoomScale="80" zoomScaleNormal="80" zoomScaleSheetLayoutView="80" workbookViewId="0">
      <selection activeCell="D25" sqref="D25"/>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476</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391</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300</v>
      </c>
      <c r="C9" s="241">
        <f>Prices!C107</f>
        <v>22.8</v>
      </c>
      <c r="D9" s="407">
        <v>0</v>
      </c>
      <c r="E9" s="407">
        <v>0</v>
      </c>
      <c r="F9" s="407">
        <v>0</v>
      </c>
      <c r="G9" s="407">
        <v>0</v>
      </c>
      <c r="H9" s="209"/>
      <c r="I9" s="209"/>
      <c r="J9" s="5" t="s">
        <v>225</v>
      </c>
      <c r="L9" s="406">
        <f>'LATAM INCUMB'!D37</f>
        <v>2.108942592849107</v>
      </c>
      <c r="M9" s="406">
        <f>'LATAM INCUMB'!E37</f>
        <v>1.7989536283544942</v>
      </c>
      <c r="N9" s="406">
        <f>'LATAM INCUMB'!F37</f>
        <v>1.6245563909245235</v>
      </c>
      <c r="O9" s="406">
        <f>'LATAM INCUMB'!G37</f>
        <v>1.452112444748461</v>
      </c>
      <c r="P9" s="240">
        <f>'LATAM INCUMB'!H37</f>
        <v>5.0665939566617801E-2</v>
      </c>
    </row>
    <row r="10" spans="2:27">
      <c r="B10" s="5" t="s">
        <v>226</v>
      </c>
      <c r="C10" s="5"/>
      <c r="D10" s="408">
        <v>3012.5</v>
      </c>
      <c r="E10" s="408">
        <v>2940</v>
      </c>
      <c r="F10" s="408">
        <v>2872.5</v>
      </c>
      <c r="G10" s="408">
        <v>2807.5</v>
      </c>
      <c r="H10" s="209" t="s">
        <v>243</v>
      </c>
      <c r="I10" s="207"/>
      <c r="J10" s="5" t="s">
        <v>158</v>
      </c>
      <c r="L10" s="406">
        <f>'LATAM INCUMB'!D38</f>
        <v>5.3273786621275869</v>
      </c>
      <c r="M10" s="406">
        <f>'LATAM INCUMB'!E38</f>
        <v>4.4564863261624739</v>
      </c>
      <c r="N10" s="406">
        <f>'LATAM INCUMB'!F38</f>
        <v>3.9956463252385053</v>
      </c>
      <c r="O10" s="406">
        <f>'LATAM INCUMB'!G38</f>
        <v>3.563273468629057</v>
      </c>
      <c r="P10" s="240">
        <f>'LATAM INCUMB'!H38</f>
        <v>6.0875991046259958E-2</v>
      </c>
    </row>
    <row r="11" spans="2:27">
      <c r="B11" s="25" t="s">
        <v>260</v>
      </c>
      <c r="C11" s="5"/>
      <c r="D11" s="409">
        <f>($C$9*D10)</f>
        <v>68685</v>
      </c>
      <c r="E11" s="409">
        <f>($C$9*E10)</f>
        <v>67032</v>
      </c>
      <c r="F11" s="409">
        <f>($C$9*F10)</f>
        <v>65493</v>
      </c>
      <c r="G11" s="409">
        <f>($C$9*G10)</f>
        <v>64011</v>
      </c>
      <c r="H11" s="209"/>
      <c r="I11" s="209"/>
      <c r="J11" s="5" t="s">
        <v>159</v>
      </c>
      <c r="L11" s="406">
        <f>'LATAM INCUMB'!D39</f>
        <v>8.2568976610310063</v>
      </c>
      <c r="M11" s="406">
        <f>'LATAM INCUMB'!E39</f>
        <v>6.9138283439202475</v>
      </c>
      <c r="N11" s="406">
        <f>'LATAM INCUMB'!F39</f>
        <v>6.1432211493025433</v>
      </c>
      <c r="O11" s="406">
        <f>'LATAM INCUMB'!G39</f>
        <v>5.3190732642203526</v>
      </c>
      <c r="P11" s="240">
        <f>'LATAM INCUMB'!H39</f>
        <v>7.4245294052326605E-2</v>
      </c>
    </row>
    <row r="12" spans="2:27">
      <c r="B12" s="5" t="s">
        <v>22</v>
      </c>
      <c r="C12" s="209"/>
      <c r="D12" s="410">
        <v>36005.312504478716</v>
      </c>
      <c r="E12" s="410">
        <v>33590.459704368121</v>
      </c>
      <c r="F12" s="410">
        <v>31075.08807194234</v>
      </c>
      <c r="G12" s="410">
        <v>28085.85757090713</v>
      </c>
      <c r="H12" s="207"/>
      <c r="I12" s="207"/>
      <c r="J12" s="5" t="s">
        <v>381</v>
      </c>
      <c r="L12" s="406">
        <f>'LATAM INCUMB'!D40</f>
        <v>11.912771419276883</v>
      </c>
      <c r="M12" s="406">
        <f>'LATAM INCUMB'!E40</f>
        <v>9.9869081777888358</v>
      </c>
      <c r="N12" s="406">
        <f>'LATAM INCUMB'!F40</f>
        <v>8.8795669220474664</v>
      </c>
      <c r="O12" s="406">
        <f>'LATAM INCUMB'!G40</f>
        <v>7.6886868723633572</v>
      </c>
      <c r="P12" s="240">
        <f>'LATAM INCUMB'!H40</f>
        <v>7.3569162293801948E-2</v>
      </c>
    </row>
    <row r="13" spans="2:27">
      <c r="B13" s="5" t="s">
        <v>433</v>
      </c>
      <c r="C13" s="216"/>
      <c r="D13" s="410">
        <v>0</v>
      </c>
      <c r="E13" s="410">
        <v>0</v>
      </c>
      <c r="F13" s="410">
        <v>0</v>
      </c>
      <c r="G13" s="410">
        <v>0</v>
      </c>
      <c r="H13" s="207"/>
      <c r="I13" s="207"/>
      <c r="J13" s="5" t="s">
        <v>434</v>
      </c>
      <c r="L13" s="406">
        <f>'LATAM INCUMB'!D41</f>
        <v>1.7110129993930618</v>
      </c>
      <c r="M13" s="406">
        <f>'LATAM INCUMB'!E41</f>
        <v>1.574342116816748</v>
      </c>
      <c r="N13" s="406">
        <f>'LATAM INCUMB'!F41</f>
        <v>1.4871237938434103</v>
      </c>
      <c r="O13" s="406">
        <f>'LATAM INCUMB'!G41</f>
        <v>1.3881510620661361</v>
      </c>
      <c r="P13" s="240">
        <f>'LATAM INCUMB'!H41</f>
        <v>-5.2468040419312301E-3</v>
      </c>
    </row>
    <row r="14" spans="2:27">
      <c r="B14" s="5" t="s">
        <v>436</v>
      </c>
      <c r="C14" s="216"/>
      <c r="D14" s="414">
        <v>0</v>
      </c>
      <c r="E14" s="407">
        <f t="shared" ref="E14:G15" si="2">D14</f>
        <v>0</v>
      </c>
      <c r="F14" s="407">
        <f t="shared" si="2"/>
        <v>0</v>
      </c>
      <c r="G14" s="407">
        <f t="shared" si="2"/>
        <v>0</v>
      </c>
      <c r="H14" s="207"/>
      <c r="I14" s="207"/>
      <c r="J14" s="5" t="s">
        <v>493</v>
      </c>
      <c r="L14" s="406">
        <f>'LATAM INCUMB'!D42</f>
        <v>3.2920352052567234</v>
      </c>
      <c r="M14" s="406">
        <f>'LATAM INCUMB'!E42</f>
        <v>3.1595066804938936</v>
      </c>
      <c r="N14" s="406">
        <f>'LATAM INCUMB'!F42</f>
        <v>3.1647101234465342</v>
      </c>
      <c r="O14" s="406">
        <f>'LATAM INCUMB'!G42</f>
        <v>3.1722568874000778</v>
      </c>
      <c r="P14" s="240">
        <f>'LATAM INCUMB'!H42</f>
        <v>-6.0690912550466325E-2</v>
      </c>
    </row>
    <row r="15" spans="2:27">
      <c r="B15" s="5" t="s">
        <v>435</v>
      </c>
      <c r="C15" s="228"/>
      <c r="D15" s="414">
        <v>2487.316098280839</v>
      </c>
      <c r="E15" s="407">
        <f t="shared" si="2"/>
        <v>2487.316098280839</v>
      </c>
      <c r="F15" s="407">
        <f t="shared" si="2"/>
        <v>2487.316098280839</v>
      </c>
      <c r="G15" s="407">
        <f t="shared" si="2"/>
        <v>2487.316098280839</v>
      </c>
      <c r="H15" s="207"/>
      <c r="I15" s="207"/>
      <c r="J15" s="5" t="s">
        <v>390</v>
      </c>
      <c r="L15" s="406">
        <f>'LATAM INCUMB'!D43</f>
        <v>11.828750233158917</v>
      </c>
      <c r="M15" s="406">
        <f>'LATAM INCUMB'!E43</f>
        <v>10.086714598831263</v>
      </c>
      <c r="N15" s="406">
        <f>'LATAM INCUMB'!F43</f>
        <v>9.2193743349297748</v>
      </c>
      <c r="O15" s="406">
        <f>'LATAM INCUMB'!G43</f>
        <v>8.197154350030786</v>
      </c>
      <c r="P15" s="240">
        <f>'LATAM INCUMB'!H43</f>
        <v>0.10462959461893884</v>
      </c>
    </row>
    <row r="16" spans="2:27">
      <c r="B16" s="5" t="s">
        <v>438</v>
      </c>
      <c r="C16" s="216"/>
      <c r="D16" s="410">
        <v>1652.0833333333335</v>
      </c>
      <c r="E16" s="410">
        <v>3706.8138063806382</v>
      </c>
      <c r="F16" s="410">
        <v>5926.4475344593284</v>
      </c>
      <c r="G16" s="410">
        <v>8295.5858323721641</v>
      </c>
      <c r="H16" s="207"/>
      <c r="I16" s="207"/>
      <c r="J16" s="5" t="s">
        <v>437</v>
      </c>
      <c r="L16" s="406">
        <f>'LATAM INCUMB'!D44</f>
        <v>15.9969121813232</v>
      </c>
      <c r="M16" s="406">
        <f>'LATAM INCUMB'!E44</f>
        <v>12.209673122372518</v>
      </c>
      <c r="N16" s="406">
        <f>'LATAM INCUMB'!F44</f>
        <v>10.611708481730632</v>
      </c>
      <c r="O16" s="406">
        <f>'LATAM INCUMB'!G44</f>
        <v>9.5617096909572847</v>
      </c>
      <c r="P16" s="240">
        <f>'LATAM INCUMB'!H44</f>
        <v>0.16071026751292017</v>
      </c>
    </row>
    <row r="17" spans="2:24">
      <c r="B17" s="5" t="s">
        <v>4</v>
      </c>
      <c r="C17" s="216"/>
      <c r="D17" s="410">
        <v>0</v>
      </c>
      <c r="E17" s="410">
        <v>0</v>
      </c>
      <c r="F17" s="410">
        <v>0</v>
      </c>
      <c r="G17" s="410">
        <v>0</v>
      </c>
      <c r="H17" s="207"/>
      <c r="I17" s="207"/>
      <c r="J17" s="5" t="s">
        <v>481</v>
      </c>
      <c r="L17" s="208">
        <f>'LATAM INCUMB'!D45</f>
        <v>2.6105092451879509E-2</v>
      </c>
      <c r="M17" s="208">
        <f>'LATAM INCUMB'!E45</f>
        <v>3.695743730937464E-2</v>
      </c>
      <c r="N17" s="208">
        <f>'LATAM INCUMB'!F45</f>
        <v>4.2382298151586693E-2</v>
      </c>
      <c r="O17" s="208">
        <f>'LATAM INCUMB'!G45</f>
        <v>4.7703950361606302E-2</v>
      </c>
      <c r="P17" s="240">
        <f>'LATAM INCUMB'!H45</f>
        <v>0.19536350766533772</v>
      </c>
      <c r="S17" s="72"/>
      <c r="T17" s="26"/>
      <c r="U17" s="26"/>
      <c r="V17" s="26"/>
      <c r="W17" s="26"/>
      <c r="X17" s="26"/>
    </row>
    <row r="18" spans="2:24" ht="12.6" thickBot="1">
      <c r="B18" s="25" t="s">
        <v>423</v>
      </c>
      <c r="C18" s="209"/>
      <c r="D18" s="411">
        <f>D11+D12+D13-D14+D15-D16-D17</f>
        <v>105525.54526942622</v>
      </c>
      <c r="E18" s="411">
        <f>E11+E12+E13-E14+E15-E16-E17</f>
        <v>99402.961996268306</v>
      </c>
      <c r="F18" s="411">
        <f>F11+F12+F13-F14+F15-F16-F17</f>
        <v>93128.956635763854</v>
      </c>
      <c r="G18" s="411">
        <f>G11+G12+G13-G14+G15-G16-G17</f>
        <v>86288.587836815801</v>
      </c>
      <c r="H18" s="230">
        <f>IF(D18=0,"nm",IF(G18=0,"nm",(G18/D18)^(1/3)-1))</f>
        <v>-6.4884507499426869E-2</v>
      </c>
      <c r="I18" s="214"/>
      <c r="J18" s="5" t="s">
        <v>33</v>
      </c>
      <c r="L18" s="208">
        <f>'LATAM INCUMB'!D46</f>
        <v>3.5182997947251902E-2</v>
      </c>
      <c r="M18" s="208">
        <f>'LATAM INCUMB'!E46</f>
        <v>5.3058049652406042E-2</v>
      </c>
      <c r="N18" s="208">
        <f>'LATAM INCUMB'!F46</f>
        <v>5.9454627023393818E-2</v>
      </c>
      <c r="O18" s="208">
        <f>'LATAM INCUMB'!G46</f>
        <v>6.6224057174592149E-2</v>
      </c>
      <c r="P18" s="240">
        <f>'LATAM INCUMB'!H46</f>
        <v>0.20721494761880854</v>
      </c>
      <c r="S18" s="72"/>
      <c r="T18" s="26"/>
      <c r="U18" s="26"/>
      <c r="V18" s="26"/>
      <c r="W18" s="26"/>
      <c r="X18" s="26"/>
    </row>
    <row r="19" spans="2:24" ht="12.6" thickTop="1">
      <c r="B19" s="25"/>
      <c r="C19" s="209"/>
      <c r="D19" s="189"/>
      <c r="E19" s="189"/>
      <c r="F19" s="189"/>
      <c r="G19" s="189"/>
      <c r="H19" s="230"/>
      <c r="I19" s="214"/>
      <c r="J19" s="5" t="s">
        <v>482</v>
      </c>
      <c r="L19" s="208">
        <f>'LATAM INCUMB'!D47</f>
        <v>8.4539784870657955E-2</v>
      </c>
      <c r="M19" s="208">
        <f>'LATAM INCUMB'!E47</f>
        <v>9.914030878953084E-2</v>
      </c>
      <c r="N19" s="208">
        <f>'LATAM INCUMB'!F47</f>
        <v>0.10846723038582608</v>
      </c>
      <c r="O19" s="208">
        <f>'LATAM INCUMB'!G47</f>
        <v>0.12199355499463595</v>
      </c>
      <c r="P19" s="240">
        <f>'LATAM INCUMB'!H47</f>
        <v>0.10462959461893884</v>
      </c>
      <c r="S19" s="72"/>
      <c r="T19" s="26"/>
      <c r="U19" s="26"/>
      <c r="V19" s="26"/>
      <c r="W19" s="26"/>
      <c r="X19" s="26"/>
    </row>
    <row r="20" spans="2:24">
      <c r="H20" s="231"/>
      <c r="I20" s="13"/>
      <c r="J20" s="5" t="s">
        <v>504</v>
      </c>
      <c r="L20" s="248">
        <f>'LATAM INCUMB'!D48</f>
        <v>0.31180804383016342</v>
      </c>
      <c r="M20" s="248">
        <f>'LATAM INCUMB'!E48</f>
        <v>0.37650511421699084</v>
      </c>
      <c r="N20" s="248">
        <f>'LATAM INCUMB'!F48</f>
        <v>0.39473276117407413</v>
      </c>
      <c r="O20" s="248">
        <f>'LATAM INCUMB'!G48</f>
        <v>0.39512751374163507</v>
      </c>
      <c r="P20" s="240" t="str">
        <f>'LATAM INCUMB'!H48</f>
        <v>nm</v>
      </c>
      <c r="S20" s="72"/>
      <c r="T20" s="26"/>
      <c r="U20" s="26"/>
      <c r="V20" s="26"/>
      <c r="W20" s="26"/>
      <c r="X20" s="26"/>
    </row>
    <row r="21" spans="2:24" ht="12.6" thickBot="1">
      <c r="B21" s="249" t="s">
        <v>756</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47498.415300546447</v>
      </c>
      <c r="D23" s="416">
        <v>49799.119791666672</v>
      </c>
      <c r="E23" s="416">
        <v>55485.751952695275</v>
      </c>
      <c r="F23" s="416">
        <v>56845.696853496636</v>
      </c>
      <c r="G23" s="416">
        <v>57960.31836042794</v>
      </c>
      <c r="H23" s="233">
        <f t="shared" ref="H23:H32" si="4">IF(D23=0,"nm",IF(G23=0,"nm",(G23/D23)^(1/3)-1))</f>
        <v>5.1888479268892951E-2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18772.513661202185</v>
      </c>
      <c r="D24" s="416">
        <v>19592.344531250001</v>
      </c>
      <c r="E24" s="416">
        <v>21933.080082508255</v>
      </c>
      <c r="F24" s="416">
        <v>22578.170673170265</v>
      </c>
      <c r="G24" s="416">
        <v>23131.557209277373</v>
      </c>
      <c r="H24" s="233">
        <f t="shared" si="4"/>
        <v>5.6913601792575985E-2</v>
      </c>
      <c r="I24" s="209"/>
      <c r="J24" s="13"/>
      <c r="K24" s="13"/>
      <c r="L24" s="13"/>
      <c r="M24" s="13"/>
      <c r="N24" s="13"/>
      <c r="O24" s="208"/>
      <c r="S24" s="72"/>
      <c r="T24" s="26"/>
      <c r="U24" s="26"/>
      <c r="V24" s="26"/>
      <c r="W24" s="26" t="s">
        <v>473</v>
      </c>
      <c r="X24" s="26" t="s">
        <v>417</v>
      </c>
    </row>
    <row r="25" spans="2:24">
      <c r="B25" s="5" t="s">
        <v>157</v>
      </c>
      <c r="C25" s="422">
        <v>12023.05863387978</v>
      </c>
      <c r="D25" s="416">
        <v>12970.467760416666</v>
      </c>
      <c r="E25" s="416">
        <v>14237.646049367442</v>
      </c>
      <c r="F25" s="416">
        <v>14685.544629413254</v>
      </c>
      <c r="G25" s="416">
        <v>15540.993593898744</v>
      </c>
      <c r="H25" s="233">
        <f t="shared" si="4"/>
        <v>6.2121942226958327E-2</v>
      </c>
      <c r="I25" s="208"/>
      <c r="J25" s="207" t="s">
        <v>8</v>
      </c>
      <c r="K25" s="207"/>
      <c r="L25" s="252">
        <v>0</v>
      </c>
      <c r="M25" s="252">
        <v>0</v>
      </c>
      <c r="N25" s="252">
        <v>0</v>
      </c>
      <c r="O25" s="252">
        <v>0</v>
      </c>
      <c r="P25" s="233" t="str">
        <f>IF(L25=0,"nm",IF(O25=0,"nm",(O25/L25)^(1/3)-1))</f>
        <v>nm</v>
      </c>
      <c r="S25" s="72"/>
      <c r="T25" s="26"/>
      <c r="U25" s="26"/>
      <c r="V25" s="113" t="s">
        <v>225</v>
      </c>
      <c r="W25" s="242">
        <f t="shared" ref="W25:W33" si="6">D37/L9</f>
        <v>1.004780458916114</v>
      </c>
      <c r="X25" s="242">
        <v>1</v>
      </c>
    </row>
    <row r="26" spans="2:24">
      <c r="B26" s="5" t="s">
        <v>487</v>
      </c>
      <c r="C26" s="422">
        <v>9197.6398549180321</v>
      </c>
      <c r="D26" s="416">
        <v>9079.3274322916659</v>
      </c>
      <c r="E26" s="416">
        <v>9966.3522345572092</v>
      </c>
      <c r="F26" s="416">
        <v>10279.881240589277</v>
      </c>
      <c r="G26" s="416">
        <v>10878.69551572912</v>
      </c>
      <c r="H26" s="233">
        <f t="shared" si="4"/>
        <v>6.2121942226958327E-2</v>
      </c>
      <c r="I26" s="209"/>
      <c r="J26" s="209" t="s">
        <v>9</v>
      </c>
      <c r="K26" s="209"/>
      <c r="L26" s="235">
        <f>D11+L25</f>
        <v>68685</v>
      </c>
      <c r="M26" s="235">
        <f>E11+M25</f>
        <v>67032</v>
      </c>
      <c r="N26" s="235">
        <f>F11+N25</f>
        <v>65493</v>
      </c>
      <c r="O26" s="235">
        <f>G11+O25</f>
        <v>64011</v>
      </c>
      <c r="P26" s="233">
        <f>IF(L26=0,"nm",IF(O26=0,"nm",(O26/L26)^(1/3)-1))</f>
        <v>-2.3218175679025066E-2</v>
      </c>
      <c r="Q26" s="5"/>
      <c r="S26" s="72"/>
      <c r="T26" s="26"/>
      <c r="U26" s="26"/>
      <c r="V26" s="113" t="s">
        <v>158</v>
      </c>
      <c r="W26" s="242">
        <f t="shared" si="6"/>
        <v>1.0110150691238016</v>
      </c>
      <c r="X26" s="242">
        <v>1</v>
      </c>
    </row>
    <row r="27" spans="2:24">
      <c r="B27" s="5" t="s">
        <v>488</v>
      </c>
      <c r="C27" s="423">
        <v>59352.970874316932</v>
      </c>
      <c r="D27" s="416">
        <v>55146.187438662106</v>
      </c>
      <c r="E27" s="416">
        <v>58081.475012170573</v>
      </c>
      <c r="F27" s="416">
        <v>57195.808586071806</v>
      </c>
      <c r="G27" s="416">
        <v>56209.533239297947</v>
      </c>
      <c r="H27" s="233">
        <f t="shared" si="4"/>
        <v>6.3865611820508317E-3</v>
      </c>
      <c r="I27" s="209"/>
      <c r="J27" s="208"/>
      <c r="K27" s="208"/>
      <c r="L27" s="208"/>
      <c r="M27" s="208"/>
      <c r="N27" s="208"/>
      <c r="O27" s="208"/>
      <c r="Q27" s="25"/>
      <c r="S27" s="72"/>
      <c r="T27" s="26"/>
      <c r="U27" s="26"/>
      <c r="V27" s="113" t="s">
        <v>159</v>
      </c>
      <c r="W27" s="242">
        <f t="shared" si="6"/>
        <v>0.98533762034789818</v>
      </c>
      <c r="X27" s="242">
        <v>1</v>
      </c>
    </row>
    <row r="28" spans="2:24" ht="12.6" thickBot="1">
      <c r="B28" s="5" t="s">
        <v>492</v>
      </c>
      <c r="C28" s="422">
        <v>32533.225519125681</v>
      </c>
      <c r="D28" s="416">
        <v>28491.457343749997</v>
      </c>
      <c r="E28" s="416">
        <v>27813.774990236518</v>
      </c>
      <c r="F28" s="416">
        <v>25138.78959142305</v>
      </c>
      <c r="G28" s="416">
        <v>22163.348128396618</v>
      </c>
      <c r="H28" s="233">
        <f t="shared" si="4"/>
        <v>-8.0312603943817451E-2</v>
      </c>
      <c r="I28" s="208"/>
      <c r="J28" s="249" t="s">
        <v>1073</v>
      </c>
      <c r="K28" s="249"/>
      <c r="L28" s="249"/>
      <c r="M28" s="249"/>
      <c r="N28" s="220"/>
      <c r="O28" s="220"/>
      <c r="P28" s="220"/>
      <c r="Q28" s="5"/>
      <c r="S28" s="72"/>
      <c r="T28" s="26"/>
      <c r="U28" s="26"/>
      <c r="V28" s="113" t="s">
        <v>381</v>
      </c>
      <c r="W28" s="242">
        <f t="shared" si="6"/>
        <v>0.97564341500528018</v>
      </c>
      <c r="X28" s="242">
        <v>1</v>
      </c>
    </row>
    <row r="29" spans="2:24" ht="12.6" thickTop="1">
      <c r="B29" s="5" t="s">
        <v>489</v>
      </c>
      <c r="C29" s="422">
        <v>4822.1445901639345</v>
      </c>
      <c r="D29" s="416">
        <v>6127.7455545093808</v>
      </c>
      <c r="E29" s="416">
        <v>6724.5214623860402</v>
      </c>
      <c r="F29" s="416">
        <v>7005.9301957320304</v>
      </c>
      <c r="G29" s="416">
        <v>7690.4286020839236</v>
      </c>
      <c r="H29" s="233">
        <f t="shared" si="4"/>
        <v>7.8656770153544775E-2</v>
      </c>
      <c r="I29" s="212"/>
      <c r="J29" s="209"/>
      <c r="K29" s="209"/>
      <c r="L29" s="209"/>
      <c r="M29" s="209"/>
      <c r="N29" s="209"/>
      <c r="O29" s="211"/>
      <c r="Q29" s="5"/>
      <c r="S29" s="72"/>
      <c r="T29" s="26"/>
      <c r="U29" s="26"/>
      <c r="V29" s="113" t="s">
        <v>434</v>
      </c>
      <c r="W29" s="242">
        <f t="shared" si="6"/>
        <v>1.1183784837458184</v>
      </c>
      <c r="X29" s="242">
        <v>1</v>
      </c>
    </row>
    <row r="30" spans="2:24">
      <c r="B30" s="5" t="s">
        <v>490</v>
      </c>
      <c r="C30" s="423">
        <v>5103.1693989071036</v>
      </c>
      <c r="D30" s="416">
        <v>4646.7356031544332</v>
      </c>
      <c r="E30" s="416">
        <v>5784.4055786887511</v>
      </c>
      <c r="F30" s="416">
        <v>6380.8357454946663</v>
      </c>
      <c r="G30" s="416">
        <v>6855.2637861221856</v>
      </c>
      <c r="H30" s="233">
        <f>IF(D30=0,"nm",IF(G30=0,"nm",(G30/D30)^(1/3)-1))</f>
        <v>0.13839261464935926</v>
      </c>
      <c r="I30" s="214"/>
      <c r="J30" s="208"/>
      <c r="K30" s="208"/>
      <c r="L30" s="208"/>
      <c r="M30" s="208"/>
      <c r="N30" s="208"/>
      <c r="O30" s="5"/>
      <c r="Q30" s="5"/>
      <c r="S30" s="72"/>
      <c r="T30" s="26"/>
      <c r="U30" s="26"/>
      <c r="V30" s="113" t="s">
        <v>493</v>
      </c>
      <c r="W30" s="242">
        <f t="shared" si="6"/>
        <v>1.1250672165325244</v>
      </c>
      <c r="X30" s="242">
        <v>1</v>
      </c>
    </row>
    <row r="31" spans="2:24">
      <c r="B31" s="5" t="s">
        <v>491</v>
      </c>
      <c r="C31" s="423">
        <v>1599.9999999999998</v>
      </c>
      <c r="D31" s="416">
        <v>1631.7708333333335</v>
      </c>
      <c r="E31" s="416">
        <v>2005.2805280528053</v>
      </c>
      <c r="F31" s="416">
        <v>2168.6727496279041</v>
      </c>
      <c r="G31" s="416">
        <v>2315.5285540088034</v>
      </c>
      <c r="H31" s="233">
        <f t="shared" si="4"/>
        <v>0.12373435458821769</v>
      </c>
      <c r="I31" s="214"/>
      <c r="J31" s="212"/>
      <c r="K31" s="212"/>
      <c r="L31" s="212"/>
      <c r="M31" s="212"/>
      <c r="N31" s="212"/>
      <c r="O31" s="5"/>
      <c r="Q31" s="5"/>
      <c r="S31" s="72"/>
      <c r="T31" s="26"/>
      <c r="U31" s="26"/>
      <c r="V31" s="113" t="s">
        <v>390</v>
      </c>
      <c r="W31" s="242">
        <f t="shared" si="6"/>
        <v>0.94759403310538559</v>
      </c>
      <c r="X31" s="242">
        <v>1</v>
      </c>
    </row>
    <row r="32" spans="2:24">
      <c r="B32" s="5" t="s">
        <v>506</v>
      </c>
      <c r="C32" s="424">
        <v>1242.9854098360656</v>
      </c>
      <c r="D32" s="416">
        <v>534.375</v>
      </c>
      <c r="E32" s="416">
        <v>1115.7750000000001</v>
      </c>
      <c r="F32" s="416">
        <v>1121.931</v>
      </c>
      <c r="G32" s="416">
        <v>1166.8082400000003</v>
      </c>
      <c r="H32" s="233">
        <f t="shared" si="4"/>
        <v>0.29733196393848771</v>
      </c>
      <c r="I32" s="214"/>
      <c r="J32" s="214"/>
      <c r="K32" s="214"/>
      <c r="L32" s="214"/>
      <c r="M32" s="214"/>
      <c r="N32" s="214"/>
      <c r="O32" s="211"/>
      <c r="Q32" s="5"/>
      <c r="S32" s="72"/>
      <c r="T32" s="26"/>
      <c r="U32" s="26"/>
      <c r="V32" s="113" t="s">
        <v>437</v>
      </c>
      <c r="W32" s="242">
        <f t="shared" si="6"/>
        <v>0.92401235851759356</v>
      </c>
      <c r="X32" s="242">
        <v>1</v>
      </c>
    </row>
    <row r="33" spans="2:24">
      <c r="B33" s="5" t="s">
        <v>3</v>
      </c>
      <c r="C33" s="423">
        <v>-2568.9617486338798</v>
      </c>
      <c r="D33" s="416">
        <v>-2727.53515625</v>
      </c>
      <c r="E33" s="416">
        <v>-2584.5397589848581</v>
      </c>
      <c r="F33" s="416">
        <v>-2328.0516626789786</v>
      </c>
      <c r="G33" s="416">
        <v>-2153.7189752831327</v>
      </c>
      <c r="H33" s="233">
        <f>IF(D33=0,"nm",IF(G33=0,"nm",(G33/D33)^(1/3)-1))</f>
        <v>-7.571431738186607E-2</v>
      </c>
      <c r="I33" s="5"/>
      <c r="J33" s="214"/>
      <c r="K33" s="214"/>
      <c r="L33" s="214"/>
      <c r="M33" s="214"/>
      <c r="N33" s="214"/>
      <c r="O33" s="211"/>
      <c r="Q33" s="5"/>
      <c r="S33" s="72"/>
      <c r="T33" s="26"/>
      <c r="U33" s="26"/>
      <c r="V33" s="113" t="s">
        <v>481</v>
      </c>
      <c r="W33" s="242">
        <f t="shared" si="6"/>
        <v>0.9100641947663356</v>
      </c>
      <c r="X33" s="242">
        <v>1</v>
      </c>
    </row>
    <row r="34" spans="2:24">
      <c r="H34" s="231"/>
      <c r="I34" s="33"/>
      <c r="J34" s="214"/>
      <c r="K34" s="214"/>
      <c r="L34" s="214"/>
      <c r="M34" s="214"/>
      <c r="N34" s="214"/>
      <c r="O34" s="211"/>
      <c r="Q34" s="5"/>
      <c r="S34" s="72"/>
      <c r="T34" s="26"/>
      <c r="U34" s="26"/>
      <c r="V34" s="113" t="s">
        <v>482</v>
      </c>
      <c r="W34" s="242">
        <f>D47/L19</f>
        <v>1.055304239013487</v>
      </c>
      <c r="X34" s="242">
        <v>1</v>
      </c>
    </row>
    <row r="35" spans="2:24" ht="12.6" thickBot="1">
      <c r="B35" s="249" t="s">
        <v>61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2.1190243062706653</v>
      </c>
      <c r="E37" s="406">
        <f t="shared" ref="E37:G41" si="8">E$18/E23</f>
        <v>1.7915042780895341</v>
      </c>
      <c r="F37" s="406">
        <f t="shared" si="8"/>
        <v>1.6382762775479178</v>
      </c>
      <c r="G37" s="406">
        <f t="shared" si="8"/>
        <v>1.4887528274125013</v>
      </c>
      <c r="H37" s="13">
        <f t="shared" ref="H37:H45" si="9">H23</f>
        <v>5.1888479268892951E-2</v>
      </c>
      <c r="I37" s="5"/>
      <c r="J37" s="217"/>
      <c r="K37" s="217"/>
      <c r="L37" s="217"/>
      <c r="M37" s="217"/>
      <c r="N37" s="217"/>
      <c r="O37" s="14"/>
      <c r="Q37" s="5"/>
      <c r="R37" s="5"/>
      <c r="S37" s="26"/>
      <c r="T37" s="26"/>
      <c r="U37" s="26"/>
      <c r="V37" s="26"/>
      <c r="W37" s="26"/>
      <c r="X37" s="26"/>
    </row>
    <row r="38" spans="2:24">
      <c r="B38" s="5" t="s">
        <v>158</v>
      </c>
      <c r="C38" s="207"/>
      <c r="D38" s="406">
        <f>D$18/D24</f>
        <v>5.3860601063395874</v>
      </c>
      <c r="E38" s="406">
        <f t="shared" si="8"/>
        <v>4.5321022684608119</v>
      </c>
      <c r="F38" s="406">
        <f t="shared" si="8"/>
        <v>4.1247343721442133</v>
      </c>
      <c r="G38" s="406">
        <f t="shared" si="8"/>
        <v>3.7303406362200309</v>
      </c>
      <c r="H38" s="13">
        <f t="shared" si="9"/>
        <v>5.6913601792575985E-2</v>
      </c>
      <c r="I38" s="217"/>
      <c r="J38" s="13"/>
      <c r="K38" s="13"/>
      <c r="L38" s="13"/>
      <c r="M38" s="13"/>
      <c r="N38" s="13"/>
      <c r="O38" s="5"/>
      <c r="Q38" s="5"/>
      <c r="R38" s="5"/>
      <c r="S38" s="26"/>
      <c r="T38" s="26"/>
      <c r="U38" s="26"/>
      <c r="V38" s="26"/>
      <c r="W38" s="26"/>
      <c r="X38" s="26"/>
    </row>
    <row r="39" spans="2:24">
      <c r="B39" s="5" t="s">
        <v>159</v>
      </c>
      <c r="C39" s="207"/>
      <c r="D39" s="406">
        <f>D$18/D25</f>
        <v>8.1358318927764177</v>
      </c>
      <c r="E39" s="406">
        <f t="shared" si="8"/>
        <v>6.9816991974375311</v>
      </c>
      <c r="F39" s="406">
        <f t="shared" si="8"/>
        <v>6.3415391792306126</v>
      </c>
      <c r="G39" s="406">
        <f t="shared" si="8"/>
        <v>5.5523211766004419</v>
      </c>
      <c r="H39" s="13">
        <f t="shared" si="9"/>
        <v>6.2121942226958327E-2</v>
      </c>
      <c r="I39" s="13"/>
      <c r="J39" s="5"/>
      <c r="K39" s="5"/>
      <c r="L39" s="5"/>
      <c r="M39" s="5"/>
      <c r="N39" s="5"/>
      <c r="O39" s="5"/>
      <c r="Q39" s="5"/>
      <c r="R39" s="5"/>
      <c r="S39" s="26"/>
      <c r="T39" s="26"/>
      <c r="U39" s="26"/>
      <c r="V39" s="26"/>
      <c r="W39" s="26"/>
      <c r="X39" s="26"/>
    </row>
    <row r="40" spans="2:24">
      <c r="B40" s="5" t="s">
        <v>381</v>
      </c>
      <c r="C40" s="207"/>
      <c r="D40" s="406">
        <f>D$18/D26</f>
        <v>11.622616989680596</v>
      </c>
      <c r="E40" s="406">
        <f t="shared" si="8"/>
        <v>9.9738559963393314</v>
      </c>
      <c r="F40" s="406">
        <f t="shared" si="8"/>
        <v>9.0593416846151609</v>
      </c>
      <c r="G40" s="406">
        <f t="shared" si="8"/>
        <v>7.9318873951434892</v>
      </c>
      <c r="H40" s="13">
        <f t="shared" si="9"/>
        <v>6.2121942226958327E-2</v>
      </c>
      <c r="I40" s="5"/>
      <c r="J40" s="217"/>
      <c r="K40" s="217"/>
      <c r="L40" s="217"/>
      <c r="M40" s="217"/>
      <c r="N40" s="217"/>
      <c r="O40" s="14"/>
      <c r="Q40" s="5"/>
      <c r="R40" s="5"/>
      <c r="S40" s="26"/>
      <c r="T40" s="26"/>
      <c r="U40" s="26"/>
      <c r="V40" s="26"/>
      <c r="W40" s="242"/>
      <c r="X40" s="242"/>
    </row>
    <row r="41" spans="2:24">
      <c r="B41" s="5" t="s">
        <v>434</v>
      </c>
      <c r="C41" s="207"/>
      <c r="D41" s="406">
        <f>D$18/D27</f>
        <v>1.9135601239305975</v>
      </c>
      <c r="E41" s="406">
        <f t="shared" si="8"/>
        <v>1.711440041346042</v>
      </c>
      <c r="F41" s="406">
        <f t="shared" si="8"/>
        <v>1.6282479247691308</v>
      </c>
      <c r="G41" s="406">
        <f t="shared" si="8"/>
        <v>1.535123721263862</v>
      </c>
      <c r="H41" s="13">
        <f t="shared" si="9"/>
        <v>6.3865611820508317E-3</v>
      </c>
      <c r="I41" s="207"/>
      <c r="J41" s="13"/>
      <c r="K41" s="13"/>
      <c r="L41" s="13"/>
      <c r="M41" s="13"/>
      <c r="N41" s="13"/>
      <c r="O41" s="5"/>
      <c r="Q41" s="5"/>
      <c r="R41" s="5"/>
      <c r="S41" s="26"/>
      <c r="T41" s="26"/>
      <c r="U41" s="26"/>
      <c r="V41" s="26"/>
      <c r="W41" s="242"/>
      <c r="X41" s="242"/>
    </row>
    <row r="42" spans="2:24">
      <c r="B42" s="5" t="s">
        <v>493</v>
      </c>
      <c r="C42" s="207"/>
      <c r="D42" s="406">
        <f>D18/D28</f>
        <v>3.7037608851052592</v>
      </c>
      <c r="E42" s="406">
        <f>E18/E28</f>
        <v>3.5738752481876976</v>
      </c>
      <c r="F42" s="406">
        <f>F18/F28</f>
        <v>3.7045919135079579</v>
      </c>
      <c r="G42" s="406">
        <f>G18/G28</f>
        <v>3.8933011085206579</v>
      </c>
      <c r="H42" s="13">
        <f t="shared" si="9"/>
        <v>-8.0312603943817451E-2</v>
      </c>
      <c r="I42" s="208"/>
      <c r="J42" s="5"/>
      <c r="K42" s="5"/>
      <c r="L42" s="5"/>
      <c r="M42" s="5"/>
      <c r="N42" s="5"/>
      <c r="O42" s="5"/>
      <c r="Q42" s="5"/>
      <c r="R42" s="5"/>
      <c r="S42" s="26"/>
      <c r="T42" s="26"/>
      <c r="U42" s="26"/>
      <c r="V42" s="26"/>
      <c r="W42" s="242"/>
      <c r="X42" s="242"/>
    </row>
    <row r="43" spans="2:24">
      <c r="B43" s="5" t="s">
        <v>390</v>
      </c>
      <c r="C43" s="207"/>
      <c r="D43" s="406">
        <f>L26/D29</f>
        <v>11.208853140035329</v>
      </c>
      <c r="E43" s="406">
        <f>M26/E29</f>
        <v>9.9682929670084288</v>
      </c>
      <c r="F43" s="406">
        <f>N26/F29</f>
        <v>9.3482233151420679</v>
      </c>
      <c r="G43" s="406">
        <f>O26/G29</f>
        <v>8.3234632699996123</v>
      </c>
      <c r="H43" s="13">
        <f t="shared" si="9"/>
        <v>7.8656770153544775E-2</v>
      </c>
      <c r="I43" s="207"/>
      <c r="J43" s="207"/>
      <c r="K43" s="207"/>
      <c r="L43" s="207"/>
      <c r="M43" s="207"/>
      <c r="N43" s="207"/>
      <c r="O43" s="14"/>
      <c r="Q43" s="5"/>
      <c r="R43" s="5"/>
      <c r="S43" s="26"/>
      <c r="T43" s="26"/>
      <c r="U43" s="26"/>
      <c r="V43" s="26"/>
      <c r="W43" s="242"/>
      <c r="X43" s="242"/>
    </row>
    <row r="44" spans="2:24">
      <c r="B44" s="5" t="s">
        <v>437</v>
      </c>
      <c r="C44" s="53"/>
      <c r="D44" s="406">
        <f>D11/D30</f>
        <v>14.781344553663272</v>
      </c>
      <c r="E44" s="406">
        <f>E11/E30</f>
        <v>11.588399030483487</v>
      </c>
      <c r="F44" s="406">
        <f>F11/F30</f>
        <v>10.264015970986687</v>
      </c>
      <c r="G44" s="406">
        <f>G11/G30</f>
        <v>9.3374962652179825</v>
      </c>
      <c r="H44" s="13">
        <f t="shared" si="9"/>
        <v>0.13839261464935926</v>
      </c>
      <c r="I44" s="207"/>
      <c r="J44" s="208"/>
      <c r="K44" s="208"/>
      <c r="L44" s="208"/>
      <c r="M44" s="208"/>
      <c r="N44" s="208"/>
      <c r="O44" s="208"/>
      <c r="Q44" s="5"/>
      <c r="R44" s="5"/>
      <c r="S44" s="26"/>
      <c r="T44" s="26"/>
      <c r="U44" s="26"/>
      <c r="V44" s="26"/>
      <c r="W44" s="255"/>
      <c r="X44" s="255"/>
    </row>
    <row r="45" spans="2:24">
      <c r="B45" s="5" t="s">
        <v>481</v>
      </c>
      <c r="C45" s="207"/>
      <c r="D45" s="208">
        <f>D31/D11</f>
        <v>2.375730994152047E-2</v>
      </c>
      <c r="E45" s="208">
        <f>E31/E11</f>
        <v>2.9915272228977285E-2</v>
      </c>
      <c r="F45" s="208">
        <f>F31/F11</f>
        <v>3.3113046426761703E-2</v>
      </c>
      <c r="G45" s="208">
        <f>G31/G11</f>
        <v>3.6173916264529586E-2</v>
      </c>
      <c r="H45" s="13">
        <f t="shared" si="9"/>
        <v>0.12373435458821769</v>
      </c>
      <c r="I45" s="208"/>
      <c r="J45" s="207"/>
      <c r="K45" s="207"/>
      <c r="L45" s="207"/>
      <c r="M45" s="207"/>
      <c r="N45" s="207"/>
      <c r="O45" s="208"/>
      <c r="Q45" s="5"/>
      <c r="R45" s="5"/>
      <c r="S45" s="26"/>
      <c r="T45" s="26"/>
      <c r="U45" s="26"/>
      <c r="V45" s="26"/>
      <c r="W45" s="26"/>
      <c r="X45" s="26"/>
    </row>
    <row r="46" spans="2:24">
      <c r="B46" s="5" t="s">
        <v>505</v>
      </c>
      <c r="C46" s="207"/>
      <c r="D46" s="208">
        <f>(D31+D32)/D11</f>
        <v>3.1537392929072337E-2</v>
      </c>
      <c r="E46" s="208">
        <f>(E31+E32)/E11</f>
        <v>4.6560680392242586E-2</v>
      </c>
      <c r="F46" s="208">
        <f>(F31+F32)/F11</f>
        <v>5.0243594729633766E-2</v>
      </c>
      <c r="G46" s="208">
        <f>(G31+G32)/G11</f>
        <v>5.4402162034787829E-2</v>
      </c>
      <c r="H46" s="233">
        <f>((G31+G32)/(D31+D32))^(1/3)-1</f>
        <v>0.17146061848280403</v>
      </c>
      <c r="I46" s="207"/>
      <c r="J46" s="207"/>
      <c r="K46" s="207"/>
      <c r="L46" s="207"/>
      <c r="M46" s="207"/>
      <c r="N46" s="207"/>
      <c r="O46" s="14"/>
      <c r="Q46" s="5"/>
      <c r="R46" s="5"/>
      <c r="S46" s="26"/>
      <c r="T46" s="26"/>
      <c r="U46" s="26"/>
      <c r="V46" s="26"/>
      <c r="W46" s="26"/>
      <c r="X46" s="26"/>
    </row>
    <row r="47" spans="2:24">
      <c r="B47" s="5" t="s">
        <v>482</v>
      </c>
      <c r="C47" s="5"/>
      <c r="D47" s="208">
        <f>1/D43</f>
        <v>8.9215193339293605E-2</v>
      </c>
      <c r="E47" s="208">
        <f>1/E43</f>
        <v>0.10031807886361797</v>
      </c>
      <c r="F47" s="208">
        <f>1/F43</f>
        <v>0.10697219849040403</v>
      </c>
      <c r="G47" s="208">
        <f>1/G43</f>
        <v>0.12014229745018705</v>
      </c>
      <c r="H47" s="13">
        <f>H29</f>
        <v>7.8656770153544775E-2</v>
      </c>
      <c r="I47" s="13"/>
      <c r="J47" s="208"/>
      <c r="K47" s="208"/>
      <c r="L47" s="208"/>
      <c r="M47" s="208"/>
      <c r="N47" s="208"/>
      <c r="O47" s="208"/>
      <c r="Q47" s="5"/>
      <c r="R47" s="5"/>
      <c r="S47" s="26"/>
      <c r="T47" s="26"/>
      <c r="U47" s="26"/>
      <c r="V47" s="26"/>
      <c r="W47" s="26"/>
      <c r="X47" s="26"/>
    </row>
    <row r="48" spans="2:24">
      <c r="B48" s="5" t="s">
        <v>518</v>
      </c>
      <c r="C48" s="5"/>
      <c r="D48" s="248">
        <f>D31/D29</f>
        <v>0.26629219813680427</v>
      </c>
      <c r="E48" s="248">
        <f>E31/E29</f>
        <v>0.29820419776625684</v>
      </c>
      <c r="F48" s="248">
        <f>F31/F29</f>
        <v>0.3095481526420355</v>
      </c>
      <c r="G48" s="248">
        <f>G31/G29</f>
        <v>0.30109226335985362</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AMXSOP!A1" display="Jump to AMXSop" xr:uid="{00000000-0004-0000-0900-000001000000}"/>
  </hyperlinks>
  <pageMargins left="0.75" right="0.75" top="1" bottom="1" header="0.5" footer="0.5"/>
  <pageSetup scale="71"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BAAC-EF78-4D10-A9E9-2B4C895EAB15}">
  <sheetPr codeName="Sheet21">
    <pageSetUpPr fitToPage="1"/>
  </sheetPr>
  <dimension ref="B1:X54"/>
  <sheetViews>
    <sheetView showGridLines="0" topLeftCell="A4" zoomScale="80" zoomScaleNormal="80" workbookViewId="0">
      <selection activeCell="A4" sqref="A4"/>
    </sheetView>
  </sheetViews>
  <sheetFormatPr defaultColWidth="9.109375" defaultRowHeight="12"/>
  <cols>
    <col min="1" max="1" width="2.33203125" style="290" customWidth="1"/>
    <col min="2" max="4" width="10" style="290" customWidth="1"/>
    <col min="5" max="5" width="33.554687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6640625"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1319</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1315</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ht="24">
      <c r="D9" s="269"/>
      <c r="E9" s="305" t="s">
        <v>69</v>
      </c>
      <c r="F9" s="355" t="s">
        <v>70</v>
      </c>
      <c r="G9" s="355"/>
      <c r="H9" s="355" t="s">
        <v>71</v>
      </c>
      <c r="I9" s="355"/>
      <c r="J9" s="355" t="s">
        <v>72</v>
      </c>
      <c r="K9" s="355"/>
      <c r="L9" s="355" t="s">
        <v>73</v>
      </c>
      <c r="M9" s="355"/>
      <c r="N9" s="355" t="s">
        <v>107</v>
      </c>
      <c r="O9" s="355"/>
      <c r="P9" s="355" t="s">
        <v>108</v>
      </c>
      <c r="Q9" s="355"/>
      <c r="R9" s="496" t="s">
        <v>1328</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1320</v>
      </c>
      <c r="C11" s="293"/>
      <c r="E11" s="290" t="s">
        <v>1350</v>
      </c>
      <c r="F11" s="373">
        <v>375.84983922122751</v>
      </c>
      <c r="G11" s="142" t="s">
        <v>113</v>
      </c>
      <c r="H11" s="376">
        <v>9.1763684742486085</v>
      </c>
      <c r="I11" s="142" t="s">
        <v>114</v>
      </c>
      <c r="J11" s="176">
        <f>(H11*F11)</f>
        <v>3448.9366156810802</v>
      </c>
      <c r="K11" s="142" t="s">
        <v>115</v>
      </c>
      <c r="L11" s="373">
        <v>-3671</v>
      </c>
      <c r="M11" s="142" t="s">
        <v>114</v>
      </c>
      <c r="N11" s="176">
        <f>J11-L11</f>
        <v>7119.9366156810802</v>
      </c>
      <c r="O11" s="142" t="s">
        <v>113</v>
      </c>
      <c r="P11" s="379">
        <v>1</v>
      </c>
      <c r="Q11" s="312" t="s">
        <v>114</v>
      </c>
      <c r="R11" s="176">
        <f>P11*N11</f>
        <v>7119.9366156810802</v>
      </c>
      <c r="S11" s="176"/>
      <c r="T11" s="176">
        <f>N11-R11</f>
        <v>0</v>
      </c>
      <c r="U11" s="176"/>
      <c r="V11" s="313">
        <f>N11/$J$29</f>
        <v>0.24860397922712757</v>
      </c>
      <c r="W11" s="293"/>
      <c r="X11" s="296">
        <f>$J$34*V11</f>
        <v>15.306645787636683</v>
      </c>
    </row>
    <row r="12" spans="2:24">
      <c r="B12" s="293" t="s">
        <v>1321</v>
      </c>
      <c r="C12" s="293"/>
      <c r="E12" s="290" t="s">
        <v>1350</v>
      </c>
      <c r="F12" s="373">
        <v>6.6596055837150923</v>
      </c>
      <c r="G12" s="142" t="s">
        <v>113</v>
      </c>
      <c r="H12" s="376">
        <v>9.4537439171699731</v>
      </c>
      <c r="I12" s="142" t="s">
        <v>114</v>
      </c>
      <c r="J12" s="176">
        <f t="shared" ref="J12:J18" si="0">(H12*F12)</f>
        <v>62.958205777797744</v>
      </c>
      <c r="K12" s="142" t="s">
        <v>115</v>
      </c>
      <c r="L12" s="373">
        <v>464</v>
      </c>
      <c r="M12" s="142" t="s">
        <v>114</v>
      </c>
      <c r="N12" s="176">
        <f t="shared" ref="N12:N18" si="1">J12-L12</f>
        <v>-401.04179422220227</v>
      </c>
      <c r="O12" s="142" t="s">
        <v>113</v>
      </c>
      <c r="P12" s="379">
        <v>1</v>
      </c>
      <c r="Q12" s="312" t="s">
        <v>114</v>
      </c>
      <c r="R12" s="176">
        <f>P12*N12</f>
        <v>-401.04179422220227</v>
      </c>
      <c r="S12" s="176"/>
      <c r="T12" s="176">
        <f>N12-R12</f>
        <v>0</v>
      </c>
      <c r="U12" s="176"/>
      <c r="V12" s="316">
        <f>N12/$J$29</f>
        <v>-1.400301593422109E-2</v>
      </c>
      <c r="W12" s="293"/>
      <c r="X12" s="296">
        <f>$J$34*V12</f>
        <v>-0.8621712553841776</v>
      </c>
    </row>
    <row r="13" spans="2:24">
      <c r="B13" s="293" t="s">
        <v>1322</v>
      </c>
      <c r="C13" s="293"/>
      <c r="E13" s="290" t="s">
        <v>1350</v>
      </c>
      <c r="F13" s="373">
        <v>600.20466378605579</v>
      </c>
      <c r="G13" s="142" t="s">
        <v>113</v>
      </c>
      <c r="H13" s="376">
        <v>9.1161750927117247</v>
      </c>
      <c r="I13" s="142" t="s">
        <v>114</v>
      </c>
      <c r="J13" s="176">
        <f t="shared" si="0"/>
        <v>5471.5708065358567</v>
      </c>
      <c r="K13" s="142" t="s">
        <v>115</v>
      </c>
      <c r="L13" s="373">
        <v>-22</v>
      </c>
      <c r="M13" s="142" t="s">
        <v>114</v>
      </c>
      <c r="N13" s="176">
        <f t="shared" si="1"/>
        <v>5493.5708065358567</v>
      </c>
      <c r="O13" s="142" t="s">
        <v>113</v>
      </c>
      <c r="P13" s="379">
        <v>1</v>
      </c>
      <c r="Q13" s="312" t="s">
        <v>114</v>
      </c>
      <c r="R13" s="176">
        <f t="shared" ref="R13:R18" si="2">P13*N13</f>
        <v>5493.5708065358567</v>
      </c>
      <c r="S13" s="176"/>
      <c r="T13" s="176">
        <f t="shared" ref="T13:T18" si="3">N13-R13</f>
        <v>0</v>
      </c>
      <c r="U13" s="176"/>
      <c r="V13" s="316">
        <f t="shared" ref="V13:V18" si="4">N13/$J$29</f>
        <v>0.19181681472597659</v>
      </c>
      <c r="W13" s="293"/>
      <c r="X13" s="296">
        <f t="shared" ref="X13:X18" si="5">$J$34*V13</f>
        <v>11.810237504045842</v>
      </c>
    </row>
    <row r="14" spans="2:24">
      <c r="B14" s="269" t="s">
        <v>1320</v>
      </c>
      <c r="C14" s="293"/>
      <c r="E14" s="304" t="s">
        <v>1350</v>
      </c>
      <c r="F14" s="373">
        <v>982.71410859099842</v>
      </c>
      <c r="G14" s="142" t="s">
        <v>113</v>
      </c>
      <c r="H14" s="376">
        <v>9.141484333500717</v>
      </c>
      <c r="I14" s="142" t="s">
        <v>114</v>
      </c>
      <c r="J14" s="170">
        <f t="shared" si="0"/>
        <v>8983.4656279947339</v>
      </c>
      <c r="K14" s="142" t="s">
        <v>115</v>
      </c>
      <c r="L14" s="373">
        <v>-3229</v>
      </c>
      <c r="M14" s="142" t="s">
        <v>114</v>
      </c>
      <c r="N14" s="176">
        <f t="shared" si="1"/>
        <v>12212.465627994734</v>
      </c>
      <c r="O14" s="142" t="s">
        <v>113</v>
      </c>
      <c r="P14" s="379">
        <v>1</v>
      </c>
      <c r="Q14" s="312" t="s">
        <v>114</v>
      </c>
      <c r="R14" s="176">
        <f t="shared" si="2"/>
        <v>12212.465627994734</v>
      </c>
      <c r="S14" s="176"/>
      <c r="T14" s="176">
        <f t="shared" si="3"/>
        <v>0</v>
      </c>
      <c r="U14" s="176"/>
      <c r="V14" s="316">
        <f t="shared" si="4"/>
        <v>0.42641777801888303</v>
      </c>
      <c r="W14" s="293"/>
      <c r="X14" s="296">
        <f t="shared" si="5"/>
        <v>26.254712036298343</v>
      </c>
    </row>
    <row r="15" spans="2:24">
      <c r="B15" s="269" t="s">
        <v>1323</v>
      </c>
      <c r="C15" s="293"/>
      <c r="E15" s="304" t="s">
        <v>1327</v>
      </c>
      <c r="F15" s="373">
        <v>968.39483263155171</v>
      </c>
      <c r="G15" s="142" t="s">
        <v>113</v>
      </c>
      <c r="H15" s="376">
        <v>9.2329325254594092</v>
      </c>
      <c r="I15" s="142" t="s">
        <v>114</v>
      </c>
      <c r="J15" s="170">
        <f t="shared" si="0"/>
        <v>8941.1241476906744</v>
      </c>
      <c r="K15" s="142" t="s">
        <v>115</v>
      </c>
      <c r="L15" s="373">
        <v>-1668</v>
      </c>
      <c r="M15" s="142" t="s">
        <v>114</v>
      </c>
      <c r="N15" s="176">
        <f t="shared" si="1"/>
        <v>10609.124147690674</v>
      </c>
      <c r="O15" s="142" t="s">
        <v>113</v>
      </c>
      <c r="P15" s="379">
        <v>1</v>
      </c>
      <c r="Q15" s="312" t="s">
        <v>114</v>
      </c>
      <c r="R15" s="176">
        <f t="shared" si="2"/>
        <v>10609.124147690674</v>
      </c>
      <c r="S15" s="176"/>
      <c r="T15" s="176">
        <f t="shared" si="3"/>
        <v>0</v>
      </c>
      <c r="U15" s="176"/>
      <c r="V15" s="316">
        <f t="shared" si="4"/>
        <v>0.37043454479941523</v>
      </c>
      <c r="W15" s="293"/>
      <c r="X15" s="296">
        <f t="shared" si="5"/>
        <v>22.807802121175222</v>
      </c>
    </row>
    <row r="16" spans="2:24">
      <c r="B16" s="269" t="s">
        <v>1324</v>
      </c>
      <c r="C16" s="293"/>
      <c r="E16" s="304" t="s">
        <v>102</v>
      </c>
      <c r="F16" s="373">
        <v>211</v>
      </c>
      <c r="G16" s="142" t="s">
        <v>113</v>
      </c>
      <c r="H16" s="376">
        <v>7.3</v>
      </c>
      <c r="I16" s="142" t="s">
        <v>114</v>
      </c>
      <c r="J16" s="170">
        <f>L16+N16</f>
        <v>1075.3</v>
      </c>
      <c r="K16" s="142" t="s">
        <v>115</v>
      </c>
      <c r="L16" s="373">
        <v>-465</v>
      </c>
      <c r="M16" s="142" t="s">
        <v>114</v>
      </c>
      <c r="N16" s="176">
        <f>H16*F16</f>
        <v>1540.3</v>
      </c>
      <c r="O16" s="142" t="s">
        <v>113</v>
      </c>
      <c r="P16" s="379">
        <v>0.436</v>
      </c>
      <c r="Q16" s="312" t="s">
        <v>114</v>
      </c>
      <c r="R16" s="176">
        <f t="shared" si="2"/>
        <v>671.57079999999996</v>
      </c>
      <c r="S16" s="176"/>
      <c r="T16" s="176">
        <f t="shared" si="3"/>
        <v>868.72919999999999</v>
      </c>
      <c r="U16" s="176"/>
      <c r="V16" s="316">
        <f t="shared" si="4"/>
        <v>5.3782039064811916E-2</v>
      </c>
      <c r="W16" s="293"/>
      <c r="X16" s="296">
        <f t="shared" si="5"/>
        <v>3.3113815163425393</v>
      </c>
    </row>
    <row r="17" spans="2:24">
      <c r="B17" s="269" t="s">
        <v>1325</v>
      </c>
      <c r="C17" s="293"/>
      <c r="E17" s="304" t="s">
        <v>1351</v>
      </c>
      <c r="F17" s="373">
        <v>2047.3969993739756</v>
      </c>
      <c r="G17" s="142" t="s">
        <v>113</v>
      </c>
      <c r="H17" s="376">
        <v>7.7819555718409683</v>
      </c>
      <c r="I17" s="142" t="s">
        <v>114</v>
      </c>
      <c r="J17" s="170">
        <f t="shared" si="0"/>
        <v>15932.752487048789</v>
      </c>
      <c r="K17" s="142" t="s">
        <v>115</v>
      </c>
      <c r="L17" s="373">
        <v>4462</v>
      </c>
      <c r="M17" s="142" t="s">
        <v>114</v>
      </c>
      <c r="N17" s="176">
        <f t="shared" si="1"/>
        <v>11470.752487048789</v>
      </c>
      <c r="O17" s="142" t="s">
        <v>113</v>
      </c>
      <c r="P17" s="379">
        <v>0.90529999999999999</v>
      </c>
      <c r="Q17" s="312" t="s">
        <v>114</v>
      </c>
      <c r="R17" s="176">
        <f t="shared" si="2"/>
        <v>10384.472226525268</v>
      </c>
      <c r="S17" s="176"/>
      <c r="T17" s="176">
        <f t="shared" si="3"/>
        <v>1086.2802605235211</v>
      </c>
      <c r="U17" s="176"/>
      <c r="V17" s="316">
        <f t="shared" si="4"/>
        <v>0.40051967692088969</v>
      </c>
      <c r="W17" s="293"/>
      <c r="X17" s="296">
        <f t="shared" si="5"/>
        <v>24.660155660685302</v>
      </c>
    </row>
    <row r="18" spans="2:24">
      <c r="B18" s="269" t="s">
        <v>1326</v>
      </c>
      <c r="C18" s="293"/>
      <c r="E18" s="304" t="s">
        <v>1351</v>
      </c>
      <c r="F18" s="373">
        <v>-34</v>
      </c>
      <c r="G18" s="142" t="s">
        <v>113</v>
      </c>
      <c r="H18" s="376">
        <v>-9.7689075630252091</v>
      </c>
      <c r="I18" s="142" t="s">
        <v>114</v>
      </c>
      <c r="J18" s="497">
        <f t="shared" si="0"/>
        <v>332.14285714285711</v>
      </c>
      <c r="K18" s="142" t="s">
        <v>115</v>
      </c>
      <c r="L18" s="373">
        <v>8518</v>
      </c>
      <c r="M18" s="142" t="s">
        <v>114</v>
      </c>
      <c r="N18" s="176">
        <f t="shared" si="1"/>
        <v>-8185.8571428571431</v>
      </c>
      <c r="O18" s="142" t="s">
        <v>113</v>
      </c>
      <c r="P18" s="379">
        <v>1</v>
      </c>
      <c r="Q18" s="312" t="s">
        <v>114</v>
      </c>
      <c r="R18" s="176">
        <f t="shared" si="2"/>
        <v>-8185.8571428571431</v>
      </c>
      <c r="S18" s="176"/>
      <c r="T18" s="176">
        <f t="shared" si="3"/>
        <v>0</v>
      </c>
      <c r="U18" s="176"/>
      <c r="V18" s="316">
        <f t="shared" si="4"/>
        <v>-0.28582229996501496</v>
      </c>
      <c r="W18" s="293"/>
      <c r="X18" s="296">
        <f t="shared" si="5"/>
        <v>-17.598192584741735</v>
      </c>
    </row>
    <row r="19" spans="2:24">
      <c r="B19" s="269" t="s">
        <v>117</v>
      </c>
      <c r="J19" s="170">
        <f>SUM(J14:J18)</f>
        <v>35264.785119877051</v>
      </c>
      <c r="R19" s="490">
        <f>SUM(R11:R18)</f>
        <v>37904.241287348268</v>
      </c>
      <c r="T19" s="490">
        <f>SUM(T11:T18)</f>
        <v>1955.0094605235211</v>
      </c>
      <c r="U19" s="170"/>
      <c r="V19" s="310"/>
      <c r="W19" s="293"/>
      <c r="X19" s="295"/>
    </row>
    <row r="20" spans="2:24">
      <c r="B20" s="269"/>
      <c r="C20" s="269"/>
      <c r="U20" s="170"/>
      <c r="V20" s="310"/>
      <c r="W20" s="293"/>
      <c r="X20" s="295"/>
    </row>
    <row r="21" spans="2:24">
      <c r="B21" s="269"/>
      <c r="C21" s="269"/>
      <c r="K21" s="298"/>
      <c r="L21" s="157"/>
      <c r="M21" s="157"/>
      <c r="N21" s="293"/>
      <c r="P21" s="300"/>
      <c r="Q21" s="301"/>
      <c r="R21" s="293"/>
      <c r="T21" s="157"/>
    </row>
    <row r="23" spans="2:24" ht="12.6" thickBot="1">
      <c r="B23" s="305" t="s">
        <v>121</v>
      </c>
      <c r="D23" s="269"/>
      <c r="E23" s="304"/>
      <c r="H23" s="304"/>
      <c r="I23" s="304"/>
      <c r="J23" s="297">
        <f>J19</f>
        <v>35264.785119877051</v>
      </c>
      <c r="T23" s="357" t="s">
        <v>452</v>
      </c>
      <c r="U23" s="291"/>
      <c r="V23" s="291"/>
      <c r="W23" s="291"/>
      <c r="X23" s="291"/>
    </row>
    <row r="24" spans="2:24" ht="12.6" thickTop="1">
      <c r="B24" s="307" t="s">
        <v>1086</v>
      </c>
      <c r="D24" s="324"/>
      <c r="J24" s="176">
        <f>-BOUY!E12</f>
        <v>-3127.525513118695</v>
      </c>
    </row>
    <row r="25" spans="2:24">
      <c r="B25" s="307" t="s">
        <v>1369</v>
      </c>
      <c r="J25" s="373">
        <v>-3232.0360276189203</v>
      </c>
    </row>
    <row r="26" spans="2:24">
      <c r="B26" s="307" t="s">
        <v>840</v>
      </c>
      <c r="J26" s="168">
        <f>-T19</f>
        <v>-1955.0094605235211</v>
      </c>
      <c r="K26" s="304"/>
    </row>
    <row r="27" spans="2:24">
      <c r="B27" s="307" t="s">
        <v>442</v>
      </c>
      <c r="J27" s="373">
        <v>930</v>
      </c>
      <c r="K27" s="304"/>
    </row>
    <row r="28" spans="2:24">
      <c r="B28" s="307" t="s">
        <v>1344</v>
      </c>
      <c r="J28" s="373">
        <v>759.45865659827473</v>
      </c>
      <c r="K28" s="304"/>
    </row>
    <row r="29" spans="2:24">
      <c r="B29" s="305" t="s">
        <v>1291</v>
      </c>
      <c r="D29" s="269"/>
      <c r="E29" s="304"/>
      <c r="F29" s="304"/>
      <c r="G29" s="304"/>
      <c r="H29" s="304"/>
      <c r="I29" s="304"/>
      <c r="J29" s="490">
        <f>SUM(J23:J28)</f>
        <v>28639.672775214192</v>
      </c>
      <c r="K29" s="304"/>
    </row>
    <row r="30" spans="2:24" ht="12.6" thickBot="1">
      <c r="B30" s="307" t="s">
        <v>408</v>
      </c>
      <c r="D30" s="293"/>
      <c r="J30" s="176">
        <f>BOUY!E10</f>
        <v>385.32400000000001</v>
      </c>
      <c r="K30" s="304"/>
    </row>
    <row r="31" spans="2:24" ht="12.6" thickBot="1">
      <c r="B31" s="305" t="s">
        <v>409</v>
      </c>
      <c r="D31" s="293"/>
      <c r="J31" s="359">
        <f>J29/J30</f>
        <v>74.326210605137987</v>
      </c>
      <c r="K31" s="304"/>
    </row>
    <row r="32" spans="2:24">
      <c r="B32" s="307" t="s">
        <v>1329</v>
      </c>
      <c r="D32" s="293"/>
      <c r="J32" s="381">
        <v>0.2</v>
      </c>
      <c r="K32" s="304"/>
    </row>
    <row r="33" spans="2:24" ht="12.6" thickBot="1">
      <c r="B33" s="307" t="s">
        <v>574</v>
      </c>
      <c r="D33" s="293"/>
      <c r="J33" s="374">
        <v>2.1094288813008299</v>
      </c>
      <c r="K33" s="304"/>
    </row>
    <row r="34" spans="2:24" ht="12.6" thickBot="1">
      <c r="B34" s="305" t="s">
        <v>55</v>
      </c>
      <c r="D34" s="293"/>
      <c r="J34" s="359">
        <f>(J31*(1-J32))+J33</f>
        <v>61.570397365411225</v>
      </c>
      <c r="K34" s="304"/>
      <c r="L34" s="303"/>
    </row>
    <row r="35" spans="2:24" ht="12.6" thickBot="1">
      <c r="B35" s="307" t="s">
        <v>1330</v>
      </c>
      <c r="D35" s="293"/>
      <c r="J35" s="375">
        <v>2.8269512927553979</v>
      </c>
      <c r="K35" s="304"/>
    </row>
    <row r="36" spans="2:24" ht="12.6" thickBot="1">
      <c r="B36" s="305" t="s">
        <v>55</v>
      </c>
      <c r="D36" s="293"/>
      <c r="J36" s="359">
        <f>J34+J35</f>
        <v>64.397348658166621</v>
      </c>
      <c r="K36" s="304"/>
      <c r="L36" s="303"/>
    </row>
    <row r="37" spans="2:24">
      <c r="B37" s="307" t="s">
        <v>410</v>
      </c>
      <c r="D37" s="293"/>
      <c r="J37" s="296">
        <f>Prices!C23</f>
        <v>51.78</v>
      </c>
    </row>
    <row r="38" spans="2:24">
      <c r="B38" s="305" t="s">
        <v>84</v>
      </c>
      <c r="D38" s="269"/>
      <c r="E38" s="304"/>
      <c r="F38" s="304"/>
      <c r="G38" s="304"/>
      <c r="H38" s="304"/>
      <c r="I38" s="304"/>
      <c r="J38" s="310">
        <f>J36/J37-1</f>
        <v>0.24367224137054122</v>
      </c>
      <c r="K38" s="304"/>
    </row>
    <row r="39" spans="2:24">
      <c r="K39" s="304"/>
    </row>
    <row r="40" spans="2:24">
      <c r="D40" s="309"/>
      <c r="E40" s="304"/>
      <c r="F40" s="304"/>
      <c r="G40" s="304"/>
      <c r="H40" s="304"/>
      <c r="I40" s="304"/>
      <c r="J40" s="304"/>
      <c r="K40" s="304"/>
    </row>
    <row r="41" spans="2:24">
      <c r="D41" s="299"/>
      <c r="E41" s="269"/>
      <c r="H41" s="304"/>
      <c r="I41" s="304"/>
      <c r="K41" s="304"/>
    </row>
    <row r="42" spans="2:24">
      <c r="K42" s="304"/>
    </row>
    <row r="43" spans="2:24">
      <c r="D43" s="269"/>
      <c r="E43" s="269"/>
      <c r="F43" s="269"/>
      <c r="G43" s="269"/>
      <c r="H43" s="269"/>
      <c r="I43" s="269"/>
    </row>
    <row r="44" spans="2:24">
      <c r="D44" s="269"/>
      <c r="E44" s="269"/>
      <c r="F44" s="269"/>
      <c r="G44" s="269"/>
      <c r="H44" s="269"/>
      <c r="I44" s="269"/>
    </row>
    <row r="45" spans="2:24">
      <c r="D45" s="269"/>
      <c r="E45" s="269"/>
      <c r="F45" s="269"/>
      <c r="G45" s="269"/>
      <c r="H45" s="269"/>
      <c r="I45" s="269"/>
    </row>
    <row r="46" spans="2:24" ht="12.6" thickBot="1">
      <c r="D46" s="269"/>
      <c r="E46" s="269"/>
      <c r="F46" s="269"/>
      <c r="G46" s="269"/>
      <c r="H46" s="269"/>
      <c r="I46" s="269"/>
      <c r="T46" s="357" t="s">
        <v>452</v>
      </c>
      <c r="U46" s="291"/>
      <c r="V46" s="291"/>
      <c r="W46" s="291"/>
      <c r="X46" s="291"/>
    </row>
    <row r="47" spans="2:24" ht="12.6" thickTop="1">
      <c r="D47" s="269"/>
      <c r="E47" s="269"/>
      <c r="F47" s="269"/>
      <c r="G47" s="269"/>
      <c r="H47" s="269"/>
      <c r="I47" s="269"/>
      <c r="T47" s="293" t="s">
        <v>1320</v>
      </c>
      <c r="X47" s="313">
        <f>(R11)/(R$19)</f>
        <v>0.18784010374209978</v>
      </c>
    </row>
    <row r="48" spans="2:24">
      <c r="D48" s="269"/>
      <c r="E48" s="269"/>
      <c r="F48" s="269"/>
      <c r="G48" s="269"/>
      <c r="H48" s="269"/>
      <c r="I48" s="269"/>
      <c r="T48" s="293" t="s">
        <v>1321</v>
      </c>
      <c r="X48" s="313">
        <f t="shared" ref="X48:X49" si="6">(R12)/(R$19)</f>
        <v>-1.0580393660486289E-2</v>
      </c>
    </row>
    <row r="49" spans="4:24">
      <c r="D49" s="269"/>
      <c r="E49" s="269"/>
      <c r="F49" s="269"/>
      <c r="G49" s="269"/>
      <c r="H49" s="269"/>
      <c r="I49" s="269"/>
      <c r="T49" s="293" t="s">
        <v>1322</v>
      </c>
      <c r="X49" s="313">
        <f t="shared" si="6"/>
        <v>0.1449328787480442</v>
      </c>
    </row>
    <row r="50" spans="4:24">
      <c r="D50" s="269"/>
      <c r="E50" s="269"/>
      <c r="F50" s="269"/>
      <c r="G50" s="269"/>
      <c r="H50" s="269"/>
      <c r="I50" s="269"/>
      <c r="T50" s="290" t="s">
        <v>1323</v>
      </c>
      <c r="X50" s="313">
        <f>(R15)/(R$19)</f>
        <v>0.27989279793952249</v>
      </c>
    </row>
    <row r="51" spans="4:24">
      <c r="D51" s="269"/>
      <c r="E51" s="269"/>
      <c r="F51" s="269"/>
      <c r="G51" s="269"/>
      <c r="H51" s="269"/>
      <c r="I51" s="269"/>
      <c r="T51" s="290" t="s">
        <v>1324</v>
      </c>
      <c r="X51" s="313">
        <f t="shared" ref="X51:X53" si="7">(R16)/(R$19)</f>
        <v>1.771756344913723E-2</v>
      </c>
    </row>
    <row r="52" spans="4:24">
      <c r="D52" s="269"/>
      <c r="E52" s="304"/>
      <c r="F52" s="304"/>
      <c r="G52" s="304"/>
      <c r="H52" s="304"/>
      <c r="I52" s="304"/>
      <c r="T52" s="290" t="s">
        <v>1325</v>
      </c>
      <c r="X52" s="313">
        <f t="shared" si="7"/>
        <v>0.27396596987132971</v>
      </c>
    </row>
    <row r="53" spans="4:24">
      <c r="D53" s="269"/>
      <c r="E53" s="304"/>
      <c r="F53" s="304"/>
      <c r="G53" s="304"/>
      <c r="H53" s="304"/>
      <c r="I53" s="304"/>
      <c r="T53" s="311" t="s">
        <v>1326</v>
      </c>
      <c r="X53" s="313">
        <f t="shared" si="7"/>
        <v>-0.21596150891930477</v>
      </c>
    </row>
    <row r="54" spans="4:24">
      <c r="D54" s="293"/>
      <c r="E54" s="304"/>
      <c r="F54" s="304"/>
      <c r="G54" s="304"/>
      <c r="H54" s="304"/>
      <c r="I54" s="304"/>
    </row>
  </sheetData>
  <pageMargins left="0.75" right="0.75" top="1" bottom="1" header="0.5" footer="0.5"/>
  <pageSetup scale="47"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39">
    <pageSetUpPr fitToPage="1"/>
  </sheetPr>
  <dimension ref="A1:X58"/>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6" width="10" style="290" customWidth="1"/>
    <col min="27" max="16384" width="9.109375" style="290"/>
  </cols>
  <sheetData>
    <row r="1" spans="2:24" s="365" customFormat="1">
      <c r="E1" s="116"/>
    </row>
    <row r="2" spans="2:24" s="365" customFormat="1">
      <c r="E2" s="116"/>
    </row>
    <row r="3" spans="2:24" s="365" customFormat="1"/>
    <row r="4" spans="2:24" s="368" customFormat="1" ht="21">
      <c r="B4" s="100" t="s">
        <v>1147</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454</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5" t="s">
        <v>107</v>
      </c>
      <c r="O9" s="355"/>
      <c r="P9" s="355" t="s">
        <v>108</v>
      </c>
      <c r="Q9" s="355"/>
      <c r="R9" s="355" t="s">
        <v>455</v>
      </c>
      <c r="S9" s="355"/>
      <c r="T9" s="355" t="s">
        <v>109</v>
      </c>
      <c r="U9" s="355"/>
      <c r="V9" s="355" t="s">
        <v>110</v>
      </c>
      <c r="W9" s="355"/>
      <c r="X9" s="355" t="s">
        <v>100</v>
      </c>
    </row>
    <row r="10" spans="2:24">
      <c r="D10" s="269"/>
      <c r="E10" s="305"/>
      <c r="F10" s="355"/>
      <c r="G10" s="355"/>
      <c r="H10" s="355"/>
      <c r="I10" s="355"/>
      <c r="J10" s="355"/>
      <c r="K10" s="355"/>
      <c r="L10" s="355"/>
      <c r="M10" s="355"/>
      <c r="N10" s="355"/>
      <c r="O10" s="355"/>
      <c r="P10" s="355"/>
      <c r="Q10" s="355"/>
      <c r="R10" s="355"/>
      <c r="S10" s="355"/>
      <c r="T10" s="355"/>
      <c r="U10" s="355"/>
      <c r="V10" s="355"/>
      <c r="W10" s="355"/>
      <c r="X10" s="355"/>
    </row>
    <row r="11" spans="2:24">
      <c r="B11" s="293" t="s">
        <v>364</v>
      </c>
      <c r="C11" s="293"/>
      <c r="E11" s="290" t="str">
        <f>"DCF, "&amp;TEXT(H11,"0.0")&amp;"x 26E OpFCF"</f>
        <v>DCF, 7.1x 26E OpFCF</v>
      </c>
      <c r="F11" s="373">
        <v>10893.080934476438</v>
      </c>
      <c r="G11" s="142" t="s">
        <v>113</v>
      </c>
      <c r="H11" s="376">
        <v>7.1432657032682876</v>
      </c>
      <c r="I11" s="142" t="s">
        <v>114</v>
      </c>
      <c r="J11" s="176">
        <f>F11*H11</f>
        <v>77812.171442171209</v>
      </c>
      <c r="K11" s="142" t="s">
        <v>115</v>
      </c>
      <c r="L11" s="373"/>
      <c r="M11" s="142" t="s">
        <v>114</v>
      </c>
      <c r="N11" s="176">
        <f>J11-L11</f>
        <v>77812.171442171209</v>
      </c>
      <c r="O11" s="142" t="s">
        <v>113</v>
      </c>
      <c r="P11" s="379">
        <v>1</v>
      </c>
      <c r="Q11" s="312" t="s">
        <v>114</v>
      </c>
      <c r="R11" s="176">
        <f>P11*N11</f>
        <v>77812.171442171209</v>
      </c>
      <c r="S11" s="176"/>
      <c r="T11" s="176">
        <f>N11-R11</f>
        <v>0</v>
      </c>
      <c r="U11" s="176"/>
      <c r="V11" s="313">
        <f>N11/$J$48</f>
        <v>0.38517749094987114</v>
      </c>
      <c r="W11" s="293"/>
      <c r="X11" s="296">
        <f>$J$52*V11</f>
        <v>16.710310104869286</v>
      </c>
    </row>
    <row r="12" spans="2:24">
      <c r="B12" s="293"/>
      <c r="C12" s="293"/>
      <c r="F12" s="176"/>
      <c r="G12" s="142"/>
      <c r="H12" s="296"/>
      <c r="I12" s="142"/>
      <c r="J12" s="176"/>
      <c r="K12" s="142"/>
      <c r="L12" s="176"/>
      <c r="M12" s="142"/>
      <c r="N12" s="176"/>
      <c r="O12" s="142"/>
      <c r="P12" s="175"/>
      <c r="Q12" s="312"/>
      <c r="R12" s="176"/>
      <c r="S12" s="176"/>
      <c r="T12" s="176"/>
      <c r="U12" s="176"/>
      <c r="V12" s="347"/>
      <c r="W12" s="293"/>
      <c r="X12" s="296"/>
    </row>
    <row r="13" spans="2:24">
      <c r="B13" s="293" t="s">
        <v>374</v>
      </c>
      <c r="C13" s="293"/>
      <c r="E13" s="290" t="s">
        <v>915</v>
      </c>
      <c r="F13" s="373">
        <v>410</v>
      </c>
      <c r="G13" s="142" t="s">
        <v>113</v>
      </c>
      <c r="H13" s="377">
        <v>17</v>
      </c>
      <c r="I13" s="142" t="s">
        <v>114</v>
      </c>
      <c r="J13" s="176">
        <f>F13*H13+L13</f>
        <v>7613.6730366399997</v>
      </c>
      <c r="K13" s="142" t="s">
        <v>115</v>
      </c>
      <c r="L13" s="373">
        <v>643.67303663999996</v>
      </c>
      <c r="M13" s="142" t="s">
        <v>114</v>
      </c>
      <c r="N13" s="176">
        <f>J13-L13</f>
        <v>6970</v>
      </c>
      <c r="O13" s="142" t="s">
        <v>113</v>
      </c>
      <c r="P13" s="379">
        <v>0.57473560054628847</v>
      </c>
      <c r="Q13" s="312" t="s">
        <v>114</v>
      </c>
      <c r="R13" s="176">
        <f>P13*N13</f>
        <v>4005.9071358076308</v>
      </c>
      <c r="S13" s="176"/>
      <c r="T13" s="176">
        <f t="shared" ref="T13:T20" si="0">N13-R13</f>
        <v>2964.0928641923692</v>
      </c>
      <c r="U13" s="176"/>
      <c r="V13" s="313">
        <f t="shared" ref="V13:V20" si="1">N13/$J$48</f>
        <v>3.450214872766813E-2</v>
      </c>
      <c r="W13" s="293"/>
      <c r="X13" s="296">
        <f t="shared" ref="X13:X20" si="2">$J$52*V13</f>
        <v>1.4968206036699316</v>
      </c>
    </row>
    <row r="14" spans="2:24">
      <c r="B14" s="293" t="s">
        <v>368</v>
      </c>
      <c r="C14" s="293"/>
      <c r="E14" s="290" t="str">
        <f t="shared" ref="E14:E20" si="3">"DCF, "&amp;TEXT(H14,"0.0")&amp;"x 26E OpFCF"</f>
        <v>DCF, 14.1x 26E OpFCF</v>
      </c>
      <c r="F14" s="373">
        <v>690.50787879794302</v>
      </c>
      <c r="G14" s="142" t="s">
        <v>113</v>
      </c>
      <c r="H14" s="376">
        <v>14.129668745486255</v>
      </c>
      <c r="I14" s="142" t="s">
        <v>114</v>
      </c>
      <c r="J14" s="176">
        <f t="shared" ref="J14:J19" si="4">F14*H14</f>
        <v>9756.6475935633061</v>
      </c>
      <c r="K14" s="142" t="s">
        <v>115</v>
      </c>
      <c r="L14" s="373">
        <v>370.32497163199747</v>
      </c>
      <c r="M14" s="142" t="s">
        <v>114</v>
      </c>
      <c r="N14" s="176">
        <f>J14-L14</f>
        <v>9386.3226219313092</v>
      </c>
      <c r="O14" s="142" t="s">
        <v>113</v>
      </c>
      <c r="P14" s="379">
        <v>0.59299999999999997</v>
      </c>
      <c r="Q14" s="312" t="s">
        <v>114</v>
      </c>
      <c r="R14" s="176">
        <f>P14*N14</f>
        <v>5566.0893148052664</v>
      </c>
      <c r="S14" s="176"/>
      <c r="T14" s="176">
        <f t="shared" si="0"/>
        <v>3820.2333071260427</v>
      </c>
      <c r="U14" s="176"/>
      <c r="V14" s="313">
        <f t="shared" si="1"/>
        <v>4.6463170603694391E-2</v>
      </c>
      <c r="W14" s="293"/>
      <c r="X14" s="296">
        <f t="shared" si="2"/>
        <v>2.015730429440453</v>
      </c>
    </row>
    <row r="15" spans="2:24">
      <c r="B15" s="293" t="s">
        <v>188</v>
      </c>
      <c r="E15" s="290" t="str">
        <f t="shared" si="3"/>
        <v>DCF, 12.5x 26E OpFCF</v>
      </c>
      <c r="F15" s="373">
        <v>134.08298099939384</v>
      </c>
      <c r="G15" s="142" t="s">
        <v>113</v>
      </c>
      <c r="H15" s="376">
        <v>12.497905495825487</v>
      </c>
      <c r="I15" s="142" t="s">
        <v>114</v>
      </c>
      <c r="J15" s="176">
        <f t="shared" si="4"/>
        <v>1675.7564251289887</v>
      </c>
      <c r="K15" s="142" t="s">
        <v>115</v>
      </c>
      <c r="L15" s="373"/>
      <c r="M15" s="142" t="s">
        <v>114</v>
      </c>
      <c r="N15" s="176">
        <f>J15-L15</f>
        <v>1675.7564251289887</v>
      </c>
      <c r="O15" s="142" t="s">
        <v>113</v>
      </c>
      <c r="P15" s="379">
        <v>1</v>
      </c>
      <c r="Q15" s="312" t="s">
        <v>114</v>
      </c>
      <c r="R15" s="176">
        <f>P15*N15</f>
        <v>1675.7564251289887</v>
      </c>
      <c r="S15" s="176"/>
      <c r="T15" s="176">
        <f t="shared" si="0"/>
        <v>0</v>
      </c>
      <c r="U15" s="176"/>
      <c r="V15" s="313">
        <f t="shared" si="1"/>
        <v>8.2951502741959587E-3</v>
      </c>
      <c r="W15" s="293"/>
      <c r="X15" s="296">
        <f t="shared" si="2"/>
        <v>0.35987184273534284</v>
      </c>
    </row>
    <row r="16" spans="2:24">
      <c r="B16" s="293" t="s">
        <v>443</v>
      </c>
      <c r="E16" s="290" t="str">
        <f t="shared" si="3"/>
        <v>DCF, 12.4x 26E OpFCF</v>
      </c>
      <c r="F16" s="373">
        <v>298.93497741409379</v>
      </c>
      <c r="G16" s="142" t="s">
        <v>113</v>
      </c>
      <c r="H16" s="376">
        <v>12.369636390895495</v>
      </c>
      <c r="I16" s="142" t="s">
        <v>114</v>
      </c>
      <c r="J16" s="176">
        <f t="shared" si="4"/>
        <v>3697.7169751328975</v>
      </c>
      <c r="K16" s="142" t="s">
        <v>115</v>
      </c>
      <c r="L16" s="373"/>
      <c r="M16" s="142" t="s">
        <v>114</v>
      </c>
      <c r="N16" s="142">
        <f t="shared" ref="N16:N17" si="5">J16-L16</f>
        <v>3697.7169751328975</v>
      </c>
      <c r="O16" s="142" t="s">
        <v>113</v>
      </c>
      <c r="P16" s="379">
        <v>1</v>
      </c>
      <c r="Q16" s="312" t="s">
        <v>114</v>
      </c>
      <c r="R16" s="176">
        <f>P16*N16</f>
        <v>3697.7169751328975</v>
      </c>
      <c r="S16" s="176"/>
      <c r="T16" s="176">
        <f t="shared" si="0"/>
        <v>0</v>
      </c>
      <c r="U16" s="176"/>
      <c r="V16" s="313">
        <f t="shared" si="1"/>
        <v>1.8304043189219275E-2</v>
      </c>
      <c r="W16" s="293"/>
      <c r="X16" s="296">
        <f t="shared" si="2"/>
        <v>0.79409167215480303</v>
      </c>
    </row>
    <row r="17" spans="2:24">
      <c r="B17" s="293" t="s">
        <v>444</v>
      </c>
      <c r="E17" s="290" t="str">
        <f t="shared" si="3"/>
        <v>DCF, 12.4x 26E OpFCF</v>
      </c>
      <c r="F17" s="373">
        <v>189.51456676739562</v>
      </c>
      <c r="G17" s="142" t="s">
        <v>113</v>
      </c>
      <c r="H17" s="376">
        <v>12.384478963466847</v>
      </c>
      <c r="I17" s="142" t="s">
        <v>114</v>
      </c>
      <c r="J17" s="176">
        <f t="shared" si="4"/>
        <v>2347.0391654013442</v>
      </c>
      <c r="K17" s="142" t="s">
        <v>115</v>
      </c>
      <c r="L17" s="373"/>
      <c r="M17" s="142" t="s">
        <v>114</v>
      </c>
      <c r="N17" s="176">
        <f t="shared" si="5"/>
        <v>2347.0391654013442</v>
      </c>
      <c r="O17" s="142" t="s">
        <v>113</v>
      </c>
      <c r="P17" s="379">
        <v>0.51</v>
      </c>
      <c r="Q17" s="312" t="s">
        <v>114</v>
      </c>
      <c r="R17" s="176">
        <f t="shared" ref="R17:R20" si="6">P17*N17</f>
        <v>1196.9899743546855</v>
      </c>
      <c r="S17" s="176"/>
      <c r="T17" s="176">
        <f t="shared" si="0"/>
        <v>1150.0491910466587</v>
      </c>
      <c r="U17" s="176"/>
      <c r="V17" s="313">
        <f t="shared" si="1"/>
        <v>1.1618062317695733E-2</v>
      </c>
      <c r="W17" s="293"/>
      <c r="X17" s="296">
        <f t="shared" si="2"/>
        <v>0.50403107322711804</v>
      </c>
    </row>
    <row r="18" spans="2:24">
      <c r="B18" s="293" t="s">
        <v>425</v>
      </c>
      <c r="E18" s="290" t="str">
        <f t="shared" si="3"/>
        <v>DCF, 12.7x 26E OpFCF</v>
      </c>
      <c r="F18" s="373">
        <v>249.77532654161541</v>
      </c>
      <c r="G18" s="142" t="s">
        <v>113</v>
      </c>
      <c r="H18" s="376">
        <v>12.656863276573976</v>
      </c>
      <c r="I18" s="142" t="s">
        <v>114</v>
      </c>
      <c r="J18" s="176">
        <f t="shared" si="4"/>
        <v>3161.3721578988452</v>
      </c>
      <c r="K18" s="142" t="s">
        <v>115</v>
      </c>
      <c r="L18" s="373"/>
      <c r="M18" s="142" t="s">
        <v>114</v>
      </c>
      <c r="N18" s="176">
        <f>J18-L18</f>
        <v>3161.3721578988452</v>
      </c>
      <c r="O18" s="142" t="s">
        <v>113</v>
      </c>
      <c r="P18" s="379">
        <v>0.51</v>
      </c>
      <c r="Q18" s="312" t="s">
        <v>114</v>
      </c>
      <c r="R18" s="176">
        <f t="shared" si="6"/>
        <v>1612.2998005284112</v>
      </c>
      <c r="S18" s="176"/>
      <c r="T18" s="176">
        <f t="shared" si="0"/>
        <v>1549.072357370434</v>
      </c>
      <c r="U18" s="176"/>
      <c r="V18" s="313">
        <f t="shared" si="1"/>
        <v>1.5649086424007905E-2</v>
      </c>
      <c r="W18" s="293"/>
      <c r="X18" s="296">
        <f t="shared" si="2"/>
        <v>0.67891061432015265</v>
      </c>
    </row>
    <row r="19" spans="2:24">
      <c r="B19" s="293" t="s">
        <v>352</v>
      </c>
      <c r="E19" s="290" t="str">
        <f t="shared" si="3"/>
        <v>DCF, 11.9x 26E OpFCF</v>
      </c>
      <c r="F19" s="373">
        <v>298.88929999999999</v>
      </c>
      <c r="G19" s="142" t="s">
        <v>113</v>
      </c>
      <c r="H19" s="376">
        <v>11.940716603661857</v>
      </c>
      <c r="I19" s="142" t="s">
        <v>114</v>
      </c>
      <c r="J19" s="176">
        <f t="shared" si="4"/>
        <v>3568.9524271668697</v>
      </c>
      <c r="K19" s="142" t="s">
        <v>115</v>
      </c>
      <c r="L19" s="373"/>
      <c r="M19" s="142" t="s">
        <v>114</v>
      </c>
      <c r="N19" s="176">
        <f>J19-L19</f>
        <v>3568.9524271668697</v>
      </c>
      <c r="O19" s="142" t="s">
        <v>113</v>
      </c>
      <c r="P19" s="379">
        <v>1</v>
      </c>
      <c r="Q19" s="312" t="s">
        <v>114</v>
      </c>
      <c r="R19" s="176">
        <f t="shared" si="6"/>
        <v>3568.9524271668697</v>
      </c>
      <c r="S19" s="176"/>
      <c r="T19" s="176">
        <f t="shared" si="0"/>
        <v>0</v>
      </c>
      <c r="U19" s="176"/>
      <c r="V19" s="313">
        <f t="shared" si="1"/>
        <v>1.7666646692121018E-2</v>
      </c>
      <c r="W19" s="293"/>
      <c r="X19" s="296">
        <f t="shared" si="2"/>
        <v>0.76643924340045644</v>
      </c>
    </row>
    <row r="20" spans="2:24">
      <c r="B20" s="293" t="s">
        <v>120</v>
      </c>
      <c r="E20" s="290" t="str">
        <f t="shared" si="3"/>
        <v>DCF, 12.1x 26E OpFCF</v>
      </c>
      <c r="F20" s="373">
        <v>120</v>
      </c>
      <c r="G20" s="142" t="s">
        <v>113</v>
      </c>
      <c r="H20" s="376">
        <v>12.121212121212119</v>
      </c>
      <c r="I20" s="142" t="s">
        <v>114</v>
      </c>
      <c r="J20" s="176">
        <f>F20*H20</f>
        <v>1454.5454545454543</v>
      </c>
      <c r="K20" s="142" t="s">
        <v>115</v>
      </c>
      <c r="L20" s="373"/>
      <c r="M20" s="142" t="s">
        <v>114</v>
      </c>
      <c r="N20" s="176">
        <f>J20-L20</f>
        <v>1454.5454545454543</v>
      </c>
      <c r="O20" s="142" t="s">
        <v>113</v>
      </c>
      <c r="P20" s="379">
        <v>0.39019999999999999</v>
      </c>
      <c r="Q20" s="312" t="s">
        <v>114</v>
      </c>
      <c r="R20" s="176">
        <f t="shared" si="6"/>
        <v>567.56363636363619</v>
      </c>
      <c r="S20" s="176"/>
      <c r="T20" s="176">
        <f t="shared" si="0"/>
        <v>886.98181818181808</v>
      </c>
      <c r="U20" s="176"/>
      <c r="V20" s="313">
        <f t="shared" si="1"/>
        <v>7.2001353807576622E-3</v>
      </c>
      <c r="W20" s="293"/>
      <c r="X20" s="296">
        <f t="shared" si="2"/>
        <v>0.31236637092368463</v>
      </c>
    </row>
    <row r="21" spans="2:24">
      <c r="B21" s="293" t="s">
        <v>90</v>
      </c>
      <c r="F21" s="176"/>
      <c r="G21" s="142"/>
      <c r="H21" s="296"/>
      <c r="I21" s="142"/>
      <c r="J21" s="384">
        <f>J13+J14+J15+J16+J17+J18+J19+J20</f>
        <v>33275.703235477704</v>
      </c>
      <c r="K21" s="142"/>
      <c r="L21" s="176"/>
      <c r="M21" s="142"/>
      <c r="N21" s="384">
        <f>N13+N14+N15+N16+N17+N18+N19+N20</f>
        <v>32261.705227205712</v>
      </c>
      <c r="O21" s="142"/>
      <c r="P21" s="175"/>
      <c r="Q21" s="312"/>
      <c r="R21" s="384">
        <f>R13+R14+R15+R16+R17+R18+R19+R20</f>
        <v>21891.275689288384</v>
      </c>
      <c r="S21" s="293"/>
      <c r="T21" s="384">
        <f>SUM(T13:T20)</f>
        <v>10370.429537917322</v>
      </c>
      <c r="U21" s="293"/>
      <c r="V21" s="313"/>
      <c r="W21" s="293"/>
      <c r="X21" s="296"/>
    </row>
    <row r="22" spans="2:24">
      <c r="B22" s="293"/>
      <c r="F22" s="176"/>
      <c r="G22" s="142"/>
      <c r="H22" s="296"/>
      <c r="I22" s="142"/>
      <c r="J22" s="176"/>
      <c r="K22" s="142"/>
      <c r="L22" s="176"/>
      <c r="M22" s="142"/>
      <c r="N22" s="176"/>
      <c r="O22" s="142"/>
      <c r="P22" s="175"/>
      <c r="Q22" s="312"/>
      <c r="R22" s="176"/>
      <c r="S22" s="293"/>
      <c r="T22" s="176"/>
      <c r="U22" s="293"/>
      <c r="V22" s="313"/>
      <c r="W22" s="293"/>
      <c r="X22" s="296"/>
    </row>
    <row r="23" spans="2:24">
      <c r="B23" s="293" t="s">
        <v>570</v>
      </c>
      <c r="E23" s="290" t="s">
        <v>915</v>
      </c>
      <c r="F23" s="373">
        <v>1065.4174076614977</v>
      </c>
      <c r="G23" s="142" t="s">
        <v>113</v>
      </c>
      <c r="H23" s="378">
        <v>287.82</v>
      </c>
      <c r="I23" s="142" t="s">
        <v>114</v>
      </c>
      <c r="J23" s="373">
        <v>339607.87674660928</v>
      </c>
      <c r="K23" s="142" t="s">
        <v>115</v>
      </c>
      <c r="L23" s="373">
        <v>73667.88377032947</v>
      </c>
      <c r="M23" s="142" t="s">
        <v>114</v>
      </c>
      <c r="N23" s="176">
        <f>J23-L23</f>
        <v>265939.99297627981</v>
      </c>
      <c r="O23" s="142" t="s">
        <v>113</v>
      </c>
      <c r="P23" s="379">
        <v>0.52769804946849308</v>
      </c>
      <c r="Q23" s="312" t="s">
        <v>114</v>
      </c>
      <c r="R23" s="176">
        <f t="shared" ref="R23:R27" si="7">P23*N23</f>
        <v>140336.0155692476</v>
      </c>
      <c r="S23" s="293"/>
      <c r="T23" s="176">
        <f>N23-R23</f>
        <v>125603.97740703222</v>
      </c>
      <c r="V23" s="313">
        <f>N23/$J$48</f>
        <v>1.3164277174035328</v>
      </c>
      <c r="X23" s="296">
        <f>$J$52*V23</f>
        <v>57.111113461511124</v>
      </c>
    </row>
    <row r="24" spans="2:24">
      <c r="B24" s="293"/>
      <c r="F24" s="176"/>
      <c r="G24" s="142"/>
      <c r="H24" s="548"/>
      <c r="I24" s="142"/>
      <c r="J24" s="176"/>
      <c r="K24" s="142"/>
      <c r="L24" s="176"/>
      <c r="M24" s="142"/>
      <c r="N24" s="176"/>
      <c r="O24" s="142"/>
      <c r="P24" s="175"/>
      <c r="Q24" s="312"/>
      <c r="R24" s="176"/>
      <c r="S24" s="293"/>
      <c r="T24" s="176"/>
      <c r="V24" s="347"/>
      <c r="X24" s="296"/>
    </row>
    <row r="25" spans="2:24">
      <c r="B25" s="293" t="s">
        <v>1195</v>
      </c>
      <c r="E25" s="290" t="str">
        <f>"DCF, "&amp;TEXT(H25,"0.0")&amp;"x 26E OpFCF"</f>
        <v>DCF, 11.1x 26E OpFCF</v>
      </c>
      <c r="F25" s="373">
        <v>194.95900000000006</v>
      </c>
      <c r="G25" s="142" t="s">
        <v>113</v>
      </c>
      <c r="H25" s="376">
        <v>11.105251015529472</v>
      </c>
      <c r="I25" s="142" t="s">
        <v>114</v>
      </c>
      <c r="J25" s="176">
        <f>F25*H25</f>
        <v>2165.0686327366111</v>
      </c>
      <c r="K25" s="142" t="s">
        <v>115</v>
      </c>
      <c r="L25" s="373"/>
      <c r="M25" s="142" t="s">
        <v>114</v>
      </c>
      <c r="N25" s="176">
        <f>J25-L25</f>
        <v>2165.0686327366111</v>
      </c>
      <c r="O25" s="142" t="s">
        <v>113</v>
      </c>
      <c r="P25" s="379">
        <v>1</v>
      </c>
      <c r="Q25" s="312" t="s">
        <v>114</v>
      </c>
      <c r="R25" s="176">
        <f t="shared" si="7"/>
        <v>2165.0686327366111</v>
      </c>
      <c r="T25" s="176">
        <f t="shared" ref="T25:T26" si="8">N25-R25</f>
        <v>0</v>
      </c>
      <c r="V25" s="313">
        <f>N25/$J$48</f>
        <v>1.0717291244230652E-2</v>
      </c>
      <c r="X25" s="296">
        <f>$J$52*V25</f>
        <v>0.46495255923093942</v>
      </c>
    </row>
    <row r="26" spans="2:24">
      <c r="B26" s="293" t="s">
        <v>914</v>
      </c>
      <c r="E26" s="290" t="str">
        <f>"DCF, "&amp;TEXT(H26,"0.0")&amp;"x 26E OpFCF"</f>
        <v>DCF, 10.4x 26E OpFCF</v>
      </c>
      <c r="F26" s="373">
        <v>-1582.070056</v>
      </c>
      <c r="G26" s="142" t="s">
        <v>113</v>
      </c>
      <c r="H26" s="376">
        <v>10.364030764799837</v>
      </c>
      <c r="I26" s="142" t="s">
        <v>114</v>
      </c>
      <c r="J26" s="176">
        <f>F26*H26</f>
        <v>-16396.622732452601</v>
      </c>
      <c r="K26" s="142" t="s">
        <v>115</v>
      </c>
      <c r="L26" s="373"/>
      <c r="M26" s="142" t="s">
        <v>114</v>
      </c>
      <c r="N26" s="176">
        <f>J26-L26</f>
        <v>-16396.622732452601</v>
      </c>
      <c r="O26" s="142" t="s">
        <v>113</v>
      </c>
      <c r="P26" s="379">
        <v>1</v>
      </c>
      <c r="Q26" s="312" t="s">
        <v>114</v>
      </c>
      <c r="R26" s="176">
        <f t="shared" si="7"/>
        <v>-16396.622732452601</v>
      </c>
      <c r="T26" s="176">
        <f t="shared" si="8"/>
        <v>0</v>
      </c>
      <c r="V26" s="313">
        <f>N26/$J$48</f>
        <v>-8.1164808629346316E-2</v>
      </c>
      <c r="X26" s="296">
        <f>$J$52*V26</f>
        <v>-3.5212055576094441</v>
      </c>
    </row>
    <row r="27" spans="2:24">
      <c r="B27" s="293" t="s">
        <v>808</v>
      </c>
      <c r="E27" s="290" t="str">
        <f>"DCF, "&amp;TEXT(H27,"0.0")&amp;"x 26E OpFCF"</f>
        <v>DCF, 9.2x 26E OpFCF</v>
      </c>
      <c r="F27" s="373">
        <v>-38</v>
      </c>
      <c r="G27" s="142" t="s">
        <v>113</v>
      </c>
      <c r="H27" s="376">
        <v>9.2105263157894743</v>
      </c>
      <c r="I27" s="142" t="s">
        <v>114</v>
      </c>
      <c r="J27" s="176">
        <f>F27*H27</f>
        <v>-350</v>
      </c>
      <c r="K27" s="142" t="s">
        <v>115</v>
      </c>
      <c r="L27" s="373"/>
      <c r="M27" s="142" t="s">
        <v>114</v>
      </c>
      <c r="N27" s="176">
        <f t="shared" ref="N27" si="9">J27-L27</f>
        <v>-350</v>
      </c>
      <c r="O27" s="142" t="s">
        <v>113</v>
      </c>
      <c r="P27" s="379">
        <v>1</v>
      </c>
      <c r="Q27" s="312" t="s">
        <v>114</v>
      </c>
      <c r="R27" s="176">
        <f t="shared" si="7"/>
        <v>-350</v>
      </c>
      <c r="T27" s="176">
        <f>N27-R27</f>
        <v>0</v>
      </c>
      <c r="U27" s="293"/>
      <c r="V27" s="313">
        <f>N27/$J$48</f>
        <v>-1.7325325759948128E-3</v>
      </c>
      <c r="W27" s="293"/>
      <c r="X27" s="296">
        <f>$J$52*V27</f>
        <v>-7.5163158003511629E-2</v>
      </c>
    </row>
    <row r="28" spans="2:24">
      <c r="B28" s="269" t="s">
        <v>117</v>
      </c>
      <c r="C28" s="293"/>
      <c r="F28" s="170"/>
      <c r="G28" s="157"/>
      <c r="H28" s="295"/>
      <c r="I28" s="299"/>
      <c r="J28" s="490">
        <f>SUM(J11,J21,J23:J27)</f>
        <v>436114.19732454227</v>
      </c>
      <c r="K28" s="298"/>
      <c r="L28" s="170"/>
      <c r="M28" s="157"/>
      <c r="N28" s="490">
        <f>SUM(N11,N21,N23:N27)</f>
        <v>361432.31554594077</v>
      </c>
      <c r="P28" s="348"/>
      <c r="Q28" s="301"/>
      <c r="R28" s="490">
        <f>SUM(R11,R21,R23:R27)</f>
        <v>225457.90860099118</v>
      </c>
      <c r="S28" s="293"/>
      <c r="T28" s="490">
        <f>SUM(T11,T21,T23:T27)</f>
        <v>135974.40694494953</v>
      </c>
      <c r="U28" s="293"/>
      <c r="V28" s="310">
        <f>N28/$J$48</f>
        <v>1.7891236020016537</v>
      </c>
      <c r="W28" s="293"/>
      <c r="X28" s="295">
        <f>$J$52*V28</f>
        <v>77.618269259870345</v>
      </c>
    </row>
    <row r="29" spans="2:24">
      <c r="B29" s="293"/>
      <c r="C29" s="293"/>
      <c r="F29" s="170"/>
      <c r="G29" s="157"/>
      <c r="H29" s="295"/>
      <c r="I29" s="299"/>
      <c r="J29" s="157"/>
      <c r="K29" s="298"/>
      <c r="L29" s="293"/>
      <c r="M29" s="157"/>
      <c r="N29" s="170"/>
      <c r="P29" s="300"/>
      <c r="Q29" s="301"/>
      <c r="R29" s="170"/>
      <c r="S29" s="293"/>
    </row>
    <row r="30" spans="2:24">
      <c r="B30" s="269"/>
      <c r="C30" s="269"/>
      <c r="F30" s="170"/>
      <c r="G30" s="157"/>
      <c r="H30" s="295"/>
      <c r="I30" s="299"/>
      <c r="J30" s="318"/>
      <c r="K30" s="298"/>
      <c r="L30" s="157"/>
      <c r="M30" s="157"/>
      <c r="N30" s="293"/>
      <c r="P30" s="300"/>
      <c r="Q30" s="301"/>
      <c r="R30" s="293"/>
      <c r="T30" s="157"/>
    </row>
    <row r="31" spans="2:24">
      <c r="B31" s="293" t="s">
        <v>1196</v>
      </c>
      <c r="C31" s="293"/>
      <c r="F31" s="176"/>
      <c r="G31" s="142"/>
      <c r="H31" s="142"/>
      <c r="I31" s="142"/>
      <c r="J31" s="373">
        <v>18832.414751188116</v>
      </c>
      <c r="K31" s="142" t="s">
        <v>115</v>
      </c>
      <c r="L31" s="373">
        <v>4100</v>
      </c>
      <c r="M31" s="142" t="s">
        <v>114</v>
      </c>
      <c r="N31" s="176">
        <f t="shared" ref="N31:N32" si="10">J31-L31</f>
        <v>14732.414751188116</v>
      </c>
      <c r="O31" s="142" t="s">
        <v>113</v>
      </c>
      <c r="P31" s="379">
        <v>0.49</v>
      </c>
      <c r="Q31" s="312" t="s">
        <v>114</v>
      </c>
      <c r="R31" s="373">
        <v>7218.8832280821771</v>
      </c>
      <c r="T31" s="385"/>
    </row>
    <row r="32" spans="2:24">
      <c r="B32" s="293" t="s">
        <v>1363</v>
      </c>
      <c r="C32" s="293"/>
      <c r="F32" s="176"/>
      <c r="G32" s="142"/>
      <c r="H32" s="142"/>
      <c r="I32" s="142"/>
      <c r="J32" s="373">
        <v>2893.0648181150646</v>
      </c>
      <c r="K32" s="142" t="s">
        <v>115</v>
      </c>
      <c r="L32" s="373">
        <v>265.65874999999994</v>
      </c>
      <c r="M32" s="142" t="s">
        <v>114</v>
      </c>
      <c r="N32" s="176">
        <f t="shared" si="10"/>
        <v>2627.4060681150645</v>
      </c>
      <c r="O32" s="142" t="s">
        <v>113</v>
      </c>
      <c r="P32" s="379">
        <v>0.5</v>
      </c>
      <c r="Q32" s="312" t="s">
        <v>114</v>
      </c>
      <c r="R32" s="373">
        <v>888.26437408565732</v>
      </c>
      <c r="T32" s="385"/>
    </row>
    <row r="33" spans="2:20">
      <c r="B33" s="293" t="s">
        <v>1364</v>
      </c>
      <c r="C33" s="293"/>
      <c r="F33" s="176"/>
      <c r="G33" s="142"/>
      <c r="H33" s="142"/>
      <c r="I33" s="142"/>
      <c r="J33" s="373">
        <v>3282.0966813776722</v>
      </c>
      <c r="K33" s="142" t="s">
        <v>115</v>
      </c>
      <c r="L33" s="373">
        <v>2248.39524575</v>
      </c>
      <c r="M33" s="142" t="s">
        <v>114</v>
      </c>
      <c r="N33" s="176">
        <f t="shared" ref="N33" si="11">J33-L33</f>
        <v>1033.7014356276723</v>
      </c>
      <c r="O33" s="142" t="s">
        <v>113</v>
      </c>
      <c r="P33" s="379">
        <v>0.5</v>
      </c>
      <c r="Q33" s="312" t="s">
        <v>114</v>
      </c>
      <c r="R33" s="373">
        <v>516.85071781383613</v>
      </c>
      <c r="T33" s="385"/>
    </row>
    <row r="34" spans="2:20">
      <c r="B34" s="269" t="s">
        <v>880</v>
      </c>
      <c r="C34" s="293"/>
      <c r="R34" s="170">
        <f>SUM(R31:R33)</f>
        <v>8623.9983199816706</v>
      </c>
    </row>
    <row r="38" spans="2:20">
      <c r="D38" s="269"/>
      <c r="E38" s="304"/>
      <c r="F38" s="304"/>
      <c r="G38" s="304"/>
      <c r="H38" s="304"/>
      <c r="I38" s="304"/>
      <c r="J38" s="304"/>
      <c r="K38" s="304"/>
      <c r="R38" s="293"/>
    </row>
    <row r="39" spans="2:20">
      <c r="B39" s="305" t="s">
        <v>121</v>
      </c>
      <c r="D39" s="269"/>
      <c r="E39" s="304"/>
      <c r="J39" s="297">
        <f>J28</f>
        <v>436114.19732454227</v>
      </c>
    </row>
    <row r="40" spans="2:20">
      <c r="B40" s="306" t="s">
        <v>1197</v>
      </c>
      <c r="C40" s="307"/>
      <c r="H40" s="303"/>
      <c r="J40" s="373">
        <v>-93210.092719644323</v>
      </c>
    </row>
    <row r="41" spans="2:20">
      <c r="B41" s="306" t="s">
        <v>916</v>
      </c>
      <c r="C41" s="306"/>
      <c r="J41" s="373">
        <v>-8034.9936087999204</v>
      </c>
    </row>
    <row r="42" spans="2:20">
      <c r="B42" s="306" t="s">
        <v>797</v>
      </c>
      <c r="C42" s="306"/>
      <c r="J42" s="373">
        <v>-2829</v>
      </c>
    </row>
    <row r="43" spans="2:20">
      <c r="B43" s="306" t="s">
        <v>917</v>
      </c>
      <c r="C43" s="306"/>
      <c r="J43" s="373">
        <v>-5203.6088049598056</v>
      </c>
    </row>
    <row r="44" spans="2:20">
      <c r="B44" s="306" t="s">
        <v>1365</v>
      </c>
      <c r="C44" s="306"/>
      <c r="J44" s="373">
        <v>1500</v>
      </c>
    </row>
    <row r="45" spans="2:20">
      <c r="B45" s="306" t="s">
        <v>1366</v>
      </c>
      <c r="C45" s="306"/>
      <c r="J45" s="373">
        <v>1030.3099632302287</v>
      </c>
    </row>
    <row r="46" spans="2:20">
      <c r="B46" s="307" t="s">
        <v>724</v>
      </c>
      <c r="J46" s="176">
        <f>-T28</f>
        <v>-135974.40694494953</v>
      </c>
    </row>
    <row r="47" spans="2:20">
      <c r="B47" s="307" t="s">
        <v>849</v>
      </c>
      <c r="D47" s="269"/>
      <c r="E47" s="304"/>
      <c r="F47" s="304"/>
      <c r="G47" s="304"/>
      <c r="J47" s="308">
        <f>R34</f>
        <v>8623.9983199816706</v>
      </c>
    </row>
    <row r="48" spans="2:20">
      <c r="B48" s="305" t="s">
        <v>407</v>
      </c>
      <c r="D48" s="293"/>
      <c r="J48" s="170">
        <f>SUM(J39:J47)</f>
        <v>202016.40352940059</v>
      </c>
    </row>
    <row r="49" spans="1:12" ht="12.6" thickBot="1">
      <c r="B49" s="307" t="s">
        <v>408</v>
      </c>
      <c r="D49" s="293"/>
      <c r="J49" s="176">
        <f>DT!E10</f>
        <v>4766.4036355714288</v>
      </c>
    </row>
    <row r="50" spans="1:12" ht="12.6" thickBot="1">
      <c r="B50" s="305" t="s">
        <v>409</v>
      </c>
      <c r="J50" s="358">
        <f>J48/J49</f>
        <v>42.38340245080429</v>
      </c>
    </row>
    <row r="51" spans="1:12" ht="12.6" thickBot="1">
      <c r="B51" s="307" t="s">
        <v>624</v>
      </c>
      <c r="D51" s="269"/>
      <c r="E51" s="304"/>
      <c r="F51" s="304"/>
      <c r="G51" s="304"/>
      <c r="H51" s="304"/>
      <c r="I51" s="304"/>
      <c r="J51" s="375">
        <v>1</v>
      </c>
    </row>
    <row r="52" spans="1:12" ht="12.6" thickBot="1">
      <c r="B52" s="305" t="s">
        <v>55</v>
      </c>
      <c r="J52" s="363">
        <f>SUM(J50:J51)</f>
        <v>43.38340245080429</v>
      </c>
    </row>
    <row r="53" spans="1:12">
      <c r="B53" s="307" t="s">
        <v>410</v>
      </c>
      <c r="J53" s="349">
        <f>Prices!C9</f>
        <v>27.67</v>
      </c>
      <c r="K53" s="307"/>
      <c r="L53" s="307"/>
    </row>
    <row r="54" spans="1:12">
      <c r="B54" s="307" t="s">
        <v>84</v>
      </c>
      <c r="J54" s="350">
        <f>J52/J53-1</f>
        <v>0.56788588546455676</v>
      </c>
      <c r="K54" s="307"/>
      <c r="L54" s="307"/>
    </row>
    <row r="57" spans="1:12">
      <c r="B57" s="290" t="s">
        <v>302</v>
      </c>
      <c r="D57" s="309">
        <f>Prices!$C$135</f>
        <v>1.1686747</v>
      </c>
    </row>
    <row r="58" spans="1:12">
      <c r="A58" s="304"/>
      <c r="B58" s="290" t="s">
        <v>677</v>
      </c>
      <c r="D58" s="309">
        <f>Prices!F133</f>
        <v>0.86677645752009003</v>
      </c>
      <c r="E58" s="304"/>
      <c r="F58" s="304"/>
      <c r="G58" s="304"/>
      <c r="H58" s="304"/>
      <c r="I58" s="304"/>
      <c r="J58" s="304"/>
      <c r="K58" s="304"/>
    </row>
  </sheetData>
  <phoneticPr fontId="26" type="noConversion"/>
  <pageMargins left="0.75" right="0.75" top="1" bottom="1" header="0.5" footer="0.5"/>
  <pageSetup scale="45"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51">
    <pageSetUpPr fitToPage="1"/>
  </sheetPr>
  <dimension ref="B1:X48"/>
  <sheetViews>
    <sheetView showGridLines="0" zoomScale="80" zoomScaleNormal="80" workbookViewId="0">
      <selection activeCell="H15" sqref="H15"/>
    </sheetView>
  </sheetViews>
  <sheetFormatPr defaultColWidth="9.109375" defaultRowHeight="12"/>
  <cols>
    <col min="1" max="1" width="2.33203125" style="290" customWidth="1"/>
    <col min="2" max="4" width="10" style="290" customWidth="1"/>
    <col min="5" max="5" width="21.332031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1148</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285</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5" t="s">
        <v>107</v>
      </c>
      <c r="O9" s="355"/>
      <c r="P9" s="355" t="s">
        <v>108</v>
      </c>
      <c r="Q9" s="355"/>
      <c r="R9" s="355" t="s">
        <v>104</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0</v>
      </c>
      <c r="C11" s="293"/>
      <c r="E11" s="290" t="str">
        <f>"DCF, "&amp;TEXT(H11,"0.0")&amp;"x 26E OpFCF"</f>
        <v>DCF, 14.0x 26E OpFCF</v>
      </c>
      <c r="F11" s="373">
        <v>402.91943599174999</v>
      </c>
      <c r="G11" s="142" t="s">
        <v>113</v>
      </c>
      <c r="H11" s="376">
        <v>14.0367687624515</v>
      </c>
      <c r="I11" s="142" t="s">
        <v>114</v>
      </c>
      <c r="J11" s="176">
        <f>(H11*F11)</f>
        <v>5655.6869529135729</v>
      </c>
      <c r="K11" s="142" t="s">
        <v>115</v>
      </c>
      <c r="L11" s="176">
        <v>0</v>
      </c>
      <c r="M11" s="142" t="s">
        <v>114</v>
      </c>
      <c r="N11" s="176">
        <f>J11-L11</f>
        <v>5655.6869529135729</v>
      </c>
      <c r="O11" s="142" t="s">
        <v>113</v>
      </c>
      <c r="P11" s="379">
        <v>1</v>
      </c>
      <c r="Q11" s="312" t="s">
        <v>114</v>
      </c>
      <c r="R11" s="176">
        <f>P11*N11</f>
        <v>5655.6869529135729</v>
      </c>
      <c r="S11" s="176"/>
      <c r="T11" s="176">
        <f>N11-R11</f>
        <v>0</v>
      </c>
      <c r="U11" s="176"/>
      <c r="V11" s="313">
        <f>N11/$J$28</f>
        <v>0.94785228801390409</v>
      </c>
      <c r="W11" s="293"/>
      <c r="X11" s="296">
        <f>$J$32*V11</f>
        <v>36.941087906892314</v>
      </c>
    </row>
    <row r="12" spans="2:24">
      <c r="B12" s="293" t="s">
        <v>800</v>
      </c>
      <c r="C12" s="293"/>
      <c r="E12" s="290" t="str">
        <f>"DCF, "&amp;TEXT(H12,"0.0")&amp;"x 26E OpFCF"</f>
        <v>DCF, 12.0x 26E OpFCF</v>
      </c>
      <c r="F12" s="373">
        <v>94.560428586808598</v>
      </c>
      <c r="G12" s="142" t="s">
        <v>113</v>
      </c>
      <c r="H12" s="376">
        <v>12.043148928515123</v>
      </c>
      <c r="I12" s="142" t="s">
        <v>114</v>
      </c>
      <c r="J12" s="308">
        <f>(H12*F12)</f>
        <v>1138.8053242151548</v>
      </c>
      <c r="K12" s="142" t="s">
        <v>115</v>
      </c>
      <c r="L12" s="176">
        <v>0</v>
      </c>
      <c r="M12" s="142" t="s">
        <v>114</v>
      </c>
      <c r="N12" s="176">
        <f>J12-L12</f>
        <v>1138.8053242151548</v>
      </c>
      <c r="O12" s="142" t="s">
        <v>113</v>
      </c>
      <c r="P12" s="379">
        <v>1</v>
      </c>
      <c r="Q12" s="312" t="s">
        <v>114</v>
      </c>
      <c r="R12" s="176">
        <f>P12*N12</f>
        <v>1138.8053242151548</v>
      </c>
      <c r="S12" s="176"/>
      <c r="T12" s="176">
        <f>N12-R12</f>
        <v>0</v>
      </c>
      <c r="U12" s="176"/>
      <c r="V12" s="316">
        <f>N12/$J$28</f>
        <v>0.19085554790186518</v>
      </c>
      <c r="W12" s="293"/>
      <c r="X12" s="296">
        <f>$J$32*V12</f>
        <v>7.4383020030832867</v>
      </c>
    </row>
    <row r="13" spans="2:24">
      <c r="B13" s="269" t="s">
        <v>882</v>
      </c>
      <c r="J13" s="170">
        <f>J12+J11</f>
        <v>6794.4922771287274</v>
      </c>
      <c r="U13" s="170"/>
      <c r="V13" s="310"/>
      <c r="W13" s="293"/>
      <c r="X13" s="295"/>
    </row>
    <row r="14" spans="2:24" ht="11.4" customHeight="1">
      <c r="B14" s="269"/>
      <c r="C14" s="269"/>
      <c r="U14" s="170"/>
      <c r="V14" s="310"/>
      <c r="W14" s="293"/>
      <c r="X14" s="295"/>
    </row>
    <row r="15" spans="2:24" ht="11.4" customHeight="1">
      <c r="B15" s="293" t="s">
        <v>1337</v>
      </c>
      <c r="C15" s="293"/>
      <c r="E15" s="290" t="str">
        <f>"DCF, "&amp;TEXT(H15,"0.0")&amp;"x 26E OpFCF"</f>
        <v>DCF, -118.3x 26E OpFCF</v>
      </c>
      <c r="F15" s="405">
        <v>-5.0926799999999997</v>
      </c>
      <c r="G15" s="500" t="s">
        <v>113</v>
      </c>
      <c r="H15" s="376">
        <v>-118.26359434686096</v>
      </c>
      <c r="I15" s="500" t="s">
        <v>114</v>
      </c>
      <c r="J15" s="469">
        <f>(H15*F15)</f>
        <v>602.27864165837184</v>
      </c>
      <c r="K15" s="500" t="s">
        <v>115</v>
      </c>
      <c r="L15" s="501">
        <v>0</v>
      </c>
      <c r="M15" s="500" t="s">
        <v>114</v>
      </c>
      <c r="N15" s="501">
        <f>J15-L15</f>
        <v>602.27864165837184</v>
      </c>
      <c r="O15" s="500" t="s">
        <v>113</v>
      </c>
      <c r="P15" s="502">
        <v>1</v>
      </c>
      <c r="Q15" s="503" t="s">
        <v>114</v>
      </c>
      <c r="R15" s="501">
        <f>P15*N15</f>
        <v>602.27864165837184</v>
      </c>
      <c r="S15" s="501"/>
      <c r="T15" s="501">
        <f>N15-R15</f>
        <v>0</v>
      </c>
      <c r="U15" s="501"/>
      <c r="V15" s="313">
        <f>N15/$J$28</f>
        <v>0.10093755069376764</v>
      </c>
      <c r="W15" s="293"/>
      <c r="X15" s="296">
        <f>$J$32*V15</f>
        <v>3.9338860922074104</v>
      </c>
    </row>
    <row r="16" spans="2:24" ht="11.4" customHeight="1">
      <c r="B16" s="293"/>
      <c r="C16" s="293"/>
      <c r="F16" s="504"/>
      <c r="G16" s="505"/>
      <c r="H16" s="388"/>
      <c r="I16" s="505"/>
      <c r="J16" s="168"/>
      <c r="K16" s="505"/>
      <c r="L16" s="504"/>
      <c r="M16" s="505"/>
      <c r="N16" s="504"/>
      <c r="O16" s="505"/>
      <c r="P16" s="506"/>
      <c r="Q16" s="507"/>
      <c r="R16" s="504"/>
      <c r="S16" s="504"/>
      <c r="T16" s="504"/>
      <c r="U16" s="504"/>
      <c r="V16" s="506"/>
      <c r="W16" s="508"/>
      <c r="X16" s="388"/>
    </row>
    <row r="17" spans="2:24">
      <c r="B17" s="293" t="s">
        <v>886</v>
      </c>
      <c r="C17" s="293"/>
      <c r="E17" s="290" t="str">
        <f>"DCF, "&amp;TEXT(H17,"0.0")&amp;"x 26E OpFCF"</f>
        <v>DCF, 14.2x 26E OpFCF</v>
      </c>
      <c r="F17" s="373">
        <v>49.893023452752338</v>
      </c>
      <c r="G17" s="142" t="s">
        <v>113</v>
      </c>
      <c r="H17" s="376">
        <v>14.202864743626009</v>
      </c>
      <c r="I17" s="142" t="s">
        <v>114</v>
      </c>
      <c r="J17" s="176">
        <f>(H17*F17)</f>
        <v>708.62386375000176</v>
      </c>
      <c r="L17" s="302"/>
      <c r="N17" s="302"/>
      <c r="R17" s="302"/>
      <c r="V17" s="302"/>
      <c r="X17" s="302"/>
    </row>
    <row r="18" spans="2:24">
      <c r="B18" s="269" t="s">
        <v>117</v>
      </c>
      <c r="C18" s="293"/>
      <c r="F18" s="170"/>
      <c r="G18" s="157"/>
      <c r="H18" s="295"/>
      <c r="I18" s="299"/>
      <c r="J18" s="490">
        <f>J17+J13+J15</f>
        <v>8105.3947825371015</v>
      </c>
      <c r="K18" s="298"/>
      <c r="L18" s="170">
        <f>-J22</f>
        <v>1397.3609790682415</v>
      </c>
      <c r="M18" s="157"/>
      <c r="N18" s="170">
        <f>SUM(N11:N14)</f>
        <v>6794.4922771287274</v>
      </c>
      <c r="P18" s="300"/>
      <c r="Q18" s="301"/>
      <c r="R18" s="170">
        <f>SUM(R11:R14)</f>
        <v>6794.4922771287274</v>
      </c>
      <c r="S18" s="293"/>
      <c r="T18" s="170">
        <f>SUM(T11:T17)</f>
        <v>0</v>
      </c>
      <c r="U18" s="293"/>
      <c r="V18" s="310">
        <f>N18/$J$28</f>
        <v>1.1387078359157692</v>
      </c>
      <c r="W18" s="293"/>
      <c r="X18" s="295">
        <f>$J$32*V18</f>
        <v>44.3793899099756</v>
      </c>
    </row>
    <row r="19" spans="2:24">
      <c r="B19" s="269"/>
      <c r="C19" s="269"/>
      <c r="K19" s="298"/>
      <c r="L19" s="157"/>
      <c r="M19" s="157"/>
      <c r="N19" s="293"/>
      <c r="P19" s="300"/>
      <c r="Q19" s="301"/>
      <c r="R19" s="293"/>
      <c r="T19" s="157"/>
    </row>
    <row r="21" spans="2:24" ht="12.6" thickBot="1">
      <c r="B21" s="305" t="s">
        <v>121</v>
      </c>
      <c r="D21" s="269"/>
      <c r="E21" s="304"/>
      <c r="H21" s="304"/>
      <c r="I21" s="304"/>
      <c r="J21" s="297">
        <f>J18</f>
        <v>8105.3947825371015</v>
      </c>
      <c r="T21" s="357" t="s">
        <v>452</v>
      </c>
      <c r="U21" s="291"/>
      <c r="V21" s="291"/>
      <c r="W21" s="291"/>
      <c r="X21" s="291"/>
    </row>
    <row r="22" spans="2:24" ht="12.6" thickTop="1">
      <c r="B22" s="307" t="s">
        <v>1086</v>
      </c>
      <c r="D22" s="324"/>
      <c r="J22" s="176">
        <f>-ELISA!E12</f>
        <v>-1397.3609790682415</v>
      </c>
    </row>
    <row r="23" spans="2:24">
      <c r="B23" s="307" t="s">
        <v>906</v>
      </c>
      <c r="F23" s="304"/>
      <c r="G23" s="304"/>
      <c r="I23" s="304"/>
      <c r="J23" s="373">
        <v>-386.7139585124645</v>
      </c>
      <c r="K23" s="304"/>
    </row>
    <row r="24" spans="2:24">
      <c r="B24" s="307" t="s">
        <v>907</v>
      </c>
      <c r="J24" s="373">
        <v>-398.50911782498213</v>
      </c>
    </row>
    <row r="25" spans="2:24">
      <c r="B25" s="307" t="s">
        <v>839</v>
      </c>
      <c r="J25" s="373">
        <v>44.03350000475541</v>
      </c>
    </row>
    <row r="26" spans="2:24">
      <c r="B26" s="307" t="s">
        <v>301</v>
      </c>
      <c r="J26" s="176">
        <f>-T18</f>
        <v>0</v>
      </c>
      <c r="K26" s="304"/>
    </row>
    <row r="27" spans="2:24">
      <c r="B27" s="307" t="s">
        <v>303</v>
      </c>
      <c r="J27" s="373">
        <v>0</v>
      </c>
      <c r="K27" s="304"/>
    </row>
    <row r="28" spans="2:24">
      <c r="B28" s="305" t="s">
        <v>407</v>
      </c>
      <c r="D28" s="269"/>
      <c r="E28" s="304"/>
      <c r="F28" s="304"/>
      <c r="G28" s="304"/>
      <c r="H28" s="304"/>
      <c r="I28" s="304"/>
      <c r="J28" s="170">
        <f>SUM(J21:J27)</f>
        <v>5966.8442271361691</v>
      </c>
      <c r="K28" s="304"/>
    </row>
    <row r="29" spans="2:24" ht="12.6" thickBot="1">
      <c r="B29" s="307" t="s">
        <v>408</v>
      </c>
      <c r="D29" s="293"/>
      <c r="J29" s="176">
        <f>ELISA!E10</f>
        <v>160.51353399999999</v>
      </c>
      <c r="K29" s="304"/>
    </row>
    <row r="30" spans="2:24" ht="12.6" thickBot="1">
      <c r="B30" s="305" t="s">
        <v>409</v>
      </c>
      <c r="D30" s="293"/>
      <c r="J30" s="358">
        <f>J28/J29</f>
        <v>37.173464931226107</v>
      </c>
      <c r="K30" s="304"/>
    </row>
    <row r="31" spans="2:24" ht="12.6" thickBot="1">
      <c r="B31" s="307" t="s">
        <v>574</v>
      </c>
      <c r="D31" s="293"/>
      <c r="J31" s="374">
        <v>1.7999999999999998</v>
      </c>
      <c r="K31" s="304"/>
    </row>
    <row r="32" spans="2:24" ht="12.6" thickBot="1">
      <c r="B32" s="305" t="s">
        <v>55</v>
      </c>
      <c r="D32" s="293"/>
      <c r="J32" s="358">
        <f>J30+J31</f>
        <v>38.973464931226104</v>
      </c>
      <c r="K32" s="304"/>
      <c r="L32" s="303"/>
    </row>
    <row r="33" spans="2:24">
      <c r="B33" s="307" t="s">
        <v>410</v>
      </c>
      <c r="D33" s="293"/>
      <c r="J33" s="296">
        <f>Prices!C24</f>
        <v>41.88</v>
      </c>
    </row>
    <row r="34" spans="2:24">
      <c r="B34" s="305" t="s">
        <v>84</v>
      </c>
      <c r="D34" s="269"/>
      <c r="E34" s="304"/>
      <c r="F34" s="304"/>
      <c r="G34" s="304"/>
      <c r="H34" s="304"/>
      <c r="I34" s="304"/>
      <c r="J34" s="310">
        <f>J32/J33-1</f>
        <v>-6.9401505940159924E-2</v>
      </c>
      <c r="K34" s="304"/>
    </row>
    <row r="35" spans="2:24">
      <c r="K35" s="304"/>
    </row>
    <row r="36" spans="2:24">
      <c r="D36" s="309"/>
      <c r="E36" s="304"/>
      <c r="F36" s="304"/>
      <c r="G36" s="304"/>
      <c r="H36" s="304"/>
      <c r="I36" s="304"/>
      <c r="J36" s="304"/>
      <c r="K36" s="304"/>
    </row>
    <row r="37" spans="2:24">
      <c r="D37" s="299"/>
      <c r="E37" s="269"/>
      <c r="H37" s="304"/>
      <c r="I37" s="304"/>
      <c r="K37" s="304"/>
    </row>
    <row r="38" spans="2:24">
      <c r="K38" s="304"/>
    </row>
    <row r="39" spans="2:24">
      <c r="D39" s="269"/>
      <c r="E39" s="269"/>
      <c r="F39" s="269"/>
      <c r="G39" s="269"/>
      <c r="H39" s="269"/>
      <c r="I39" s="269"/>
    </row>
    <row r="40" spans="2:24" ht="12.6" thickBot="1">
      <c r="D40" s="269"/>
      <c r="E40" s="269"/>
      <c r="F40" s="269"/>
      <c r="G40" s="269"/>
      <c r="H40" s="269"/>
      <c r="I40" s="269"/>
      <c r="T40" s="357" t="s">
        <v>452</v>
      </c>
      <c r="U40" s="291"/>
      <c r="V40" s="291"/>
      <c r="W40" s="291"/>
      <c r="X40" s="291"/>
    </row>
    <row r="41" spans="2:24" ht="12.6" thickTop="1">
      <c r="D41" s="269"/>
      <c r="E41" s="269"/>
      <c r="F41" s="269"/>
      <c r="G41" s="269"/>
      <c r="H41" s="269"/>
      <c r="I41" s="269"/>
      <c r="T41" s="293" t="s">
        <v>0</v>
      </c>
      <c r="X41" s="313">
        <f>(R11)/($R$18)</f>
        <v>0.83239287385040639</v>
      </c>
    </row>
    <row r="42" spans="2:24">
      <c r="D42" s="269"/>
      <c r="E42" s="269"/>
      <c r="F42" s="269"/>
      <c r="G42" s="269"/>
      <c r="H42" s="269"/>
      <c r="I42" s="269"/>
      <c r="T42" s="293" t="s">
        <v>1</v>
      </c>
      <c r="X42" s="313">
        <f>J17/($R$18)</f>
        <v>0.10429386550858777</v>
      </c>
    </row>
    <row r="43" spans="2:24">
      <c r="D43" s="269"/>
      <c r="E43" s="269"/>
      <c r="F43" s="269"/>
      <c r="G43" s="269"/>
      <c r="H43" s="269"/>
      <c r="I43" s="269"/>
      <c r="T43" s="293" t="s">
        <v>2</v>
      </c>
      <c r="X43" s="313">
        <f>(R12)/($R$18)</f>
        <v>0.16760712614959369</v>
      </c>
    </row>
    <row r="44" spans="2:24">
      <c r="D44" s="269"/>
      <c r="E44" s="269"/>
      <c r="F44" s="269"/>
      <c r="G44" s="269"/>
      <c r="H44" s="269"/>
      <c r="I44" s="269"/>
    </row>
    <row r="45" spans="2:24">
      <c r="D45" s="269"/>
      <c r="E45" s="269"/>
      <c r="F45" s="269"/>
      <c r="G45" s="269"/>
      <c r="H45" s="269"/>
      <c r="I45" s="269"/>
    </row>
    <row r="46" spans="2:24">
      <c r="D46" s="269"/>
      <c r="E46" s="304"/>
      <c r="F46" s="304"/>
      <c r="G46" s="304"/>
      <c r="H46" s="304"/>
      <c r="I46" s="304"/>
      <c r="T46" s="209"/>
    </row>
    <row r="47" spans="2:24">
      <c r="D47" s="269"/>
      <c r="E47" s="304"/>
      <c r="F47" s="304"/>
      <c r="G47" s="304"/>
      <c r="H47" s="304"/>
      <c r="I47" s="304"/>
      <c r="T47" s="311"/>
    </row>
    <row r="48" spans="2:24">
      <c r="D48" s="293"/>
      <c r="E48" s="304"/>
      <c r="F48" s="304"/>
      <c r="G48" s="304"/>
      <c r="H48" s="304"/>
      <c r="I48" s="304"/>
    </row>
  </sheetData>
  <phoneticPr fontId="26" type="noConversion"/>
  <pageMargins left="0.75" right="0.75" top="1" bottom="1" header="0.5" footer="0.5"/>
  <pageSetup scale="47"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12">
    <pageSetUpPr fitToPage="1"/>
  </sheetPr>
  <dimension ref="B1:X40"/>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1149</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58</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629</v>
      </c>
      <c r="M9" s="355"/>
      <c r="N9" s="356" t="s">
        <v>107</v>
      </c>
      <c r="O9" s="356"/>
      <c r="P9" s="355" t="s">
        <v>108</v>
      </c>
      <c r="Q9" s="355"/>
      <c r="R9" s="355" t="s">
        <v>670</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119</v>
      </c>
      <c r="C11" s="293"/>
      <c r="E11" s="290" t="str">
        <f>"DCF, "&amp;TEXT(H11,"0.0")&amp;"x FY19E EBITDA"</f>
        <v>DCF, 6.6x FY19E EBITDA</v>
      </c>
      <c r="F11" s="373">
        <v>90068.372076608983</v>
      </c>
      <c r="G11" s="142" t="s">
        <v>113</v>
      </c>
      <c r="H11" s="376">
        <v>6.6317896243918719</v>
      </c>
      <c r="I11" s="142" t="s">
        <v>114</v>
      </c>
      <c r="J11" s="373">
        <f>F11*H11</f>
        <v>597314.49542352208</v>
      </c>
      <c r="K11" s="142" t="s">
        <v>115</v>
      </c>
      <c r="L11" s="373"/>
      <c r="M11" s="142" t="s">
        <v>114</v>
      </c>
      <c r="N11" s="142">
        <f>J11-L11</f>
        <v>597314.49542352208</v>
      </c>
      <c r="O11" s="142" t="s">
        <v>113</v>
      </c>
      <c r="P11" s="379">
        <v>1</v>
      </c>
      <c r="Q11" s="312" t="s">
        <v>114</v>
      </c>
      <c r="R11" s="176">
        <f>P11*N11-T11</f>
        <v>597314.49542352208</v>
      </c>
      <c r="S11" s="176"/>
      <c r="T11" s="168"/>
      <c r="U11" s="176"/>
      <c r="V11" s="313">
        <f>N11/$J$23</f>
        <v>-0.3605135186855894</v>
      </c>
      <c r="W11" s="293"/>
      <c r="X11" s="296">
        <f>$J$28*V11</f>
        <v>-52.274460209410471</v>
      </c>
    </row>
    <row r="12" spans="2:24">
      <c r="B12" s="293" t="s">
        <v>167</v>
      </c>
      <c r="C12" s="293"/>
      <c r="E12" s="290" t="str">
        <f>"DCF, "&amp;TEXT(H12,"0.0")&amp;"x FY19E EBITDA"</f>
        <v>DCF, 5.9x FY19E EBITDA</v>
      </c>
      <c r="F12" s="373">
        <v>77583.380569970599</v>
      </c>
      <c r="G12" s="142" t="s">
        <v>113</v>
      </c>
      <c r="H12" s="376">
        <v>5.8773210193748815</v>
      </c>
      <c r="I12" s="142" t="s">
        <v>114</v>
      </c>
      <c r="J12" s="373">
        <f>F12*H12</f>
        <v>455982.433378049</v>
      </c>
      <c r="K12" s="142" t="s">
        <v>115</v>
      </c>
      <c r="L12" s="373"/>
      <c r="M12" s="142" t="s">
        <v>114</v>
      </c>
      <c r="N12" s="386">
        <f>J12-L12</f>
        <v>455982.433378049</v>
      </c>
      <c r="O12" s="142" t="s">
        <v>113</v>
      </c>
      <c r="P12" s="379">
        <v>0.1115</v>
      </c>
      <c r="Q12" s="312" t="s">
        <v>114</v>
      </c>
      <c r="R12" s="308">
        <f>P12*N12</f>
        <v>50842.041321652461</v>
      </c>
      <c r="S12" s="176"/>
      <c r="T12" s="308">
        <f>N12-R12</f>
        <v>405140.39205639652</v>
      </c>
      <c r="U12" s="176"/>
      <c r="V12" s="314">
        <f>N12/$J$23</f>
        <v>-0.27521152219716288</v>
      </c>
      <c r="W12" s="293"/>
      <c r="X12" s="315">
        <f>$J$28*V12</f>
        <v>-39.905670718588624</v>
      </c>
    </row>
    <row r="13" spans="2:24">
      <c r="B13" s="269" t="s">
        <v>117</v>
      </c>
      <c r="C13" s="293"/>
      <c r="F13" s="170"/>
      <c r="G13" s="157"/>
      <c r="H13" s="295"/>
      <c r="I13" s="299"/>
      <c r="J13" s="170">
        <f>SUM(J11:J12)</f>
        <v>1053296.928801571</v>
      </c>
      <c r="K13" s="298"/>
      <c r="L13" s="170">
        <f>-J20</f>
        <v>2305000.0792600149</v>
      </c>
      <c r="M13" s="157"/>
      <c r="N13" s="170">
        <f>SUM(N11:N12)</f>
        <v>1053296.928801571</v>
      </c>
      <c r="P13" s="300"/>
      <c r="Q13" s="301"/>
      <c r="R13" s="170">
        <f>SUM(R11:R12)</f>
        <v>648156.53674517456</v>
      </c>
      <c r="S13" s="293"/>
      <c r="T13" s="170">
        <f>SUM(T11:T12)</f>
        <v>405140.39205639652</v>
      </c>
      <c r="U13" s="293"/>
      <c r="V13" s="310">
        <f>N13/$J$23</f>
        <v>-0.63572504088275228</v>
      </c>
      <c r="W13" s="293"/>
      <c r="X13" s="295">
        <f>$J$28*V13</f>
        <v>-92.180130927999102</v>
      </c>
    </row>
    <row r="14" spans="2:24">
      <c r="B14" s="293"/>
      <c r="C14" s="293"/>
      <c r="F14" s="170"/>
      <c r="G14" s="157"/>
      <c r="H14" s="295"/>
      <c r="I14" s="299"/>
      <c r="J14" s="157"/>
      <c r="K14" s="298"/>
      <c r="L14" s="293"/>
      <c r="M14" s="157"/>
      <c r="N14" s="170"/>
      <c r="P14" s="300"/>
      <c r="Q14" s="301"/>
      <c r="R14" s="170"/>
      <c r="T14" s="157"/>
    </row>
    <row r="15" spans="2:24">
      <c r="B15" s="293" t="s">
        <v>118</v>
      </c>
      <c r="C15" s="293"/>
      <c r="F15" s="176"/>
      <c r="G15" s="142"/>
      <c r="H15" s="296"/>
      <c r="I15" s="321"/>
      <c r="J15" s="322"/>
      <c r="K15" s="322"/>
      <c r="L15" s="142"/>
      <c r="M15" s="142"/>
      <c r="N15" s="293"/>
      <c r="P15" s="382"/>
      <c r="Q15" s="383"/>
      <c r="R15" s="345"/>
    </row>
    <row r="16" spans="2:24">
      <c r="B16" s="269" t="s">
        <v>117</v>
      </c>
      <c r="C16" s="293"/>
      <c r="R16" s="170">
        <v>0</v>
      </c>
    </row>
    <row r="17" spans="2:24">
      <c r="D17" s="269"/>
      <c r="E17" s="304"/>
      <c r="F17" s="304"/>
      <c r="G17" s="304"/>
      <c r="H17" s="304"/>
      <c r="I17" s="304"/>
      <c r="J17" s="304"/>
      <c r="K17" s="304"/>
      <c r="R17" s="293"/>
    </row>
    <row r="18" spans="2:24">
      <c r="D18" s="269"/>
      <c r="E18" s="304"/>
      <c r="F18" s="304"/>
      <c r="G18" s="304"/>
      <c r="H18" s="304"/>
      <c r="I18" s="304"/>
      <c r="J18" s="304"/>
      <c r="K18" s="304"/>
      <c r="R18" s="293"/>
    </row>
    <row r="19" spans="2:24" ht="12.6" thickBot="1">
      <c r="B19" s="305" t="s">
        <v>121</v>
      </c>
      <c r="D19" s="269"/>
      <c r="E19" s="304"/>
      <c r="I19" s="304"/>
      <c r="J19" s="297">
        <f>J13</f>
        <v>1053296.928801571</v>
      </c>
      <c r="T19" s="357" t="s">
        <v>452</v>
      </c>
      <c r="U19" s="291"/>
      <c r="V19" s="291"/>
      <c r="W19" s="291"/>
      <c r="X19" s="291"/>
    </row>
    <row r="20" spans="2:24" ht="12.6" thickTop="1">
      <c r="B20" s="306" t="s">
        <v>818</v>
      </c>
      <c r="J20" s="176">
        <f>-IDEA!D12</f>
        <v>-2305000.0792600149</v>
      </c>
    </row>
    <row r="21" spans="2:24">
      <c r="B21" s="307" t="s">
        <v>358</v>
      </c>
      <c r="J21" s="176">
        <f>-T13</f>
        <v>-405140.39205639652</v>
      </c>
    </row>
    <row r="22" spans="2:24">
      <c r="B22" s="307" t="s">
        <v>303</v>
      </c>
      <c r="D22" s="293"/>
      <c r="J22" s="308">
        <f>R16</f>
        <v>0</v>
      </c>
      <c r="K22" s="304"/>
    </row>
    <row r="23" spans="2:24">
      <c r="B23" s="305" t="s">
        <v>407</v>
      </c>
      <c r="D23" s="269"/>
      <c r="E23" s="304"/>
      <c r="F23" s="304"/>
      <c r="G23" s="304"/>
      <c r="H23" s="304"/>
      <c r="I23" s="304"/>
      <c r="J23" s="170">
        <f>J19+J20+J21+J22</f>
        <v>-1656843.5425148404</v>
      </c>
    </row>
    <row r="24" spans="2:24" ht="12.6" thickBot="1">
      <c r="B24" s="307" t="s">
        <v>408</v>
      </c>
      <c r="D24" s="293"/>
      <c r="J24" s="176">
        <f>IDEA!D10</f>
        <v>71393</v>
      </c>
      <c r="K24" s="304"/>
    </row>
    <row r="25" spans="2:24" ht="12.6" thickBot="1">
      <c r="B25" s="305" t="s">
        <v>814</v>
      </c>
      <c r="D25" s="293"/>
      <c r="J25" s="359">
        <f>J23/J24</f>
        <v>-23.207366863905989</v>
      </c>
      <c r="K25" s="304"/>
    </row>
    <row r="26" spans="2:24">
      <c r="B26" s="307" t="s">
        <v>574</v>
      </c>
      <c r="J26" s="375">
        <v>0.6</v>
      </c>
      <c r="K26" s="304"/>
    </row>
    <row r="27" spans="2:24" ht="12.6" thickBot="1">
      <c r="B27" s="307" t="s">
        <v>815</v>
      </c>
      <c r="J27" s="375">
        <f>145-J26-J25</f>
        <v>167.60736686390601</v>
      </c>
      <c r="K27" s="304"/>
    </row>
    <row r="28" spans="2:24" ht="12.6" thickBot="1">
      <c r="B28" s="305" t="s">
        <v>55</v>
      </c>
      <c r="D28" s="269"/>
      <c r="E28" s="304"/>
      <c r="H28" s="304"/>
      <c r="I28" s="304"/>
      <c r="J28" s="359">
        <f>J25+J26+J27</f>
        <v>145.00000000000003</v>
      </c>
      <c r="K28" s="304"/>
    </row>
    <row r="29" spans="2:24">
      <c r="B29" s="307" t="s">
        <v>410</v>
      </c>
      <c r="D29" s="293"/>
      <c r="J29" s="319">
        <f>Prices!C79</f>
        <v>9.52</v>
      </c>
      <c r="L29" s="303"/>
    </row>
    <row r="30" spans="2:24">
      <c r="B30" s="305" t="s">
        <v>84</v>
      </c>
      <c r="D30" s="269"/>
      <c r="E30" s="304"/>
      <c r="F30" s="304"/>
      <c r="G30" s="304"/>
      <c r="H30" s="304"/>
      <c r="I30" s="304"/>
      <c r="J30" s="310">
        <f>J28/J29-1</f>
        <v>14.231092436974794</v>
      </c>
      <c r="K30" s="304"/>
    </row>
    <row r="31" spans="2:24">
      <c r="K31" s="304"/>
    </row>
    <row r="32" spans="2:24">
      <c r="D32" s="269"/>
      <c r="E32" s="304"/>
      <c r="H32" s="304"/>
      <c r="I32" s="304"/>
    </row>
    <row r="33" spans="4:24">
      <c r="D33" s="269"/>
      <c r="E33" s="304"/>
      <c r="F33" s="304"/>
      <c r="G33" s="304"/>
      <c r="H33" s="304"/>
      <c r="I33" s="304"/>
      <c r="J33" s="304"/>
    </row>
    <row r="34" spans="4:24">
      <c r="D34" s="309"/>
      <c r="E34" s="269"/>
      <c r="H34" s="304"/>
      <c r="I34" s="304"/>
      <c r="K34" s="304"/>
    </row>
    <row r="35" spans="4:24" ht="12.6" thickBot="1">
      <c r="D35" s="269"/>
      <c r="E35" s="269"/>
      <c r="F35" s="269"/>
      <c r="G35" s="269"/>
      <c r="H35" s="269"/>
      <c r="I35" s="269"/>
      <c r="T35" s="357" t="s">
        <v>452</v>
      </c>
      <c r="U35" s="357"/>
      <c r="V35" s="357"/>
      <c r="W35" s="357"/>
      <c r="X35" s="357"/>
    </row>
    <row r="36" spans="4:24" ht="12.6" thickTop="1">
      <c r="D36" s="269"/>
      <c r="E36" s="269"/>
      <c r="F36" s="269"/>
      <c r="G36" s="269"/>
      <c r="H36" s="269"/>
      <c r="I36" s="269"/>
      <c r="T36" s="293" t="s">
        <v>119</v>
      </c>
      <c r="X36" s="313">
        <f>(J11)/($J$13)</f>
        <v>0.56709032286189187</v>
      </c>
    </row>
    <row r="37" spans="4:24">
      <c r="D37" s="269"/>
      <c r="E37" s="269"/>
      <c r="F37" s="269"/>
      <c r="G37" s="269"/>
      <c r="H37" s="269"/>
      <c r="I37" s="269"/>
      <c r="T37" s="293" t="s">
        <v>167</v>
      </c>
      <c r="X37" s="313">
        <f>J12/J13</f>
        <v>0.43290967713810813</v>
      </c>
    </row>
    <row r="38" spans="4:24">
      <c r="D38" s="269"/>
      <c r="E38" s="269"/>
      <c r="F38" s="269"/>
      <c r="G38" s="269"/>
      <c r="H38" s="269"/>
      <c r="I38" s="269"/>
    </row>
    <row r="39" spans="4:24">
      <c r="D39" s="269"/>
      <c r="E39" s="269"/>
      <c r="F39" s="269"/>
      <c r="G39" s="269"/>
      <c r="H39" s="269"/>
      <c r="I39" s="269"/>
    </row>
    <row r="40" spans="4:24">
      <c r="D40" s="269"/>
      <c r="E40" s="269"/>
      <c r="F40" s="269"/>
      <c r="G40" s="269"/>
      <c r="H40" s="269"/>
      <c r="I40" s="269"/>
    </row>
  </sheetData>
  <phoneticPr fontId="26" type="noConversion"/>
  <pageMargins left="0.75" right="0.75" top="1" bottom="1" header="0.5" footer="0.5"/>
  <pageSetup scale="47" orientation="landscape"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40">
    <pageSetUpPr fitToPage="1"/>
  </sheetPr>
  <dimension ref="A1:X61"/>
  <sheetViews>
    <sheetView showGridLines="0" topLeftCell="A6" zoomScale="80" zoomScaleNormal="80" workbookViewId="0">
      <selection activeCell="N34" sqref="N34"/>
    </sheetView>
  </sheetViews>
  <sheetFormatPr defaultColWidth="9.109375" defaultRowHeight="12"/>
  <cols>
    <col min="1" max="1" width="2.33203125" style="290" customWidth="1"/>
    <col min="2" max="4" width="10" style="290" customWidth="1"/>
    <col min="5" max="5" width="20.441406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1150</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87</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29</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398</v>
      </c>
      <c r="C11" s="293"/>
      <c r="E11" s="290" t="str">
        <f>"DCF, "&amp;TEXT(H11,"0.0")&amp;"x 26E OpFCF"</f>
        <v>DCF, 12.7x 26E OpFCF</v>
      </c>
      <c r="F11" s="373">
        <v>1936.1229857773073</v>
      </c>
      <c r="G11" s="142" t="s">
        <v>113</v>
      </c>
      <c r="H11" s="376">
        <v>12.70807018261271</v>
      </c>
      <c r="I11" s="142" t="s">
        <v>114</v>
      </c>
      <c r="J11" s="176">
        <f>(H11*F11)</f>
        <v>24604.38678542769</v>
      </c>
      <c r="K11" s="142" t="s">
        <v>115</v>
      </c>
      <c r="L11" s="373"/>
      <c r="M11" s="142" t="s">
        <v>114</v>
      </c>
      <c r="N11" s="176">
        <f>J11-L11</f>
        <v>24604.38678542769</v>
      </c>
      <c r="O11" s="142" t="s">
        <v>113</v>
      </c>
      <c r="P11" s="379">
        <v>1</v>
      </c>
      <c r="Q11" s="312" t="s">
        <v>114</v>
      </c>
      <c r="R11" s="176">
        <f>P11*N11</f>
        <v>24604.38678542769</v>
      </c>
      <c r="S11" s="176"/>
      <c r="T11" s="176">
        <f>N11-R11</f>
        <v>0</v>
      </c>
      <c r="U11" s="176"/>
      <c r="V11" s="313">
        <f t="shared" ref="V11:V17" si="0">N11/$J$39</f>
        <v>1.5766725201492071</v>
      </c>
      <c r="W11" s="293"/>
      <c r="X11" s="296">
        <f t="shared" ref="X11:X17" si="1">$J$44*V11</f>
        <v>6.6671094953758931</v>
      </c>
    </row>
    <row r="12" spans="2:24">
      <c r="B12" s="293" t="s">
        <v>399</v>
      </c>
      <c r="C12" s="293"/>
      <c r="E12" s="290" t="str">
        <f>"DCF, "&amp;TEXT(H12,"0.0")&amp;"x 26E OpFCF"</f>
        <v>DCF, 12.4x 26E OpFCF</v>
      </c>
      <c r="F12" s="373">
        <v>1137.5622243999999</v>
      </c>
      <c r="G12" s="142" t="s">
        <v>113</v>
      </c>
      <c r="H12" s="376">
        <v>12.436612939699222</v>
      </c>
      <c r="I12" s="142" t="s">
        <v>114</v>
      </c>
      <c r="J12" s="176">
        <f t="shared" ref="J12:J16" si="2">(H12*F12)</f>
        <v>14147.421079686068</v>
      </c>
      <c r="K12" s="142" t="s">
        <v>115</v>
      </c>
      <c r="L12" s="373"/>
      <c r="M12" s="142" t="s">
        <v>114</v>
      </c>
      <c r="N12" s="176">
        <f t="shared" ref="N12:N17" si="3">J12-L12</f>
        <v>14147.421079686068</v>
      </c>
      <c r="O12" s="142" t="s">
        <v>113</v>
      </c>
      <c r="P12" s="379">
        <v>1</v>
      </c>
      <c r="Q12" s="312" t="s">
        <v>114</v>
      </c>
      <c r="R12" s="176">
        <f t="shared" ref="R12:R16" si="4">P12*N12</f>
        <v>14147.421079686068</v>
      </c>
      <c r="S12" s="176"/>
      <c r="T12" s="176">
        <f t="shared" ref="T12:T17" si="5">N12-R12</f>
        <v>0</v>
      </c>
      <c r="U12" s="176"/>
      <c r="V12" s="313">
        <f t="shared" si="0"/>
        <v>0.90658020627978497</v>
      </c>
      <c r="W12" s="293"/>
      <c r="X12" s="296">
        <f t="shared" si="1"/>
        <v>3.8335605043942773</v>
      </c>
    </row>
    <row r="13" spans="2:24">
      <c r="B13" s="293" t="s">
        <v>85</v>
      </c>
      <c r="C13" s="293"/>
      <c r="E13" s="290" t="str">
        <f>"DCF, "&amp;TEXT(H13,"0.0")&amp;"x 26E OpFCF"</f>
        <v>DCF, -5.0x 26E OpFCF</v>
      </c>
      <c r="F13" s="373">
        <v>-240.09284155128023</v>
      </c>
      <c r="G13" s="142" t="s">
        <v>113</v>
      </c>
      <c r="H13" s="376">
        <v>-4.9891813475908267</v>
      </c>
      <c r="I13" s="142" t="s">
        <v>114</v>
      </c>
      <c r="J13" s="176">
        <f t="shared" si="2"/>
        <v>1197.8667267577271</v>
      </c>
      <c r="K13" s="142" t="s">
        <v>115</v>
      </c>
      <c r="L13" s="373"/>
      <c r="M13" s="142" t="s">
        <v>114</v>
      </c>
      <c r="N13" s="176">
        <f t="shared" si="3"/>
        <v>1197.8667267577271</v>
      </c>
      <c r="O13" s="142" t="s">
        <v>113</v>
      </c>
      <c r="P13" s="379">
        <v>1</v>
      </c>
      <c r="Q13" s="312" t="s">
        <v>114</v>
      </c>
      <c r="R13" s="176">
        <f t="shared" si="4"/>
        <v>1197.8667267577271</v>
      </c>
      <c r="S13" s="176"/>
      <c r="T13" s="176">
        <f t="shared" si="5"/>
        <v>0</v>
      </c>
      <c r="U13" s="176"/>
      <c r="V13" s="313">
        <f t="shared" si="0"/>
        <v>7.6760439808992276E-2</v>
      </c>
      <c r="W13" s="293"/>
      <c r="X13" s="296">
        <f t="shared" si="1"/>
        <v>0.32458881002843326</v>
      </c>
    </row>
    <row r="14" spans="2:24">
      <c r="B14" s="293" t="s">
        <v>748</v>
      </c>
      <c r="E14" s="290" t="str">
        <f t="shared" ref="E14:E16" si="6">"DCF, "&amp;TEXT(H14,"0.0")&amp;"x 26E OpFCF"</f>
        <v>DCF, 11.4x 26E OpFCF</v>
      </c>
      <c r="F14" s="373">
        <v>-829.72794903276815</v>
      </c>
      <c r="G14" s="142" t="s">
        <v>113</v>
      </c>
      <c r="H14" s="376">
        <v>11.359567673122042</v>
      </c>
      <c r="I14" s="142" t="s">
        <v>114</v>
      </c>
      <c r="J14" s="176">
        <f t="shared" si="2"/>
        <v>-9425.3507873184863</v>
      </c>
      <c r="K14" s="142" t="s">
        <v>115</v>
      </c>
      <c r="L14" s="373"/>
      <c r="M14" s="142" t="s">
        <v>114</v>
      </c>
      <c r="N14" s="176">
        <f t="shared" si="3"/>
        <v>-9425.3507873184863</v>
      </c>
      <c r="O14" s="142" t="s">
        <v>113</v>
      </c>
      <c r="P14" s="379">
        <v>1</v>
      </c>
      <c r="Q14" s="312" t="s">
        <v>114</v>
      </c>
      <c r="R14" s="176">
        <f t="shared" si="4"/>
        <v>-9425.3507873184863</v>
      </c>
      <c r="S14" s="176"/>
      <c r="T14" s="176">
        <f t="shared" si="5"/>
        <v>0</v>
      </c>
      <c r="U14" s="176"/>
      <c r="V14" s="313">
        <f t="shared" si="0"/>
        <v>-0.60398544815322175</v>
      </c>
      <c r="W14" s="293"/>
      <c r="X14" s="296">
        <f t="shared" si="1"/>
        <v>-2.5540098308240524</v>
      </c>
    </row>
    <row r="15" spans="2:24">
      <c r="B15" s="293" t="s">
        <v>1301</v>
      </c>
      <c r="E15" s="290" t="str">
        <f t="shared" si="6"/>
        <v>DCF, 15.3x 26E OpFCF</v>
      </c>
      <c r="F15" s="373">
        <v>25.427</v>
      </c>
      <c r="G15" s="142" t="s">
        <v>113</v>
      </c>
      <c r="H15" s="376">
        <v>15.261717050218378</v>
      </c>
      <c r="I15" s="142" t="s">
        <v>114</v>
      </c>
      <c r="J15" s="176">
        <f>(H15*F15)</f>
        <v>388.05967943590269</v>
      </c>
      <c r="K15" s="142" t="s">
        <v>115</v>
      </c>
      <c r="L15" s="373"/>
      <c r="M15" s="142" t="s">
        <v>114</v>
      </c>
      <c r="N15" s="176">
        <f>J15-L15</f>
        <v>388.05967943590269</v>
      </c>
      <c r="O15" s="142" t="s">
        <v>113</v>
      </c>
      <c r="P15" s="379">
        <v>0.51</v>
      </c>
      <c r="Q15" s="312" t="s">
        <v>114</v>
      </c>
      <c r="R15" s="176">
        <f>P15*N15</f>
        <v>197.91043651231038</v>
      </c>
      <c r="S15" s="176"/>
      <c r="T15" s="176">
        <f>N15-R15</f>
        <v>190.14924292359231</v>
      </c>
      <c r="U15" s="176"/>
      <c r="V15" s="313">
        <f>N15/$J$39</f>
        <v>2.4867233557995892E-2</v>
      </c>
      <c r="W15" s="293"/>
      <c r="X15" s="296">
        <f>$J$44*V15</f>
        <v>0.10515345885685559</v>
      </c>
    </row>
    <row r="16" spans="2:24">
      <c r="B16" s="293" t="s">
        <v>120</v>
      </c>
      <c r="C16" s="293"/>
      <c r="E16" s="290" t="str">
        <f t="shared" si="6"/>
        <v>DCF, 13.5x 26E OpFCF</v>
      </c>
      <c r="F16" s="373">
        <v>-583.77735847320901</v>
      </c>
      <c r="G16" s="142" t="s">
        <v>113</v>
      </c>
      <c r="H16" s="376">
        <v>13.457453388827348</v>
      </c>
      <c r="I16" s="142" t="s">
        <v>114</v>
      </c>
      <c r="J16" s="176">
        <f t="shared" si="2"/>
        <v>-7856.1565911059643</v>
      </c>
      <c r="K16" s="142" t="s">
        <v>115</v>
      </c>
      <c r="L16" s="373"/>
      <c r="M16" s="142" t="s">
        <v>114</v>
      </c>
      <c r="N16" s="176">
        <f t="shared" si="3"/>
        <v>-7856.1565911059643</v>
      </c>
      <c r="O16" s="142" t="s">
        <v>113</v>
      </c>
      <c r="P16" s="379">
        <v>1</v>
      </c>
      <c r="Q16" s="312" t="s">
        <v>114</v>
      </c>
      <c r="R16" s="176">
        <f t="shared" si="4"/>
        <v>-7856.1565911059643</v>
      </c>
      <c r="T16" s="176">
        <f t="shared" si="5"/>
        <v>0</v>
      </c>
      <c r="V16" s="313">
        <f t="shared" si="0"/>
        <v>-0.50342999072514916</v>
      </c>
      <c r="X16" s="296">
        <f t="shared" si="1"/>
        <v>-2.1288015288698046</v>
      </c>
    </row>
    <row r="17" spans="2:24">
      <c r="B17" s="269" t="s">
        <v>14</v>
      </c>
      <c r="F17" s="170"/>
      <c r="G17" s="157"/>
      <c r="H17" s="295"/>
      <c r="I17" s="157"/>
      <c r="J17" s="317">
        <f>SUM(J11:J16)</f>
        <v>23056.226892882944</v>
      </c>
      <c r="K17" s="157"/>
      <c r="L17" s="317"/>
      <c r="M17" s="157"/>
      <c r="N17" s="317">
        <f t="shared" si="3"/>
        <v>23056.226892882944</v>
      </c>
      <c r="O17" s="157"/>
      <c r="P17" s="336"/>
      <c r="Q17" s="292"/>
      <c r="R17" s="317">
        <f>SUM(R11:R16)</f>
        <v>22866.077649959348</v>
      </c>
      <c r="S17" s="170"/>
      <c r="T17" s="317">
        <f t="shared" si="5"/>
        <v>190.14924292359501</v>
      </c>
      <c r="U17" s="170"/>
      <c r="V17" s="336">
        <f t="shared" si="0"/>
        <v>1.4774649609176096</v>
      </c>
      <c r="W17" s="293"/>
      <c r="X17" s="323">
        <f t="shared" si="1"/>
        <v>6.2476009089616031</v>
      </c>
    </row>
    <row r="18" spans="2:24">
      <c r="B18" s="293" t="s">
        <v>752</v>
      </c>
      <c r="C18" s="293"/>
      <c r="H18" s="174"/>
      <c r="J18" s="373">
        <v>14961.770936613317</v>
      </c>
      <c r="L18" s="176"/>
      <c r="P18" s="175"/>
      <c r="R18" s="176"/>
      <c r="S18" s="176"/>
      <c r="T18" s="176"/>
      <c r="U18" s="176"/>
      <c r="V18" s="175"/>
      <c r="W18" s="293"/>
      <c r="X18" s="296"/>
    </row>
    <row r="19" spans="2:24">
      <c r="B19" s="293" t="s">
        <v>753</v>
      </c>
      <c r="C19" s="293"/>
      <c r="G19" s="142"/>
      <c r="H19" s="296"/>
      <c r="I19" s="142"/>
      <c r="J19" s="373">
        <v>8094.4559562696268</v>
      </c>
      <c r="K19" s="142"/>
      <c r="L19" s="176"/>
      <c r="M19" s="142"/>
      <c r="N19" s="176"/>
      <c r="O19" s="142"/>
      <c r="P19" s="175"/>
      <c r="Q19" s="312"/>
      <c r="R19" s="176"/>
      <c r="S19" s="293"/>
      <c r="T19" s="176"/>
      <c r="U19" s="293"/>
      <c r="V19" s="347"/>
      <c r="W19" s="293"/>
      <c r="X19" s="296"/>
    </row>
    <row r="20" spans="2:24">
      <c r="B20" s="269"/>
      <c r="C20" s="269"/>
      <c r="F20" s="170"/>
      <c r="G20" s="157"/>
      <c r="H20" s="295"/>
      <c r="I20" s="157"/>
      <c r="J20" s="170"/>
      <c r="K20" s="157"/>
      <c r="L20" s="170"/>
      <c r="M20" s="157"/>
      <c r="N20" s="170"/>
      <c r="O20" s="157"/>
      <c r="P20" s="171"/>
      <c r="Q20" s="292"/>
      <c r="R20" s="170"/>
      <c r="S20" s="293"/>
      <c r="T20" s="170"/>
      <c r="U20" s="293"/>
      <c r="V20" s="335"/>
      <c r="W20" s="293"/>
      <c r="X20" s="295"/>
    </row>
    <row r="21" spans="2:24">
      <c r="B21" s="269" t="s">
        <v>118</v>
      </c>
    </row>
    <row r="22" spans="2:24">
      <c r="B22" s="293" t="s">
        <v>1298</v>
      </c>
      <c r="C22" s="293"/>
      <c r="E22" s="290" t="s">
        <v>1299</v>
      </c>
      <c r="G22" s="142"/>
      <c r="H22" s="388"/>
      <c r="I22" s="389"/>
      <c r="J22" s="168"/>
      <c r="K22" s="389"/>
      <c r="L22" s="168"/>
      <c r="M22" s="389"/>
      <c r="N22" s="373">
        <v>1054</v>
      </c>
      <c r="O22" s="142" t="s">
        <v>113</v>
      </c>
      <c r="P22" s="379">
        <v>0.5</v>
      </c>
      <c r="Q22" s="312" t="s">
        <v>114</v>
      </c>
      <c r="R22" s="176">
        <f>P22*N22</f>
        <v>527</v>
      </c>
    </row>
    <row r="23" spans="2:24">
      <c r="B23" s="293"/>
      <c r="C23" s="293"/>
      <c r="D23" s="293"/>
      <c r="E23" s="293"/>
      <c r="F23" s="293"/>
      <c r="G23" s="293"/>
      <c r="H23" s="293"/>
      <c r="I23" s="293"/>
      <c r="J23" s="293"/>
      <c r="K23" s="293"/>
      <c r="L23" s="293"/>
      <c r="M23" s="293"/>
      <c r="N23" s="293"/>
      <c r="O23" s="293"/>
      <c r="P23" s="293"/>
      <c r="Q23" s="312"/>
      <c r="R23" s="176"/>
    </row>
    <row r="24" spans="2:24">
      <c r="B24" s="269"/>
      <c r="C24" s="269"/>
    </row>
    <row r="25" spans="2:24">
      <c r="B25" s="269" t="s">
        <v>606</v>
      </c>
      <c r="C25" s="269"/>
      <c r="E25" s="290" t="s">
        <v>607</v>
      </c>
      <c r="F25" s="157"/>
      <c r="G25" s="157"/>
      <c r="H25" s="299"/>
      <c r="I25" s="157"/>
      <c r="J25" s="298"/>
      <c r="K25" s="157"/>
      <c r="L25" s="157"/>
      <c r="M25" s="157"/>
      <c r="N25" s="369">
        <v>0</v>
      </c>
      <c r="O25" s="157" t="s">
        <v>113</v>
      </c>
      <c r="P25" s="372">
        <v>1</v>
      </c>
      <c r="Q25" s="292" t="s">
        <v>114</v>
      </c>
      <c r="R25" s="297">
        <f>P25*N25</f>
        <v>0</v>
      </c>
    </row>
    <row r="26" spans="2:24">
      <c r="B26" s="269" t="s">
        <v>117</v>
      </c>
      <c r="C26" s="293"/>
      <c r="R26" s="170">
        <f>SUM(R22:R25)</f>
        <v>527</v>
      </c>
    </row>
    <row r="28" spans="2:24" ht="12.6" thickBot="1">
      <c r="B28" s="305" t="s">
        <v>121</v>
      </c>
      <c r="D28" s="269"/>
      <c r="E28" s="304"/>
      <c r="H28" s="304"/>
      <c r="I28" s="304"/>
      <c r="J28" s="297">
        <f>J17</f>
        <v>23056.226892882944</v>
      </c>
      <c r="T28" s="357" t="s">
        <v>452</v>
      </c>
      <c r="U28" s="291"/>
      <c r="V28" s="291"/>
      <c r="W28" s="291"/>
      <c r="X28" s="291"/>
    </row>
    <row r="29" spans="2:24" ht="12.6" thickTop="1">
      <c r="B29" s="306" t="s">
        <v>1179</v>
      </c>
      <c r="D29" s="309"/>
      <c r="E29" s="304"/>
      <c r="G29" s="304"/>
      <c r="H29" s="304"/>
      <c r="I29" s="304"/>
      <c r="J29" s="176">
        <f>-KPN!E12</f>
        <v>-6444.5543265017095</v>
      </c>
    </row>
    <row r="30" spans="2:24">
      <c r="B30" s="307" t="s">
        <v>551</v>
      </c>
      <c r="D30" s="309"/>
      <c r="E30" s="304"/>
      <c r="G30" s="304"/>
      <c r="H30" s="304"/>
      <c r="I30" s="304"/>
      <c r="J30" s="373">
        <v>-1446.0769471790122</v>
      </c>
    </row>
    <row r="31" spans="2:24">
      <c r="B31" s="307" t="s">
        <v>1075</v>
      </c>
      <c r="D31" s="269"/>
      <c r="E31" s="304"/>
      <c r="G31" s="304"/>
      <c r="H31" s="304"/>
      <c r="I31" s="304"/>
      <c r="J31" s="373">
        <v>0</v>
      </c>
    </row>
    <row r="32" spans="2:24">
      <c r="B32" s="307" t="s">
        <v>1076</v>
      </c>
      <c r="D32" s="269"/>
      <c r="E32" s="304"/>
      <c r="G32" s="304"/>
      <c r="H32" s="304"/>
      <c r="I32" s="304"/>
      <c r="J32" s="373">
        <v>0</v>
      </c>
    </row>
    <row r="33" spans="1:11">
      <c r="B33" s="307" t="s">
        <v>816</v>
      </c>
      <c r="D33" s="269"/>
      <c r="E33" s="304"/>
      <c r="G33" s="304"/>
      <c r="H33" s="304"/>
      <c r="I33" s="304"/>
      <c r="J33" s="373">
        <v>-46.749986607727116</v>
      </c>
    </row>
    <row r="34" spans="1:11">
      <c r="B34" s="307" t="s">
        <v>1137</v>
      </c>
      <c r="D34" s="269"/>
      <c r="E34" s="304"/>
      <c r="G34" s="304"/>
      <c r="H34" s="304"/>
      <c r="I34" s="304"/>
      <c r="J34" s="373">
        <v>0</v>
      </c>
    </row>
    <row r="35" spans="1:11">
      <c r="B35" s="307" t="s">
        <v>788</v>
      </c>
      <c r="D35" s="269"/>
      <c r="E35" s="304"/>
      <c r="G35" s="304"/>
      <c r="H35" s="304"/>
      <c r="I35" s="304"/>
      <c r="J35" s="373">
        <v>149.56498895658913</v>
      </c>
    </row>
    <row r="36" spans="1:11">
      <c r="A36" s="307"/>
      <c r="B36" s="307" t="s">
        <v>625</v>
      </c>
      <c r="D36" s="269"/>
      <c r="E36" s="304"/>
      <c r="G36" s="304"/>
      <c r="H36" s="304"/>
      <c r="I36" s="304"/>
      <c r="J36" s="373">
        <v>0</v>
      </c>
      <c r="K36" s="304"/>
    </row>
    <row r="37" spans="1:11">
      <c r="A37" s="307"/>
      <c r="B37" s="307" t="s">
        <v>301</v>
      </c>
      <c r="D37" s="269"/>
      <c r="E37" s="304"/>
      <c r="H37" s="304"/>
      <c r="I37" s="304"/>
      <c r="J37" s="176">
        <f>-T17</f>
        <v>-190.14924292359501</v>
      </c>
      <c r="K37" s="304"/>
    </row>
    <row r="38" spans="1:11">
      <c r="A38" s="307"/>
      <c r="B38" s="307" t="s">
        <v>303</v>
      </c>
      <c r="J38" s="308">
        <f>R26</f>
        <v>527</v>
      </c>
    </row>
    <row r="39" spans="1:11">
      <c r="A39" s="307"/>
      <c r="B39" s="305" t="s">
        <v>407</v>
      </c>
      <c r="D39" s="269"/>
      <c r="E39" s="304"/>
      <c r="G39" s="304"/>
      <c r="H39" s="304"/>
      <c r="I39" s="304"/>
      <c r="J39" s="170">
        <f>SUM(J28:J38)</f>
        <v>15605.261378627487</v>
      </c>
      <c r="K39" s="304"/>
    </row>
    <row r="40" spans="1:11" ht="12.6" thickBot="1">
      <c r="A40" s="307"/>
      <c r="B40" s="307" t="s">
        <v>408</v>
      </c>
      <c r="D40" s="293"/>
      <c r="J40" s="176">
        <f>KPN!E10</f>
        <v>3761.8495005732084</v>
      </c>
      <c r="K40" s="304"/>
    </row>
    <row r="41" spans="1:11" ht="12.6" thickBot="1">
      <c r="A41" s="307"/>
      <c r="B41" s="305" t="s">
        <v>409</v>
      </c>
      <c r="D41" s="293"/>
      <c r="J41" s="358">
        <f>J39/J40</f>
        <v>4.1482949746526669</v>
      </c>
      <c r="K41" s="304"/>
    </row>
    <row r="42" spans="1:11">
      <c r="A42" s="307"/>
      <c r="B42" s="307" t="s">
        <v>624</v>
      </c>
      <c r="J42" s="374">
        <v>8.0299999999999996E-2</v>
      </c>
      <c r="K42" s="304"/>
    </row>
    <row r="43" spans="1:11" ht="12.6" thickBot="1">
      <c r="A43" s="307"/>
      <c r="B43" s="307" t="s">
        <v>794</v>
      </c>
      <c r="J43" s="374"/>
      <c r="K43" s="304"/>
    </row>
    <row r="44" spans="1:11" ht="12.6" thickBot="1">
      <c r="B44" s="305" t="s">
        <v>55</v>
      </c>
      <c r="D44" s="269"/>
      <c r="E44" s="304"/>
      <c r="F44" s="304"/>
      <c r="G44" s="304"/>
      <c r="H44" s="304"/>
      <c r="I44" s="304"/>
      <c r="J44" s="358">
        <f>J41+J42+J43</f>
        <v>4.2285949746526672</v>
      </c>
      <c r="K44" s="304"/>
    </row>
    <row r="45" spans="1:11">
      <c r="B45" s="307" t="s">
        <v>410</v>
      </c>
      <c r="D45" s="293"/>
      <c r="J45" s="327">
        <f>Prices!C10</f>
        <v>4.6639999999999997</v>
      </c>
    </row>
    <row r="46" spans="1:11">
      <c r="B46" s="305" t="s">
        <v>84</v>
      </c>
      <c r="D46" s="269"/>
      <c r="E46" s="304"/>
      <c r="H46" s="304"/>
      <c r="I46" s="304"/>
      <c r="J46" s="310">
        <f>J44/J45-1</f>
        <v>-9.3354422244282254E-2</v>
      </c>
      <c r="K46" s="304"/>
    </row>
    <row r="47" spans="1:11">
      <c r="D47" s="269"/>
      <c r="E47" s="304"/>
      <c r="F47" s="304"/>
      <c r="G47" s="304"/>
      <c r="H47" s="304"/>
      <c r="I47" s="304"/>
      <c r="J47" s="304"/>
    </row>
    <row r="48" spans="1:11">
      <c r="D48" s="269"/>
      <c r="E48" s="304"/>
      <c r="F48" s="304"/>
      <c r="G48" s="304"/>
      <c r="H48" s="304"/>
      <c r="I48" s="304"/>
      <c r="J48" s="304"/>
      <c r="K48" s="304"/>
    </row>
    <row r="49" spans="2:24">
      <c r="B49" s="290" t="s">
        <v>302</v>
      </c>
      <c r="D49" s="309">
        <f>Prices!F135</f>
        <v>0.85567010221064943</v>
      </c>
      <c r="E49" s="304"/>
      <c r="F49" s="304"/>
      <c r="G49" s="304"/>
      <c r="H49" s="304"/>
      <c r="I49" s="304"/>
      <c r="J49" s="304"/>
    </row>
    <row r="52" spans="2:24">
      <c r="D52" s="269"/>
      <c r="E52" s="269"/>
      <c r="F52" s="269"/>
      <c r="G52" s="269"/>
      <c r="H52" s="269"/>
      <c r="I52" s="269"/>
      <c r="K52" s="304"/>
    </row>
    <row r="53" spans="2:24">
      <c r="D53" s="269"/>
      <c r="E53" s="269"/>
      <c r="F53" s="269"/>
      <c r="G53" s="269"/>
      <c r="H53" s="269"/>
      <c r="I53" s="269"/>
      <c r="K53" s="304"/>
    </row>
    <row r="54" spans="2:24" ht="12.6" thickBot="1">
      <c r="D54" s="269"/>
      <c r="E54" s="269"/>
      <c r="F54" s="269"/>
      <c r="G54" s="269"/>
      <c r="H54" s="269"/>
      <c r="I54" s="269"/>
      <c r="T54" s="357" t="s">
        <v>452</v>
      </c>
      <c r="U54" s="291"/>
      <c r="V54" s="291"/>
      <c r="W54" s="291"/>
      <c r="X54" s="291"/>
    </row>
    <row r="55" spans="2:24" ht="12.6" thickTop="1">
      <c r="D55" s="269"/>
      <c r="E55" s="269"/>
      <c r="F55" s="269"/>
      <c r="G55" s="269"/>
      <c r="H55" s="269"/>
      <c r="I55" s="269"/>
      <c r="T55" s="269" t="s">
        <v>569</v>
      </c>
      <c r="X55" s="310">
        <f>J19/J17</f>
        <v>0.35107461398067019</v>
      </c>
    </row>
    <row r="56" spans="2:24">
      <c r="D56" s="269"/>
      <c r="E56" s="269"/>
      <c r="F56" s="269"/>
      <c r="G56" s="269"/>
      <c r="H56" s="269"/>
      <c r="I56" s="269"/>
      <c r="T56" s="269" t="s">
        <v>112</v>
      </c>
      <c r="X56" s="310">
        <f>J18/J17</f>
        <v>0.64892538601932981</v>
      </c>
    </row>
    <row r="57" spans="2:24">
      <c r="D57" s="269"/>
      <c r="E57" s="269"/>
      <c r="F57" s="269"/>
      <c r="G57" s="269"/>
      <c r="H57" s="269"/>
      <c r="I57" s="269"/>
      <c r="T57" s="269" t="s">
        <v>120</v>
      </c>
      <c r="X57" s="310">
        <f>1-X56-X55</f>
        <v>0</v>
      </c>
    </row>
    <row r="58" spans="2:24">
      <c r="D58" s="269"/>
      <c r="E58" s="269"/>
      <c r="F58" s="269"/>
      <c r="G58" s="269"/>
      <c r="H58" s="269"/>
      <c r="I58" s="269"/>
    </row>
    <row r="59" spans="2:24">
      <c r="D59" s="269"/>
      <c r="E59" s="304"/>
      <c r="F59" s="304"/>
      <c r="G59" s="304"/>
      <c r="H59" s="304"/>
      <c r="I59" s="304"/>
    </row>
    <row r="60" spans="2:24">
      <c r="D60" s="269"/>
      <c r="E60" s="304"/>
      <c r="F60" s="304"/>
      <c r="G60" s="304"/>
      <c r="H60" s="304"/>
      <c r="I60" s="304"/>
    </row>
    <row r="61" spans="2:24">
      <c r="D61" s="293"/>
      <c r="E61" s="304"/>
      <c r="F61" s="304"/>
      <c r="G61" s="304"/>
      <c r="H61" s="304"/>
      <c r="I61" s="304"/>
    </row>
  </sheetData>
  <phoneticPr fontId="26" type="noConversion"/>
  <pageMargins left="0.75" right="0.75" top="1" bottom="1" header="0.5" footer="0.5"/>
  <pageSetup scale="45"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86">
    <pageSetUpPr fitToPage="1"/>
  </sheetPr>
  <dimension ref="B1:X51"/>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1151</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327</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5" t="s">
        <v>107</v>
      </c>
      <c r="O9" s="356"/>
      <c r="P9" s="355" t="s">
        <v>108</v>
      </c>
      <c r="Q9" s="355"/>
      <c r="R9" s="355" t="s">
        <v>347</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369</v>
      </c>
      <c r="C11" s="293"/>
      <c r="E11" s="290" t="str">
        <f t="shared" ref="E11:E17" si="0">"DCF, "&amp;TEXT(H11,"0.0")&amp;"x 18E EBITDA"</f>
        <v>DCF, 5.9x 18E EBITDA</v>
      </c>
      <c r="F11" s="373">
        <v>15804.716904362995</v>
      </c>
      <c r="G11" s="142" t="s">
        <v>113</v>
      </c>
      <c r="H11" s="375">
        <v>5.8606297703744117</v>
      </c>
      <c r="I11" s="142" t="s">
        <v>114</v>
      </c>
      <c r="J11" s="176">
        <f>H11*F11</f>
        <v>92625.594402049479</v>
      </c>
      <c r="K11" s="142" t="s">
        <v>115</v>
      </c>
      <c r="L11" s="373"/>
      <c r="M11" s="142" t="s">
        <v>114</v>
      </c>
      <c r="N11" s="176">
        <f t="shared" ref="N11:N17" si="1">J11-L11</f>
        <v>92625.594402049479</v>
      </c>
      <c r="O11" s="142" t="s">
        <v>113</v>
      </c>
      <c r="P11" s="379">
        <v>1</v>
      </c>
      <c r="Q11" s="312" t="s">
        <v>114</v>
      </c>
      <c r="R11" s="176">
        <f t="shared" ref="R11:R17" si="2">P11*N11</f>
        <v>92625.594402049479</v>
      </c>
      <c r="S11" s="176"/>
      <c r="T11" s="176">
        <f>N11-R11</f>
        <v>0</v>
      </c>
      <c r="U11" s="176"/>
      <c r="V11" s="313">
        <f t="shared" ref="V11:V17" si="3">N11/$J$33</f>
        <v>0.44666009712822091</v>
      </c>
      <c r="W11" s="293"/>
      <c r="X11" s="296">
        <f t="shared" ref="X11:X17" si="4">$J$37*V11</f>
        <v>52.769283658621013</v>
      </c>
    </row>
    <row r="12" spans="2:24">
      <c r="B12" s="293" t="s">
        <v>348</v>
      </c>
      <c r="C12" s="293"/>
      <c r="E12" s="290" t="str">
        <f t="shared" si="0"/>
        <v>DCF, 5.4x 18E EBITDA</v>
      </c>
      <c r="F12" s="373">
        <v>12670.539019480544</v>
      </c>
      <c r="G12" s="142" t="s">
        <v>113</v>
      </c>
      <c r="H12" s="375">
        <v>5.4292838011539208</v>
      </c>
      <c r="I12" s="142" t="s">
        <v>114</v>
      </c>
      <c r="J12" s="176">
        <f>H12*F12</f>
        <v>68791.952250354399</v>
      </c>
      <c r="K12" s="142" t="s">
        <v>115</v>
      </c>
      <c r="L12" s="373"/>
      <c r="M12" s="142" t="s">
        <v>114</v>
      </c>
      <c r="N12" s="176">
        <f t="shared" si="1"/>
        <v>68791.952250354399</v>
      </c>
      <c r="O12" s="142" t="s">
        <v>113</v>
      </c>
      <c r="P12" s="379">
        <v>0.7883</v>
      </c>
      <c r="Q12" s="312" t="s">
        <v>114</v>
      </c>
      <c r="R12" s="176">
        <f t="shared" si="2"/>
        <v>54228.695958954377</v>
      </c>
      <c r="S12" s="176"/>
      <c r="T12" s="176">
        <f>N12-R12</f>
        <v>14563.256291400023</v>
      </c>
      <c r="U12" s="176"/>
      <c r="V12" s="313">
        <f t="shared" si="3"/>
        <v>0.33172926200518243</v>
      </c>
      <c r="W12" s="293"/>
      <c r="X12" s="296">
        <f t="shared" si="4"/>
        <v>39.191133564795152</v>
      </c>
    </row>
    <row r="13" spans="2:24">
      <c r="B13" s="293" t="s">
        <v>164</v>
      </c>
      <c r="C13" s="293"/>
      <c r="E13" s="290" t="str">
        <f t="shared" si="0"/>
        <v>DCF, 5.7x 18E EBITDA</v>
      </c>
      <c r="F13" s="373">
        <v>3709.2710422252185</v>
      </c>
      <c r="G13" s="142" t="s">
        <v>113</v>
      </c>
      <c r="H13" s="375">
        <v>5.6569454118415861</v>
      </c>
      <c r="I13" s="142" t="s">
        <v>114</v>
      </c>
      <c r="J13" s="176">
        <f>H13*F13</f>
        <v>20983.143803592808</v>
      </c>
      <c r="K13" s="142" t="s">
        <v>115</v>
      </c>
      <c r="L13" s="373"/>
      <c r="M13" s="142" t="s">
        <v>114</v>
      </c>
      <c r="N13" s="176">
        <f t="shared" si="1"/>
        <v>20983.143803592808</v>
      </c>
      <c r="O13" s="142" t="s">
        <v>113</v>
      </c>
      <c r="P13" s="379">
        <v>0.98</v>
      </c>
      <c r="Q13" s="312" t="s">
        <v>114</v>
      </c>
      <c r="R13" s="176">
        <f t="shared" si="2"/>
        <v>20563.480927520952</v>
      </c>
      <c r="S13" s="176"/>
      <c r="T13" s="176">
        <f>N13-R13</f>
        <v>419.66287607185586</v>
      </c>
      <c r="U13" s="176"/>
      <c r="V13" s="313">
        <f t="shared" si="3"/>
        <v>0.10118513257455343</v>
      </c>
      <c r="W13" s="293"/>
      <c r="X13" s="296">
        <f t="shared" si="4"/>
        <v>11.954206335402743</v>
      </c>
    </row>
    <row r="14" spans="2:24">
      <c r="B14" s="293" t="s">
        <v>370</v>
      </c>
      <c r="C14" s="293"/>
      <c r="E14" s="290" t="str">
        <f t="shared" si="0"/>
        <v>DCF, 5.2x 18E EBITDA</v>
      </c>
      <c r="F14" s="373">
        <v>13259.359535206489</v>
      </c>
      <c r="G14" s="142" t="s">
        <v>113</v>
      </c>
      <c r="H14" s="375">
        <v>5.2018719339676531</v>
      </c>
      <c r="I14" s="142" t="s">
        <v>114</v>
      </c>
      <c r="J14" s="176">
        <f>F14*H14</f>
        <v>68973.490228577022</v>
      </c>
      <c r="K14" s="142" t="s">
        <v>115</v>
      </c>
      <c r="L14" s="373"/>
      <c r="M14" s="142" t="s">
        <v>114</v>
      </c>
      <c r="N14" s="176">
        <f t="shared" si="1"/>
        <v>68973.490228577022</v>
      </c>
      <c r="O14" s="142" t="s">
        <v>113</v>
      </c>
      <c r="P14" s="379">
        <v>0.49</v>
      </c>
      <c r="Q14" s="312" t="s">
        <v>114</v>
      </c>
      <c r="R14" s="176">
        <f t="shared" si="2"/>
        <v>33797.010212002737</v>
      </c>
      <c r="S14" s="176"/>
      <c r="T14" s="176">
        <f>N14-R14</f>
        <v>35176.480016574285</v>
      </c>
      <c r="U14" s="176"/>
      <c r="V14" s="313">
        <f t="shared" si="3"/>
        <v>0.33260467631705631</v>
      </c>
      <c r="W14" s="293"/>
      <c r="X14" s="296">
        <f t="shared" si="4"/>
        <v>39.294556696700369</v>
      </c>
    </row>
    <row r="15" spans="2:24">
      <c r="B15" s="293" t="s">
        <v>163</v>
      </c>
      <c r="C15" s="293"/>
      <c r="E15" s="290" t="str">
        <f t="shared" si="0"/>
        <v>DCF, 9.3x 18E EBITDA</v>
      </c>
      <c r="F15" s="373">
        <v>748.17223387980562</v>
      </c>
      <c r="G15" s="142" t="s">
        <v>113</v>
      </c>
      <c r="H15" s="375">
        <v>9.2971441505860728</v>
      </c>
      <c r="I15" s="142" t="s">
        <v>114</v>
      </c>
      <c r="J15" s="176">
        <f>F15*H15*50%</f>
        <v>3477.932553923275</v>
      </c>
      <c r="K15" s="142" t="s">
        <v>115</v>
      </c>
      <c r="L15" s="373"/>
      <c r="M15" s="142" t="s">
        <v>114</v>
      </c>
      <c r="N15" s="176">
        <f t="shared" si="1"/>
        <v>3477.932553923275</v>
      </c>
      <c r="O15" s="142" t="s">
        <v>113</v>
      </c>
      <c r="P15" s="379">
        <v>0.75</v>
      </c>
      <c r="Q15" s="312" t="s">
        <v>114</v>
      </c>
      <c r="R15" s="176">
        <f t="shared" si="2"/>
        <v>2608.4494154424565</v>
      </c>
      <c r="S15" s="176"/>
      <c r="T15" s="176">
        <f>N15-R15</f>
        <v>869.48313848081852</v>
      </c>
      <c r="U15" s="176"/>
      <c r="V15" s="313">
        <f t="shared" si="3"/>
        <v>1.6771322250282897E-2</v>
      </c>
      <c r="W15" s="293"/>
      <c r="X15" s="296">
        <f t="shared" si="4"/>
        <v>1.9813962940622023</v>
      </c>
    </row>
    <row r="16" spans="2:24">
      <c r="B16" s="293" t="s">
        <v>558</v>
      </c>
      <c r="C16" s="293"/>
      <c r="E16" s="290" t="str">
        <f t="shared" si="0"/>
        <v>DCF, 5.5x 18E EBITDA</v>
      </c>
      <c r="F16" s="373">
        <v>6617.5809974314634</v>
      </c>
      <c r="G16" s="142" t="s">
        <v>113</v>
      </c>
      <c r="H16" s="375">
        <v>5.5220476771546352</v>
      </c>
      <c r="I16" s="142" t="s">
        <v>114</v>
      </c>
      <c r="J16" s="176">
        <f>(H16*F16)</f>
        <v>36542.597775249065</v>
      </c>
      <c r="K16" s="142" t="s">
        <v>115</v>
      </c>
      <c r="L16" s="373"/>
      <c r="M16" s="142" t="s">
        <v>114</v>
      </c>
      <c r="N16" s="176">
        <f t="shared" si="1"/>
        <v>36542.597775249065</v>
      </c>
      <c r="O16" s="142" t="s">
        <v>113</v>
      </c>
      <c r="P16" s="379">
        <v>0.77946578347199524</v>
      </c>
      <c r="Q16" s="312" t="s">
        <v>114</v>
      </c>
      <c r="R16" s="176">
        <f t="shared" si="2"/>
        <v>28483.704604986502</v>
      </c>
      <c r="S16" s="293"/>
      <c r="T16" s="176">
        <f>N16-R16+L16</f>
        <v>8058.8931702625632</v>
      </c>
      <c r="U16" s="293"/>
      <c r="V16" s="313">
        <f t="shared" si="3"/>
        <v>0.17621609207453687</v>
      </c>
      <c r="W16" s="293"/>
      <c r="X16" s="296">
        <f t="shared" si="4"/>
        <v>20.818508319147089</v>
      </c>
    </row>
    <row r="17" spans="2:24">
      <c r="B17" s="293" t="s">
        <v>559</v>
      </c>
      <c r="C17" s="293"/>
      <c r="E17" s="290" t="str">
        <f t="shared" si="0"/>
        <v>DCF, 1.4x 18E EBITDA</v>
      </c>
      <c r="F17" s="373">
        <v>4690.5586118949304</v>
      </c>
      <c r="G17" s="142" t="s">
        <v>113</v>
      </c>
      <c r="H17" s="375">
        <v>1.4375011843688219</v>
      </c>
      <c r="I17" s="142" t="s">
        <v>114</v>
      </c>
      <c r="J17" s="176">
        <f>(H17*F17)</f>
        <v>6742.6835599503402</v>
      </c>
      <c r="K17" s="142" t="s">
        <v>115</v>
      </c>
      <c r="L17" s="373"/>
      <c r="M17" s="142" t="s">
        <v>114</v>
      </c>
      <c r="N17" s="176">
        <f t="shared" si="1"/>
        <v>6742.6835599503402</v>
      </c>
      <c r="O17" s="142" t="s">
        <v>113</v>
      </c>
      <c r="P17" s="379">
        <v>0.80857170026626102</v>
      </c>
      <c r="Q17" s="312" t="s">
        <v>114</v>
      </c>
      <c r="R17" s="176">
        <f t="shared" si="2"/>
        <v>5451.9431104264122</v>
      </c>
      <c r="S17" s="293"/>
      <c r="T17" s="176">
        <f>N17-R17+L17</f>
        <v>1290.740449523928</v>
      </c>
      <c r="U17" s="293"/>
      <c r="V17" s="316">
        <f t="shared" si="3"/>
        <v>3.2514638240482258E-2</v>
      </c>
      <c r="W17" s="293"/>
      <c r="X17" s="296">
        <f t="shared" si="4"/>
        <v>3.8413419497307677</v>
      </c>
    </row>
    <row r="18" spans="2:24">
      <c r="B18" s="269" t="s">
        <v>117</v>
      </c>
      <c r="C18" s="293"/>
      <c r="F18" s="170"/>
      <c r="G18" s="157"/>
      <c r="H18" s="295"/>
      <c r="I18" s="299"/>
      <c r="J18" s="331">
        <f>SUM(J11:J17)</f>
        <v>298137.39457369637</v>
      </c>
      <c r="K18" s="298"/>
      <c r="L18" s="331">
        <f>-J22</f>
        <v>37746.094858036711</v>
      </c>
      <c r="M18" s="157"/>
      <c r="N18" s="331">
        <f>SUM(N11:N17)</f>
        <v>298137.39457369637</v>
      </c>
      <c r="P18" s="300"/>
      <c r="Q18" s="301"/>
      <c r="R18" s="331">
        <f>SUM(R11:R17)</f>
        <v>237758.87863138292</v>
      </c>
      <c r="S18" s="293"/>
      <c r="T18" s="331">
        <f>SUM(T11:T17)</f>
        <v>60378.515942313476</v>
      </c>
      <c r="U18" s="293"/>
      <c r="V18" s="346">
        <f>N18/$J$33</f>
        <v>1.4376812205903149</v>
      </c>
      <c r="W18" s="293"/>
      <c r="X18" s="332">
        <f>$J$37*V18</f>
        <v>169.85042681845931</v>
      </c>
    </row>
    <row r="19" spans="2:24">
      <c r="B19" s="269"/>
      <c r="C19" s="293"/>
      <c r="F19" s="170"/>
      <c r="G19" s="157"/>
      <c r="H19" s="295"/>
      <c r="I19" s="299"/>
      <c r="J19" s="170"/>
      <c r="K19" s="298"/>
      <c r="L19" s="170"/>
      <c r="M19" s="157"/>
      <c r="N19" s="170"/>
      <c r="P19" s="300"/>
      <c r="Q19" s="301"/>
      <c r="R19" s="170"/>
      <c r="S19" s="293"/>
      <c r="T19" s="170"/>
      <c r="U19" s="293"/>
      <c r="V19" s="310"/>
      <c r="W19" s="293"/>
      <c r="X19" s="295"/>
    </row>
    <row r="20" spans="2:24">
      <c r="B20" s="293"/>
      <c r="C20" s="293"/>
      <c r="F20" s="170"/>
      <c r="G20" s="157"/>
      <c r="H20" s="295"/>
      <c r="I20" s="299"/>
      <c r="J20" s="157"/>
      <c r="K20" s="298"/>
      <c r="L20" s="293"/>
      <c r="M20" s="157"/>
      <c r="N20" s="170"/>
      <c r="P20" s="300"/>
      <c r="Q20" s="301"/>
      <c r="R20" s="170"/>
      <c r="T20" s="157"/>
    </row>
    <row r="21" spans="2:24" ht="12.6" thickBot="1">
      <c r="B21" s="305" t="s">
        <v>121</v>
      </c>
      <c r="D21" s="269"/>
      <c r="E21" s="304"/>
      <c r="H21" s="304"/>
      <c r="I21" s="304"/>
      <c r="J21" s="297">
        <f>J18</f>
        <v>298137.39457369637</v>
      </c>
      <c r="T21" s="357" t="s">
        <v>452</v>
      </c>
      <c r="U21" s="291"/>
      <c r="V21" s="291"/>
      <c r="W21" s="291"/>
      <c r="X21" s="291"/>
    </row>
    <row r="22" spans="2:24" ht="12.6" thickTop="1">
      <c r="B22" s="306" t="s">
        <v>1180</v>
      </c>
      <c r="E22" s="304"/>
      <c r="G22" s="304"/>
      <c r="I22" s="304"/>
      <c r="J22" s="176">
        <f>-MTN!D12</f>
        <v>-37746.094858036711</v>
      </c>
    </row>
    <row r="23" spans="2:24">
      <c r="B23" s="307" t="s">
        <v>555</v>
      </c>
      <c r="I23" s="176"/>
      <c r="J23" s="373">
        <v>-16940</v>
      </c>
    </row>
    <row r="24" spans="2:24">
      <c r="B24" s="307" t="s">
        <v>556</v>
      </c>
      <c r="I24" s="176"/>
      <c r="J24" s="373">
        <v>1149</v>
      </c>
      <c r="K24" s="304"/>
    </row>
    <row r="25" spans="2:24">
      <c r="B25" s="306" t="s">
        <v>750</v>
      </c>
      <c r="I25" s="176"/>
      <c r="J25" s="373">
        <v>-3106</v>
      </c>
      <c r="K25" s="304"/>
      <c r="L25" s="303"/>
    </row>
    <row r="26" spans="2:24">
      <c r="B26" s="307" t="s">
        <v>787</v>
      </c>
      <c r="J26" s="373">
        <v>2629</v>
      </c>
    </row>
    <row r="27" spans="2:24">
      <c r="B27" s="306" t="s">
        <v>805</v>
      </c>
      <c r="J27" s="373">
        <v>6000</v>
      </c>
      <c r="K27" s="304"/>
    </row>
    <row r="28" spans="2:24">
      <c r="B28" s="306" t="s">
        <v>669</v>
      </c>
      <c r="J28" s="373">
        <v>17629</v>
      </c>
      <c r="K28" s="304"/>
    </row>
    <row r="29" spans="2:24">
      <c r="B29" s="306"/>
      <c r="J29" s="373"/>
      <c r="K29" s="304"/>
    </row>
    <row r="30" spans="2:24">
      <c r="B30" s="306"/>
      <c r="J30" s="373"/>
      <c r="K30" s="304"/>
    </row>
    <row r="31" spans="2:24">
      <c r="B31" s="307" t="s">
        <v>301</v>
      </c>
      <c r="J31" s="176">
        <f>-T18</f>
        <v>-60378.515942313476</v>
      </c>
    </row>
    <row r="32" spans="2:24">
      <c r="B32" s="307" t="s">
        <v>303</v>
      </c>
      <c r="J32" s="308">
        <v>0</v>
      </c>
      <c r="K32" s="304"/>
    </row>
    <row r="33" spans="2:24">
      <c r="B33" s="305" t="s">
        <v>407</v>
      </c>
      <c r="D33" s="269"/>
      <c r="E33" s="304"/>
      <c r="F33" s="304"/>
      <c r="G33" s="304"/>
      <c r="H33" s="304"/>
      <c r="I33" s="304"/>
      <c r="J33" s="170">
        <f>SUM(J21:J32)</f>
        <v>207373.78377334616</v>
      </c>
      <c r="K33" s="304"/>
    </row>
    <row r="34" spans="2:24" ht="12.6" thickBot="1">
      <c r="B34" s="307" t="s">
        <v>408</v>
      </c>
      <c r="D34" s="293"/>
      <c r="J34" s="373">
        <v>1841</v>
      </c>
      <c r="K34" s="304"/>
    </row>
    <row r="35" spans="2:24" ht="12.6" thickBot="1">
      <c r="B35" s="305" t="s">
        <v>409</v>
      </c>
      <c r="D35" s="293"/>
      <c r="J35" s="359">
        <f>J33/J34</f>
        <v>112.64192491762421</v>
      </c>
    </row>
    <row r="36" spans="2:24" ht="12.6" thickBot="1">
      <c r="B36" s="307" t="s">
        <v>106</v>
      </c>
      <c r="J36" s="375">
        <v>5.5</v>
      </c>
    </row>
    <row r="37" spans="2:24" ht="12.6" thickBot="1">
      <c r="B37" s="305" t="s">
        <v>55</v>
      </c>
      <c r="D37" s="293"/>
      <c r="J37" s="359">
        <f>J35+J36</f>
        <v>118.14192491762421</v>
      </c>
    </row>
    <row r="38" spans="2:24">
      <c r="B38" s="307" t="s">
        <v>410</v>
      </c>
      <c r="D38" s="293"/>
      <c r="J38" s="296">
        <f>Prices!C97/100</f>
        <v>206.35</v>
      </c>
    </row>
    <row r="39" spans="2:24">
      <c r="B39" s="305" t="s">
        <v>84</v>
      </c>
      <c r="D39" s="269"/>
      <c r="E39" s="304"/>
      <c r="F39" s="304"/>
      <c r="G39" s="304"/>
      <c r="H39" s="304"/>
      <c r="I39" s="304"/>
      <c r="J39" s="310">
        <f>J37/J38-1</f>
        <v>-0.42746825821359724</v>
      </c>
    </row>
    <row r="40" spans="2:24">
      <c r="D40" s="269"/>
      <c r="E40" s="269"/>
      <c r="F40" s="269"/>
      <c r="G40" s="269"/>
      <c r="H40" s="269"/>
      <c r="I40" s="269"/>
    </row>
    <row r="41" spans="2:24">
      <c r="D41" s="269"/>
      <c r="E41" s="269"/>
      <c r="F41" s="269"/>
      <c r="G41" s="269"/>
      <c r="H41" s="269"/>
      <c r="I41" s="269"/>
    </row>
    <row r="42" spans="2:24">
      <c r="D42" s="269"/>
      <c r="E42" s="269"/>
      <c r="F42" s="269"/>
      <c r="G42" s="269"/>
      <c r="H42" s="269"/>
      <c r="I42" s="269"/>
    </row>
    <row r="43" spans="2:24">
      <c r="D43" s="269"/>
      <c r="E43" s="269"/>
      <c r="F43" s="269"/>
      <c r="G43" s="269"/>
      <c r="H43" s="269"/>
      <c r="I43" s="269"/>
    </row>
    <row r="44" spans="2:24" ht="12.6" thickBot="1">
      <c r="D44" s="269"/>
      <c r="E44" s="269"/>
      <c r="F44" s="269"/>
      <c r="G44" s="269"/>
      <c r="H44" s="269"/>
      <c r="I44" s="269"/>
      <c r="Q44" s="209"/>
      <c r="R44" s="209"/>
      <c r="T44" s="357" t="s">
        <v>452</v>
      </c>
      <c r="U44" s="291"/>
      <c r="V44" s="291"/>
      <c r="W44" s="291"/>
      <c r="X44" s="291"/>
    </row>
    <row r="45" spans="2:24" ht="12.6" thickTop="1">
      <c r="D45" s="269"/>
      <c r="E45" s="269"/>
      <c r="F45" s="269"/>
      <c r="G45" s="269"/>
      <c r="H45" s="269"/>
      <c r="I45" s="269"/>
      <c r="Q45" s="311"/>
      <c r="R45" s="311"/>
      <c r="T45" s="293" t="s">
        <v>369</v>
      </c>
      <c r="X45" s="313">
        <f t="shared" ref="X45:X51" si="5">R11/R$18</f>
        <v>0.3895778569247651</v>
      </c>
    </row>
    <row r="46" spans="2:24">
      <c r="D46" s="269"/>
      <c r="E46" s="269"/>
      <c r="F46" s="269"/>
      <c r="G46" s="269"/>
      <c r="H46" s="269"/>
      <c r="I46" s="269"/>
      <c r="M46" s="209"/>
      <c r="N46" s="209"/>
      <c r="O46" s="209"/>
      <c r="P46" s="209"/>
      <c r="T46" s="293" t="s">
        <v>348</v>
      </c>
      <c r="X46" s="313">
        <f t="shared" si="5"/>
        <v>0.2280827377346003</v>
      </c>
    </row>
    <row r="47" spans="2:24">
      <c r="D47" s="269"/>
      <c r="E47" s="269"/>
      <c r="F47" s="269"/>
      <c r="G47" s="269"/>
      <c r="H47" s="269"/>
      <c r="I47" s="269"/>
      <c r="L47" s="209"/>
      <c r="N47" s="311"/>
      <c r="O47" s="311"/>
      <c r="P47" s="311"/>
      <c r="T47" s="293" t="s">
        <v>164</v>
      </c>
      <c r="X47" s="313">
        <f t="shared" si="5"/>
        <v>8.6488803471361425E-2</v>
      </c>
    </row>
    <row r="48" spans="2:24">
      <c r="D48" s="269"/>
      <c r="E48" s="304"/>
      <c r="F48" s="304"/>
      <c r="G48" s="304"/>
      <c r="H48" s="304"/>
      <c r="I48" s="304"/>
      <c r="Q48" s="209"/>
      <c r="R48" s="209"/>
      <c r="T48" s="293" t="s">
        <v>557</v>
      </c>
      <c r="X48" s="313">
        <f t="shared" si="5"/>
        <v>0.14214825711893186</v>
      </c>
    </row>
    <row r="49" spans="4:24">
      <c r="D49" s="269"/>
      <c r="E49" s="304"/>
      <c r="F49" s="304"/>
      <c r="G49" s="304"/>
      <c r="H49" s="304"/>
      <c r="I49" s="304"/>
      <c r="Q49" s="311"/>
      <c r="R49" s="311"/>
      <c r="T49" s="293" t="s">
        <v>163</v>
      </c>
      <c r="X49" s="313">
        <f t="shared" si="5"/>
        <v>1.0970986364242361E-2</v>
      </c>
    </row>
    <row r="50" spans="4:24">
      <c r="D50" s="293"/>
      <c r="E50" s="304"/>
      <c r="F50" s="304"/>
      <c r="G50" s="304"/>
      <c r="H50" s="304"/>
      <c r="I50" s="304"/>
      <c r="M50" s="209"/>
      <c r="N50" s="209"/>
      <c r="O50" s="209"/>
      <c r="P50" s="209"/>
      <c r="T50" s="293" t="s">
        <v>558</v>
      </c>
      <c r="X50" s="313">
        <f t="shared" si="5"/>
        <v>0.11980080310332858</v>
      </c>
    </row>
    <row r="51" spans="4:24">
      <c r="D51" s="293"/>
      <c r="E51" s="304"/>
      <c r="F51" s="304"/>
      <c r="G51" s="304"/>
      <c r="H51" s="304"/>
      <c r="I51" s="304"/>
      <c r="L51" s="209"/>
      <c r="N51" s="311"/>
      <c r="O51" s="311"/>
      <c r="P51" s="311"/>
      <c r="Q51" s="209"/>
      <c r="R51" s="209"/>
      <c r="T51" s="293" t="s">
        <v>559</v>
      </c>
      <c r="X51" s="313">
        <f t="shared" si="5"/>
        <v>2.2930555282770351E-2</v>
      </c>
    </row>
  </sheetData>
  <phoneticPr fontId="26" type="noConversion"/>
  <pageMargins left="0.75" right="0.75" top="1" bottom="1" header="0.5" footer="0.5"/>
  <pageSetup scale="45" orientation="landscape"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74">
    <pageSetUpPr fitToPage="1"/>
  </sheetPr>
  <dimension ref="B1:X49"/>
  <sheetViews>
    <sheetView showGridLines="0" zoomScale="80" zoomScaleNormal="80" workbookViewId="0">
      <selection activeCell="P30" sqref="P30"/>
    </sheetView>
  </sheetViews>
  <sheetFormatPr defaultColWidth="9.109375" defaultRowHeight="12"/>
  <cols>
    <col min="1" max="1" width="2.33203125" style="290" customWidth="1"/>
    <col min="2" max="4" width="10" style="290" customWidth="1"/>
    <col min="5" max="5" width="23.8867187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1152</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341</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170</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103</v>
      </c>
      <c r="C11" s="293"/>
      <c r="E11" s="290" t="str">
        <f>"DCF, "&amp;TEXT(H11,"0.0")&amp;"x 26E OpFCF"</f>
        <v>DCF, 15.1x 26E OpFCF</v>
      </c>
      <c r="F11" s="373">
        <v>212.92176163087686</v>
      </c>
      <c r="G11" s="142" t="s">
        <v>113</v>
      </c>
      <c r="H11" s="373">
        <v>15.055084519955592</v>
      </c>
      <c r="I11" s="142" t="s">
        <v>114</v>
      </c>
      <c r="J11" s="176">
        <f>H11*F11</f>
        <v>3205.5551174906886</v>
      </c>
      <c r="K11" s="142" t="s">
        <v>115</v>
      </c>
      <c r="L11" s="373">
        <v>1723.86404561519</v>
      </c>
      <c r="M11" s="142" t="s">
        <v>114</v>
      </c>
      <c r="N11" s="142">
        <f>J11-L11</f>
        <v>1481.6910718754987</v>
      </c>
      <c r="O11" s="142" t="s">
        <v>113</v>
      </c>
      <c r="P11" s="379">
        <v>1</v>
      </c>
      <c r="Q11" s="312" t="s">
        <v>114</v>
      </c>
      <c r="R11" s="176">
        <f>P11*N11</f>
        <v>1481.6910718754987</v>
      </c>
      <c r="S11" s="176"/>
      <c r="T11" s="176">
        <f>N11-R11</f>
        <v>0</v>
      </c>
      <c r="U11" s="176"/>
      <c r="V11" s="313">
        <f>N11/$J$25</f>
        <v>1.1696945155182277</v>
      </c>
      <c r="W11" s="293"/>
      <c r="X11" s="296">
        <f>$J$30*V11</f>
        <v>24.563584825882781</v>
      </c>
    </row>
    <row r="12" spans="2:24">
      <c r="B12" s="293" t="s">
        <v>833</v>
      </c>
      <c r="C12" s="293"/>
      <c r="E12" s="290" t="str">
        <f>"DCF, "&amp;TEXT(H12,"0.0")&amp;"x 26E OpFCF"</f>
        <v>DCF, 11.9x 26E OpFCF</v>
      </c>
      <c r="F12" s="373">
        <v>9.0735369589781527</v>
      </c>
      <c r="G12" s="142" t="s">
        <v>113</v>
      </c>
      <c r="H12" s="373">
        <v>11.918243990871899</v>
      </c>
      <c r="I12" s="142" t="s">
        <v>114</v>
      </c>
      <c r="J12" s="308">
        <f>H12*F12</f>
        <v>108.14062733729546</v>
      </c>
      <c r="K12" s="142" t="s">
        <v>115</v>
      </c>
      <c r="L12" s="387">
        <v>0</v>
      </c>
      <c r="M12" s="142" t="s">
        <v>114</v>
      </c>
      <c r="N12" s="386">
        <f>J12-L12</f>
        <v>108.14062733729546</v>
      </c>
      <c r="O12" s="142" t="s">
        <v>113</v>
      </c>
      <c r="P12" s="379">
        <v>1</v>
      </c>
      <c r="Q12" s="312" t="s">
        <v>114</v>
      </c>
      <c r="R12" s="308">
        <f>P12*N12</f>
        <v>108.14062733729546</v>
      </c>
      <c r="S12" s="176"/>
      <c r="T12" s="308">
        <f>N12-R12</f>
        <v>0</v>
      </c>
      <c r="U12" s="176"/>
      <c r="V12" s="314">
        <f>N12/$J$25</f>
        <v>8.5369684073903676E-2</v>
      </c>
      <c r="W12" s="293"/>
      <c r="X12" s="315">
        <f>$J$30*V12</f>
        <v>1.7927633655519772</v>
      </c>
    </row>
    <row r="13" spans="2:24">
      <c r="B13" s="269" t="s">
        <v>117</v>
      </c>
      <c r="C13" s="293"/>
      <c r="F13" s="170"/>
      <c r="G13" s="157"/>
      <c r="H13" s="295"/>
      <c r="I13" s="299"/>
      <c r="J13" s="170">
        <f>SUM(J11:J12)</f>
        <v>3313.6957448279841</v>
      </c>
      <c r="K13" s="298"/>
      <c r="L13" s="170">
        <f>SUM(L11:L12)</f>
        <v>1723.86404561519</v>
      </c>
      <c r="M13" s="157"/>
      <c r="N13" s="170">
        <f>SUM(N11:N12)</f>
        <v>1589.8316992127941</v>
      </c>
      <c r="P13" s="300"/>
      <c r="Q13" s="301"/>
      <c r="R13" s="170">
        <f>SUM(R11:R12)</f>
        <v>1589.8316992127941</v>
      </c>
      <c r="S13" s="293"/>
      <c r="T13" s="170">
        <f>SUM(T11:T12)</f>
        <v>0</v>
      </c>
      <c r="U13" s="293"/>
      <c r="V13" s="294">
        <f>N13/$J$25</f>
        <v>1.2550641995921314</v>
      </c>
      <c r="W13" s="293"/>
      <c r="X13" s="295">
        <f>$J$30*V13</f>
        <v>26.356348191434762</v>
      </c>
    </row>
    <row r="14" spans="2:24">
      <c r="B14" s="293"/>
      <c r="C14" s="293"/>
      <c r="F14" s="170"/>
      <c r="G14" s="157"/>
      <c r="H14" s="295"/>
      <c r="I14" s="299"/>
      <c r="J14" s="157"/>
      <c r="K14" s="298"/>
      <c r="L14" s="293"/>
      <c r="M14" s="157"/>
      <c r="N14" s="170"/>
      <c r="P14" s="300"/>
      <c r="Q14" s="301"/>
      <c r="R14" s="170"/>
      <c r="T14" s="157"/>
    </row>
    <row r="15" spans="2:24">
      <c r="B15" s="269" t="s">
        <v>118</v>
      </c>
      <c r="C15" s="269"/>
      <c r="K15" s="298"/>
      <c r="L15" s="157"/>
      <c r="M15" s="157"/>
      <c r="N15" s="293"/>
      <c r="P15" s="300"/>
      <c r="Q15" s="301"/>
      <c r="R15" s="345"/>
      <c r="T15" s="157"/>
    </row>
    <row r="16" spans="2:24">
      <c r="B16" s="269" t="s">
        <v>117</v>
      </c>
      <c r="C16" s="293"/>
      <c r="R16" s="170">
        <v>0</v>
      </c>
    </row>
    <row r="17" spans="2:24">
      <c r="D17" s="269"/>
      <c r="E17" s="304"/>
      <c r="F17" s="304"/>
      <c r="G17" s="304"/>
      <c r="H17" s="304"/>
      <c r="I17" s="304"/>
      <c r="J17" s="304"/>
      <c r="K17" s="304"/>
      <c r="R17" s="293"/>
    </row>
    <row r="18" spans="2:24" ht="12.6" thickBot="1">
      <c r="B18" s="305" t="s">
        <v>121</v>
      </c>
      <c r="D18" s="269"/>
      <c r="E18" s="304"/>
      <c r="H18" s="304"/>
      <c r="I18" s="304"/>
      <c r="J18" s="297">
        <f>J13</f>
        <v>3313.6957448279841</v>
      </c>
      <c r="T18" s="357" t="s">
        <v>452</v>
      </c>
      <c r="U18" s="291"/>
      <c r="V18" s="291"/>
      <c r="W18" s="291"/>
      <c r="X18" s="291"/>
    </row>
    <row r="19" spans="2:24" ht="12.6" thickTop="1">
      <c r="B19" s="306" t="s">
        <v>1086</v>
      </c>
      <c r="D19" s="324"/>
      <c r="J19" s="176">
        <f>-OBEL!E12</f>
        <v>-1723.8640456151913</v>
      </c>
    </row>
    <row r="20" spans="2:24">
      <c r="B20" s="307" t="s">
        <v>1302</v>
      </c>
      <c r="D20" s="324"/>
      <c r="J20" s="373">
        <v>-363.91073877985161</v>
      </c>
    </row>
    <row r="21" spans="2:24">
      <c r="B21" s="307" t="s">
        <v>1303</v>
      </c>
      <c r="D21" s="324"/>
      <c r="J21" s="373">
        <v>-39.765352201765879</v>
      </c>
    </row>
    <row r="22" spans="2:24">
      <c r="B22" s="307" t="s">
        <v>333</v>
      </c>
      <c r="D22" s="324"/>
      <c r="J22" s="373">
        <v>80.577758659103779</v>
      </c>
    </row>
    <row r="23" spans="2:24">
      <c r="B23" s="307" t="s">
        <v>301</v>
      </c>
      <c r="J23" s="176">
        <f>-T13</f>
        <v>0</v>
      </c>
      <c r="K23" s="304"/>
    </row>
    <row r="24" spans="2:24">
      <c r="B24" s="307" t="s">
        <v>303</v>
      </c>
      <c r="J24" s="308">
        <v>0</v>
      </c>
    </row>
    <row r="25" spans="2:24">
      <c r="B25" s="305" t="s">
        <v>407</v>
      </c>
      <c r="D25" s="269"/>
      <c r="E25" s="304"/>
      <c r="F25" s="304"/>
      <c r="G25" s="304"/>
      <c r="H25" s="304"/>
      <c r="I25" s="304"/>
      <c r="J25" s="170">
        <f>SUM(J18:J24)</f>
        <v>1266.7333668902793</v>
      </c>
      <c r="K25" s="304"/>
    </row>
    <row r="26" spans="2:24" ht="12.6" thickBot="1">
      <c r="B26" s="307" t="s">
        <v>408</v>
      </c>
      <c r="D26" s="293"/>
      <c r="J26" s="174">
        <f>OBEL!E10</f>
        <v>60.014414000000002</v>
      </c>
      <c r="K26" s="304"/>
    </row>
    <row r="27" spans="2:24" ht="12.6" thickBot="1">
      <c r="B27" s="305" t="s">
        <v>409</v>
      </c>
      <c r="D27" s="293"/>
      <c r="J27" s="358">
        <f>J25/J26</f>
        <v>21.107152139988891</v>
      </c>
      <c r="K27" s="304"/>
    </row>
    <row r="28" spans="2:24" ht="12.6" thickBot="1">
      <c r="B28" s="307" t="s">
        <v>574</v>
      </c>
      <c r="D28" s="293"/>
      <c r="J28" s="375">
        <v>0</v>
      </c>
      <c r="K28" s="304"/>
    </row>
    <row r="29" spans="2:24" ht="12.6" thickBot="1">
      <c r="B29" s="305" t="s">
        <v>55</v>
      </c>
      <c r="D29" s="293"/>
      <c r="J29" s="358">
        <f>J27+J28</f>
        <v>21.107152139988891</v>
      </c>
      <c r="K29" s="304"/>
    </row>
    <row r="30" spans="2:24">
      <c r="B30" s="307" t="s">
        <v>410</v>
      </c>
      <c r="D30" s="293"/>
      <c r="J30" s="296">
        <f>Prices!C30</f>
        <v>21</v>
      </c>
      <c r="K30" s="304"/>
    </row>
    <row r="31" spans="2:24">
      <c r="B31" s="305" t="s">
        <v>84</v>
      </c>
      <c r="D31" s="269"/>
      <c r="E31" s="304"/>
      <c r="F31" s="304"/>
      <c r="G31" s="304"/>
      <c r="H31" s="304"/>
      <c r="I31" s="304"/>
      <c r="J31" s="310">
        <f>J29/J30-1</f>
        <v>5.1024828566137437E-3</v>
      </c>
      <c r="K31" s="304"/>
      <c r="L31" s="303"/>
    </row>
    <row r="32" spans="2:24">
      <c r="D32" s="269"/>
      <c r="E32" s="304"/>
      <c r="I32" s="304"/>
    </row>
    <row r="33" spans="4:24">
      <c r="D33" s="269"/>
      <c r="E33" s="304"/>
      <c r="G33" s="304"/>
      <c r="I33" s="304"/>
      <c r="J33" s="304"/>
      <c r="K33" s="304"/>
    </row>
    <row r="34" spans="4:24">
      <c r="K34" s="304"/>
    </row>
    <row r="35" spans="4:24">
      <c r="D35" s="309"/>
      <c r="E35" s="304"/>
      <c r="F35" s="304"/>
      <c r="G35" s="304"/>
      <c r="H35" s="304"/>
      <c r="I35" s="304"/>
      <c r="J35" s="304"/>
    </row>
    <row r="36" spans="4:24">
      <c r="D36" s="324"/>
    </row>
    <row r="37" spans="4:24" ht="12.6" thickBot="1">
      <c r="D37" s="321"/>
      <c r="E37" s="293"/>
      <c r="T37" s="357" t="s">
        <v>452</v>
      </c>
      <c r="U37" s="291"/>
      <c r="V37" s="291"/>
      <c r="W37" s="291"/>
      <c r="X37" s="291"/>
    </row>
    <row r="38" spans="4:24" ht="12.6" thickTop="1">
      <c r="K38" s="304"/>
      <c r="T38" s="293" t="str">
        <f>B11</f>
        <v>Belgium</v>
      </c>
      <c r="X38" s="313">
        <f>R11/R$13</f>
        <v>0.93197982692706327</v>
      </c>
    </row>
    <row r="39" spans="4:24">
      <c r="D39" s="269"/>
      <c r="E39" s="269"/>
      <c r="F39" s="269"/>
      <c r="G39" s="269"/>
      <c r="H39" s="269"/>
      <c r="I39" s="269"/>
      <c r="T39" s="293" t="str">
        <f>B12</f>
        <v>Vox group (Luxembourg)</v>
      </c>
      <c r="X39" s="313">
        <f>R12/R$13</f>
        <v>6.8020173072936799E-2</v>
      </c>
    </row>
    <row r="40" spans="4:24">
      <c r="D40" s="269"/>
      <c r="E40" s="269"/>
      <c r="F40" s="269"/>
      <c r="G40" s="269"/>
      <c r="H40" s="269"/>
      <c r="I40" s="269"/>
    </row>
    <row r="41" spans="4:24">
      <c r="D41" s="269"/>
      <c r="E41" s="269"/>
      <c r="F41" s="269"/>
      <c r="G41" s="269"/>
      <c r="H41" s="269"/>
      <c r="I41" s="269"/>
    </row>
    <row r="42" spans="4:24">
      <c r="D42" s="269"/>
      <c r="E42" s="269"/>
      <c r="F42" s="269"/>
      <c r="G42" s="269"/>
      <c r="H42" s="269"/>
      <c r="I42" s="269"/>
    </row>
    <row r="43" spans="4:24">
      <c r="D43" s="269"/>
      <c r="E43" s="269"/>
      <c r="F43" s="269"/>
      <c r="G43" s="269"/>
      <c r="H43" s="269"/>
      <c r="I43" s="269"/>
    </row>
    <row r="44" spans="4:24">
      <c r="D44" s="269"/>
      <c r="E44" s="269"/>
      <c r="F44" s="269"/>
      <c r="G44" s="269"/>
      <c r="H44" s="269"/>
      <c r="I44" s="269"/>
    </row>
    <row r="45" spans="4:24">
      <c r="D45" s="269"/>
      <c r="E45" s="269"/>
      <c r="F45" s="269"/>
      <c r="G45" s="269"/>
      <c r="H45" s="269"/>
      <c r="I45" s="269"/>
    </row>
    <row r="46" spans="4:24">
      <c r="D46" s="269"/>
      <c r="E46" s="304"/>
      <c r="F46" s="304"/>
      <c r="G46" s="304"/>
      <c r="H46" s="304"/>
      <c r="I46" s="304"/>
    </row>
    <row r="47" spans="4:24">
      <c r="D47" s="269"/>
      <c r="E47" s="304"/>
      <c r="F47" s="304"/>
      <c r="G47" s="304"/>
      <c r="H47" s="304"/>
      <c r="I47" s="304"/>
    </row>
    <row r="48" spans="4:24">
      <c r="D48" s="293"/>
      <c r="E48" s="304"/>
      <c r="F48" s="304"/>
      <c r="G48" s="304"/>
      <c r="H48" s="304"/>
      <c r="I48" s="304"/>
      <c r="Q48" s="209"/>
      <c r="R48" s="209"/>
    </row>
    <row r="49" spans="4:18">
      <c r="D49" s="293"/>
      <c r="E49" s="304"/>
      <c r="F49" s="304"/>
      <c r="G49" s="304"/>
      <c r="H49" s="304"/>
      <c r="I49" s="304"/>
      <c r="Q49" s="311"/>
      <c r="R49" s="311"/>
    </row>
  </sheetData>
  <phoneticPr fontId="26" type="noConversion"/>
  <pageMargins left="0.75" right="0.75" top="1" bottom="1" header="0.5" footer="0.5"/>
  <pageSetup scale="47"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36">
    <pageSetUpPr fitToPage="1"/>
  </sheetPr>
  <dimension ref="B1:X68"/>
  <sheetViews>
    <sheetView showGridLines="0" zoomScale="80" zoomScaleNormal="80" workbookViewId="0">
      <selection activeCell="H19" sqref="H19"/>
    </sheetView>
  </sheetViews>
  <sheetFormatPr defaultColWidth="9.109375" defaultRowHeight="12"/>
  <cols>
    <col min="1" max="1" width="2.33203125" style="290" customWidth="1"/>
    <col min="2" max="4" width="10" style="290" customWidth="1"/>
    <col min="5" max="5" width="21.441406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1153</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599</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600</v>
      </c>
      <c r="S9" s="355"/>
      <c r="T9" s="355" t="s">
        <v>109</v>
      </c>
      <c r="U9" s="355"/>
      <c r="V9" s="355" t="s">
        <v>110</v>
      </c>
      <c r="W9" s="355"/>
      <c r="X9" s="355" t="s">
        <v>111</v>
      </c>
    </row>
    <row r="10" spans="2:24">
      <c r="B10" s="269"/>
      <c r="C10" s="269"/>
      <c r="E10" s="305"/>
      <c r="F10" s="170"/>
      <c r="G10" s="157"/>
      <c r="H10" s="295"/>
      <c r="I10" s="157"/>
      <c r="J10" s="170"/>
      <c r="K10" s="355"/>
      <c r="L10" s="355"/>
      <c r="M10" s="355"/>
      <c r="N10" s="356"/>
      <c r="O10" s="356"/>
      <c r="P10" s="355"/>
      <c r="Q10" s="355"/>
      <c r="R10" s="355"/>
      <c r="S10" s="355"/>
      <c r="T10" s="355"/>
      <c r="U10" s="355"/>
      <c r="V10" s="355"/>
      <c r="W10" s="355"/>
      <c r="X10" s="355"/>
    </row>
    <row r="11" spans="2:24">
      <c r="B11" s="293" t="s">
        <v>129</v>
      </c>
      <c r="C11" s="293"/>
      <c r="F11" s="176"/>
      <c r="G11" s="142"/>
      <c r="H11" s="174"/>
      <c r="I11" s="142"/>
      <c r="J11" s="373">
        <v>24603.019502008956</v>
      </c>
      <c r="K11" s="142" t="s">
        <v>115</v>
      </c>
      <c r="L11" s="373"/>
      <c r="M11" s="142" t="s">
        <v>114</v>
      </c>
      <c r="N11" s="142">
        <f t="shared" ref="N11:N28" si="0">J11-L11</f>
        <v>24603.019502008956</v>
      </c>
      <c r="O11" s="142" t="s">
        <v>113</v>
      </c>
      <c r="P11" s="379">
        <v>1</v>
      </c>
      <c r="Q11" s="312" t="s">
        <v>114</v>
      </c>
      <c r="R11" s="176">
        <f>P11*N11</f>
        <v>24603.019502008956</v>
      </c>
      <c r="S11" s="176"/>
      <c r="T11" s="176">
        <f>N11-R11</f>
        <v>0</v>
      </c>
      <c r="U11" s="176"/>
      <c r="V11" s="313">
        <f>N11/$J$54</f>
        <v>0.52434410652414987</v>
      </c>
      <c r="W11" s="293"/>
      <c r="X11" s="296">
        <f>$J$59*V11</f>
        <v>9.7887830308720432</v>
      </c>
    </row>
    <row r="12" spans="2:24">
      <c r="B12" s="293" t="s">
        <v>130</v>
      </c>
      <c r="C12" s="293"/>
      <c r="F12" s="176"/>
      <c r="G12" s="142"/>
      <c r="H12" s="174"/>
      <c r="I12" s="142"/>
      <c r="J12" s="402">
        <v>22130.349368319814</v>
      </c>
      <c r="K12" s="142" t="s">
        <v>115</v>
      </c>
      <c r="L12" s="373"/>
      <c r="M12" s="142" t="s">
        <v>114</v>
      </c>
      <c r="N12" s="386">
        <f t="shared" si="0"/>
        <v>22130.349368319814</v>
      </c>
      <c r="O12" s="142" t="s">
        <v>113</v>
      </c>
      <c r="P12" s="379">
        <v>1</v>
      </c>
      <c r="Q12" s="312" t="s">
        <v>114</v>
      </c>
      <c r="R12" s="308">
        <f>P12*N12</f>
        <v>22130.349368319814</v>
      </c>
      <c r="S12" s="176"/>
      <c r="T12" s="308">
        <v>0</v>
      </c>
      <c r="U12" s="176"/>
      <c r="V12" s="314">
        <f>N12/$J$54</f>
        <v>0.47164610285544101</v>
      </c>
      <c r="W12" s="293"/>
      <c r="X12" s="315">
        <f>$J$59*V12</f>
        <v>8.8049838088446837</v>
      </c>
    </row>
    <row r="13" spans="2:24" s="304" customFormat="1">
      <c r="B13" s="269" t="s">
        <v>131</v>
      </c>
      <c r="C13" s="269"/>
      <c r="E13" s="304" t="str">
        <f>"DCF, "&amp;TEXT(H13,"0.0")&amp;"x 26E OpFCF"</f>
        <v>DCF, 13.4x 26E OpFCF</v>
      </c>
      <c r="F13" s="369">
        <v>3493.1836326483435</v>
      </c>
      <c r="G13" s="157" t="s">
        <v>113</v>
      </c>
      <c r="H13" s="461">
        <v>13.37844607811186</v>
      </c>
      <c r="I13" s="157" t="s">
        <v>114</v>
      </c>
      <c r="J13" s="170">
        <f>F13*H13</f>
        <v>46733.36887032877</v>
      </c>
      <c r="K13" s="157"/>
      <c r="L13" s="170"/>
      <c r="M13" s="157"/>
      <c r="N13" s="157">
        <f>SUM(N11:N12)</f>
        <v>46733.36887032877</v>
      </c>
      <c r="O13" s="157"/>
      <c r="P13" s="171"/>
      <c r="Q13" s="292"/>
      <c r="R13" s="170">
        <f>SUM(R11:R12)</f>
        <v>46733.36887032877</v>
      </c>
      <c r="S13" s="170"/>
      <c r="T13" s="170">
        <f>N13-R13</f>
        <v>0</v>
      </c>
      <c r="U13" s="170"/>
      <c r="V13" s="310">
        <f>N13/$J$54</f>
        <v>0.99599020937959093</v>
      </c>
      <c r="W13" s="269"/>
      <c r="X13" s="295">
        <f>$J$59*V13</f>
        <v>18.593766839716729</v>
      </c>
    </row>
    <row r="14" spans="2:24">
      <c r="B14" s="293"/>
      <c r="C14" s="293"/>
      <c r="F14" s="176"/>
      <c r="G14" s="142"/>
      <c r="H14" s="176"/>
      <c r="I14" s="142"/>
      <c r="J14" s="176"/>
      <c r="K14" s="142"/>
      <c r="L14" s="176"/>
      <c r="M14" s="142"/>
      <c r="N14" s="142"/>
      <c r="O14" s="142"/>
      <c r="P14" s="175"/>
      <c r="Q14" s="312"/>
      <c r="R14" s="176"/>
      <c r="S14" s="176"/>
      <c r="T14" s="176"/>
      <c r="U14" s="176"/>
      <c r="V14" s="313"/>
      <c r="W14" s="293"/>
      <c r="X14" s="296"/>
    </row>
    <row r="15" spans="2:24">
      <c r="B15" s="293" t="s">
        <v>471</v>
      </c>
      <c r="C15" s="293"/>
      <c r="E15" s="290" t="str">
        <f t="shared" ref="E15:E16" si="1">"DCF, "&amp;TEXT(H15,"0.0")&amp;"x 26E OpFCF"</f>
        <v>DCF, 10.9x 26E OpFCF</v>
      </c>
      <c r="F15" s="373">
        <v>276.25584404436864</v>
      </c>
      <c r="G15" s="142" t="s">
        <v>113</v>
      </c>
      <c r="H15" s="375">
        <v>10.861042575122022</v>
      </c>
      <c r="I15" s="142"/>
      <c r="J15" s="176">
        <f>F15*H15</f>
        <v>3000.4264837921573</v>
      </c>
      <c r="K15" s="142" t="s">
        <v>115</v>
      </c>
      <c r="L15" s="373"/>
      <c r="M15" s="142" t="s">
        <v>114</v>
      </c>
      <c r="N15" s="142">
        <f t="shared" si="0"/>
        <v>3000.4264837921573</v>
      </c>
      <c r="O15" s="142" t="s">
        <v>113</v>
      </c>
      <c r="P15" s="379">
        <v>1</v>
      </c>
      <c r="Q15" s="312" t="s">
        <v>114</v>
      </c>
      <c r="R15" s="176">
        <f>P15*N15</f>
        <v>3000.4264837921573</v>
      </c>
      <c r="S15" s="176"/>
      <c r="T15" s="176">
        <f>N15-R15</f>
        <v>0</v>
      </c>
      <c r="U15" s="176"/>
      <c r="V15" s="313">
        <f>N15/$J$54</f>
        <v>6.3945644708647706E-2</v>
      </c>
      <c r="W15" s="293"/>
      <c r="X15" s="296">
        <f>$J$59*V15</f>
        <v>1.1937772047664921</v>
      </c>
    </row>
    <row r="16" spans="2:24">
      <c r="B16" s="293" t="s">
        <v>132</v>
      </c>
      <c r="C16" s="293"/>
      <c r="E16" s="290" t="str">
        <f t="shared" si="1"/>
        <v>DCF, 9.9x 26E OpFCF</v>
      </c>
      <c r="F16" s="373">
        <v>-303.53100000000001</v>
      </c>
      <c r="G16" s="142" t="s">
        <v>113</v>
      </c>
      <c r="H16" s="375">
        <v>9.8581844277342725</v>
      </c>
      <c r="I16" s="142" t="s">
        <v>114</v>
      </c>
      <c r="J16" s="176">
        <f>F16*H16</f>
        <v>-2992.2645775346114</v>
      </c>
      <c r="K16" s="142" t="s">
        <v>115</v>
      </c>
      <c r="L16" s="373"/>
      <c r="M16" s="142" t="s">
        <v>114</v>
      </c>
      <c r="N16" s="386">
        <f t="shared" si="0"/>
        <v>-2992.2645775346114</v>
      </c>
      <c r="O16" s="142" t="s">
        <v>113</v>
      </c>
      <c r="P16" s="379">
        <v>1</v>
      </c>
      <c r="Q16" s="312" t="s">
        <v>114</v>
      </c>
      <c r="R16" s="308">
        <f>P16*N16</f>
        <v>-2992.2645775346114</v>
      </c>
      <c r="S16" s="176"/>
      <c r="T16" s="308">
        <f>N16-R16</f>
        <v>0</v>
      </c>
      <c r="U16" s="176"/>
      <c r="V16" s="314">
        <f>N16/$J$54</f>
        <v>-6.3771696651426624E-2</v>
      </c>
      <c r="W16" s="293"/>
      <c r="X16" s="315">
        <f>$J$59*V16</f>
        <v>-1.1905298338709436</v>
      </c>
    </row>
    <row r="17" spans="2:24" s="304" customFormat="1">
      <c r="B17" s="269" t="s">
        <v>133</v>
      </c>
      <c r="C17" s="269"/>
      <c r="F17" s="170"/>
      <c r="G17" s="157"/>
      <c r="H17" s="170"/>
      <c r="I17" s="157"/>
      <c r="J17" s="462">
        <f>SUM(J15:J16)+J13</f>
        <v>46741.530776586318</v>
      </c>
      <c r="K17" s="157"/>
      <c r="L17" s="170"/>
      <c r="M17" s="157"/>
      <c r="N17" s="170">
        <f>SUM(N15:N16)+N13</f>
        <v>46741.530776586318</v>
      </c>
      <c r="O17" s="157"/>
      <c r="P17" s="171"/>
      <c r="Q17" s="292"/>
      <c r="R17" s="170">
        <f>SUM(R15:R16)+R13</f>
        <v>46741.530776586318</v>
      </c>
      <c r="S17" s="269"/>
      <c r="T17" s="170">
        <f>SUM(T15:T16)+T13</f>
        <v>0</v>
      </c>
      <c r="U17" s="269"/>
      <c r="V17" s="171">
        <f>SUM(V15:V16)+V13</f>
        <v>0.99616415743681197</v>
      </c>
      <c r="W17" s="269"/>
      <c r="X17" s="170">
        <f>$J$59*V17</f>
        <v>18.597014210612276</v>
      </c>
    </row>
    <row r="18" spans="2:24" s="304" customFormat="1">
      <c r="B18" s="269" t="s">
        <v>1178</v>
      </c>
      <c r="C18" s="269"/>
      <c r="F18" s="170"/>
      <c r="G18" s="157"/>
      <c r="H18" s="170"/>
      <c r="I18" s="157"/>
      <c r="J18" s="373">
        <v>2675</v>
      </c>
      <c r="K18" s="157"/>
      <c r="L18" s="170"/>
      <c r="M18" s="157"/>
      <c r="N18" s="170">
        <f>J18</f>
        <v>2675</v>
      </c>
      <c r="O18" s="157"/>
      <c r="P18" s="379">
        <v>0.5</v>
      </c>
      <c r="Q18" s="292"/>
      <c r="R18" s="176">
        <f>P18*N18</f>
        <v>1337.5</v>
      </c>
      <c r="S18" s="176"/>
      <c r="T18" s="176">
        <f>N18-R18</f>
        <v>1337.5</v>
      </c>
      <c r="U18" s="176"/>
      <c r="V18" s="313">
        <f>N18/$J$54</f>
        <v>5.7010095238008089E-2</v>
      </c>
      <c r="W18" s="269"/>
      <c r="X18" s="170"/>
    </row>
    <row r="19" spans="2:24">
      <c r="B19" s="293"/>
      <c r="C19" s="293"/>
      <c r="F19" s="176"/>
      <c r="G19" s="142"/>
      <c r="H19" s="176"/>
      <c r="I19" s="142"/>
      <c r="J19" s="176"/>
      <c r="K19" s="142"/>
      <c r="L19" s="176"/>
      <c r="M19" s="142"/>
      <c r="N19" s="142"/>
      <c r="O19" s="142"/>
      <c r="P19" s="175"/>
      <c r="Q19" s="312"/>
      <c r="R19" s="176"/>
      <c r="S19" s="293"/>
      <c r="T19" s="176"/>
      <c r="U19" s="293"/>
      <c r="V19" s="313"/>
      <c r="W19" s="293"/>
      <c r="X19" s="296"/>
    </row>
    <row r="20" spans="2:24">
      <c r="B20" s="293"/>
      <c r="C20" s="293"/>
      <c r="F20" s="176"/>
      <c r="G20" s="142"/>
      <c r="H20" s="176"/>
      <c r="I20" s="142"/>
      <c r="J20" s="176"/>
      <c r="K20" s="142"/>
      <c r="L20" s="176"/>
      <c r="M20" s="142"/>
      <c r="N20" s="142"/>
      <c r="O20" s="142"/>
      <c r="P20" s="175"/>
      <c r="Q20" s="312"/>
      <c r="R20" s="176"/>
      <c r="S20" s="293"/>
      <c r="T20" s="176"/>
      <c r="U20" s="293"/>
      <c r="V20" s="313"/>
      <c r="W20" s="293"/>
      <c r="X20" s="296"/>
    </row>
    <row r="21" spans="2:24">
      <c r="B21" s="304" t="s">
        <v>1353</v>
      </c>
      <c r="E21" s="304" t="str">
        <f t="shared" ref="E21:E23" si="2">"DCF, "&amp;TEXT(H21,"0.0")&amp;"x 26E OpFCF"</f>
        <v>DCF, 13.6x 26E OpFCF</v>
      </c>
      <c r="F21" s="369">
        <v>1346.232307692308</v>
      </c>
      <c r="G21" s="157" t="s">
        <v>113</v>
      </c>
      <c r="H21" s="461">
        <v>13.609563124877752</v>
      </c>
      <c r="I21" s="157" t="s">
        <v>114</v>
      </c>
      <c r="J21" s="170">
        <f>F21*H21</f>
        <v>18321.633572288316</v>
      </c>
      <c r="K21" s="157" t="s">
        <v>115</v>
      </c>
      <c r="L21" s="369">
        <v>8597.4696211567461</v>
      </c>
      <c r="M21" s="157" t="s">
        <v>114</v>
      </c>
      <c r="N21" s="157">
        <f t="shared" ref="N21" si="3">J21-L21</f>
        <v>9724.1639511315698</v>
      </c>
      <c r="O21" s="157" t="s">
        <v>113</v>
      </c>
      <c r="P21" s="372">
        <v>1</v>
      </c>
      <c r="Q21" s="292" t="s">
        <v>114</v>
      </c>
      <c r="R21" s="170">
        <f>P21*N21</f>
        <v>9724.1639511315698</v>
      </c>
      <c r="S21" s="269"/>
      <c r="T21" s="170">
        <f>N21-R21</f>
        <v>0</v>
      </c>
      <c r="U21" s="269"/>
      <c r="V21" s="310">
        <f>N21/$J$54</f>
        <v>0.20724318241645451</v>
      </c>
      <c r="W21" s="269"/>
      <c r="X21" s="295">
        <f>$J$59*V21</f>
        <v>3.8689450726355687</v>
      </c>
    </row>
    <row r="22" spans="2:24">
      <c r="B22" s="537"/>
      <c r="C22" s="537"/>
      <c r="D22" s="537"/>
      <c r="E22" s="537"/>
      <c r="F22" s="168"/>
      <c r="G22" s="389"/>
      <c r="H22" s="538"/>
      <c r="I22" s="389"/>
      <c r="J22" s="168"/>
      <c r="K22" s="389"/>
      <c r="L22" s="168"/>
      <c r="M22" s="389"/>
      <c r="N22" s="389"/>
      <c r="O22" s="389"/>
      <c r="P22" s="539"/>
      <c r="Q22" s="540"/>
      <c r="R22" s="168"/>
      <c r="S22" s="508"/>
      <c r="T22" s="168"/>
      <c r="U22" s="508"/>
      <c r="V22" s="506"/>
      <c r="W22" s="508"/>
      <c r="X22" s="388"/>
    </row>
    <row r="23" spans="2:24">
      <c r="B23" s="293" t="s">
        <v>829</v>
      </c>
      <c r="C23" s="293"/>
      <c r="E23" s="290" t="str">
        <f t="shared" si="2"/>
        <v>DCF, 16.1x 26E OpFCF</v>
      </c>
      <c r="F23" s="373">
        <v>436.10487086159952</v>
      </c>
      <c r="G23" s="142" t="s">
        <v>113</v>
      </c>
      <c r="H23" s="375">
        <v>16.107270267302596</v>
      </c>
      <c r="I23" s="142" t="s">
        <v>114</v>
      </c>
      <c r="J23" s="176">
        <f>F23*H23</f>
        <v>7024.4590198548804</v>
      </c>
      <c r="K23" s="142" t="s">
        <v>115</v>
      </c>
      <c r="L23" s="373">
        <v>849.19792554538037</v>
      </c>
      <c r="M23" s="142" t="s">
        <v>114</v>
      </c>
      <c r="N23" s="142">
        <f t="shared" si="0"/>
        <v>6175.2610943094996</v>
      </c>
      <c r="O23" s="142" t="s">
        <v>113</v>
      </c>
      <c r="P23" s="379">
        <v>0.50700000000000001</v>
      </c>
      <c r="Q23" s="312" t="s">
        <v>114</v>
      </c>
      <c r="R23" s="176">
        <f>P23*N23</f>
        <v>3130.8573748149165</v>
      </c>
      <c r="S23" s="293"/>
      <c r="T23" s="176">
        <f>N23-R23</f>
        <v>3044.4037194945831</v>
      </c>
      <c r="U23" s="293"/>
      <c r="V23" s="313">
        <f>N23/$J$54</f>
        <v>0.13160830770323387</v>
      </c>
      <c r="W23" s="293"/>
      <c r="X23" s="296">
        <f>$J$59*V23</f>
        <v>2.4569460267364849</v>
      </c>
    </row>
    <row r="24" spans="2:24">
      <c r="B24" s="293" t="s">
        <v>751</v>
      </c>
      <c r="C24" s="293"/>
      <c r="E24" s="290" t="s">
        <v>1304</v>
      </c>
      <c r="F24" s="375">
        <v>21.6</v>
      </c>
      <c r="G24" s="142" t="s">
        <v>113</v>
      </c>
      <c r="H24" s="375">
        <v>60.014414000000002</v>
      </c>
      <c r="I24" s="142"/>
      <c r="J24" s="176">
        <f>F24*H24 + L24</f>
        <v>3020.17538801519</v>
      </c>
      <c r="K24" s="142" t="s">
        <v>115</v>
      </c>
      <c r="L24" s="373">
        <v>1723.86404561519</v>
      </c>
      <c r="M24" s="142" t="s">
        <v>114</v>
      </c>
      <c r="N24" s="142">
        <f>J24-L24</f>
        <v>1296.3113424000001</v>
      </c>
      <c r="O24" s="142" t="s">
        <v>113</v>
      </c>
      <c r="P24" s="379">
        <v>0.76970000000000005</v>
      </c>
      <c r="Q24" s="312" t="s">
        <v>114</v>
      </c>
      <c r="R24" s="176">
        <f>P24*N24</f>
        <v>997.77084024528006</v>
      </c>
      <c r="S24" s="293"/>
      <c r="T24" s="176">
        <f>N24-R24</f>
        <v>298.54050215472</v>
      </c>
      <c r="U24" s="293"/>
      <c r="V24" s="313">
        <f>N24/$J$54</f>
        <v>2.7627227322741726E-2</v>
      </c>
      <c r="W24" s="293"/>
      <c r="X24" s="296">
        <f>$J$59*V24</f>
        <v>0.51576232218878404</v>
      </c>
    </row>
    <row r="25" spans="2:24">
      <c r="B25" s="293" t="s">
        <v>830</v>
      </c>
      <c r="C25" s="293"/>
      <c r="E25" s="290" t="str">
        <f t="shared" ref="E25" si="4">"DCF, "&amp;TEXT(H25,"0.0")&amp;"x 26E OpFCF"</f>
        <v>DCF, 20.2x 26E OpFCF</v>
      </c>
      <c r="F25" s="373">
        <v>178.5980966163651</v>
      </c>
      <c r="G25" s="142" t="s">
        <v>113</v>
      </c>
      <c r="H25" s="375">
        <v>20.209305881112961</v>
      </c>
      <c r="I25" s="142" t="s">
        <v>114</v>
      </c>
      <c r="J25" s="176">
        <f>F25*H25</f>
        <v>3609.3435643046878</v>
      </c>
      <c r="K25" s="142" t="s">
        <v>115</v>
      </c>
      <c r="L25" s="373"/>
      <c r="M25" s="142" t="s">
        <v>114</v>
      </c>
      <c r="N25" s="386">
        <f>J25-L25</f>
        <v>3609.3435643046878</v>
      </c>
      <c r="O25" s="142" t="s">
        <v>113</v>
      </c>
      <c r="P25" s="379">
        <v>0.89625155592935235</v>
      </c>
      <c r="Q25" s="312" t="s">
        <v>114</v>
      </c>
      <c r="R25" s="308">
        <f>P25*N25</f>
        <v>3234.8797853916708</v>
      </c>
      <c r="S25" s="293"/>
      <c r="T25" s="308">
        <f>N25-R25</f>
        <v>374.46377891301699</v>
      </c>
      <c r="U25" s="293"/>
      <c r="V25" s="314">
        <f>N25/$J$54</f>
        <v>7.6922998260823119E-2</v>
      </c>
      <c r="W25" s="293"/>
      <c r="X25" s="315">
        <f>$J$59*V25</f>
        <v>1.43604654022113</v>
      </c>
    </row>
    <row r="26" spans="2:24" s="304" customFormat="1">
      <c r="B26" s="269" t="s">
        <v>90</v>
      </c>
      <c r="C26" s="269"/>
      <c r="F26" s="463"/>
      <c r="G26" s="157"/>
      <c r="H26" s="463"/>
      <c r="I26" s="157"/>
      <c r="J26" s="462">
        <f>J23+J24+J25</f>
        <v>13653.977972174758</v>
      </c>
      <c r="K26" s="157"/>
      <c r="L26" s="170"/>
      <c r="M26" s="157"/>
      <c r="N26" s="157">
        <f>+N23+N24+N25</f>
        <v>11080.916001014188</v>
      </c>
      <c r="O26" s="157"/>
      <c r="P26" s="171"/>
      <c r="Q26" s="292"/>
      <c r="R26" s="157">
        <f>+R23+R24+R25</f>
        <v>7363.5080004518677</v>
      </c>
      <c r="S26" s="170"/>
      <c r="T26" s="157">
        <f>+T23+T24+T25</f>
        <v>3717.40800056232</v>
      </c>
      <c r="U26" s="269"/>
      <c r="V26" s="171"/>
      <c r="W26" s="269"/>
      <c r="X26" s="170"/>
    </row>
    <row r="27" spans="2:24">
      <c r="B27" s="293"/>
      <c r="C27" s="293"/>
      <c r="F27" s="174"/>
      <c r="G27" s="142"/>
      <c r="H27" s="174"/>
      <c r="I27" s="142"/>
      <c r="J27" s="176"/>
      <c r="K27" s="142"/>
      <c r="L27" s="176"/>
      <c r="M27" s="142"/>
      <c r="N27" s="142"/>
      <c r="O27" s="142"/>
      <c r="P27" s="175"/>
      <c r="Q27" s="312"/>
      <c r="R27" s="176"/>
      <c r="S27" s="293"/>
      <c r="T27" s="176"/>
      <c r="U27" s="293"/>
      <c r="V27" s="313"/>
      <c r="W27" s="293"/>
      <c r="X27" s="296"/>
    </row>
    <row r="28" spans="2:24" s="304" customFormat="1">
      <c r="B28" s="269" t="s">
        <v>831</v>
      </c>
      <c r="C28" s="269"/>
      <c r="E28" s="304" t="str">
        <f t="shared" ref="E28" si="5">"DCF, "&amp;TEXT(H28,"0.0")&amp;"x 26E OpFCF"</f>
        <v>DCF, 14.0x 26E OpFCF</v>
      </c>
      <c r="F28" s="369">
        <v>2066.4856933435494</v>
      </c>
      <c r="G28" s="157" t="s">
        <v>113</v>
      </c>
      <c r="H28" s="461">
        <v>13.973458300354846</v>
      </c>
      <c r="I28" s="157" t="s">
        <v>114</v>
      </c>
      <c r="J28" s="462">
        <f>(H28*F28)</f>
        <v>28875.951664215958</v>
      </c>
      <c r="K28" s="157" t="s">
        <v>115</v>
      </c>
      <c r="L28" s="369"/>
      <c r="M28" s="157" t="s">
        <v>114</v>
      </c>
      <c r="N28" s="157">
        <f t="shared" si="0"/>
        <v>28875.951664215958</v>
      </c>
      <c r="O28" s="157" t="s">
        <v>113</v>
      </c>
      <c r="P28" s="372">
        <v>0.63794060072230896</v>
      </c>
      <c r="Q28" s="292" t="s">
        <v>114</v>
      </c>
      <c r="R28" s="170">
        <f>P28*N28</f>
        <v>18421.141951098285</v>
      </c>
      <c r="S28" s="269"/>
      <c r="T28" s="170">
        <f>N28-R28</f>
        <v>10454.809713117673</v>
      </c>
      <c r="U28" s="269"/>
      <c r="V28" s="294">
        <f>N28/$J$54</f>
        <v>0.61540962783740938</v>
      </c>
      <c r="W28" s="269"/>
      <c r="X28" s="295">
        <f>$J$59*V28</f>
        <v>11.488851017976796</v>
      </c>
    </row>
    <row r="29" spans="2:24">
      <c r="B29" s="293"/>
      <c r="C29" s="293"/>
      <c r="F29" s="176"/>
      <c r="G29" s="142"/>
      <c r="H29" s="174"/>
      <c r="I29" s="142"/>
      <c r="J29" s="176"/>
      <c r="K29" s="142"/>
      <c r="L29" s="176"/>
      <c r="M29" s="142"/>
      <c r="N29" s="142"/>
      <c r="O29" s="142"/>
      <c r="P29" s="175"/>
      <c r="Q29" s="312"/>
      <c r="R29" s="176"/>
      <c r="S29" s="293"/>
      <c r="T29" s="176"/>
      <c r="U29" s="293"/>
      <c r="V29" s="175"/>
      <c r="W29" s="293"/>
      <c r="X29" s="296"/>
    </row>
    <row r="30" spans="2:24" s="304" customFormat="1">
      <c r="B30" s="269" t="s">
        <v>1138</v>
      </c>
      <c r="C30" s="269"/>
      <c r="E30" s="304" t="s">
        <v>1352</v>
      </c>
      <c r="F30" s="369">
        <v>374.55345</v>
      </c>
      <c r="G30" s="157" t="s">
        <v>113</v>
      </c>
      <c r="H30" s="461">
        <v>16</v>
      </c>
      <c r="I30" s="157" t="s">
        <v>114</v>
      </c>
      <c r="J30" s="462">
        <f>(H30*F30)</f>
        <v>5992.8552</v>
      </c>
      <c r="K30" s="157" t="s">
        <v>115</v>
      </c>
      <c r="L30" s="369"/>
      <c r="M30" s="157" t="s">
        <v>114</v>
      </c>
      <c r="N30" s="157">
        <f t="shared" ref="N30" si="6">J30-L30</f>
        <v>5992.8552</v>
      </c>
      <c r="O30" s="157" t="s">
        <v>113</v>
      </c>
      <c r="P30" s="372">
        <v>0.63794060072230896</v>
      </c>
      <c r="Q30" s="292"/>
      <c r="R30" s="170"/>
      <c r="S30" s="269"/>
      <c r="T30" s="170"/>
      <c r="U30" s="269"/>
      <c r="V30" s="171"/>
      <c r="W30" s="269"/>
      <c r="X30" s="295"/>
    </row>
    <row r="31" spans="2:24">
      <c r="B31" s="293"/>
      <c r="C31" s="293"/>
      <c r="F31" s="176"/>
      <c r="G31" s="142"/>
      <c r="H31" s="174"/>
      <c r="I31" s="142"/>
      <c r="J31" s="176"/>
      <c r="K31" s="142"/>
      <c r="L31" s="176"/>
      <c r="M31" s="142"/>
      <c r="N31" s="142"/>
      <c r="O31" s="142"/>
      <c r="P31" s="175"/>
      <c r="Q31" s="312"/>
      <c r="R31" s="176"/>
      <c r="S31" s="293"/>
      <c r="T31" s="176"/>
      <c r="U31" s="293"/>
      <c r="V31" s="175"/>
      <c r="W31" s="293"/>
      <c r="X31" s="296"/>
    </row>
    <row r="32" spans="2:24" s="304" customFormat="1">
      <c r="B32" s="269" t="s">
        <v>832</v>
      </c>
      <c r="C32" s="269"/>
      <c r="E32" s="304" t="s">
        <v>1139</v>
      </c>
      <c r="F32" s="157"/>
      <c r="G32" s="157"/>
      <c r="H32" s="157"/>
      <c r="I32" s="157"/>
      <c r="J32" s="464"/>
      <c r="K32" s="157"/>
      <c r="L32" s="369"/>
      <c r="M32" s="157"/>
      <c r="N32" s="157"/>
      <c r="O32" s="157"/>
      <c r="P32" s="372">
        <v>1</v>
      </c>
      <c r="Q32" s="292"/>
      <c r="R32" s="170"/>
      <c r="S32" s="269"/>
      <c r="T32" s="170"/>
      <c r="U32" s="269"/>
      <c r="V32" s="294"/>
      <c r="W32" s="269"/>
      <c r="X32" s="295"/>
    </row>
    <row r="33" spans="2:24">
      <c r="B33" s="269"/>
      <c r="C33" s="269"/>
      <c r="F33" s="170"/>
      <c r="G33" s="157"/>
      <c r="H33" s="170"/>
      <c r="I33" s="157"/>
      <c r="J33" s="170"/>
      <c r="K33" s="157"/>
      <c r="L33" s="170"/>
      <c r="M33" s="157"/>
      <c r="N33" s="157"/>
      <c r="O33" s="157"/>
      <c r="P33" s="171"/>
      <c r="Q33" s="292"/>
      <c r="R33" s="170"/>
      <c r="S33" s="293"/>
      <c r="T33" s="170"/>
      <c r="U33" s="293"/>
      <c r="V33" s="171"/>
      <c r="W33" s="293"/>
      <c r="X33" s="295"/>
    </row>
    <row r="34" spans="2:24" ht="12.6" thickBot="1">
      <c r="B34" s="269" t="s">
        <v>117</v>
      </c>
      <c r="C34" s="269"/>
      <c r="J34" s="344">
        <f>J17+J26+J28+J32+J30+J21</f>
        <v>113585.94918526534</v>
      </c>
      <c r="N34" s="344">
        <f>N17+N26+N28+N32</f>
        <v>86698.398441816462</v>
      </c>
      <c r="R34" s="344">
        <f>R17+R26+R28+R32</f>
        <v>72526.180728136474</v>
      </c>
      <c r="T34" s="344">
        <f>T17+T26+T28+T32</f>
        <v>14172.217713679993</v>
      </c>
    </row>
    <row r="35" spans="2:24" ht="12.6" thickTop="1">
      <c r="B35" s="269"/>
      <c r="C35" s="293"/>
      <c r="F35" s="170"/>
      <c r="G35" s="157"/>
      <c r="H35" s="295"/>
      <c r="I35" s="299"/>
      <c r="J35" s="170"/>
      <c r="K35" s="298"/>
      <c r="L35" s="170"/>
      <c r="M35" s="157"/>
      <c r="N35" s="170"/>
      <c r="Q35" s="301"/>
      <c r="R35" s="170"/>
      <c r="S35" s="293"/>
      <c r="T35" s="170"/>
      <c r="U35" s="293"/>
      <c r="V35" s="335"/>
      <c r="W35" s="293"/>
      <c r="X35" s="295"/>
    </row>
    <row r="36" spans="2:24">
      <c r="B36" s="293"/>
      <c r="C36" s="293"/>
      <c r="F36" s="170"/>
      <c r="G36" s="157"/>
      <c r="H36" s="295"/>
      <c r="I36" s="299"/>
      <c r="J36" s="157"/>
      <c r="K36" s="298"/>
      <c r="L36" s="293"/>
      <c r="M36" s="157"/>
      <c r="N36" s="170"/>
      <c r="Q36" s="301"/>
      <c r="R36" s="170"/>
      <c r="T36" s="157"/>
    </row>
    <row r="37" spans="2:24">
      <c r="B37" s="269" t="s">
        <v>118</v>
      </c>
      <c r="C37" s="269"/>
      <c r="F37" s="170"/>
      <c r="G37" s="157"/>
      <c r="H37" s="295"/>
      <c r="I37" s="299"/>
      <c r="J37" s="298"/>
      <c r="K37" s="298"/>
      <c r="L37" s="157"/>
      <c r="M37" s="157"/>
      <c r="N37" s="293"/>
      <c r="Q37" s="301"/>
      <c r="R37" s="293"/>
    </row>
    <row r="38" spans="2:24">
      <c r="B38" s="293" t="s">
        <v>41</v>
      </c>
      <c r="C38" s="293"/>
      <c r="E38" s="290" t="s">
        <v>1081</v>
      </c>
      <c r="N38" s="373">
        <v>98</v>
      </c>
      <c r="O38" s="142" t="s">
        <v>113</v>
      </c>
      <c r="P38" s="379">
        <v>1</v>
      </c>
      <c r="R38" s="176">
        <f>P38*N38</f>
        <v>98</v>
      </c>
    </row>
    <row r="39" spans="2:24">
      <c r="B39" s="293" t="s">
        <v>1354</v>
      </c>
      <c r="C39" s="293"/>
      <c r="E39" s="290" t="s">
        <v>1355</v>
      </c>
      <c r="N39" s="373">
        <v>1600</v>
      </c>
      <c r="O39" s="142" t="s">
        <v>113</v>
      </c>
      <c r="P39" s="379">
        <v>0.57999999999999996</v>
      </c>
      <c r="R39" s="176">
        <f>P39*N39</f>
        <v>927.99999999999989</v>
      </c>
    </row>
    <row r="40" spans="2:24">
      <c r="B40" s="269" t="s">
        <v>117</v>
      </c>
      <c r="C40" s="269"/>
      <c r="R40" s="317">
        <f>R39+R38</f>
        <v>1026</v>
      </c>
    </row>
    <row r="41" spans="2:24">
      <c r="B41" s="269"/>
      <c r="C41" s="293"/>
      <c r="R41" s="170"/>
    </row>
    <row r="42" spans="2:24">
      <c r="D42" s="269"/>
      <c r="E42" s="304"/>
      <c r="F42" s="304"/>
      <c r="G42" s="304"/>
      <c r="H42" s="304"/>
      <c r="I42" s="304"/>
      <c r="J42" s="304"/>
      <c r="K42" s="304"/>
      <c r="R42" s="293"/>
    </row>
    <row r="43" spans="2:24" ht="12.6" thickBot="1">
      <c r="B43" s="305" t="s">
        <v>121</v>
      </c>
      <c r="D43" s="269"/>
      <c r="E43" s="304"/>
      <c r="H43" s="304"/>
      <c r="I43" s="304"/>
      <c r="J43" s="297">
        <f>J34</f>
        <v>113585.94918526534</v>
      </c>
      <c r="T43" s="357" t="s">
        <v>452</v>
      </c>
      <c r="U43" s="401"/>
      <c r="V43" s="401"/>
      <c r="W43" s="401"/>
      <c r="X43" s="401"/>
    </row>
    <row r="44" spans="2:24" ht="12.6" thickTop="1">
      <c r="B44" s="306" t="s">
        <v>1180</v>
      </c>
      <c r="D44" s="306"/>
      <c r="J44" s="176">
        <f>-ORA!E12</f>
        <v>-40800.85506647508</v>
      </c>
      <c r="T44" s="105"/>
    </row>
    <row r="45" spans="2:24">
      <c r="B45" s="307" t="s">
        <v>551</v>
      </c>
      <c r="D45" s="293"/>
      <c r="J45" s="373">
        <v>-9590.7141320177507</v>
      </c>
    </row>
    <row r="46" spans="2:24">
      <c r="B46" s="307" t="s">
        <v>897</v>
      </c>
      <c r="D46" s="293"/>
      <c r="J46" s="373">
        <v>-154.64303634020061</v>
      </c>
    </row>
    <row r="47" spans="2:24">
      <c r="B47" s="307" t="s">
        <v>1127</v>
      </c>
      <c r="D47" s="293"/>
      <c r="J47" s="373">
        <v>-32.082551594746718</v>
      </c>
    </row>
    <row r="48" spans="2:24">
      <c r="B48" s="307" t="s">
        <v>1128</v>
      </c>
      <c r="D48" s="293"/>
      <c r="J48" s="373">
        <v>-385.79069310899388</v>
      </c>
      <c r="K48" s="290" t="s">
        <v>1130</v>
      </c>
    </row>
    <row r="49" spans="2:24">
      <c r="B49" s="307" t="s">
        <v>1129</v>
      </c>
      <c r="D49" s="293"/>
      <c r="J49" s="373">
        <v>-1963.4120543768263</v>
      </c>
      <c r="K49" s="290" t="s">
        <v>1130</v>
      </c>
    </row>
    <row r="50" spans="2:24">
      <c r="B50" s="307" t="s">
        <v>898</v>
      </c>
      <c r="D50" s="293"/>
      <c r="J50" s="373">
        <v>2046.7162886213375</v>
      </c>
      <c r="K50" s="304"/>
    </row>
    <row r="51" spans="2:24">
      <c r="B51" s="307" t="s">
        <v>552</v>
      </c>
      <c r="D51" s="293"/>
      <c r="J51" s="373">
        <v>-2637.4359079552592</v>
      </c>
      <c r="K51" s="304"/>
    </row>
    <row r="52" spans="2:24">
      <c r="B52" s="307" t="s">
        <v>301</v>
      </c>
      <c r="J52" s="176">
        <f>-T34</f>
        <v>-14172.217713679993</v>
      </c>
      <c r="K52" s="304"/>
    </row>
    <row r="53" spans="2:24">
      <c r="B53" s="307" t="s">
        <v>303</v>
      </c>
      <c r="J53" s="308">
        <f>R40</f>
        <v>1026</v>
      </c>
      <c r="K53" s="304"/>
    </row>
    <row r="54" spans="2:24">
      <c r="B54" s="305" t="s">
        <v>407</v>
      </c>
      <c r="D54" s="269"/>
      <c r="E54" s="304"/>
      <c r="F54" s="304"/>
      <c r="G54" s="304"/>
      <c r="H54" s="304"/>
      <c r="I54" s="304"/>
      <c r="J54" s="170">
        <f>SUM(J43:J53)</f>
        <v>46921.514318337831</v>
      </c>
      <c r="K54" s="304"/>
    </row>
    <row r="55" spans="2:24" ht="12.6" thickBot="1">
      <c r="B55" s="307" t="s">
        <v>408</v>
      </c>
      <c r="D55" s="293"/>
      <c r="J55" s="176">
        <f>ORA!E10</f>
        <v>2660.056599</v>
      </c>
      <c r="K55" s="304"/>
    </row>
    <row r="56" spans="2:24" ht="12.6" thickBot="1">
      <c r="B56" s="305" t="s">
        <v>409</v>
      </c>
      <c r="D56" s="293"/>
      <c r="J56" s="358">
        <f>J54/J55</f>
        <v>17.639291711303105</v>
      </c>
      <c r="K56" s="304"/>
    </row>
    <row r="57" spans="2:24">
      <c r="B57" s="307" t="s">
        <v>624</v>
      </c>
      <c r="J57" s="374">
        <v>0.75</v>
      </c>
    </row>
    <row r="58" spans="2:24" ht="12.6" thickBot="1">
      <c r="B58" s="307" t="s">
        <v>682</v>
      </c>
      <c r="J58" s="374">
        <v>0.27933240228021178</v>
      </c>
      <c r="K58" s="304"/>
    </row>
    <row r="59" spans="2:24" ht="12.6" thickBot="1">
      <c r="B59" s="305" t="s">
        <v>55</v>
      </c>
      <c r="D59" s="269"/>
      <c r="E59" s="304"/>
      <c r="H59" s="304"/>
      <c r="I59" s="304"/>
      <c r="J59" s="358">
        <f>J57+J56+J58</f>
        <v>18.668624113583316</v>
      </c>
      <c r="K59" s="304"/>
    </row>
    <row r="60" spans="2:24">
      <c r="B60" s="307" t="s">
        <v>410</v>
      </c>
      <c r="J60" s="296">
        <f>Prices!C11</f>
        <v>17.64</v>
      </c>
      <c r="K60" s="304"/>
    </row>
    <row r="61" spans="2:24">
      <c r="B61" s="305" t="s">
        <v>84</v>
      </c>
      <c r="E61" s="304"/>
      <c r="F61" s="304"/>
      <c r="G61" s="304"/>
      <c r="H61" s="304"/>
      <c r="I61" s="304"/>
      <c r="J61" s="310">
        <f>J59/J60-1</f>
        <v>5.8312024579552979E-2</v>
      </c>
      <c r="K61" s="304"/>
      <c r="L61" s="304"/>
    </row>
    <row r="62" spans="2:24" ht="12.6" thickBot="1">
      <c r="E62" s="269"/>
      <c r="J62" s="304"/>
      <c r="K62" s="304"/>
      <c r="L62" s="304"/>
      <c r="T62" s="357" t="s">
        <v>452</v>
      </c>
      <c r="U62" s="291"/>
      <c r="V62" s="291"/>
      <c r="W62" s="291"/>
      <c r="X62" s="291"/>
    </row>
    <row r="63" spans="2:24" ht="12.6" thickTop="1">
      <c r="B63" s="290" t="s">
        <v>395</v>
      </c>
      <c r="D63" s="309">
        <f>Prices!F142</f>
        <v>4.2453411549790498</v>
      </c>
      <c r="E63" s="309"/>
      <c r="F63" s="269"/>
      <c r="G63" s="269"/>
      <c r="J63" s="304"/>
      <c r="N63" s="304"/>
      <c r="T63" s="293" t="s">
        <v>112</v>
      </c>
      <c r="X63" s="313">
        <f>J11/(J34+R40)</f>
        <v>0.21466365136360452</v>
      </c>
    </row>
    <row r="64" spans="2:24">
      <c r="B64" s="290" t="s">
        <v>42</v>
      </c>
      <c r="D64" s="309">
        <f>Prices!F151</f>
        <v>61.495666220024091</v>
      </c>
      <c r="E64" s="269"/>
      <c r="F64" s="269"/>
      <c r="G64" s="269"/>
      <c r="H64" s="269"/>
      <c r="I64" s="269"/>
      <c r="N64" s="304"/>
      <c r="T64" s="293" t="s">
        <v>458</v>
      </c>
      <c r="X64" s="313">
        <f>J12/(J34+R40)</f>
        <v>0.19308937266695503</v>
      </c>
    </row>
    <row r="65" spans="2:24">
      <c r="B65" s="290" t="s">
        <v>677</v>
      </c>
      <c r="D65" s="309">
        <f>Prices!F133</f>
        <v>0.86677645752009003</v>
      </c>
      <c r="E65" s="269"/>
      <c r="F65" s="269"/>
      <c r="G65" s="269"/>
      <c r="H65" s="269"/>
      <c r="I65" s="269"/>
      <c r="T65" s="293" t="s">
        <v>43</v>
      </c>
      <c r="X65" s="313">
        <f>SUM(J15:J16)/(J34+R40)</f>
        <v>7.1213397168148708E-5</v>
      </c>
    </row>
    <row r="66" spans="2:24">
      <c r="T66" s="293" t="s">
        <v>90</v>
      </c>
      <c r="X66" s="313">
        <f>(J26)/(R40+J34)</f>
        <v>0.11913223768757028</v>
      </c>
    </row>
    <row r="67" spans="2:24">
      <c r="T67" s="293" t="s">
        <v>831</v>
      </c>
      <c r="X67" s="313">
        <f>J28/(J34+R40)</f>
        <v>0.25194538500989289</v>
      </c>
    </row>
    <row r="68" spans="2:24">
      <c r="T68" s="293" t="s">
        <v>120</v>
      </c>
      <c r="X68" s="313">
        <f>1-SUM(X63:X67)</f>
        <v>0.22109813987480909</v>
      </c>
    </row>
  </sheetData>
  <phoneticPr fontId="26" type="noConversion"/>
  <pageMargins left="0.75" right="0.75" top="1" bottom="1" header="0.5" footer="0.5"/>
  <pageSetup scale="43" orientation="landscape"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41">
    <pageSetUpPr fitToPage="1"/>
  </sheetPr>
  <dimension ref="B1:X57"/>
  <sheetViews>
    <sheetView showGridLines="0" zoomScale="80" zoomScaleNormal="80" workbookViewId="0">
      <selection activeCell="E12" sqref="E12"/>
    </sheetView>
  </sheetViews>
  <sheetFormatPr defaultColWidth="9.109375" defaultRowHeight="12"/>
  <cols>
    <col min="1" max="1" width="2.33203125" style="290" customWidth="1"/>
    <col min="2" max="4" width="10" style="290" customWidth="1"/>
    <col min="5" max="5" width="18.441406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5" width="10" style="290" customWidth="1"/>
    <col min="26" max="16384" width="9.109375" style="290"/>
  </cols>
  <sheetData>
    <row r="1" spans="2:24" s="365" customFormat="1">
      <c r="E1" s="116"/>
    </row>
    <row r="2" spans="2:24" s="365" customFormat="1">
      <c r="E2" s="116"/>
    </row>
    <row r="3" spans="2:24" s="365" customFormat="1"/>
    <row r="4" spans="2:24" s="368" customFormat="1" ht="21">
      <c r="B4" s="100" t="s">
        <v>1154</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314</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315</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865</v>
      </c>
      <c r="C11" s="293"/>
      <c r="E11" s="290" t="str">
        <f>"DCF, "&amp;TEXT(H11,"0.0")&amp;"x 26E FCF"</f>
        <v>DCF, 15.1x 26E FCF</v>
      </c>
      <c r="F11" s="373">
        <v>260.6028468690655</v>
      </c>
      <c r="G11" s="142" t="s">
        <v>113</v>
      </c>
      <c r="H11" s="376">
        <v>15.091809919811613</v>
      </c>
      <c r="I11" s="142" t="s">
        <v>114</v>
      </c>
      <c r="J11" s="176">
        <f>H11*F11</f>
        <v>3932.9686295097094</v>
      </c>
      <c r="K11" s="142" t="s">
        <v>115</v>
      </c>
      <c r="L11" s="373"/>
      <c r="M11" s="142" t="s">
        <v>114</v>
      </c>
      <c r="N11" s="142">
        <f t="shared" ref="N11:N18" si="0">J11-L11</f>
        <v>3932.9686295097094</v>
      </c>
      <c r="O11" s="142" t="s">
        <v>113</v>
      </c>
      <c r="P11" s="379">
        <v>1</v>
      </c>
      <c r="Q11" s="312" t="s">
        <v>114</v>
      </c>
      <c r="R11" s="176">
        <f t="shared" ref="R11:R18" si="1">P11*N11</f>
        <v>3932.9686295097094</v>
      </c>
      <c r="S11" s="176"/>
      <c r="T11" s="176">
        <f t="shared" ref="T11:T18" si="2">N11-R11</f>
        <v>0</v>
      </c>
      <c r="U11" s="176"/>
      <c r="V11" s="313">
        <f>N11/$J$32</f>
        <v>0.47060650751885719</v>
      </c>
      <c r="W11" s="293"/>
      <c r="X11" s="296">
        <f>$J$38*V11</f>
        <v>10.388234508119178</v>
      </c>
    </row>
    <row r="12" spans="2:24">
      <c r="B12" s="293" t="s">
        <v>867</v>
      </c>
      <c r="C12" s="293"/>
      <c r="E12" s="290" t="str">
        <f>"DCF, "&amp;TEXT(H12,"0.0")&amp;"x 26E FCF"</f>
        <v>DCF, 14.5x 26E FCF</v>
      </c>
      <c r="F12" s="387">
        <v>346.13554404989412</v>
      </c>
      <c r="G12" s="142" t="s">
        <v>113</v>
      </c>
      <c r="H12" s="403">
        <v>14.503895504124063</v>
      </c>
      <c r="I12" s="142" t="s">
        <v>114</v>
      </c>
      <c r="J12" s="308">
        <f>H12*F12</f>
        <v>5020.3137611627963</v>
      </c>
      <c r="K12" s="142" t="s">
        <v>115</v>
      </c>
      <c r="L12" s="373"/>
      <c r="M12" s="142" t="s">
        <v>114</v>
      </c>
      <c r="N12" s="142">
        <f t="shared" ref="N12" si="3">J12-L12</f>
        <v>5020.3137611627963</v>
      </c>
      <c r="O12" s="142" t="s">
        <v>113</v>
      </c>
      <c r="P12" s="379">
        <v>1</v>
      </c>
      <c r="Q12" s="312" t="s">
        <v>114</v>
      </c>
      <c r="R12" s="176">
        <f t="shared" ref="R12" si="4">P12*N12</f>
        <v>5020.3137611627963</v>
      </c>
      <c r="S12" s="176"/>
      <c r="T12" s="176">
        <f t="shared" ref="T12" si="5">N12-R12</f>
        <v>0</v>
      </c>
      <c r="U12" s="176"/>
      <c r="V12" s="313">
        <f>N12/$J$32</f>
        <v>0.6007147649393294</v>
      </c>
      <c r="W12" s="293"/>
      <c r="X12" s="296">
        <f>$J$38*V12</f>
        <v>13.260262556886531</v>
      </c>
    </row>
    <row r="13" spans="2:24">
      <c r="B13" s="269" t="s">
        <v>899</v>
      </c>
      <c r="D13" s="304"/>
      <c r="E13" s="304" t="str">
        <f>"DCF, "&amp;TEXT(H13,"0.0")&amp;"x 26E FCF"</f>
        <v>DCF, 14.8x 26E FCF</v>
      </c>
      <c r="F13" s="318">
        <f>F12+F11</f>
        <v>606.73839091895957</v>
      </c>
      <c r="G13" s="304"/>
      <c r="H13" s="299">
        <f>J13/F13</f>
        <v>14.756413183467687</v>
      </c>
      <c r="I13" s="304"/>
      <c r="J13" s="170">
        <f>J12+J11</f>
        <v>8953.2823906725062</v>
      </c>
    </row>
    <row r="14" spans="2:24">
      <c r="B14" s="293"/>
      <c r="C14" s="293"/>
      <c r="D14" s="293"/>
      <c r="E14" s="293"/>
      <c r="F14" s="293"/>
      <c r="G14" s="293"/>
      <c r="H14" s="293"/>
      <c r="I14" s="293"/>
      <c r="J14" s="293"/>
      <c r="K14" s="293"/>
      <c r="L14" s="293"/>
      <c r="M14" s="293"/>
      <c r="N14" s="293"/>
      <c r="O14" s="293"/>
      <c r="P14" s="293"/>
      <c r="Q14" s="293"/>
      <c r="R14" s="293"/>
      <c r="S14" s="176"/>
      <c r="T14" s="176"/>
      <c r="U14" s="176"/>
      <c r="V14" s="313"/>
      <c r="W14" s="293"/>
      <c r="X14" s="296"/>
    </row>
    <row r="15" spans="2:24">
      <c r="B15" s="293" t="s">
        <v>866</v>
      </c>
      <c r="C15" s="293"/>
      <c r="E15" s="290" t="s">
        <v>918</v>
      </c>
      <c r="F15" s="293"/>
      <c r="G15" s="293"/>
      <c r="H15" s="293"/>
      <c r="I15" s="293"/>
      <c r="J15" s="373">
        <v>0</v>
      </c>
      <c r="K15" s="142" t="s">
        <v>115</v>
      </c>
      <c r="L15" s="373"/>
      <c r="M15" s="142" t="s">
        <v>114</v>
      </c>
      <c r="N15" s="142">
        <f t="shared" ref="N15" si="6">J15-L15</f>
        <v>0</v>
      </c>
      <c r="O15" s="142" t="s">
        <v>113</v>
      </c>
      <c r="P15" s="379">
        <v>0.86199999999999999</v>
      </c>
      <c r="Q15" s="312" t="s">
        <v>114</v>
      </c>
      <c r="R15" s="176">
        <f t="shared" ref="R15" si="7">P15*N15</f>
        <v>0</v>
      </c>
      <c r="S15" s="176"/>
      <c r="T15" s="176">
        <f t="shared" ref="T15" si="8">N15-R15</f>
        <v>0</v>
      </c>
      <c r="U15" s="176"/>
      <c r="V15" s="313">
        <f>N15/$J$32</f>
        <v>0</v>
      </c>
      <c r="W15" s="293"/>
      <c r="X15" s="296">
        <f>$J$38*V15</f>
        <v>0</v>
      </c>
    </row>
    <row r="16" spans="2:24">
      <c r="B16" s="293" t="s">
        <v>900</v>
      </c>
      <c r="J16" s="176">
        <f>J15</f>
        <v>0</v>
      </c>
    </row>
    <row r="17" spans="2:24">
      <c r="B17" s="293"/>
      <c r="C17" s="293"/>
      <c r="D17" s="293"/>
      <c r="E17" s="293"/>
      <c r="F17" s="293"/>
      <c r="G17" s="293"/>
      <c r="H17" s="293"/>
      <c r="I17" s="293"/>
      <c r="J17" s="293"/>
      <c r="K17" s="293"/>
      <c r="L17" s="293"/>
      <c r="M17" s="293"/>
      <c r="N17" s="293"/>
      <c r="O17" s="293"/>
      <c r="P17" s="293"/>
      <c r="Q17" s="293"/>
      <c r="R17" s="293"/>
      <c r="S17" s="176"/>
      <c r="T17" s="176"/>
      <c r="U17" s="176"/>
      <c r="V17" s="313"/>
      <c r="W17" s="293"/>
      <c r="X17" s="296"/>
    </row>
    <row r="18" spans="2:24">
      <c r="B18" s="293" t="s">
        <v>868</v>
      </c>
      <c r="E18" s="290" t="s">
        <v>902</v>
      </c>
      <c r="F18" s="176"/>
      <c r="G18" s="142"/>
      <c r="H18" s="296"/>
      <c r="I18" s="142"/>
      <c r="J18" s="403">
        <v>0</v>
      </c>
      <c r="K18" s="142" t="s">
        <v>115</v>
      </c>
      <c r="L18" s="387"/>
      <c r="M18" s="142" t="s">
        <v>114</v>
      </c>
      <c r="N18" s="308">
        <f t="shared" si="0"/>
        <v>0</v>
      </c>
      <c r="O18" s="142" t="s">
        <v>113</v>
      </c>
      <c r="P18" s="379">
        <v>1</v>
      </c>
      <c r="Q18" s="312" t="s">
        <v>114</v>
      </c>
      <c r="R18" s="308">
        <f t="shared" si="1"/>
        <v>0</v>
      </c>
      <c r="S18" s="293"/>
      <c r="T18" s="308">
        <f t="shared" si="2"/>
        <v>0</v>
      </c>
      <c r="U18" s="293"/>
      <c r="V18" s="314">
        <f>N18/$J$32</f>
        <v>0</v>
      </c>
      <c r="W18" s="293"/>
      <c r="X18" s="315">
        <f>$J$38*V18</f>
        <v>0</v>
      </c>
    </row>
    <row r="19" spans="2:24">
      <c r="B19" s="269" t="s">
        <v>901</v>
      </c>
      <c r="C19" s="293"/>
      <c r="F19" s="170"/>
      <c r="G19" s="157"/>
      <c r="H19" s="295"/>
      <c r="I19" s="299"/>
      <c r="J19" s="170">
        <f>J18+J16+J13</f>
        <v>8953.2823906725062</v>
      </c>
      <c r="K19" s="298"/>
      <c r="L19" s="170">
        <f>-J24</f>
        <v>346.85069309099129</v>
      </c>
      <c r="M19" s="157"/>
      <c r="N19" s="170">
        <f>SUM(N14:N18)+N15</f>
        <v>0</v>
      </c>
      <c r="P19" s="300"/>
      <c r="Q19" s="301"/>
      <c r="R19" s="170">
        <f>SUM(R12:R18)+R15</f>
        <v>5020.3137611627963</v>
      </c>
      <c r="S19" s="293"/>
      <c r="T19" s="170">
        <f>SUM(T11:T18)</f>
        <v>0</v>
      </c>
      <c r="U19" s="293"/>
      <c r="V19" s="310">
        <f>N19/$J$32</f>
        <v>0</v>
      </c>
      <c r="W19" s="293"/>
      <c r="X19" s="295">
        <f>$J$38*V19</f>
        <v>0</v>
      </c>
    </row>
    <row r="20" spans="2:24">
      <c r="B20" s="293"/>
      <c r="C20" s="293"/>
      <c r="F20" s="170"/>
      <c r="G20" s="157"/>
      <c r="H20" s="295"/>
      <c r="I20" s="299"/>
      <c r="J20" s="157"/>
      <c r="K20" s="298"/>
      <c r="L20" s="293"/>
      <c r="M20" s="157"/>
      <c r="N20" s="170"/>
      <c r="P20" s="300"/>
      <c r="Q20" s="301"/>
      <c r="R20" s="170"/>
      <c r="T20" s="157"/>
    </row>
    <row r="21" spans="2:24">
      <c r="C21" s="269"/>
      <c r="F21" s="170"/>
      <c r="G21" s="157"/>
      <c r="H21" s="295"/>
      <c r="I21" s="299"/>
      <c r="J21" s="298"/>
      <c r="K21" s="298"/>
      <c r="L21" s="157"/>
      <c r="M21" s="157"/>
      <c r="N21" s="293"/>
      <c r="P21" s="300"/>
      <c r="Q21" s="301"/>
      <c r="R21" s="293"/>
    </row>
    <row r="22" spans="2:24" ht="12.6" thickBot="1">
      <c r="D22" s="269"/>
      <c r="E22" s="304"/>
      <c r="F22" s="304"/>
      <c r="G22" s="304"/>
      <c r="H22" s="304"/>
      <c r="I22" s="304"/>
      <c r="J22" s="304"/>
      <c r="K22" s="304"/>
      <c r="R22" s="293"/>
      <c r="T22" s="357" t="s">
        <v>452</v>
      </c>
      <c r="U22" s="291"/>
      <c r="V22" s="291"/>
      <c r="W22" s="291"/>
      <c r="X22" s="291"/>
    </row>
    <row r="23" spans="2:24" ht="12.6" thickTop="1">
      <c r="B23" s="305" t="s">
        <v>121</v>
      </c>
      <c r="D23" s="269"/>
      <c r="E23" s="304"/>
      <c r="H23" s="304"/>
      <c r="I23" s="304"/>
      <c r="J23" s="297">
        <f>J19</f>
        <v>8953.2823906725062</v>
      </c>
      <c r="T23" s="105"/>
    </row>
    <row r="24" spans="2:24">
      <c r="B24" s="306" t="s">
        <v>1086</v>
      </c>
      <c r="F24" s="304"/>
      <c r="G24" s="304"/>
      <c r="I24" s="304"/>
      <c r="J24" s="176">
        <f>-OTE!E12</f>
        <v>-346.85069309099129</v>
      </c>
    </row>
    <row r="25" spans="2:24">
      <c r="B25" s="307" t="s">
        <v>919</v>
      </c>
      <c r="J25" s="373">
        <v>0</v>
      </c>
      <c r="K25" s="304"/>
    </row>
    <row r="26" spans="2:24">
      <c r="B26" s="307" t="s">
        <v>304</v>
      </c>
      <c r="J26" s="373">
        <v>-62.468879108567577</v>
      </c>
      <c r="K26" s="304"/>
    </row>
    <row r="27" spans="2:24">
      <c r="B27" s="307" t="s">
        <v>798</v>
      </c>
      <c r="J27" s="373">
        <v>0</v>
      </c>
      <c r="K27" s="304"/>
    </row>
    <row r="28" spans="2:24">
      <c r="B28" s="307" t="s">
        <v>786</v>
      </c>
      <c r="J28" s="373">
        <v>145.91250187985213</v>
      </c>
      <c r="K28" s="304"/>
    </row>
    <row r="29" spans="2:24">
      <c r="B29" s="307" t="s">
        <v>903</v>
      </c>
      <c r="J29" s="373">
        <v>-332.64148131134436</v>
      </c>
      <c r="K29" s="304"/>
    </row>
    <row r="30" spans="2:24">
      <c r="B30" s="307" t="s">
        <v>301</v>
      </c>
      <c r="D30" s="309"/>
      <c r="E30" s="304"/>
      <c r="F30" s="304"/>
      <c r="G30" s="304"/>
      <c r="H30" s="304"/>
      <c r="I30" s="304"/>
      <c r="J30" s="176">
        <f>-T19</f>
        <v>0</v>
      </c>
      <c r="K30" s="304"/>
    </row>
    <row r="31" spans="2:24">
      <c r="B31" s="307" t="s">
        <v>303</v>
      </c>
      <c r="D31" s="269"/>
      <c r="E31" s="304"/>
      <c r="H31" s="304"/>
      <c r="I31" s="304"/>
      <c r="J31" s="308">
        <v>0</v>
      </c>
      <c r="K31" s="304"/>
    </row>
    <row r="32" spans="2:24">
      <c r="B32" s="305" t="s">
        <v>407</v>
      </c>
      <c r="D32" s="269"/>
      <c r="E32" s="304"/>
      <c r="F32" s="304"/>
      <c r="G32" s="304"/>
      <c r="H32" s="304"/>
      <c r="I32" s="304"/>
      <c r="J32" s="170">
        <f>SUM(J23:J31)</f>
        <v>8357.2338390414534</v>
      </c>
      <c r="K32" s="304"/>
    </row>
    <row r="33" spans="2:24" ht="12.6" thickBot="1">
      <c r="B33" s="307" t="s">
        <v>408</v>
      </c>
      <c r="D33" s="293"/>
      <c r="J33" s="176">
        <f>OTE!E10</f>
        <v>394.26974885173712</v>
      </c>
      <c r="K33" s="304"/>
    </row>
    <row r="34" spans="2:24" ht="12.6" thickBot="1">
      <c r="B34" s="305" t="s">
        <v>409</v>
      </c>
      <c r="D34" s="293"/>
      <c r="J34" s="358">
        <f>J32/J33</f>
        <v>21.196741224455806</v>
      </c>
      <c r="K34" s="304"/>
    </row>
    <row r="35" spans="2:24">
      <c r="B35" s="307" t="s">
        <v>624</v>
      </c>
      <c r="D35" s="293"/>
      <c r="J35" s="374">
        <v>0.87739999999999996</v>
      </c>
      <c r="K35" s="304"/>
    </row>
    <row r="36" spans="2:24">
      <c r="B36" s="307" t="s">
        <v>1175</v>
      </c>
      <c r="D36" s="293"/>
      <c r="J36" s="374"/>
    </row>
    <row r="37" spans="2:24" ht="12.6" thickBot="1">
      <c r="B37" s="307" t="s">
        <v>920</v>
      </c>
      <c r="D37" s="293"/>
      <c r="J37" s="374"/>
      <c r="K37" s="304"/>
    </row>
    <row r="38" spans="2:24" ht="12.6" thickBot="1">
      <c r="B38" s="305" t="s">
        <v>55</v>
      </c>
      <c r="D38" s="293"/>
      <c r="J38" s="358">
        <f>J34+J35+J36+J37</f>
        <v>22.074141224455808</v>
      </c>
      <c r="K38" s="304"/>
    </row>
    <row r="39" spans="2:24">
      <c r="B39" s="307" t="s">
        <v>410</v>
      </c>
      <c r="D39" s="293"/>
      <c r="J39" s="296">
        <f>Prices!C12</f>
        <v>18.29</v>
      </c>
    </row>
    <row r="40" spans="2:24">
      <c r="B40" s="305" t="s">
        <v>84</v>
      </c>
      <c r="D40" s="269"/>
      <c r="E40" s="304"/>
      <c r="F40" s="304"/>
      <c r="G40" s="304"/>
      <c r="H40" s="304"/>
      <c r="I40" s="304"/>
      <c r="J40" s="310">
        <f>J38/J39-1</f>
        <v>0.20689673179091361</v>
      </c>
      <c r="K40" s="304"/>
    </row>
    <row r="41" spans="2:24">
      <c r="D41" s="299"/>
      <c r="E41" s="269"/>
      <c r="H41" s="304"/>
      <c r="I41" s="304"/>
      <c r="K41" s="304"/>
    </row>
    <row r="42" spans="2:24">
      <c r="D42" s="269"/>
      <c r="E42" s="269"/>
      <c r="F42" s="269"/>
      <c r="G42" s="269"/>
      <c r="H42" s="269"/>
      <c r="I42" s="269"/>
      <c r="K42" s="304"/>
    </row>
    <row r="43" spans="2:24">
      <c r="D43" s="269"/>
      <c r="E43" s="269"/>
      <c r="F43" s="269"/>
      <c r="G43" s="269"/>
      <c r="H43" s="269"/>
      <c r="I43" s="269"/>
    </row>
    <row r="44" spans="2:24" ht="12.6" thickBot="1">
      <c r="D44" s="269"/>
      <c r="E44" s="269"/>
      <c r="F44" s="269"/>
      <c r="G44" s="269"/>
      <c r="H44" s="269"/>
      <c r="I44" s="269"/>
      <c r="T44" s="357" t="s">
        <v>452</v>
      </c>
      <c r="U44" s="291"/>
      <c r="V44" s="291"/>
      <c r="W44" s="291"/>
      <c r="X44" s="291"/>
    </row>
    <row r="45" spans="2:24" ht="12.6" thickTop="1">
      <c r="D45" s="293"/>
      <c r="E45" s="293"/>
      <c r="F45" s="293"/>
      <c r="G45" s="293"/>
      <c r="H45" s="293"/>
      <c r="I45" s="293"/>
      <c r="T45" s="293" t="s">
        <v>458</v>
      </c>
      <c r="X45" s="313">
        <f>R12/R19</f>
        <v>1</v>
      </c>
    </row>
    <row r="46" spans="2:24">
      <c r="D46" s="293"/>
      <c r="E46" s="293"/>
      <c r="F46" s="293"/>
      <c r="G46" s="293"/>
      <c r="H46" s="293"/>
      <c r="I46" s="293"/>
      <c r="T46" s="293" t="s">
        <v>112</v>
      </c>
      <c r="X46" s="313">
        <f>R11/R19</f>
        <v>0.78341092143188318</v>
      </c>
    </row>
    <row r="47" spans="2:24">
      <c r="D47" s="293"/>
      <c r="E47" s="293"/>
      <c r="F47" s="293"/>
      <c r="G47" s="293"/>
      <c r="H47" s="293"/>
      <c r="I47" s="293"/>
      <c r="T47" s="293" t="s">
        <v>120</v>
      </c>
      <c r="X47" s="313">
        <f>1-X46-X45</f>
        <v>-0.78341092143188318</v>
      </c>
    </row>
    <row r="48" spans="2:24">
      <c r="D48" s="269"/>
      <c r="E48" s="269"/>
      <c r="F48" s="269"/>
      <c r="G48" s="269"/>
      <c r="H48" s="269"/>
      <c r="I48" s="269"/>
    </row>
    <row r="49" spans="4:18">
      <c r="D49" s="269"/>
      <c r="E49" s="269"/>
      <c r="F49" s="269"/>
      <c r="G49" s="269"/>
      <c r="H49" s="269"/>
      <c r="I49" s="269"/>
    </row>
    <row r="50" spans="4:18">
      <c r="D50" s="269"/>
      <c r="E50" s="269"/>
      <c r="F50" s="269"/>
      <c r="G50" s="269"/>
      <c r="H50" s="269"/>
      <c r="I50" s="269"/>
    </row>
    <row r="51" spans="4:18">
      <c r="D51" s="269"/>
      <c r="E51" s="304"/>
      <c r="F51" s="304"/>
      <c r="G51" s="304"/>
      <c r="H51" s="304"/>
      <c r="I51" s="304"/>
    </row>
    <row r="52" spans="4:18">
      <c r="D52" s="269"/>
      <c r="E52" s="304"/>
      <c r="F52" s="304"/>
      <c r="G52" s="304"/>
      <c r="H52" s="304"/>
      <c r="I52" s="304"/>
    </row>
    <row r="53" spans="4:18">
      <c r="D53" s="293"/>
      <c r="E53" s="304"/>
      <c r="F53" s="304"/>
      <c r="G53" s="304"/>
      <c r="H53" s="304"/>
      <c r="I53" s="304"/>
    </row>
    <row r="54" spans="4:18">
      <c r="D54" s="293"/>
      <c r="E54" s="304"/>
      <c r="F54" s="304"/>
      <c r="G54" s="304"/>
      <c r="H54" s="304"/>
      <c r="I54" s="304"/>
      <c r="Q54" s="209"/>
      <c r="R54" s="209"/>
    </row>
    <row r="55" spans="4:18">
      <c r="D55" s="293"/>
      <c r="M55" s="209"/>
      <c r="N55" s="209"/>
      <c r="O55" s="209"/>
      <c r="Q55" s="311"/>
      <c r="R55" s="311"/>
    </row>
    <row r="56" spans="4:18">
      <c r="D56" s="269"/>
      <c r="E56" s="304"/>
      <c r="F56" s="304"/>
      <c r="G56" s="304"/>
      <c r="H56" s="304"/>
      <c r="I56" s="304"/>
      <c r="L56" s="209"/>
      <c r="N56" s="311"/>
      <c r="O56" s="311"/>
      <c r="P56" s="209"/>
    </row>
    <row r="57" spans="4:18">
      <c r="D57" s="293"/>
      <c r="E57" s="304"/>
      <c r="F57" s="304"/>
      <c r="G57" s="304"/>
      <c r="H57" s="304"/>
      <c r="I57" s="304"/>
      <c r="P57" s="311"/>
    </row>
  </sheetData>
  <phoneticPr fontId="26" type="noConversion"/>
  <pageMargins left="0.75" right="0.75" top="1" bottom="1" header="0.5" footer="0.5"/>
  <pageSetup scale="45"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67">
    <pageSetUpPr fitToPage="1"/>
  </sheetPr>
  <dimension ref="B1:X55"/>
  <sheetViews>
    <sheetView showGridLines="0" zoomScale="80" zoomScaleNormal="80" workbookViewId="0">
      <selection activeCell="O43" sqref="O43"/>
    </sheetView>
  </sheetViews>
  <sheetFormatPr defaultColWidth="9.109375" defaultRowHeight="12"/>
  <cols>
    <col min="1" max="1" width="2.33203125" style="290" customWidth="1"/>
    <col min="2" max="4" width="10" style="290" customWidth="1"/>
    <col min="5" max="5" width="18.554687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1155</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686</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21</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s="304" customFormat="1">
      <c r="B11" s="269" t="s">
        <v>1183</v>
      </c>
      <c r="E11" s="304" t="str">
        <f>"DCF, "&amp;TEXT(H11,"0.0")&amp;"x 26E FCF"</f>
        <v>DCF, 23.0x 26E FCF</v>
      </c>
      <c r="F11" s="458">
        <v>394.46305712051441</v>
      </c>
      <c r="G11" s="339" t="s">
        <v>113</v>
      </c>
      <c r="H11" s="370">
        <v>23.003923070136267</v>
      </c>
      <c r="I11" s="339" t="s">
        <v>114</v>
      </c>
      <c r="J11" s="487">
        <f>(H11*F11)</f>
        <v>9074.1978200110807</v>
      </c>
      <c r="K11" s="157"/>
      <c r="L11" s="157"/>
      <c r="M11" s="157"/>
      <c r="N11" s="157">
        <f>J11-L11</f>
        <v>9074.1978200110807</v>
      </c>
      <c r="O11" s="157"/>
      <c r="P11" s="372">
        <v>1</v>
      </c>
      <c r="Q11" s="157"/>
      <c r="R11" s="170">
        <f>P11*N11</f>
        <v>9074.1978200110807</v>
      </c>
      <c r="S11" s="170"/>
      <c r="T11" s="170">
        <f>N11-R11</f>
        <v>0</v>
      </c>
      <c r="U11" s="170"/>
      <c r="V11" s="310">
        <f>N11/$J$38</f>
        <v>2.0919112281247498</v>
      </c>
      <c r="W11" s="269"/>
      <c r="X11" s="295">
        <f>$J$42*V11</f>
        <v>28.02743433743257</v>
      </c>
    </row>
    <row r="12" spans="2:24" s="304" customFormat="1">
      <c r="B12" s="293"/>
      <c r="E12" s="290"/>
      <c r="F12" s="290"/>
      <c r="G12" s="290"/>
      <c r="H12" s="290"/>
      <c r="I12" s="290"/>
      <c r="J12" s="469"/>
      <c r="K12" s="157"/>
      <c r="L12" s="157"/>
      <c r="M12" s="157"/>
      <c r="N12" s="157"/>
      <c r="O12" s="157"/>
      <c r="P12" s="157"/>
      <c r="Q12" s="157"/>
      <c r="R12" s="170"/>
      <c r="S12" s="170"/>
      <c r="T12" s="170"/>
      <c r="U12" s="170"/>
      <c r="V12" s="310"/>
      <c r="W12" s="269"/>
      <c r="X12" s="295"/>
    </row>
    <row r="13" spans="2:24" s="304" customFormat="1">
      <c r="B13" s="293" t="s">
        <v>1275</v>
      </c>
      <c r="E13" s="290"/>
      <c r="F13" s="290"/>
      <c r="G13" s="290"/>
      <c r="H13" s="290"/>
      <c r="I13" s="290"/>
      <c r="J13" s="405">
        <v>99.666393506598567</v>
      </c>
      <c r="K13" s="157"/>
      <c r="L13" s="157"/>
      <c r="M13" s="157"/>
      <c r="N13" s="142">
        <f>J13-L13</f>
        <v>99.666393506598567</v>
      </c>
      <c r="O13" s="157"/>
      <c r="P13" s="379">
        <v>1</v>
      </c>
      <c r="Q13" s="157"/>
      <c r="R13" s="176">
        <f>P13*N13</f>
        <v>99.666393506598567</v>
      </c>
      <c r="S13" s="170"/>
      <c r="T13" s="170"/>
      <c r="U13" s="170"/>
      <c r="V13" s="310"/>
      <c r="W13" s="269"/>
      <c r="X13" s="295"/>
    </row>
    <row r="14" spans="2:24" s="304" customFormat="1">
      <c r="B14" s="293" t="s">
        <v>1276</v>
      </c>
      <c r="E14" s="290"/>
      <c r="F14" s="290"/>
      <c r="G14" s="290"/>
      <c r="H14" s="290"/>
      <c r="I14" s="290"/>
      <c r="J14" s="405">
        <v>358.79901662375488</v>
      </c>
      <c r="K14" s="157"/>
      <c r="L14" s="157"/>
      <c r="M14" s="157"/>
      <c r="N14" s="142">
        <f t="shared" ref="N14:N15" si="0">J14-L14</f>
        <v>358.79901662375488</v>
      </c>
      <c r="O14" s="157"/>
      <c r="P14" s="379">
        <v>0.65460000000000007</v>
      </c>
      <c r="Q14" s="157"/>
      <c r="R14" s="176">
        <f>P14*N14</f>
        <v>234.86983628190998</v>
      </c>
      <c r="S14" s="170"/>
      <c r="T14" s="170"/>
      <c r="U14" s="170"/>
      <c r="V14" s="310"/>
      <c r="W14" s="269"/>
      <c r="X14" s="295"/>
    </row>
    <row r="15" spans="2:24" s="304" customFormat="1">
      <c r="B15" s="293" t="s">
        <v>1277</v>
      </c>
      <c r="E15" s="290"/>
      <c r="F15" s="290"/>
      <c r="G15" s="290"/>
      <c r="H15" s="290"/>
      <c r="I15" s="290"/>
      <c r="J15" s="405">
        <v>656.44678841803739</v>
      </c>
      <c r="K15" s="157"/>
      <c r="L15" s="157"/>
      <c r="M15" s="157"/>
      <c r="N15" s="142">
        <f t="shared" si="0"/>
        <v>656.44678841803739</v>
      </c>
      <c r="O15" s="157"/>
      <c r="P15" s="379">
        <v>0.87280000000000002</v>
      </c>
      <c r="Q15" s="157"/>
      <c r="R15" s="176">
        <f>P15*N15</f>
        <v>572.94675693126305</v>
      </c>
      <c r="S15" s="170"/>
      <c r="T15" s="170"/>
      <c r="U15" s="170"/>
      <c r="V15" s="310"/>
      <c r="W15" s="269"/>
      <c r="X15" s="295"/>
    </row>
    <row r="16" spans="2:24" s="304" customFormat="1">
      <c r="B16" s="269" t="s">
        <v>1278</v>
      </c>
      <c r="C16" s="269"/>
      <c r="E16" s="304" t="str">
        <f>"DCF, "&amp;TEXT(H16,"0.0")&amp;"x 26E FCF"</f>
        <v>DCF, 21.5x 26E FCF</v>
      </c>
      <c r="F16" s="458">
        <v>51.774390000000004</v>
      </c>
      <c r="G16" s="339" t="s">
        <v>113</v>
      </c>
      <c r="H16" s="370">
        <v>21.534047982958189</v>
      </c>
      <c r="I16" s="339" t="s">
        <v>114</v>
      </c>
      <c r="J16" s="498">
        <f>SUM(J13:J15)</f>
        <v>1114.9121985483907</v>
      </c>
      <c r="K16" s="157"/>
      <c r="L16" s="157"/>
      <c r="M16" s="157"/>
      <c r="N16" s="297">
        <f>N15+N14+N13</f>
        <v>1114.9121985483907</v>
      </c>
      <c r="O16" s="157" t="s">
        <v>113</v>
      </c>
      <c r="P16" s="171">
        <f>R16/N16</f>
        <v>0.81395018181818191</v>
      </c>
      <c r="Q16" s="292" t="s">
        <v>114</v>
      </c>
      <c r="R16" s="297">
        <f>R15+R14+R13</f>
        <v>907.48298671977159</v>
      </c>
      <c r="S16" s="170"/>
      <c r="T16" s="297">
        <f>N16-R16</f>
        <v>207.42921182861915</v>
      </c>
      <c r="U16" s="170"/>
      <c r="V16" s="459">
        <f>N16/$J$38</f>
        <v>0.25702518203573627</v>
      </c>
      <c r="W16" s="269"/>
      <c r="X16" s="460">
        <f>$J$42*V16</f>
        <v>3.4436243353552385</v>
      </c>
    </row>
    <row r="17" spans="2:24" s="304" customFormat="1">
      <c r="B17" s="293"/>
      <c r="C17" s="269"/>
      <c r="E17" s="290"/>
      <c r="F17" s="290"/>
      <c r="G17" s="290"/>
      <c r="H17" s="290"/>
      <c r="I17" s="290"/>
      <c r="J17" s="290"/>
      <c r="K17" s="290"/>
      <c r="L17" s="290"/>
      <c r="M17" s="290"/>
      <c r="N17" s="290"/>
      <c r="O17" s="290"/>
      <c r="P17" s="290"/>
      <c r="Q17" s="292"/>
      <c r="R17" s="170"/>
      <c r="S17" s="170"/>
      <c r="T17" s="170"/>
      <c r="U17" s="170"/>
      <c r="V17" s="294"/>
      <c r="W17" s="269"/>
      <c r="X17" s="295"/>
    </row>
    <row r="18" spans="2:24">
      <c r="B18" s="269" t="s">
        <v>117</v>
      </c>
      <c r="C18" s="293"/>
      <c r="F18" s="340"/>
      <c r="G18" s="339"/>
      <c r="H18" s="295"/>
      <c r="I18" s="299"/>
      <c r="J18" s="340">
        <f>J11+J16</f>
        <v>10189.110018559471</v>
      </c>
      <c r="K18" s="157" t="s">
        <v>115</v>
      </c>
      <c r="L18" s="369">
        <f>-J31</f>
        <v>4290.7832370351352</v>
      </c>
      <c r="M18" s="157" t="s">
        <v>114</v>
      </c>
      <c r="N18" s="170">
        <f>J18-L18</f>
        <v>5898.3267815243362</v>
      </c>
      <c r="P18" s="300"/>
      <c r="Q18" s="301"/>
      <c r="R18" s="170">
        <f>SUM(R11:R15)</f>
        <v>9981.6808067308539</v>
      </c>
      <c r="S18" s="293"/>
      <c r="T18" s="170">
        <f>SUM(T11:T16)</f>
        <v>207.42921182861915</v>
      </c>
      <c r="U18" s="293"/>
      <c r="V18" s="310">
        <f>N18/$J$38</f>
        <v>1.3597649363792039</v>
      </c>
      <c r="W18" s="293"/>
      <c r="X18" s="295">
        <f>$J$42*V18</f>
        <v>18.218135624653097</v>
      </c>
    </row>
    <row r="19" spans="2:24">
      <c r="B19" s="269"/>
      <c r="C19" s="293"/>
      <c r="F19" s="340"/>
      <c r="G19" s="339"/>
      <c r="H19" s="295"/>
      <c r="I19" s="299"/>
      <c r="J19" s="340"/>
      <c r="K19" s="340"/>
      <c r="L19" s="340"/>
      <c r="M19" s="157"/>
      <c r="N19" s="170"/>
      <c r="P19" s="300"/>
      <c r="Q19" s="301"/>
      <c r="R19" s="170"/>
      <c r="S19" s="293"/>
      <c r="T19" s="170"/>
      <c r="U19" s="293"/>
      <c r="V19" s="310"/>
      <c r="W19" s="293"/>
      <c r="X19" s="295"/>
    </row>
    <row r="20" spans="2:24">
      <c r="B20" s="293" t="s">
        <v>1184</v>
      </c>
      <c r="C20" s="293"/>
      <c r="F20" s="170"/>
      <c r="G20" s="157"/>
      <c r="H20" s="295"/>
      <c r="I20" s="299"/>
      <c r="J20" s="157"/>
      <c r="K20" s="298"/>
      <c r="L20" s="320"/>
      <c r="M20" s="157"/>
      <c r="N20" s="405"/>
      <c r="O20" s="142" t="s">
        <v>113</v>
      </c>
      <c r="P20" s="379">
        <v>0.51</v>
      </c>
      <c r="Q20" s="312" t="s">
        <v>114</v>
      </c>
      <c r="R20" s="176">
        <f>P20*N20</f>
        <v>0</v>
      </c>
      <c r="T20" s="157"/>
    </row>
    <row r="21" spans="2:24">
      <c r="B21" s="293" t="s">
        <v>1185</v>
      </c>
      <c r="C21" s="293"/>
      <c r="F21" s="170"/>
      <c r="G21" s="157"/>
      <c r="H21" s="295"/>
      <c r="I21" s="299"/>
      <c r="J21" s="157"/>
      <c r="K21" s="298"/>
      <c r="L21" s="320"/>
      <c r="M21" s="157"/>
      <c r="N21" s="405">
        <v>299.46068756207103</v>
      </c>
      <c r="O21" s="142" t="s">
        <v>113</v>
      </c>
      <c r="P21" s="379">
        <v>0.51</v>
      </c>
      <c r="Q21" s="312" t="s">
        <v>114</v>
      </c>
      <c r="R21" s="176">
        <f>P21*N21</f>
        <v>152.72495065665623</v>
      </c>
      <c r="T21" s="157"/>
    </row>
    <row r="22" spans="2:24">
      <c r="B22" s="293" t="s">
        <v>1186</v>
      </c>
      <c r="C22" s="293"/>
      <c r="F22" s="170"/>
      <c r="G22" s="157"/>
      <c r="H22" s="295"/>
      <c r="I22" s="299"/>
      <c r="J22" s="157"/>
      <c r="K22" s="298"/>
      <c r="L22" s="320"/>
      <c r="M22" s="157"/>
      <c r="N22" s="405">
        <v>60.395485148986943</v>
      </c>
      <c r="O22" s="142" t="s">
        <v>113</v>
      </c>
      <c r="P22" s="379">
        <v>0.51</v>
      </c>
      <c r="Q22" s="312" t="s">
        <v>114</v>
      </c>
      <c r="R22" s="176">
        <f>P22*N22</f>
        <v>30.801697425983342</v>
      </c>
      <c r="T22" s="157"/>
    </row>
    <row r="23" spans="2:24">
      <c r="B23" s="293" t="s">
        <v>1187</v>
      </c>
      <c r="C23" s="293"/>
      <c r="F23" s="170"/>
      <c r="G23" s="157"/>
      <c r="H23" s="295"/>
      <c r="I23" s="299"/>
      <c r="J23" s="157"/>
      <c r="K23" s="298"/>
      <c r="L23" s="320"/>
      <c r="M23" s="157"/>
      <c r="N23" s="387">
        <v>0</v>
      </c>
      <c r="O23" s="142" t="s">
        <v>113</v>
      </c>
      <c r="P23" s="470">
        <v>0.51</v>
      </c>
      <c r="Q23" s="312" t="s">
        <v>114</v>
      </c>
      <c r="R23" s="308">
        <f>P23*N23</f>
        <v>0</v>
      </c>
      <c r="T23" s="471"/>
    </row>
    <row r="24" spans="2:24">
      <c r="B24" s="269" t="s">
        <v>1188</v>
      </c>
      <c r="C24" s="293"/>
      <c r="F24" s="176"/>
      <c r="G24" s="142"/>
      <c r="H24" s="296"/>
      <c r="I24" s="321"/>
      <c r="J24" s="142"/>
      <c r="K24" s="142"/>
      <c r="L24" s="142"/>
      <c r="M24" s="142"/>
      <c r="N24" s="458">
        <v>359.85617271105798</v>
      </c>
      <c r="O24" s="157" t="s">
        <v>113</v>
      </c>
      <c r="P24" s="372">
        <v>0.51</v>
      </c>
      <c r="Q24" s="312" t="s">
        <v>114</v>
      </c>
      <c r="R24" s="170">
        <f>P24*N24</f>
        <v>183.52664808263958</v>
      </c>
      <c r="T24" s="157">
        <f>N24-R24</f>
        <v>176.3295246284184</v>
      </c>
    </row>
    <row r="25" spans="2:24">
      <c r="B25" s="293"/>
      <c r="C25" s="293"/>
      <c r="F25" s="176"/>
      <c r="G25" s="142"/>
      <c r="H25" s="296"/>
      <c r="I25" s="321"/>
      <c r="J25" s="142"/>
      <c r="K25" s="322"/>
      <c r="L25" s="168"/>
      <c r="M25" s="142"/>
      <c r="N25" s="176"/>
      <c r="P25" s="382"/>
      <c r="Q25" s="383"/>
      <c r="R25" s="176"/>
      <c r="T25" s="142"/>
    </row>
    <row r="26" spans="2:24">
      <c r="B26" s="293" t="s">
        <v>118</v>
      </c>
      <c r="C26" s="293"/>
      <c r="F26" s="176"/>
      <c r="G26" s="142"/>
      <c r="H26" s="296"/>
      <c r="I26" s="321"/>
      <c r="J26" s="322"/>
      <c r="K26" s="322"/>
      <c r="L26" s="142"/>
      <c r="M26" s="142"/>
      <c r="N26" s="293"/>
      <c r="P26" s="382"/>
      <c r="Q26" s="383"/>
      <c r="R26" s="293"/>
    </row>
    <row r="27" spans="2:24">
      <c r="B27" s="293" t="s">
        <v>20</v>
      </c>
      <c r="C27" s="293"/>
      <c r="E27" s="290" t="s">
        <v>116</v>
      </c>
      <c r="F27" s="373">
        <v>335.45370642857142</v>
      </c>
      <c r="G27" s="142" t="s">
        <v>113</v>
      </c>
      <c r="H27" s="174">
        <f>J43</f>
        <v>6.63</v>
      </c>
      <c r="I27" s="142" t="s">
        <v>114</v>
      </c>
      <c r="N27" s="176">
        <f>(F27*H27)</f>
        <v>2224.0580736214283</v>
      </c>
      <c r="O27" s="142" t="s">
        <v>113</v>
      </c>
      <c r="P27" s="379">
        <v>0</v>
      </c>
      <c r="Q27" s="312" t="s">
        <v>114</v>
      </c>
      <c r="R27" s="308">
        <f>P27*N27</f>
        <v>0</v>
      </c>
    </row>
    <row r="28" spans="2:24">
      <c r="B28" s="269" t="s">
        <v>117</v>
      </c>
      <c r="C28" s="293"/>
      <c r="R28" s="170">
        <f>R27</f>
        <v>0</v>
      </c>
    </row>
    <row r="29" spans="2:24">
      <c r="D29" s="269"/>
      <c r="E29" s="304"/>
      <c r="F29" s="304"/>
      <c r="G29" s="304"/>
      <c r="H29" s="304"/>
      <c r="I29" s="304"/>
      <c r="J29" s="304"/>
      <c r="K29" s="304"/>
    </row>
    <row r="30" spans="2:24" ht="12.6" thickBot="1">
      <c r="B30" s="305" t="s">
        <v>121</v>
      </c>
      <c r="D30" s="269"/>
      <c r="E30" s="304"/>
      <c r="H30" s="304"/>
      <c r="I30" s="304"/>
      <c r="J30" s="297">
        <f>J18</f>
        <v>10189.110018559471</v>
      </c>
      <c r="L30" s="341"/>
      <c r="T30" s="357" t="s">
        <v>452</v>
      </c>
      <c r="U30" s="401"/>
      <c r="V30" s="401"/>
      <c r="W30" s="401"/>
      <c r="X30" s="401"/>
    </row>
    <row r="31" spans="2:24" ht="12.6" thickTop="1">
      <c r="B31" s="306" t="s">
        <v>1086</v>
      </c>
      <c r="D31" s="309"/>
      <c r="E31" s="304"/>
      <c r="G31" s="304"/>
      <c r="H31" s="304"/>
      <c r="I31" s="304"/>
      <c r="J31" s="176">
        <f>-PROX!E12</f>
        <v>-4290.7832370351352</v>
      </c>
      <c r="L31" s="341"/>
    </row>
    <row r="32" spans="2:24">
      <c r="B32" s="307" t="s">
        <v>1189</v>
      </c>
      <c r="D32" s="269"/>
      <c r="E32" s="304"/>
      <c r="G32" s="304"/>
      <c r="H32" s="304"/>
      <c r="I32" s="304"/>
      <c r="J32" s="373">
        <v>-486.69168660111364</v>
      </c>
      <c r="L32" s="341"/>
    </row>
    <row r="33" spans="2:24">
      <c r="B33" s="307" t="s">
        <v>1190</v>
      </c>
      <c r="D33" s="269"/>
      <c r="E33" s="304"/>
      <c r="G33" s="304"/>
      <c r="H33" s="304"/>
      <c r="I33" s="304"/>
      <c r="J33" s="373">
        <v>-283.10276747378907</v>
      </c>
      <c r="L33" s="341"/>
    </row>
    <row r="34" spans="2:24">
      <c r="B34" s="307" t="s">
        <v>333</v>
      </c>
      <c r="D34" s="269"/>
      <c r="E34" s="304"/>
      <c r="G34" s="304"/>
      <c r="H34" s="304"/>
      <c r="I34" s="304"/>
      <c r="J34" s="373">
        <v>163.71707598670352</v>
      </c>
      <c r="K34" s="304"/>
      <c r="L34" s="341"/>
    </row>
    <row r="35" spans="2:24">
      <c r="B35" s="307" t="s">
        <v>1300</v>
      </c>
      <c r="D35" s="269"/>
      <c r="E35" s="304"/>
      <c r="H35" s="304"/>
      <c r="I35" s="304"/>
      <c r="J35" s="373">
        <v>-570.73593914322782</v>
      </c>
      <c r="K35" s="290" t="s">
        <v>1191</v>
      </c>
      <c r="L35" s="341"/>
    </row>
    <row r="36" spans="2:24">
      <c r="B36" s="307" t="s">
        <v>840</v>
      </c>
      <c r="J36" s="176">
        <f>-T24+-T18</f>
        <v>-383.75873645703757</v>
      </c>
      <c r="K36" s="304"/>
      <c r="L36" s="326"/>
    </row>
    <row r="37" spans="2:24">
      <c r="B37" s="307" t="s">
        <v>859</v>
      </c>
      <c r="J37" s="342">
        <v>0</v>
      </c>
      <c r="K37" s="304"/>
      <c r="L37" s="326"/>
    </row>
    <row r="38" spans="2:24">
      <c r="B38" s="305" t="s">
        <v>407</v>
      </c>
      <c r="D38" s="269"/>
      <c r="E38" s="304"/>
      <c r="G38" s="304"/>
      <c r="H38" s="304"/>
      <c r="I38" s="304"/>
      <c r="J38" s="170">
        <f>SUM(J30:J37)</f>
        <v>4337.7547278358725</v>
      </c>
      <c r="K38" s="304"/>
      <c r="L38" s="326"/>
    </row>
    <row r="39" spans="2:24" ht="12.6" thickBot="1">
      <c r="B39" s="307" t="s">
        <v>408</v>
      </c>
      <c r="D39" s="293"/>
      <c r="J39" s="176">
        <f>PROX!E10</f>
        <v>323.76127299999996</v>
      </c>
      <c r="K39" s="304"/>
      <c r="L39" s="326"/>
    </row>
    <row r="40" spans="2:24" ht="12.6" thickBot="1">
      <c r="B40" s="305" t="s">
        <v>409</v>
      </c>
      <c r="D40" s="293"/>
      <c r="J40" s="358">
        <f>J38/J39</f>
        <v>13.398003682286834</v>
      </c>
      <c r="K40" s="304"/>
      <c r="L40" s="326"/>
    </row>
    <row r="41" spans="2:24" ht="12.6" thickBot="1">
      <c r="B41" s="307" t="s">
        <v>574</v>
      </c>
      <c r="D41" s="293"/>
      <c r="J41" s="374"/>
      <c r="K41" s="304"/>
      <c r="L41" s="326"/>
    </row>
    <row r="42" spans="2:24" ht="12.6" thickBot="1">
      <c r="B42" s="305" t="s">
        <v>55</v>
      </c>
      <c r="D42" s="293"/>
      <c r="J42" s="358">
        <f>J40+J41</f>
        <v>13.398003682286834</v>
      </c>
      <c r="L42" s="326"/>
    </row>
    <row r="43" spans="2:24">
      <c r="B43" s="307" t="s">
        <v>410</v>
      </c>
      <c r="D43" s="293"/>
      <c r="J43" s="296">
        <f>Prices!C13</f>
        <v>6.63</v>
      </c>
      <c r="K43" s="304"/>
      <c r="L43" s="326"/>
    </row>
    <row r="44" spans="2:24">
      <c r="B44" s="305" t="s">
        <v>84</v>
      </c>
      <c r="D44" s="269"/>
      <c r="E44" s="304"/>
      <c r="H44" s="304"/>
      <c r="I44" s="304"/>
      <c r="J44" s="310">
        <f>J42/J43-1</f>
        <v>1.0208150350357217</v>
      </c>
      <c r="K44" s="304"/>
    </row>
    <row r="45" spans="2:24" ht="12.6" thickBot="1">
      <c r="B45" s="307"/>
      <c r="D45" s="293"/>
      <c r="J45" s="327"/>
      <c r="T45" s="357" t="s">
        <v>452</v>
      </c>
      <c r="U45" s="291"/>
      <c r="V45" s="291"/>
      <c r="W45" s="291"/>
      <c r="X45" s="291"/>
    </row>
    <row r="46" spans="2:24" ht="12.6" thickTop="1">
      <c r="B46" s="305"/>
      <c r="D46" s="269"/>
      <c r="E46" s="304"/>
      <c r="F46" s="304"/>
      <c r="G46" s="304"/>
      <c r="H46" s="304"/>
      <c r="I46" s="304"/>
      <c r="J46" s="310"/>
      <c r="K46" s="304"/>
      <c r="T46" s="293" t="s">
        <v>1192</v>
      </c>
      <c r="X46" s="175">
        <f>J11/($J$30+$R$24)</f>
        <v>0.87482075306785345</v>
      </c>
    </row>
    <row r="47" spans="2:24">
      <c r="D47" s="269"/>
      <c r="E47" s="304"/>
      <c r="F47" s="304"/>
      <c r="G47" s="304"/>
      <c r="H47" s="304"/>
      <c r="I47" s="304"/>
      <c r="J47" s="304"/>
      <c r="K47" s="304"/>
      <c r="T47" s="293" t="s">
        <v>1193</v>
      </c>
      <c r="X47" s="175">
        <f>J16/($J$30+$R$24)</f>
        <v>0.10748590106639844</v>
      </c>
    </row>
    <row r="48" spans="2:24">
      <c r="D48" s="269"/>
      <c r="E48" s="304"/>
      <c r="F48" s="304"/>
      <c r="G48" s="304"/>
      <c r="H48" s="304"/>
      <c r="I48" s="304"/>
      <c r="J48" s="304"/>
      <c r="T48" s="293" t="s">
        <v>1079</v>
      </c>
      <c r="X48" s="175">
        <f>R24/($J$30+$R$24)</f>
        <v>1.7693345865748122E-2</v>
      </c>
    </row>
    <row r="49" spans="4:10">
      <c r="D49" s="269"/>
      <c r="E49" s="304"/>
      <c r="F49" s="304"/>
      <c r="G49" s="304"/>
      <c r="H49" s="304"/>
      <c r="I49" s="304"/>
      <c r="J49" s="304"/>
    </row>
    <row r="50" spans="4:10">
      <c r="E50" s="309"/>
      <c r="F50" s="304"/>
      <c r="G50" s="304"/>
      <c r="H50" s="304"/>
      <c r="I50" s="304"/>
      <c r="J50" s="304"/>
    </row>
    <row r="51" spans="4:10">
      <c r="E51" s="309"/>
      <c r="F51" s="304"/>
      <c r="G51" s="304"/>
      <c r="H51" s="304"/>
      <c r="I51" s="304"/>
      <c r="J51" s="304"/>
    </row>
    <row r="52" spans="4:10">
      <c r="D52" s="269"/>
      <c r="E52" s="269"/>
      <c r="F52" s="269"/>
      <c r="G52" s="269"/>
      <c r="H52" s="269"/>
      <c r="I52" s="269"/>
    </row>
    <row r="53" spans="4:10">
      <c r="D53" s="269"/>
      <c r="E53" s="269"/>
      <c r="F53" s="269"/>
      <c r="G53" s="269"/>
      <c r="H53" s="269"/>
      <c r="I53" s="269"/>
    </row>
    <row r="54" spans="4:10">
      <c r="D54" s="269"/>
      <c r="E54" s="269"/>
      <c r="F54" s="269"/>
      <c r="G54" s="269"/>
      <c r="H54" s="269"/>
      <c r="I54" s="269"/>
    </row>
    <row r="55" spans="4:10">
      <c r="D55" s="269"/>
      <c r="E55" s="269"/>
      <c r="F55" s="269"/>
      <c r="G55" s="269"/>
      <c r="H55" s="269"/>
      <c r="I55" s="269"/>
    </row>
  </sheetData>
  <phoneticPr fontId="26" type="noConversion"/>
  <pageMargins left="0.75" right="0.75" top="1" bottom="1" header="0.5" footer="0.5"/>
  <pageSetup scale="4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0">
    <pageSetUpPr fitToPage="1"/>
  </sheetPr>
  <dimension ref="B1:AR50"/>
  <sheetViews>
    <sheetView showGridLines="0" zoomScale="80" zoomScaleNormal="80" zoomScaleSheetLayoutView="80" workbookViewId="0">
      <selection activeCell="D10" sqref="D10"/>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809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134</v>
      </c>
      <c r="K7" s="249"/>
      <c r="L7" s="219" t="str">
        <f>L5</f>
        <v>2025E</v>
      </c>
      <c r="M7" s="219" t="str">
        <f t="shared" ref="M7:P7" si="1">M5</f>
        <v>2026E</v>
      </c>
      <c r="N7" s="219" t="str">
        <f t="shared" si="1"/>
        <v>2027E</v>
      </c>
      <c r="O7" s="219" t="str">
        <f t="shared" si="1"/>
        <v>2028E</v>
      </c>
      <c r="P7" s="219" t="str">
        <f t="shared" si="1"/>
        <v>2025-28</v>
      </c>
    </row>
    <row r="8" spans="2:44" ht="12.6" thickTop="1">
      <c r="I8" s="5"/>
      <c r="J8" s="5"/>
      <c r="K8" s="5"/>
      <c r="L8" s="5"/>
      <c r="M8" s="5"/>
      <c r="N8" s="5"/>
    </row>
    <row r="9" spans="2:44">
      <c r="B9" s="25" t="s">
        <v>13</v>
      </c>
      <c r="C9" s="241">
        <f>Prices!C49</f>
        <v>1.67</v>
      </c>
      <c r="D9" s="412">
        <v>0</v>
      </c>
      <c r="E9" s="413">
        <v>0</v>
      </c>
      <c r="F9" s="413">
        <v>0</v>
      </c>
      <c r="G9" s="413">
        <v>0</v>
      </c>
      <c r="H9" s="209"/>
      <c r="I9" s="209"/>
      <c r="J9" s="5" t="s">
        <v>225</v>
      </c>
      <c r="L9" s="406">
        <f>'US OTHER'!D37</f>
        <v>1.9448992788707078</v>
      </c>
      <c r="M9" s="406">
        <f>'US OTHER'!E37</f>
        <v>1.7372240544961668</v>
      </c>
      <c r="N9" s="406">
        <f>'US OTHER'!F37</f>
        <v>5.6262110480321352</v>
      </c>
      <c r="O9" s="406">
        <f>'US OTHER'!G37</f>
        <v>5.6032351257231809</v>
      </c>
      <c r="P9" s="14">
        <f>'US OTHER'!H37</f>
        <v>-0.33257921460153206</v>
      </c>
    </row>
    <row r="10" spans="2:44">
      <c r="B10" s="5" t="s">
        <v>226</v>
      </c>
      <c r="C10" s="5"/>
      <c r="D10" s="408">
        <v>455.03575000000001</v>
      </c>
      <c r="E10" s="408">
        <v>459.88150000000002</v>
      </c>
      <c r="F10" s="408">
        <v>464.86200000000002</v>
      </c>
      <c r="G10" s="408">
        <v>467.74400000000003</v>
      </c>
      <c r="H10" s="207"/>
      <c r="I10" s="207"/>
      <c r="J10" s="5" t="s">
        <v>158</v>
      </c>
      <c r="L10" s="406">
        <f>'US OTHER'!D38</f>
        <v>6.069327328391652</v>
      </c>
      <c r="M10" s="406">
        <f>'US OTHER'!E38</f>
        <v>5.3106733719878578</v>
      </c>
      <c r="N10" s="406">
        <f>'US OTHER'!F38</f>
        <v>18.343386419290955</v>
      </c>
      <c r="O10" s="406">
        <f>'US OTHER'!G38</f>
        <v>17.551992864337155</v>
      </c>
      <c r="P10" s="14">
        <f>'US OTHER'!H38</f>
        <v>-0.33342091865491441</v>
      </c>
    </row>
    <row r="11" spans="2:44">
      <c r="B11" s="25" t="s">
        <v>357</v>
      </c>
      <c r="C11" s="5"/>
      <c r="D11" s="409">
        <f>$C$9*D10</f>
        <v>759.90970249999998</v>
      </c>
      <c r="E11" s="409">
        <f>$C$9*E10</f>
        <v>768.00210500000003</v>
      </c>
      <c r="F11" s="409">
        <f>$C$9*F10</f>
        <v>776.31953999999996</v>
      </c>
      <c r="G11" s="409">
        <f>$C$9*G10</f>
        <v>781.13247999999999</v>
      </c>
      <c r="H11" s="209"/>
      <c r="I11" s="209"/>
      <c r="J11" s="5" t="s">
        <v>159</v>
      </c>
      <c r="L11" s="406">
        <f>'US OTHER'!D39</f>
        <v>10.211765759138748</v>
      </c>
      <c r="M11" s="406">
        <f>'US OTHER'!E39</f>
        <v>8.6799339956505754</v>
      </c>
      <c r="N11" s="406">
        <f>'US OTHER'!F39</f>
        <v>25.992725114565481</v>
      </c>
      <c r="O11" s="406">
        <f>'US OTHER'!G39</f>
        <v>26.185859943211955</v>
      </c>
      <c r="P11" s="14">
        <f>'US OTHER'!H39</f>
        <v>-0.30616164120376743</v>
      </c>
    </row>
    <row r="12" spans="2:44">
      <c r="B12" s="5" t="s">
        <v>22</v>
      </c>
      <c r="C12" s="209"/>
      <c r="D12" s="410">
        <v>24422</v>
      </c>
      <c r="E12" s="410">
        <v>24643</v>
      </c>
      <c r="F12" s="410">
        <v>24907</v>
      </c>
      <c r="G12" s="410">
        <v>25000</v>
      </c>
      <c r="H12" s="207"/>
      <c r="I12" s="207"/>
      <c r="J12" s="5" t="s">
        <v>381</v>
      </c>
      <c r="L12" s="406">
        <f>'US OTHER'!D40</f>
        <v>16.118705826454125</v>
      </c>
      <c r="M12" s="406">
        <f>'US OTHER'!E40</f>
        <v>13.452309527569609</v>
      </c>
      <c r="N12" s="406">
        <f>'US OTHER'!F40</f>
        <v>40.614455714863254</v>
      </c>
      <c r="O12" s="406">
        <f>'US OTHER'!G40</f>
        <v>41.106074462355956</v>
      </c>
      <c r="P12" s="14">
        <f>'US OTHER'!H40</f>
        <v>-0.30488761506476691</v>
      </c>
    </row>
    <row r="13" spans="2:44">
      <c r="B13" s="5" t="s">
        <v>433</v>
      </c>
      <c r="C13" s="216"/>
      <c r="D13" s="410">
        <v>0</v>
      </c>
      <c r="E13" s="410">
        <v>0</v>
      </c>
      <c r="F13" s="410">
        <v>0</v>
      </c>
      <c r="G13" s="410">
        <v>0</v>
      </c>
      <c r="H13" s="207"/>
      <c r="I13" s="207"/>
      <c r="J13" s="5" t="s">
        <v>434</v>
      </c>
      <c r="L13" s="406">
        <f>'US OTHER'!D41</f>
        <v>1.1340923293304117</v>
      </c>
      <c r="M13" s="406">
        <f>'US OTHER'!E41</f>
        <v>1.005279373520229</v>
      </c>
      <c r="N13" s="406">
        <f>'US OTHER'!F41</f>
        <v>0.95967974913193332</v>
      </c>
      <c r="O13" s="406">
        <f>'US OTHER'!G41</f>
        <v>0.92484866772176888</v>
      </c>
      <c r="P13" s="14">
        <f>'US OTHER'!H41</f>
        <v>1.6497272107954819E-2</v>
      </c>
    </row>
    <row r="14" spans="2:44">
      <c r="B14" s="5" t="s">
        <v>436</v>
      </c>
      <c r="C14" s="216"/>
      <c r="D14" s="410">
        <v>0</v>
      </c>
      <c r="E14" s="410">
        <v>0</v>
      </c>
      <c r="F14" s="410">
        <v>0</v>
      </c>
      <c r="G14" s="410">
        <v>0</v>
      </c>
      <c r="H14" s="207"/>
      <c r="I14" s="207"/>
      <c r="J14" s="5" t="s">
        <v>493</v>
      </c>
      <c r="L14" s="406">
        <f>'US OTHER'!D42</f>
        <v>3.3664790917806555</v>
      </c>
      <c r="M14" s="406">
        <f>'US OTHER'!E42</f>
        <v>2.8543110594235879</v>
      </c>
      <c r="N14" s="406">
        <f>'US OTHER'!F42</f>
        <v>2.6938137505758633</v>
      </c>
      <c r="O14" s="406">
        <f>'US OTHER'!G42</f>
        <v>2.6425352346819628</v>
      </c>
      <c r="P14" s="14">
        <f>'US OTHER'!H42</f>
        <v>2.9513430354334069E-2</v>
      </c>
    </row>
    <row r="15" spans="2:44">
      <c r="B15" s="5" t="s">
        <v>435</v>
      </c>
      <c r="C15" s="228"/>
      <c r="D15" s="410">
        <v>0</v>
      </c>
      <c r="E15" s="410">
        <v>0</v>
      </c>
      <c r="F15" s="410">
        <v>0</v>
      </c>
      <c r="G15" s="410">
        <v>0</v>
      </c>
      <c r="H15" s="207"/>
      <c r="I15" s="207"/>
      <c r="J15" s="5" t="s">
        <v>390</v>
      </c>
      <c r="L15" s="406">
        <f>'US OTHER'!D43</f>
        <v>3.7200206184242304</v>
      </c>
      <c r="M15" s="406">
        <f>'US OTHER'!E43</f>
        <v>3.437770454988351</v>
      </c>
      <c r="N15" s="406">
        <f>'US OTHER'!F43</f>
        <v>25.372719811664975</v>
      </c>
      <c r="O15" s="406">
        <f>'US OTHER'!G43</f>
        <v>22.610969699280545</v>
      </c>
      <c r="P15" s="14">
        <f>'US OTHER'!H43</f>
        <v>-0.46973269097347681</v>
      </c>
    </row>
    <row r="16" spans="2:44">
      <c r="B16" s="5" t="s">
        <v>438</v>
      </c>
      <c r="C16" s="216"/>
      <c r="D16" s="410">
        <v>0</v>
      </c>
      <c r="E16" s="410">
        <v>0</v>
      </c>
      <c r="F16" s="410">
        <v>0</v>
      </c>
      <c r="G16" s="410">
        <v>0</v>
      </c>
      <c r="H16" s="207"/>
      <c r="I16" s="207"/>
      <c r="J16" s="5" t="s">
        <v>437</v>
      </c>
      <c r="L16" s="406">
        <f>'US OTHER'!D44</f>
        <v>9.7501690793248272</v>
      </c>
      <c r="M16" s="406">
        <f>'US OTHER'!E44</f>
        <v>8.598979993169177</v>
      </c>
      <c r="N16" s="406">
        <f>'US OTHER'!F44</f>
        <v>513.96005321223572</v>
      </c>
      <c r="O16" s="406">
        <f>'US OTHER'!G44</f>
        <v>237.75826996986964</v>
      </c>
      <c r="P16" s="14">
        <f>'US OTHER'!H44</f>
        <v>-0.66392395881441313</v>
      </c>
    </row>
    <row r="17" spans="2:24">
      <c r="B17" s="5" t="s">
        <v>4</v>
      </c>
      <c r="C17" s="216"/>
      <c r="D17" s="410">
        <v>0</v>
      </c>
      <c r="E17" s="410">
        <v>0</v>
      </c>
      <c r="F17" s="410">
        <v>0</v>
      </c>
      <c r="G17" s="410">
        <v>0</v>
      </c>
      <c r="H17" s="207"/>
      <c r="I17" s="207"/>
      <c r="J17" s="5" t="s">
        <v>481</v>
      </c>
      <c r="L17" s="14">
        <f>'US OTHER'!D45</f>
        <v>2.3414031600891949E-2</v>
      </c>
      <c r="M17" s="14">
        <f>'US OTHER'!E45</f>
        <v>2.5520788230292895E-2</v>
      </c>
      <c r="N17" s="14">
        <f>'US OTHER'!F45</f>
        <v>0</v>
      </c>
      <c r="O17" s="14">
        <f>'US OTHER'!G45</f>
        <v>0</v>
      </c>
      <c r="P17" s="14" t="str">
        <f>'US OTHER'!H45</f>
        <v>nm</v>
      </c>
      <c r="S17" s="72"/>
      <c r="T17" s="26"/>
      <c r="U17" s="26"/>
      <c r="V17" s="26"/>
      <c r="W17" s="26"/>
      <c r="X17" s="26"/>
    </row>
    <row r="18" spans="2:24" ht="12.6" thickBot="1">
      <c r="B18" s="25" t="s">
        <v>423</v>
      </c>
      <c r="C18" s="209"/>
      <c r="D18" s="411">
        <f>D11+D12+D13-D14+D15-D16-D17</f>
        <v>25181.909702500001</v>
      </c>
      <c r="E18" s="411">
        <f>E11+E12+E13-E14+E15-E16-E17</f>
        <v>25411.002105</v>
      </c>
      <c r="F18" s="411">
        <f>F11+F12+F13-F14+F15-F16-F17</f>
        <v>25683.31954</v>
      </c>
      <c r="G18" s="411">
        <f>G11+G12+G13-G14+G15-G16-G17</f>
        <v>25781.13248</v>
      </c>
      <c r="H18" s="230">
        <f>IF(D18=0,"nm",IF(G18=0,"nm",(G18/D18)^(1/3)-1))</f>
        <v>7.8698246847628273E-3</v>
      </c>
      <c r="I18" s="214"/>
      <c r="J18" s="5" t="s">
        <v>33</v>
      </c>
      <c r="L18" s="14">
        <f>'US OTHER'!D46</f>
        <v>0.1135356050117876</v>
      </c>
      <c r="M18" s="14">
        <f>'US OTHER'!E46</f>
        <v>0.1436581537776308</v>
      </c>
      <c r="N18" s="14">
        <f>'US OTHER'!F46</f>
        <v>-3.6320368415181106E-7</v>
      </c>
      <c r="O18" s="14">
        <f>'US OTHER'!G46</f>
        <v>0</v>
      </c>
      <c r="P18" s="14">
        <f>'US OTHER'!H46</f>
        <v>-1</v>
      </c>
      <c r="S18" s="72"/>
      <c r="T18" s="26"/>
      <c r="U18" s="26"/>
      <c r="V18" s="26"/>
      <c r="W18" s="26"/>
      <c r="X18" s="26"/>
    </row>
    <row r="19" spans="2:24" ht="12.6" thickTop="1">
      <c r="B19" s="25"/>
      <c r="C19" s="209"/>
      <c r="D19" s="189"/>
      <c r="E19" s="189"/>
      <c r="F19" s="189"/>
      <c r="G19" s="189"/>
      <c r="H19" s="230"/>
      <c r="I19" s="214"/>
      <c r="J19" s="5" t="s">
        <v>482</v>
      </c>
      <c r="L19" s="14">
        <f>'US OTHER'!D47</f>
        <v>0.26881571436654877</v>
      </c>
      <c r="M19" s="14">
        <f>'US OTHER'!E47</f>
        <v>0.29088620461815812</v>
      </c>
      <c r="N19" s="14">
        <f>'US OTHER'!F47</f>
        <v>3.9412408579873853E-2</v>
      </c>
      <c r="O19" s="14">
        <f>'US OTHER'!G47</f>
        <v>4.4226320821252475E-2</v>
      </c>
      <c r="P19" s="14">
        <f>'US OTHER'!H47</f>
        <v>-0.46973269097347681</v>
      </c>
      <c r="S19" s="72"/>
      <c r="T19" s="26"/>
      <c r="U19" s="26"/>
      <c r="V19" s="26"/>
      <c r="W19" s="26"/>
      <c r="X19" s="26"/>
    </row>
    <row r="20" spans="2:24">
      <c r="H20" s="231"/>
      <c r="I20" s="13"/>
      <c r="J20" s="5" t="s">
        <v>504</v>
      </c>
      <c r="L20" s="425">
        <f>'US OTHER'!D48</f>
        <v>0.10961586988589439</v>
      </c>
      <c r="M20" s="425">
        <f>'US OTHER'!E48</f>
        <v>0.1115189512466168</v>
      </c>
      <c r="N20" s="425">
        <f>'US OTHER'!F48</f>
        <v>0</v>
      </c>
      <c r="O20" s="425">
        <f>'US OTHER'!G48</f>
        <v>0</v>
      </c>
      <c r="P20" s="14" t="str">
        <f>'US OTHER'!H48</f>
        <v>nm</v>
      </c>
      <c r="S20" s="72"/>
      <c r="T20" s="26"/>
      <c r="U20" s="26"/>
      <c r="V20" s="26"/>
      <c r="W20" s="26"/>
      <c r="X20" s="26"/>
    </row>
    <row r="21" spans="2:24" ht="12.6" thickBot="1">
      <c r="B21" s="249" t="s">
        <v>755</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9647.6589999999997</v>
      </c>
      <c r="D23" s="410">
        <v>9237.0640000000003</v>
      </c>
      <c r="E23" s="410">
        <v>8954.4170000000013</v>
      </c>
      <c r="F23" s="410">
        <v>2152.2820000000002</v>
      </c>
      <c r="G23" s="410">
        <v>2147.203</v>
      </c>
      <c r="H23" s="233">
        <f t="shared" ref="H23:H33" si="3">IF(D23=0,"nm",IF(G23=0,"nm",(G23/D23)^(1/3)-1))</f>
        <v>-0.38513507765316046</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3866.5370000000003</v>
      </c>
      <c r="D24" s="410">
        <v>3608.89</v>
      </c>
      <c r="E24" s="410">
        <v>3413.181</v>
      </c>
      <c r="F24" s="410">
        <v>799.01400000000012</v>
      </c>
      <c r="G24" s="410">
        <v>803.8119999999999</v>
      </c>
      <c r="H24" s="233">
        <f t="shared" si="3"/>
        <v>-0.39383115197016383</v>
      </c>
      <c r="I24" s="209"/>
      <c r="J24" s="13"/>
      <c r="K24" s="13"/>
      <c r="L24" s="13"/>
      <c r="M24" s="13"/>
      <c r="N24" s="13"/>
      <c r="O24" s="208"/>
      <c r="S24" s="72"/>
      <c r="T24" s="26"/>
      <c r="U24" s="26"/>
      <c r="V24" s="26"/>
      <c r="W24" s="26" t="s">
        <v>1162</v>
      </c>
      <c r="X24" s="26" t="s">
        <v>216</v>
      </c>
    </row>
    <row r="25" spans="2:24">
      <c r="B25" s="5" t="s">
        <v>157</v>
      </c>
      <c r="C25" s="422">
        <v>1952.2550000000003</v>
      </c>
      <c r="D25" s="410">
        <v>1904.079</v>
      </c>
      <c r="E25" s="410">
        <v>1980.1680000000001</v>
      </c>
      <c r="F25" s="410">
        <v>442.8900000000001</v>
      </c>
      <c r="G25" s="410">
        <v>420.29299999999989</v>
      </c>
      <c r="H25" s="233">
        <f t="shared" si="3"/>
        <v>-0.39564925120086247</v>
      </c>
      <c r="I25" s="208"/>
      <c r="J25" s="207" t="s">
        <v>8</v>
      </c>
      <c r="K25" s="207"/>
      <c r="L25" s="252">
        <v>0</v>
      </c>
      <c r="M25" s="252">
        <v>0</v>
      </c>
      <c r="N25" s="252">
        <v>0</v>
      </c>
      <c r="O25" s="252">
        <v>0</v>
      </c>
      <c r="P25" s="233" t="str">
        <f>IF(L25=0,"nm",IF(O25=0,"nm",(O25/L25)^(1/3)-1))</f>
        <v>nm</v>
      </c>
      <c r="S25" s="72"/>
      <c r="T25" s="26"/>
      <c r="U25" s="26"/>
      <c r="V25" s="113" t="s">
        <v>225</v>
      </c>
      <c r="W25" s="242">
        <f>D37/L9</f>
        <v>1.4017081365565571</v>
      </c>
      <c r="X25" s="242">
        <v>1</v>
      </c>
    </row>
    <row r="26" spans="2:24">
      <c r="B26" s="5" t="s">
        <v>487</v>
      </c>
      <c r="C26" s="422">
        <v>1268.9657500000003</v>
      </c>
      <c r="D26" s="410">
        <v>1237.6513500000001</v>
      </c>
      <c r="E26" s="410">
        <v>1287.1092000000001</v>
      </c>
      <c r="F26" s="410">
        <v>287.87850000000009</v>
      </c>
      <c r="G26" s="410">
        <v>273.19044999999994</v>
      </c>
      <c r="H26" s="233">
        <f t="shared" si="3"/>
        <v>-0.39564925120086258</v>
      </c>
      <c r="I26" s="209"/>
      <c r="J26" s="209" t="s">
        <v>9</v>
      </c>
      <c r="K26" s="209"/>
      <c r="L26" s="235">
        <f>D11+L25</f>
        <v>759.90970249999998</v>
      </c>
      <c r="M26" s="235">
        <f>E11+M25</f>
        <v>768.00210500000003</v>
      </c>
      <c r="N26" s="235">
        <f>F11+N25</f>
        <v>776.31953999999996</v>
      </c>
      <c r="O26" s="235">
        <f>G11+O25</f>
        <v>781.13247999999999</v>
      </c>
      <c r="P26" s="233">
        <f>IF(L26=0,"nm",IF(O26=0,"nm",(O26/L26)^(1/3)-1))</f>
        <v>9.2239980721859904E-3</v>
      </c>
      <c r="Q26" s="5"/>
      <c r="S26" s="72"/>
      <c r="T26" s="26"/>
      <c r="U26" s="26"/>
      <c r="V26" s="113" t="s">
        <v>158</v>
      </c>
      <c r="W26" s="242">
        <f t="shared" ref="W26:W33" si="5">D38/L10</f>
        <v>1.1496733310362668</v>
      </c>
      <c r="X26" s="242">
        <v>1</v>
      </c>
    </row>
    <row r="27" spans="2:24">
      <c r="B27" s="5" t="s">
        <v>488</v>
      </c>
      <c r="C27" s="423">
        <v>23736.088</v>
      </c>
      <c r="D27" s="410">
        <v>23987.581999999999</v>
      </c>
      <c r="E27" s="410">
        <v>24186.167999999998</v>
      </c>
      <c r="F27" s="410">
        <v>24380.808000000001</v>
      </c>
      <c r="G27" s="410">
        <v>24374.505999999998</v>
      </c>
      <c r="H27" s="233">
        <f t="shared" si="3"/>
        <v>5.3480735730413453E-3</v>
      </c>
      <c r="I27" s="209"/>
      <c r="J27" s="208"/>
      <c r="K27" s="208"/>
      <c r="L27" s="208"/>
      <c r="M27" s="208"/>
      <c r="N27" s="208"/>
      <c r="O27" s="208"/>
      <c r="Q27" s="25"/>
      <c r="S27" s="72"/>
      <c r="T27" s="26"/>
      <c r="U27" s="26"/>
      <c r="V27" s="113" t="s">
        <v>159</v>
      </c>
      <c r="W27" s="242">
        <f t="shared" si="5"/>
        <v>1.2950986623096574</v>
      </c>
      <c r="X27" s="242">
        <v>1</v>
      </c>
    </row>
    <row r="28" spans="2:24" ht="12.6" thickBot="1">
      <c r="B28" s="5" t="s">
        <v>492</v>
      </c>
      <c r="C28" s="422">
        <v>7500.78</v>
      </c>
      <c r="D28" s="410">
        <v>8117.7569999999996</v>
      </c>
      <c r="E28" s="410">
        <v>8414.6319999999996</v>
      </c>
      <c r="F28" s="410">
        <v>8423.83</v>
      </c>
      <c r="G28" s="410">
        <v>8459.2440000000006</v>
      </c>
      <c r="H28" s="233">
        <f t="shared" si="3"/>
        <v>1.3830070520095994E-2</v>
      </c>
      <c r="I28" s="208"/>
      <c r="J28" s="249" t="s">
        <v>1073</v>
      </c>
      <c r="K28" s="249"/>
      <c r="L28" s="249"/>
      <c r="M28" s="249"/>
      <c r="N28" s="220"/>
      <c r="O28" s="220"/>
      <c r="P28" s="220"/>
      <c r="Q28" s="5"/>
      <c r="S28" s="72"/>
      <c r="T28" s="26"/>
      <c r="U28" s="26"/>
      <c r="V28" s="113" t="s">
        <v>381</v>
      </c>
      <c r="W28" s="242">
        <f t="shared" si="5"/>
        <v>1.2622929978539208</v>
      </c>
      <c r="X28" s="242">
        <v>1</v>
      </c>
    </row>
    <row r="29" spans="2:24" ht="12.6" thickTop="1">
      <c r="B29" s="5" t="s">
        <v>489</v>
      </c>
      <c r="C29" s="422">
        <v>344.22399999999993</v>
      </c>
      <c r="D29" s="410">
        <v>255.33699999999976</v>
      </c>
      <c r="E29" s="410">
        <v>197.15800000000036</v>
      </c>
      <c r="F29" s="410">
        <v>23.756000000000085</v>
      </c>
      <c r="G29" s="410">
        <v>12.918999999999869</v>
      </c>
      <c r="H29" s="233">
        <f t="shared" si="3"/>
        <v>-0.63013913395062948</v>
      </c>
      <c r="I29" s="212"/>
      <c r="J29" s="209"/>
      <c r="K29" s="209"/>
      <c r="L29" s="209"/>
      <c r="M29" s="209"/>
      <c r="N29" s="209"/>
      <c r="O29" s="211"/>
      <c r="Q29" s="5"/>
      <c r="S29" s="72"/>
      <c r="T29" s="26"/>
      <c r="U29" s="26"/>
      <c r="V29" s="113" t="s">
        <v>434</v>
      </c>
      <c r="W29" s="242">
        <f t="shared" si="5"/>
        <v>0.92566485901935747</v>
      </c>
      <c r="X29" s="242">
        <v>1</v>
      </c>
    </row>
    <row r="30" spans="2:24">
      <c r="B30" s="5" t="s">
        <v>490</v>
      </c>
      <c r="C30" s="423">
        <v>484.83299999999991</v>
      </c>
      <c r="D30" s="410">
        <v>315.85099999999977</v>
      </c>
      <c r="E30" s="410">
        <v>-12.059999999999945</v>
      </c>
      <c r="F30" s="410">
        <v>-38.604999999999912</v>
      </c>
      <c r="G30" s="410">
        <v>-13.2590000000001</v>
      </c>
      <c r="H30" s="233">
        <f t="shared" si="3"/>
        <v>-1.3475437675622142</v>
      </c>
      <c r="I30" s="214"/>
      <c r="J30" s="208"/>
      <c r="K30" s="208"/>
      <c r="L30" s="208"/>
      <c r="M30" s="208"/>
      <c r="N30" s="208"/>
      <c r="O30" s="5"/>
      <c r="Q30" s="5"/>
      <c r="S30" s="72"/>
      <c r="T30" s="26"/>
      <c r="U30" s="26"/>
      <c r="V30" s="113" t="s">
        <v>493</v>
      </c>
      <c r="W30" s="242">
        <f t="shared" si="5"/>
        <v>0.9214604379498107</v>
      </c>
      <c r="X30" s="242">
        <v>1</v>
      </c>
    </row>
    <row r="31" spans="2:24">
      <c r="B31" s="5" t="s">
        <v>491</v>
      </c>
      <c r="C31" s="423">
        <v>0</v>
      </c>
      <c r="D31" s="410">
        <v>0</v>
      </c>
      <c r="E31" s="410">
        <v>0</v>
      </c>
      <c r="F31" s="410">
        <v>0</v>
      </c>
      <c r="G31" s="410">
        <v>0</v>
      </c>
      <c r="H31" s="233" t="str">
        <f t="shared" si="3"/>
        <v>nm</v>
      </c>
      <c r="I31" s="214"/>
      <c r="J31" s="212"/>
      <c r="K31" s="212"/>
      <c r="L31" s="212"/>
      <c r="M31" s="212"/>
      <c r="N31" s="212"/>
      <c r="O31" s="5"/>
      <c r="Q31" s="5"/>
      <c r="S31" s="72"/>
      <c r="T31" s="26"/>
      <c r="U31" s="26"/>
      <c r="V31" s="113" t="s">
        <v>390</v>
      </c>
      <c r="W31" s="242">
        <f t="shared" si="5"/>
        <v>0.80002377067017016</v>
      </c>
      <c r="X31" s="242">
        <v>1</v>
      </c>
    </row>
    <row r="32" spans="2:24">
      <c r="B32" s="5" t="s">
        <v>506</v>
      </c>
      <c r="C32" s="424">
        <v>0</v>
      </c>
      <c r="D32" s="410">
        <v>0</v>
      </c>
      <c r="E32" s="410">
        <v>0</v>
      </c>
      <c r="F32" s="410">
        <v>0</v>
      </c>
      <c r="G32" s="410">
        <v>0</v>
      </c>
      <c r="H32" s="233" t="str">
        <f t="shared" si="3"/>
        <v>nm</v>
      </c>
      <c r="I32" s="214"/>
      <c r="J32" s="214"/>
      <c r="K32" s="214"/>
      <c r="L32" s="214"/>
      <c r="M32" s="214"/>
      <c r="N32" s="214"/>
      <c r="O32" s="211"/>
      <c r="Q32" s="5"/>
      <c r="S32" s="72"/>
      <c r="T32" s="26"/>
      <c r="U32" s="26"/>
      <c r="V32" s="113" t="s">
        <v>437</v>
      </c>
      <c r="W32" s="242">
        <f t="shared" si="5"/>
        <v>0.24675592322144463</v>
      </c>
      <c r="X32" s="242">
        <v>1</v>
      </c>
    </row>
    <row r="33" spans="2:24">
      <c r="B33" s="5" t="s">
        <v>3</v>
      </c>
      <c r="C33" s="423">
        <v>-1331.636</v>
      </c>
      <c r="D33" s="410">
        <v>-1639.12</v>
      </c>
      <c r="E33" s="410">
        <v>-1763.1660000000002</v>
      </c>
      <c r="F33" s="410">
        <v>-428.01600000000002</v>
      </c>
      <c r="G33" s="410">
        <v>-444.65899999999999</v>
      </c>
      <c r="H33" s="233">
        <f t="shared" si="3"/>
        <v>-0.35265055623028263</v>
      </c>
      <c r="I33" s="5"/>
      <c r="J33" s="214"/>
      <c r="K33" s="214"/>
      <c r="L33" s="214"/>
      <c r="M33" s="214"/>
      <c r="N33" s="214"/>
      <c r="O33" s="211"/>
      <c r="Q33" s="5"/>
      <c r="S33" s="72"/>
      <c r="T33" s="26"/>
      <c r="U33" s="26"/>
      <c r="V33" s="113" t="s">
        <v>481</v>
      </c>
      <c r="W33" s="242">
        <f t="shared" si="5"/>
        <v>0</v>
      </c>
      <c r="X33" s="242">
        <v>1</v>
      </c>
    </row>
    <row r="34" spans="2:24">
      <c r="H34" s="231"/>
      <c r="I34" s="33"/>
      <c r="J34" s="214"/>
      <c r="K34" s="214"/>
      <c r="L34" s="214"/>
      <c r="M34" s="214"/>
      <c r="N34" s="214"/>
      <c r="O34" s="211"/>
      <c r="Q34" s="5"/>
      <c r="S34" s="72"/>
      <c r="T34" s="26"/>
      <c r="U34" s="26"/>
      <c r="V34" s="113" t="s">
        <v>482</v>
      </c>
      <c r="W34" s="242">
        <f>D47/L19</f>
        <v>1.2499628594314292</v>
      </c>
      <c r="X34" s="242">
        <v>1</v>
      </c>
    </row>
    <row r="35" spans="2:24" ht="12.6" thickBot="1">
      <c r="B35" s="249" t="s">
        <v>584</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42"/>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7">D$18/D23</f>
        <v>2.7261811439760515</v>
      </c>
      <c r="E37" s="406">
        <f t="shared" si="7"/>
        <v>2.8378175938198988</v>
      </c>
      <c r="F37" s="406">
        <f t="shared" si="7"/>
        <v>11.933064319638412</v>
      </c>
      <c r="G37" s="406">
        <f t="shared" si="7"/>
        <v>12.006844476279142</v>
      </c>
      <c r="H37" s="13">
        <f t="shared" ref="H37:H45" si="8">H23</f>
        <v>-0.38513507765316046</v>
      </c>
      <c r="I37" s="5"/>
      <c r="J37" s="217"/>
      <c r="K37" s="217"/>
      <c r="L37" s="217"/>
      <c r="M37" s="217"/>
      <c r="N37" s="217"/>
      <c r="O37" s="14"/>
      <c r="Q37" s="5"/>
      <c r="R37" s="5"/>
      <c r="S37" s="26"/>
      <c r="T37" s="26"/>
      <c r="U37" s="26"/>
      <c r="V37" s="26"/>
      <c r="W37" s="26"/>
      <c r="X37" s="26"/>
    </row>
    <row r="38" spans="2:24">
      <c r="B38" s="5" t="s">
        <v>158</v>
      </c>
      <c r="C38" s="207"/>
      <c r="D38" s="406">
        <f t="shared" si="7"/>
        <v>6.9777437667814759</v>
      </c>
      <c r="E38" s="406">
        <f t="shared" si="7"/>
        <v>7.4449617834506867</v>
      </c>
      <c r="F38" s="406">
        <f t="shared" si="7"/>
        <v>32.143766617355887</v>
      </c>
      <c r="G38" s="406">
        <f t="shared" si="7"/>
        <v>32.073584967629252</v>
      </c>
      <c r="H38" s="13">
        <f t="shared" si="8"/>
        <v>-0.39383115197016383</v>
      </c>
      <c r="I38" s="217"/>
      <c r="J38" s="13"/>
      <c r="K38" s="13"/>
      <c r="L38" s="13"/>
      <c r="M38" s="13"/>
      <c r="N38" s="13"/>
      <c r="O38" s="5"/>
      <c r="Q38" s="5"/>
      <c r="R38" s="5"/>
      <c r="S38" s="26"/>
      <c r="T38" s="26"/>
      <c r="U38" s="26"/>
      <c r="V38" s="26"/>
      <c r="W38" s="26"/>
      <c r="X38" s="26"/>
    </row>
    <row r="39" spans="2:24">
      <c r="B39" s="5" t="s">
        <v>159</v>
      </c>
      <c r="C39" s="207"/>
      <c r="D39" s="406">
        <f t="shared" si="7"/>
        <v>13.225244174480157</v>
      </c>
      <c r="E39" s="406">
        <f t="shared" si="7"/>
        <v>12.832750607524209</v>
      </c>
      <c r="F39" s="406">
        <f t="shared" si="7"/>
        <v>57.990290004289989</v>
      </c>
      <c r="G39" s="406">
        <f t="shared" si="7"/>
        <v>61.340856212213879</v>
      </c>
      <c r="H39" s="13">
        <f t="shared" si="8"/>
        <v>-0.39564925120086247</v>
      </c>
      <c r="I39" s="13"/>
      <c r="J39" s="5"/>
      <c r="K39" s="5"/>
      <c r="L39" s="5"/>
      <c r="M39" s="5"/>
      <c r="N39" s="5"/>
      <c r="O39" s="5"/>
      <c r="Q39" s="5"/>
      <c r="R39" s="5"/>
      <c r="S39" s="26"/>
      <c r="T39" s="26"/>
      <c r="U39" s="26"/>
      <c r="V39" s="26"/>
      <c r="W39" s="26"/>
      <c r="X39" s="26"/>
    </row>
    <row r="40" spans="2:24">
      <c r="B40" s="5" t="s">
        <v>381</v>
      </c>
      <c r="C40" s="207"/>
      <c r="D40" s="406">
        <f t="shared" si="7"/>
        <v>20.346529499200237</v>
      </c>
      <c r="E40" s="406">
        <f t="shared" si="7"/>
        <v>19.742693242344938</v>
      </c>
      <c r="F40" s="406">
        <f t="shared" si="7"/>
        <v>89.215830775830753</v>
      </c>
      <c r="G40" s="406">
        <f t="shared" si="7"/>
        <v>94.370548018790572</v>
      </c>
      <c r="H40" s="13">
        <f t="shared" si="8"/>
        <v>-0.39564925120086258</v>
      </c>
      <c r="I40" s="5"/>
      <c r="J40" s="217"/>
      <c r="K40" s="217"/>
      <c r="L40" s="217"/>
      <c r="M40" s="217"/>
      <c r="N40" s="217"/>
      <c r="O40" s="14"/>
      <c r="Q40" s="5"/>
      <c r="R40" s="5"/>
      <c r="S40" s="26"/>
      <c r="T40" s="26"/>
      <c r="U40" s="26"/>
      <c r="V40" s="26"/>
      <c r="W40" s="242"/>
      <c r="X40" s="242"/>
    </row>
    <row r="41" spans="2:24">
      <c r="B41" s="5" t="s">
        <v>434</v>
      </c>
      <c r="C41" s="207"/>
      <c r="D41" s="406">
        <f t="shared" si="7"/>
        <v>1.0497894161445702</v>
      </c>
      <c r="E41" s="406">
        <f t="shared" si="7"/>
        <v>1.0506419249630616</v>
      </c>
      <c r="F41" s="406">
        <f t="shared" si="7"/>
        <v>1.0534236412509379</v>
      </c>
      <c r="G41" s="406">
        <f t="shared" si="7"/>
        <v>1.0577089225931391</v>
      </c>
      <c r="H41" s="13">
        <f t="shared" si="8"/>
        <v>5.3480735730413453E-3</v>
      </c>
      <c r="I41" s="207"/>
      <c r="J41" s="13"/>
      <c r="K41" s="13"/>
      <c r="L41" s="13"/>
      <c r="M41" s="13"/>
      <c r="N41" s="13"/>
      <c r="O41" s="5"/>
      <c r="Q41" s="5"/>
      <c r="R41" s="5"/>
      <c r="S41" s="26"/>
      <c r="T41" s="26"/>
      <c r="U41" s="26"/>
      <c r="V41" s="26"/>
      <c r="W41" s="242"/>
      <c r="X41" s="242"/>
    </row>
    <row r="42" spans="2:24">
      <c r="B42" s="5" t="s">
        <v>493</v>
      </c>
      <c r="C42" s="207"/>
      <c r="D42" s="406">
        <f>D18/D28</f>
        <v>3.1020772982610838</v>
      </c>
      <c r="E42" s="406">
        <f>E18/E28</f>
        <v>3.0198589914567862</v>
      </c>
      <c r="F42" s="406">
        <f>F18/F28</f>
        <v>3.0488886337924672</v>
      </c>
      <c r="G42" s="406">
        <f>G18/G28</f>
        <v>3.0476875333067586</v>
      </c>
      <c r="H42" s="13">
        <f t="shared" si="8"/>
        <v>1.3830070520095994E-2</v>
      </c>
      <c r="I42" s="208"/>
      <c r="J42" s="5"/>
      <c r="K42" s="5"/>
      <c r="L42" s="5"/>
      <c r="M42" s="5"/>
      <c r="N42" s="5"/>
      <c r="O42" s="5"/>
      <c r="Q42" s="5"/>
      <c r="R42" s="5"/>
      <c r="S42" s="26"/>
      <c r="T42" s="26"/>
      <c r="U42" s="26"/>
      <c r="V42" s="26"/>
      <c r="W42" s="242"/>
      <c r="X42" s="242"/>
    </row>
    <row r="43" spans="2:24">
      <c r="B43" s="5" t="s">
        <v>390</v>
      </c>
      <c r="C43" s="207"/>
      <c r="D43" s="406">
        <f>L26/D29</f>
        <v>2.9761049221225311</v>
      </c>
      <c r="E43" s="406">
        <f>M26/E29</f>
        <v>3.895363642357899</v>
      </c>
      <c r="F43" s="406">
        <f>N26/F29</f>
        <v>32.67888280855351</v>
      </c>
      <c r="G43" s="406">
        <f>O26/G29</f>
        <v>60.463850143200553</v>
      </c>
      <c r="H43" s="13">
        <f t="shared" si="8"/>
        <v>-0.63013913395062948</v>
      </c>
      <c r="I43" s="207"/>
      <c r="J43" s="207"/>
      <c r="K43" s="207"/>
      <c r="L43" s="207"/>
      <c r="M43" s="207"/>
      <c r="N43" s="207"/>
      <c r="O43" s="14"/>
      <c r="Q43" s="5"/>
      <c r="R43" s="5"/>
      <c r="S43" s="26"/>
      <c r="T43" s="26"/>
      <c r="U43" s="26"/>
      <c r="V43" s="26"/>
      <c r="W43" s="242"/>
      <c r="X43" s="242"/>
    </row>
    <row r="44" spans="2:24">
      <c r="B44" s="5" t="s">
        <v>437</v>
      </c>
      <c r="C44" s="53"/>
      <c r="D44" s="406">
        <f>D11/D30</f>
        <v>2.4059119727339806</v>
      </c>
      <c r="E44" s="406">
        <f>E11/E30</f>
        <v>-63.681766583748221</v>
      </c>
      <c r="F44" s="406">
        <f>F11/F30</f>
        <v>-20.10930034969568</v>
      </c>
      <c r="G44" s="406">
        <f>G11/G30</f>
        <v>-58.913378082811228</v>
      </c>
      <c r="H44" s="13">
        <f t="shared" si="8"/>
        <v>-1.3475437675622142</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8"/>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0</v>
      </c>
      <c r="H46" s="233" t="e">
        <f>((G31+G32)/(D31+D32))^(1/3)-1</f>
        <v>#DIV/0!</v>
      </c>
      <c r="I46" s="207"/>
      <c r="J46" s="207"/>
      <c r="K46" s="207"/>
      <c r="L46" s="207"/>
      <c r="M46" s="207"/>
      <c r="N46" s="207"/>
      <c r="O46" s="14"/>
      <c r="Q46" s="5"/>
      <c r="R46" s="5"/>
      <c r="S46" s="26"/>
      <c r="T46" s="26"/>
      <c r="U46" s="26"/>
      <c r="V46" s="26"/>
      <c r="W46" s="26"/>
      <c r="X46" s="26"/>
    </row>
    <row r="47" spans="2:24">
      <c r="B47" s="5" t="s">
        <v>482</v>
      </c>
      <c r="C47" s="5"/>
      <c r="D47" s="208">
        <f>1/D43</f>
        <v>0.33600965898971363</v>
      </c>
      <c r="E47" s="208">
        <f>1/E43</f>
        <v>0.25671544220572201</v>
      </c>
      <c r="F47" s="208">
        <f>1/F43</f>
        <v>3.06008013143661E-2</v>
      </c>
      <c r="G47" s="208">
        <f>1/G43</f>
        <v>1.6538807860095473E-2</v>
      </c>
      <c r="H47" s="13">
        <f>H29</f>
        <v>-0.63013913395062948</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row r="50" spans="2:17">
      <c r="B50" s="5"/>
      <c r="C50" s="216"/>
      <c r="D50" s="216"/>
      <c r="E50" s="216"/>
      <c r="F50" s="5"/>
      <c r="G50" s="25"/>
      <c r="H50" s="209"/>
      <c r="I50" s="13"/>
      <c r="J50" s="209"/>
      <c r="K50" s="209"/>
      <c r="L50" s="209"/>
      <c r="M50" s="209"/>
      <c r="N50" s="209"/>
      <c r="O50" s="210"/>
      <c r="Q50" s="5"/>
    </row>
  </sheetData>
  <pageMargins left="0.75" right="0.75" top="1" bottom="1" header="0.5" footer="0.5"/>
  <pageSetup scale="71" orientation="landscape" r:id="rId1"/>
  <headerFooter alignWithMargins="0"/>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43">
    <pageSetUpPr fitToPage="1"/>
  </sheetPr>
  <dimension ref="B1:X46"/>
  <sheetViews>
    <sheetView showGridLines="0" zoomScale="80" zoomScaleNormal="80" workbookViewId="0"/>
  </sheetViews>
  <sheetFormatPr defaultColWidth="9.109375" defaultRowHeight="12"/>
  <cols>
    <col min="1" max="1" width="2.33203125" style="290" customWidth="1"/>
    <col min="2" max="4" width="10" style="290" customWidth="1"/>
    <col min="5" max="5" width="21"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1156</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45</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46</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69" t="s">
        <v>549</v>
      </c>
      <c r="C11" s="269"/>
      <c r="D11" s="304"/>
      <c r="E11" s="304" t="str">
        <f>"DCF, "&amp;TEXT(H11,"0.0")&amp;"x 26E EBITDA"</f>
        <v>DCF, 9.7x 26E EBITDA</v>
      </c>
      <c r="F11" s="369">
        <v>3337.4881376607455</v>
      </c>
      <c r="G11" s="157" t="s">
        <v>113</v>
      </c>
      <c r="H11" s="461">
        <v>9.7199225281150934</v>
      </c>
      <c r="I11" s="157" t="s">
        <v>114</v>
      </c>
      <c r="J11" s="170">
        <f>H11*F11</f>
        <v>32440.126136565566</v>
      </c>
      <c r="K11" s="157" t="s">
        <v>115</v>
      </c>
      <c r="L11" s="369"/>
      <c r="M11" s="157" t="s">
        <v>114</v>
      </c>
      <c r="N11" s="157">
        <f>J11-L11</f>
        <v>32440.126136565566</v>
      </c>
      <c r="O11" s="157" t="s">
        <v>113</v>
      </c>
      <c r="P11" s="372">
        <v>1</v>
      </c>
      <c r="Q11" s="292" t="s">
        <v>114</v>
      </c>
      <c r="R11" s="170">
        <f>P11*N11</f>
        <v>32440.126136565566</v>
      </c>
      <c r="S11" s="170"/>
      <c r="T11" s="170">
        <f>N11-R11</f>
        <v>0</v>
      </c>
      <c r="U11" s="170"/>
      <c r="V11" s="310">
        <f>N11/$J$23</f>
        <v>1.1008528542165066</v>
      </c>
      <c r="W11" s="269"/>
      <c r="X11" s="295">
        <f>$J$27*V11</f>
        <v>654.86734585816043</v>
      </c>
    </row>
    <row r="12" spans="2:24">
      <c r="B12" s="293"/>
      <c r="C12" s="293"/>
      <c r="S12" s="176"/>
      <c r="T12" s="176"/>
      <c r="U12" s="176"/>
      <c r="V12" s="313"/>
      <c r="W12" s="293"/>
      <c r="X12" s="296"/>
    </row>
    <row r="13" spans="2:24">
      <c r="B13" s="269" t="s">
        <v>365</v>
      </c>
      <c r="C13" s="293"/>
      <c r="E13" s="304" t="str">
        <f>"DCF, "&amp;TEXT(H13,"0.0")&amp;"x 26E EBITDA"</f>
        <v>DCF, 7.1x 26E EBITDA</v>
      </c>
      <c r="F13" s="458">
        <v>1741.1323107979933</v>
      </c>
      <c r="G13" s="157" t="s">
        <v>113</v>
      </c>
      <c r="H13" s="499">
        <v>7.1045600436065737</v>
      </c>
      <c r="I13" s="157" t="s">
        <v>114</v>
      </c>
      <c r="J13" s="498">
        <f>H13*F13</f>
        <v>12369.979045927807</v>
      </c>
      <c r="K13" s="157" t="s">
        <v>115</v>
      </c>
      <c r="L13" s="369"/>
      <c r="M13" s="157" t="s">
        <v>114</v>
      </c>
      <c r="N13" s="297">
        <f>J13-L13</f>
        <v>12369.979045927807</v>
      </c>
      <c r="O13" s="157" t="s">
        <v>113</v>
      </c>
      <c r="P13" s="372">
        <v>1</v>
      </c>
      <c r="Q13" s="292" t="s">
        <v>114</v>
      </c>
      <c r="R13" s="297">
        <f>P13*N13</f>
        <v>12369.979045927807</v>
      </c>
      <c r="S13" s="170"/>
      <c r="T13" s="297">
        <f>N13-R13</f>
        <v>0</v>
      </c>
      <c r="U13" s="170"/>
      <c r="V13" s="459">
        <f>N13/$J$23</f>
        <v>0.41977416123418598</v>
      </c>
      <c r="W13" s="269"/>
      <c r="X13" s="460">
        <f>$J$27*V13</f>
        <v>249.71220247497538</v>
      </c>
    </row>
    <row r="14" spans="2:24">
      <c r="B14" s="269" t="s">
        <v>117</v>
      </c>
      <c r="C14" s="293"/>
      <c r="F14" s="170"/>
      <c r="G14" s="157"/>
      <c r="H14" s="295"/>
      <c r="I14" s="299"/>
      <c r="J14" s="170">
        <f>J13+J11</f>
        <v>44810.105182493375</v>
      </c>
      <c r="K14" s="298"/>
      <c r="L14" s="170">
        <f>-J18</f>
        <v>11803.81296054343</v>
      </c>
      <c r="M14" s="157"/>
      <c r="N14" s="170">
        <f>SUM(N11:N13)</f>
        <v>44810.105182493375</v>
      </c>
      <c r="P14" s="300"/>
      <c r="Q14" s="301"/>
      <c r="R14" s="170">
        <f>SUM(R11:R13)</f>
        <v>44810.105182493375</v>
      </c>
      <c r="S14" s="293"/>
      <c r="T14" s="170">
        <f>SUM(T11:T13)</f>
        <v>0</v>
      </c>
      <c r="U14" s="293"/>
      <c r="V14" s="310">
        <f>N14/$J$23</f>
        <v>1.5206270154506927</v>
      </c>
      <c r="W14" s="293"/>
      <c r="X14" s="295">
        <f>$J$27*V14</f>
        <v>904.57954833313579</v>
      </c>
    </row>
    <row r="16" spans="2:24">
      <c r="D16" s="269"/>
      <c r="E16" s="304"/>
      <c r="F16" s="304"/>
      <c r="G16" s="304"/>
      <c r="H16" s="304"/>
      <c r="I16" s="304"/>
      <c r="J16" s="304"/>
    </row>
    <row r="17" spans="2:24" ht="12.6" thickBot="1">
      <c r="B17" s="305" t="s">
        <v>121</v>
      </c>
      <c r="D17" s="269"/>
      <c r="E17" s="304"/>
      <c r="H17" s="304"/>
      <c r="I17" s="304"/>
      <c r="J17" s="297">
        <f>J14</f>
        <v>44810.105182493375</v>
      </c>
      <c r="K17" s="304"/>
      <c r="R17" s="293"/>
      <c r="T17" s="357" t="s">
        <v>452</v>
      </c>
      <c r="U17" s="291"/>
      <c r="V17" s="291"/>
      <c r="W17" s="291"/>
      <c r="X17" s="291"/>
    </row>
    <row r="18" spans="2:24" ht="12.6" thickTop="1">
      <c r="B18" s="306" t="s">
        <v>1180</v>
      </c>
      <c r="D18" s="324"/>
      <c r="J18" s="176">
        <f>-SWISS!E12</f>
        <v>-11803.81296054343</v>
      </c>
    </row>
    <row r="19" spans="2:24">
      <c r="B19" s="307" t="s">
        <v>1368</v>
      </c>
      <c r="J19" s="373">
        <v>-3355.8657873676061</v>
      </c>
      <c r="K19" s="304"/>
    </row>
    <row r="20" spans="2:24">
      <c r="B20" s="307" t="s">
        <v>1087</v>
      </c>
      <c r="J20" s="373">
        <v>-182.25</v>
      </c>
      <c r="K20" s="304"/>
    </row>
    <row r="21" spans="2:24">
      <c r="B21" s="307" t="s">
        <v>301</v>
      </c>
      <c r="J21" s="176">
        <f>-T14</f>
        <v>0</v>
      </c>
      <c r="K21" s="304"/>
    </row>
    <row r="22" spans="2:24">
      <c r="B22" s="307" t="s">
        <v>303</v>
      </c>
      <c r="J22" s="308">
        <f>R16</f>
        <v>0</v>
      </c>
      <c r="K22" s="304"/>
    </row>
    <row r="23" spans="2:24">
      <c r="B23" s="305" t="s">
        <v>407</v>
      </c>
      <c r="D23" s="269"/>
      <c r="E23" s="304"/>
      <c r="F23" s="304"/>
      <c r="G23" s="304"/>
      <c r="H23" s="304"/>
      <c r="I23" s="304"/>
      <c r="J23" s="170">
        <f>J17+J18+J21+J22+J19+J20</f>
        <v>29468.176434582339</v>
      </c>
    </row>
    <row r="24" spans="2:24" ht="12.6" thickBot="1">
      <c r="B24" s="307" t="s">
        <v>408</v>
      </c>
      <c r="D24" s="269"/>
      <c r="E24" s="304"/>
      <c r="F24" s="304"/>
      <c r="G24" s="304"/>
      <c r="H24" s="304"/>
      <c r="I24" s="304"/>
      <c r="J24" s="174">
        <f>SWISS!E10</f>
        <v>51.801000000000002</v>
      </c>
      <c r="K24" s="304"/>
    </row>
    <row r="25" spans="2:24" ht="12.6" thickBot="1">
      <c r="B25" s="305" t="s">
        <v>409</v>
      </c>
      <c r="D25" s="293"/>
      <c r="J25" s="359">
        <f>J23/J24</f>
        <v>568.87273285423714</v>
      </c>
      <c r="K25" s="304"/>
    </row>
    <row r="26" spans="2:24" ht="12.6" thickBot="1">
      <c r="B26" s="307" t="s">
        <v>574</v>
      </c>
      <c r="D26" s="293"/>
      <c r="J26" s="375">
        <v>26</v>
      </c>
      <c r="K26" s="304"/>
    </row>
    <row r="27" spans="2:24" ht="12.6" thickBot="1">
      <c r="B27" s="305" t="s">
        <v>55</v>
      </c>
      <c r="D27" s="293"/>
      <c r="J27" s="359">
        <f>J25+J26</f>
        <v>594.87273285423714</v>
      </c>
      <c r="K27" s="304"/>
    </row>
    <row r="28" spans="2:24">
      <c r="B28" s="307" t="s">
        <v>410</v>
      </c>
      <c r="D28" s="269"/>
      <c r="E28" s="304"/>
      <c r="F28" s="304"/>
      <c r="G28" s="304"/>
      <c r="H28" s="304"/>
      <c r="I28" s="304"/>
      <c r="J28" s="319">
        <f>Prices!C14</f>
        <v>672.5</v>
      </c>
      <c r="K28" s="304"/>
    </row>
    <row r="29" spans="2:24">
      <c r="B29" s="305" t="s">
        <v>84</v>
      </c>
      <c r="D29" s="269"/>
      <c r="E29" s="304"/>
      <c r="F29" s="304"/>
      <c r="G29" s="304"/>
      <c r="H29" s="304"/>
      <c r="I29" s="304"/>
      <c r="J29" s="310">
        <f>J27/J28-1</f>
        <v>-0.11543088051414552</v>
      </c>
      <c r="K29" s="304"/>
    </row>
    <row r="30" spans="2:24">
      <c r="D30" s="269"/>
      <c r="E30" s="304"/>
      <c r="G30" s="304"/>
      <c r="I30" s="304"/>
      <c r="J30" s="304"/>
      <c r="K30" s="304"/>
      <c r="L30" s="303"/>
    </row>
    <row r="32" spans="2:24">
      <c r="E32" s="304"/>
      <c r="F32" s="304"/>
      <c r="G32" s="304"/>
      <c r="H32" s="304"/>
      <c r="I32" s="304"/>
      <c r="J32" s="304"/>
      <c r="K32" s="304"/>
    </row>
    <row r="33" spans="4:24">
      <c r="E33" s="304"/>
      <c r="F33" s="304"/>
      <c r="G33" s="304"/>
      <c r="H33" s="304"/>
      <c r="I33" s="304"/>
      <c r="J33" s="304"/>
      <c r="K33" s="304"/>
    </row>
    <row r="34" spans="4:24">
      <c r="E34" s="269"/>
      <c r="H34" s="304"/>
      <c r="I34" s="304"/>
    </row>
    <row r="35" spans="4:24" ht="12.6" thickBot="1">
      <c r="K35" s="304"/>
      <c r="T35" s="357" t="s">
        <v>452</v>
      </c>
      <c r="U35" s="291"/>
      <c r="V35" s="291"/>
      <c r="W35" s="291"/>
      <c r="X35" s="291"/>
    </row>
    <row r="36" spans="4:24" ht="12.6" thickTop="1">
      <c r="D36" s="269"/>
      <c r="E36" s="269"/>
      <c r="F36" s="269"/>
      <c r="G36" s="269"/>
      <c r="H36" s="269"/>
      <c r="I36" s="269"/>
      <c r="K36" s="304"/>
      <c r="T36" s="293" t="s">
        <v>549</v>
      </c>
      <c r="X36" s="313">
        <f>J11/(J14)</f>
        <v>0.72394666346910141</v>
      </c>
    </row>
    <row r="37" spans="4:24">
      <c r="D37" s="269"/>
      <c r="E37" s="269"/>
      <c r="F37" s="269"/>
      <c r="G37" s="269"/>
      <c r="H37" s="269"/>
      <c r="I37" s="269"/>
      <c r="K37" s="304"/>
      <c r="T37" s="293" t="s">
        <v>365</v>
      </c>
      <c r="X37" s="313">
        <f>J13/(J14)</f>
        <v>0.27605333653089859</v>
      </c>
    </row>
    <row r="38" spans="4:24">
      <c r="D38" s="269"/>
      <c r="E38" s="269"/>
      <c r="F38" s="269"/>
      <c r="G38" s="269"/>
      <c r="H38" s="269"/>
      <c r="I38" s="269"/>
    </row>
    <row r="39" spans="4:24">
      <c r="D39" s="269"/>
      <c r="E39" s="269"/>
      <c r="F39" s="269"/>
      <c r="G39" s="269"/>
      <c r="H39" s="269"/>
      <c r="I39" s="269"/>
    </row>
    <row r="40" spans="4:24">
      <c r="D40" s="269"/>
      <c r="E40" s="269"/>
      <c r="F40" s="269"/>
      <c r="G40" s="269"/>
      <c r="H40" s="269"/>
      <c r="I40" s="269"/>
    </row>
    <row r="41" spans="4:24">
      <c r="D41" s="269"/>
      <c r="E41" s="269"/>
      <c r="F41" s="269"/>
      <c r="G41" s="269"/>
      <c r="H41" s="269"/>
      <c r="I41" s="269"/>
    </row>
    <row r="42" spans="4:24">
      <c r="D42" s="269"/>
      <c r="E42" s="269"/>
      <c r="F42" s="269"/>
      <c r="G42" s="269"/>
      <c r="H42" s="269"/>
      <c r="I42" s="269"/>
    </row>
    <row r="43" spans="4:24">
      <c r="D43" s="269"/>
      <c r="E43" s="304"/>
      <c r="F43" s="304"/>
      <c r="G43" s="304"/>
      <c r="H43" s="304"/>
      <c r="I43" s="304"/>
    </row>
    <row r="44" spans="4:24">
      <c r="D44" s="269"/>
      <c r="E44" s="304"/>
      <c r="F44" s="304"/>
      <c r="G44" s="304"/>
      <c r="H44" s="304"/>
      <c r="I44" s="304"/>
    </row>
    <row r="45" spans="4:24">
      <c r="D45" s="293"/>
      <c r="E45" s="304"/>
      <c r="F45" s="304"/>
      <c r="G45" s="304"/>
      <c r="H45" s="304"/>
      <c r="I45" s="304"/>
    </row>
    <row r="46" spans="4:24">
      <c r="D46" s="293"/>
      <c r="E46" s="304"/>
      <c r="F46" s="304"/>
      <c r="G46" s="304"/>
      <c r="H46" s="304"/>
      <c r="I46" s="304"/>
    </row>
  </sheetData>
  <phoneticPr fontId="26" type="noConversion"/>
  <pageMargins left="0.75" right="0.75" top="1" bottom="1" header="0.5" footer="0.5"/>
  <pageSetup scale="47" orientation="landscape"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44">
    <pageSetUpPr fitToPage="1"/>
  </sheetPr>
  <dimension ref="A1:X55"/>
  <sheetViews>
    <sheetView showGridLines="0" zoomScale="80" zoomScaleNormal="80" workbookViewId="0"/>
  </sheetViews>
  <sheetFormatPr defaultColWidth="9.109375" defaultRowHeight="12"/>
  <cols>
    <col min="1" max="1" width="2.33203125" style="290" customWidth="1"/>
    <col min="2" max="4" width="10" style="290" customWidth="1"/>
    <col min="5" max="5" width="25.10937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1:24" s="365" customFormat="1">
      <c r="E1" s="116"/>
    </row>
    <row r="2" spans="1:24" s="365" customFormat="1">
      <c r="E2" s="116"/>
      <c r="T2" s="367"/>
    </row>
    <row r="3" spans="1:24" s="365" customFormat="1"/>
    <row r="4" spans="1:24" s="368" customFormat="1" ht="21">
      <c r="B4" s="100" t="s">
        <v>1157</v>
      </c>
      <c r="C4" s="100"/>
    </row>
    <row r="5" spans="1:24" s="365" customFormat="1">
      <c r="D5" s="103"/>
      <c r="E5" s="103"/>
      <c r="F5" s="103"/>
      <c r="G5" s="103"/>
      <c r="H5" s="103"/>
      <c r="I5" s="103"/>
      <c r="L5" s="366"/>
      <c r="M5" s="366"/>
      <c r="N5" s="366"/>
      <c r="O5" s="366"/>
      <c r="P5" s="366"/>
      <c r="Q5" s="366"/>
      <c r="R5" s="366"/>
      <c r="S5" s="366"/>
      <c r="T5" s="366"/>
      <c r="U5" s="366"/>
      <c r="V5" s="366"/>
      <c r="W5" s="366"/>
      <c r="X5" s="366"/>
    </row>
    <row r="6" spans="1:24">
      <c r="B6" s="353"/>
      <c r="C6" s="353"/>
      <c r="D6" s="353"/>
      <c r="E6" s="353"/>
      <c r="F6" s="353"/>
      <c r="G6" s="353"/>
      <c r="H6" s="353"/>
      <c r="I6" s="353"/>
      <c r="L6" s="337"/>
      <c r="M6" s="337"/>
      <c r="N6" s="337"/>
      <c r="O6" s="337"/>
      <c r="P6" s="337"/>
      <c r="Q6" s="337"/>
      <c r="R6" s="337"/>
      <c r="S6" s="337"/>
      <c r="T6" s="337"/>
      <c r="U6" s="337"/>
      <c r="V6" s="337"/>
      <c r="W6" s="337"/>
      <c r="X6" s="337"/>
    </row>
    <row r="7" spans="1:24" ht="12.6" thickBot="1">
      <c r="B7" s="249" t="s">
        <v>284</v>
      </c>
      <c r="C7" s="249"/>
      <c r="D7" s="291"/>
      <c r="E7" s="354"/>
      <c r="F7" s="354"/>
      <c r="G7" s="354"/>
      <c r="H7" s="354"/>
      <c r="I7" s="354"/>
      <c r="J7" s="291"/>
      <c r="K7" s="291"/>
      <c r="L7" s="291"/>
      <c r="M7" s="291"/>
      <c r="N7" s="291"/>
      <c r="O7" s="291"/>
      <c r="P7" s="291"/>
      <c r="Q7" s="291"/>
      <c r="R7" s="291"/>
      <c r="S7" s="291"/>
      <c r="T7" s="291"/>
      <c r="U7" s="291"/>
      <c r="V7" s="291"/>
      <c r="W7" s="291"/>
      <c r="X7" s="291"/>
    </row>
    <row r="8" spans="1:24" ht="12.6" thickTop="1">
      <c r="B8" s="269"/>
      <c r="C8" s="269"/>
      <c r="E8" s="269"/>
      <c r="F8" s="269"/>
      <c r="G8" s="269"/>
      <c r="H8" s="269"/>
      <c r="I8" s="269"/>
    </row>
    <row r="9" spans="1:24">
      <c r="D9" s="269"/>
      <c r="E9" s="305" t="s">
        <v>69</v>
      </c>
      <c r="F9" s="355" t="s">
        <v>70</v>
      </c>
      <c r="G9" s="355"/>
      <c r="H9" s="355" t="s">
        <v>71</v>
      </c>
      <c r="I9" s="355"/>
      <c r="J9" s="355" t="s">
        <v>72</v>
      </c>
      <c r="K9" s="355"/>
      <c r="L9" s="355" t="s">
        <v>73</v>
      </c>
      <c r="M9" s="355"/>
      <c r="N9" s="355" t="s">
        <v>107</v>
      </c>
      <c r="O9" s="355"/>
      <c r="P9" s="355" t="s">
        <v>108</v>
      </c>
      <c r="Q9" s="355"/>
      <c r="R9" s="355" t="s">
        <v>547</v>
      </c>
      <c r="S9" s="355"/>
      <c r="T9" s="355" t="s">
        <v>109</v>
      </c>
      <c r="U9" s="355"/>
      <c r="V9" s="355" t="s">
        <v>110</v>
      </c>
      <c r="W9" s="355"/>
      <c r="X9" s="355" t="s">
        <v>100</v>
      </c>
    </row>
    <row r="10" spans="1: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1:24">
      <c r="A11" s="293"/>
      <c r="B11" s="390" t="s">
        <v>366</v>
      </c>
      <c r="E11" s="290" t="str">
        <f>"DCF, "&amp;TEXT(H11,"0.0")&amp;"x 26E FCF"</f>
        <v>DCF, 6.5x 26E FCF</v>
      </c>
      <c r="F11" s="373">
        <v>4052.2296530582471</v>
      </c>
      <c r="G11" s="142" t="s">
        <v>113</v>
      </c>
      <c r="H11" s="375">
        <v>6.5167265761080877</v>
      </c>
      <c r="I11" s="142" t="s">
        <v>114</v>
      </c>
      <c r="J11" s="373">
        <v>27443.559669938462</v>
      </c>
      <c r="K11" s="142" t="s">
        <v>115</v>
      </c>
      <c r="L11" s="373"/>
      <c r="M11" s="142" t="s">
        <v>114</v>
      </c>
      <c r="N11" s="176">
        <f t="shared" ref="N11:N16" si="0">J11-L11</f>
        <v>27443.559669938462</v>
      </c>
      <c r="O11" s="142" t="s">
        <v>113</v>
      </c>
      <c r="P11" s="379">
        <f>1 - T11/N11</f>
        <v>0.95301315062192304</v>
      </c>
      <c r="Q11" s="312" t="s">
        <v>114</v>
      </c>
      <c r="R11" s="168">
        <f>P11*N11</f>
        <v>26154.073265328796</v>
      </c>
      <c r="S11" s="176"/>
      <c r="T11" s="542">
        <f>SUM(T18:T19)</f>
        <v>1289.4864046096673</v>
      </c>
      <c r="U11" s="176"/>
      <c r="V11" s="316">
        <f t="shared" ref="V11:V19" si="1">N11/$J$42</f>
        <v>1.8862579568948974</v>
      </c>
      <c r="W11" s="293"/>
      <c r="X11" s="296">
        <f>$J$46*V11</f>
        <v>5.3830416459398123</v>
      </c>
    </row>
    <row r="12" spans="1:24">
      <c r="A12" s="293"/>
      <c r="B12" s="390" t="s">
        <v>364</v>
      </c>
      <c r="C12" s="293"/>
      <c r="E12" s="290" t="str">
        <f>"DCF, "&amp;TEXT(H12,"0.0")&amp;"x 26E FCF"</f>
        <v>DCF, 2.0x 26E FCF</v>
      </c>
      <c r="F12" s="373">
        <v>1507.0902859065714</v>
      </c>
      <c r="G12" s="142" t="s">
        <v>113</v>
      </c>
      <c r="H12" s="375">
        <v>1.977237506722753</v>
      </c>
      <c r="I12" s="142" t="s">
        <v>114</v>
      </c>
      <c r="J12" s="373">
        <v>5829.6089824957453</v>
      </c>
      <c r="K12" s="142" t="s">
        <v>115</v>
      </c>
      <c r="L12" s="373"/>
      <c r="M12" s="142" t="s">
        <v>114</v>
      </c>
      <c r="N12" s="176">
        <f t="shared" si="0"/>
        <v>5829.6089824957453</v>
      </c>
      <c r="O12" s="142" t="s">
        <v>113</v>
      </c>
      <c r="P12" s="379">
        <v>0.96799999999999997</v>
      </c>
      <c r="Q12" s="312" t="s">
        <v>114</v>
      </c>
      <c r="R12" s="176">
        <f>P12*N12</f>
        <v>5643.0614950558811</v>
      </c>
      <c r="S12" s="293"/>
      <c r="T12" s="542">
        <f t="shared" ref="T12:T16" si="2">N12-R12</f>
        <v>186.5474874398642</v>
      </c>
      <c r="U12" s="293"/>
      <c r="V12" s="313">
        <f t="shared" si="1"/>
        <v>0.40068221692332756</v>
      </c>
      <c r="W12" s="293"/>
      <c r="X12" s="296">
        <f>$J$44*V12</f>
        <v>1.0232704638689758</v>
      </c>
    </row>
    <row r="13" spans="1:24">
      <c r="A13" s="293"/>
      <c r="B13" s="293" t="s">
        <v>474</v>
      </c>
      <c r="C13" s="293"/>
      <c r="E13" s="290" t="s">
        <v>1200</v>
      </c>
      <c r="F13" s="373">
        <v>3177.5835520000001</v>
      </c>
      <c r="G13" s="142" t="s">
        <v>113</v>
      </c>
      <c r="H13" s="375">
        <v>39.78976594758165</v>
      </c>
      <c r="I13" s="142" t="s">
        <v>114</v>
      </c>
      <c r="J13" s="373">
        <v>21675.90657220003</v>
      </c>
      <c r="K13" s="142" t="s">
        <v>115</v>
      </c>
      <c r="L13" s="373">
        <v>1202</v>
      </c>
      <c r="M13" s="142" t="s">
        <v>114</v>
      </c>
      <c r="N13" s="176">
        <f t="shared" si="0"/>
        <v>20473.90657220003</v>
      </c>
      <c r="O13" s="142" t="s">
        <v>113</v>
      </c>
      <c r="P13" s="379">
        <v>0.78600000000000003</v>
      </c>
      <c r="Q13" s="312" t="s">
        <v>114</v>
      </c>
      <c r="R13" s="176">
        <f t="shared" ref="R13" si="3">P13*N13</f>
        <v>16092.490565749225</v>
      </c>
      <c r="S13" s="176"/>
      <c r="T13" s="542">
        <f t="shared" si="2"/>
        <v>4381.4160064508051</v>
      </c>
      <c r="U13" s="176"/>
      <c r="V13" s="313">
        <f t="shared" si="1"/>
        <v>1.4072179281770862</v>
      </c>
      <c r="W13" s="293"/>
      <c r="X13" s="296">
        <f>$J$44*V13</f>
        <v>3.5937820080646357</v>
      </c>
    </row>
    <row r="14" spans="1:24">
      <c r="A14" s="293"/>
      <c r="B14" s="390" t="s">
        <v>1198</v>
      </c>
      <c r="C14" s="293"/>
      <c r="E14" s="290" t="str">
        <f>"DCF, "&amp;TEXT(H14,"0.0")&amp;"x 26E EBITDA"</f>
        <v>DCF, 4.5x 26E EBITDA</v>
      </c>
      <c r="F14" s="373">
        <v>365.99677687882138</v>
      </c>
      <c r="G14" s="142" t="s">
        <v>113</v>
      </c>
      <c r="H14" s="375">
        <v>4.4592382378846596</v>
      </c>
      <c r="I14" s="142" t="s">
        <v>114</v>
      </c>
      <c r="J14" s="373">
        <v>1632.0668224005803</v>
      </c>
      <c r="K14" s="142" t="s">
        <v>115</v>
      </c>
      <c r="L14" s="373"/>
      <c r="M14" s="142" t="s">
        <v>114</v>
      </c>
      <c r="N14" s="176">
        <f t="shared" si="0"/>
        <v>1632.0668224005803</v>
      </c>
      <c r="O14" s="142" t="s">
        <v>113</v>
      </c>
      <c r="P14" s="379">
        <v>1</v>
      </c>
      <c r="Q14" s="312" t="s">
        <v>114</v>
      </c>
      <c r="R14" s="176">
        <f t="shared" ref="R14" si="4">P14*N14</f>
        <v>1632.0668224005803</v>
      </c>
      <c r="S14" s="176"/>
      <c r="T14" s="542">
        <f t="shared" si="2"/>
        <v>0</v>
      </c>
      <c r="U14" s="176"/>
      <c r="V14" s="313">
        <f t="shared" si="1"/>
        <v>0.11217564583319847</v>
      </c>
      <c r="W14" s="293"/>
      <c r="X14" s="296">
        <f>$J$44*V14</f>
        <v>0.28647646513472241</v>
      </c>
    </row>
    <row r="15" spans="1:24">
      <c r="A15" s="293"/>
      <c r="B15" s="293" t="s">
        <v>834</v>
      </c>
      <c r="C15" s="293"/>
      <c r="E15" s="290" t="str">
        <f>"DCF, "&amp;TEXT(H15,"0.0")&amp;"x 26E FCF"</f>
        <v>DCF, 12.0x 26E FCF</v>
      </c>
      <c r="F15" s="373">
        <v>251.04699108812002</v>
      </c>
      <c r="G15" s="142" t="s">
        <v>113</v>
      </c>
      <c r="H15" s="375">
        <v>11.982815994444573</v>
      </c>
      <c r="I15" s="142" t="s">
        <v>114</v>
      </c>
      <c r="J15" s="373">
        <v>3008.2499001679089</v>
      </c>
      <c r="K15" s="142" t="s">
        <v>115</v>
      </c>
      <c r="L15" s="373">
        <v>201</v>
      </c>
      <c r="M15" s="142" t="s">
        <v>114</v>
      </c>
      <c r="N15" s="176">
        <f t="shared" si="0"/>
        <v>2807.2499001679089</v>
      </c>
      <c r="O15" s="142" t="s">
        <v>113</v>
      </c>
      <c r="P15" s="379">
        <v>0.7</v>
      </c>
      <c r="Q15" s="312" t="s">
        <v>114</v>
      </c>
      <c r="R15" s="176">
        <f>P15*N15</f>
        <v>1965.074930117536</v>
      </c>
      <c r="S15" s="176"/>
      <c r="T15" s="542">
        <f t="shared" si="2"/>
        <v>842.17497005037285</v>
      </c>
      <c r="U15" s="176"/>
      <c r="V15" s="313">
        <f t="shared" si="1"/>
        <v>0.19294863803635712</v>
      </c>
      <c r="W15" s="293"/>
      <c r="X15" s="296">
        <f>$J$44*V15</f>
        <v>0.49275618933727489</v>
      </c>
    </row>
    <row r="16" spans="1:24">
      <c r="A16" s="293"/>
      <c r="B16" s="390" t="s">
        <v>1199</v>
      </c>
      <c r="C16" s="293"/>
      <c r="E16" s="290" t="str">
        <f>"DCF, "&amp;TEXT(H16,"0.0")&amp;"x 26E FCF"</f>
        <v>DCF, 10.8x 26E FCF</v>
      </c>
      <c r="F16" s="373">
        <v>-216.2829375</v>
      </c>
      <c r="G16" s="142" t="s">
        <v>113</v>
      </c>
      <c r="H16" s="375">
        <v>10.825857518626055</v>
      </c>
      <c r="I16" s="142" t="s">
        <v>114</v>
      </c>
      <c r="J16" s="373">
        <v>-2341.4482650849041</v>
      </c>
      <c r="K16" s="142" t="s">
        <v>115</v>
      </c>
      <c r="L16" s="373"/>
      <c r="M16" s="142" t="s">
        <v>114</v>
      </c>
      <c r="N16" s="176">
        <f t="shared" si="0"/>
        <v>-2341.4482650849041</v>
      </c>
      <c r="O16" s="142" t="s">
        <v>113</v>
      </c>
      <c r="P16" s="379">
        <v>1</v>
      </c>
      <c r="Q16" s="312" t="s">
        <v>114</v>
      </c>
      <c r="R16" s="176">
        <f>P16*N16</f>
        <v>-2341.4482650849041</v>
      </c>
      <c r="S16" s="293"/>
      <c r="T16" s="542">
        <f t="shared" si="2"/>
        <v>0</v>
      </c>
      <c r="U16" s="293"/>
      <c r="V16" s="313">
        <f t="shared" si="1"/>
        <v>-0.16093303761581804</v>
      </c>
      <c r="W16" s="293"/>
      <c r="X16" s="296">
        <f>$J$44*V16</f>
        <v>-0.41099409231953354</v>
      </c>
    </row>
    <row r="17" spans="1:24" s="304" customFormat="1">
      <c r="A17" s="269"/>
      <c r="B17" s="305" t="s">
        <v>1133</v>
      </c>
      <c r="C17" s="269"/>
      <c r="J17" s="317">
        <f>SUM(J11:J16)</f>
        <v>57247.943682117824</v>
      </c>
      <c r="N17" s="317">
        <f>SUM(N11:N16)</f>
        <v>55844.943682117824</v>
      </c>
      <c r="P17" s="157"/>
      <c r="R17" s="317">
        <f>SUM(R11:R16)</f>
        <v>49145.318813567115</v>
      </c>
      <c r="S17" s="170"/>
      <c r="T17" s="317">
        <f>SUM(T11:T16)</f>
        <v>6699.6248685507089</v>
      </c>
      <c r="U17" s="170"/>
      <c r="V17" s="333">
        <f t="shared" si="1"/>
        <v>3.8383493482490487</v>
      </c>
      <c r="W17" s="269"/>
      <c r="X17" s="323">
        <f>$J$46*V17</f>
        <v>10.953960097432132</v>
      </c>
    </row>
    <row r="18" spans="1:24" s="544" customFormat="1">
      <c r="A18" s="543"/>
      <c r="B18" s="541" t="s">
        <v>1356</v>
      </c>
      <c r="C18" s="543"/>
      <c r="J18" s="473">
        <v>2100</v>
      </c>
      <c r="N18" s="473">
        <v>1920.6933435770388</v>
      </c>
      <c r="P18" s="474">
        <v>0.55000000000000004</v>
      </c>
      <c r="R18" s="475">
        <f>P18*N18</f>
        <v>1056.3813389673714</v>
      </c>
      <c r="S18" s="475"/>
      <c r="T18" s="475">
        <f>N18-R18</f>
        <v>864.31200460966738</v>
      </c>
      <c r="U18" s="475"/>
      <c r="V18" s="545">
        <f t="shared" si="1"/>
        <v>0.13201359975345275</v>
      </c>
      <c r="W18" s="543"/>
      <c r="X18" s="546">
        <f>$J$46*V18</f>
        <v>0.37674311867348831</v>
      </c>
    </row>
    <row r="19" spans="1:24" s="544" customFormat="1">
      <c r="A19" s="543"/>
      <c r="B19" s="541" t="s">
        <v>1357</v>
      </c>
      <c r="C19" s="543"/>
      <c r="J19" s="473">
        <v>1451.5199999999998</v>
      </c>
      <c r="N19" s="473">
        <v>1149.1199999999999</v>
      </c>
      <c r="P19" s="474">
        <v>0.63</v>
      </c>
      <c r="R19" s="475">
        <f>P19*N19</f>
        <v>723.9455999999999</v>
      </c>
      <c r="S19" s="475"/>
      <c r="T19" s="475">
        <f>N19-R19</f>
        <v>425.17439999999999</v>
      </c>
      <c r="U19" s="475"/>
      <c r="V19" s="545">
        <f t="shared" si="1"/>
        <v>7.8981617891259681E-2</v>
      </c>
      <c r="W19" s="543"/>
      <c r="X19" s="546">
        <f>$J$46*V19</f>
        <v>0.22539936110978373</v>
      </c>
    </row>
    <row r="20" spans="1:24">
      <c r="A20" s="293"/>
    </row>
    <row r="21" spans="1:24">
      <c r="A21" s="293"/>
    </row>
    <row r="22" spans="1:24">
      <c r="B22" s="293" t="s">
        <v>1201</v>
      </c>
      <c r="E22" s="290" t="str">
        <f>"DCF, "&amp;TEXT(H22,"0.0")&amp;"x 26E EBITDA"</f>
        <v>DCF, 4.5x 26E EBITDA</v>
      </c>
      <c r="F22" s="373">
        <v>4384.5196797235349</v>
      </c>
      <c r="G22" s="142" t="s">
        <v>113</v>
      </c>
      <c r="H22" s="374">
        <v>4.4591925042935499</v>
      </c>
      <c r="I22" s="142" t="s">
        <v>114</v>
      </c>
      <c r="J22" s="373">
        <v>19551.417290750742</v>
      </c>
      <c r="K22" s="142" t="s">
        <v>115</v>
      </c>
      <c r="L22" s="373">
        <v>23815.574997270705</v>
      </c>
      <c r="M22" s="142" t="s">
        <v>114</v>
      </c>
      <c r="N22" s="380">
        <v>0</v>
      </c>
      <c r="O22" s="142" t="s">
        <v>113</v>
      </c>
      <c r="P22" s="379">
        <v>0.5</v>
      </c>
      <c r="Q22" s="312" t="s">
        <v>114</v>
      </c>
      <c r="R22" s="542">
        <f>N22*P22</f>
        <v>0</v>
      </c>
      <c r="S22" s="176"/>
      <c r="T22" s="542">
        <f t="shared" ref="T22:T23" si="5">N22-R22</f>
        <v>0</v>
      </c>
      <c r="U22" s="176"/>
      <c r="V22" s="313">
        <f>N22/$J$42</f>
        <v>0</v>
      </c>
      <c r="W22" s="293"/>
      <c r="X22" s="296">
        <f>$J$44*V22</f>
        <v>0</v>
      </c>
    </row>
    <row r="23" spans="1:24">
      <c r="B23" s="293" t="s">
        <v>1274</v>
      </c>
      <c r="E23" s="290" t="s">
        <v>879</v>
      </c>
      <c r="M23" s="142"/>
      <c r="N23" s="380">
        <v>0</v>
      </c>
      <c r="O23" s="142" t="s">
        <v>113</v>
      </c>
      <c r="P23" s="379">
        <v>0.25</v>
      </c>
      <c r="Q23" s="312" t="s">
        <v>114</v>
      </c>
      <c r="R23" s="542">
        <f>N23*P23</f>
        <v>0</v>
      </c>
      <c r="S23" s="176"/>
      <c r="T23" s="542">
        <f t="shared" si="5"/>
        <v>0</v>
      </c>
      <c r="U23" s="176"/>
      <c r="V23" s="313">
        <f>N23/$J$42</f>
        <v>0</v>
      </c>
      <c r="W23" s="293"/>
      <c r="X23" s="296">
        <f>$J$44*V23</f>
        <v>0</v>
      </c>
    </row>
    <row r="24" spans="1:24">
      <c r="B24" s="293" t="s">
        <v>1134</v>
      </c>
      <c r="C24" s="293"/>
      <c r="E24" s="290" t="s">
        <v>1135</v>
      </c>
      <c r="M24" s="142"/>
      <c r="N24" s="542">
        <f>R24/P24</f>
        <v>626.08695652173913</v>
      </c>
      <c r="O24" s="142" t="s">
        <v>113</v>
      </c>
      <c r="P24" s="379">
        <v>0.4</v>
      </c>
      <c r="Q24" s="312" t="s">
        <v>114</v>
      </c>
      <c r="R24" s="380">
        <v>250.43478260869566</v>
      </c>
      <c r="S24" s="293"/>
      <c r="T24" s="542">
        <f t="shared" ref="T24:T26" si="6">N24-R24</f>
        <v>375.6521739130435</v>
      </c>
      <c r="U24" s="176"/>
      <c r="V24" s="313">
        <f>N24/$J$42</f>
        <v>4.3032373265369774E-2</v>
      </c>
      <c r="W24" s="293"/>
      <c r="X24" s="296">
        <f>$J$44*V24</f>
        <v>0.10989695747107216</v>
      </c>
    </row>
    <row r="25" spans="1:24">
      <c r="A25" s="390"/>
      <c r="B25" s="293" t="s">
        <v>1358</v>
      </c>
      <c r="C25" s="293"/>
      <c r="E25" s="290" t="s">
        <v>1135</v>
      </c>
      <c r="M25" s="142"/>
      <c r="N25" s="542">
        <f t="shared" ref="N25:N27" si="7">R25/P25</f>
        <v>1000</v>
      </c>
      <c r="O25" s="142" t="s">
        <v>113</v>
      </c>
      <c r="P25" s="379">
        <v>0.2</v>
      </c>
      <c r="Q25" s="312" t="s">
        <v>114</v>
      </c>
      <c r="R25" s="380">
        <v>200</v>
      </c>
      <c r="S25" s="176"/>
      <c r="T25" s="542">
        <f t="shared" ref="T25" si="8">N25-R25</f>
        <v>800</v>
      </c>
      <c r="U25" s="176"/>
      <c r="V25" s="313">
        <f t="shared" ref="V25" si="9">N25/$J$42</f>
        <v>6.8732262854410059E-2</v>
      </c>
      <c r="W25" s="293"/>
      <c r="X25" s="296">
        <f t="shared" ref="X25" si="10">$J$44*V25</f>
        <v>0.17552986262740694</v>
      </c>
    </row>
    <row r="26" spans="1:24">
      <c r="A26" s="390"/>
      <c r="B26" s="293" t="s">
        <v>432</v>
      </c>
      <c r="C26" s="293"/>
      <c r="E26" s="290" t="s">
        <v>1360</v>
      </c>
      <c r="M26" s="142"/>
      <c r="N26" s="542">
        <f t="shared" si="7"/>
        <v>120024</v>
      </c>
      <c r="O26" s="142" t="s">
        <v>113</v>
      </c>
      <c r="P26" s="379">
        <v>7.7000000000000002E-3</v>
      </c>
      <c r="Q26" s="312" t="s">
        <v>114</v>
      </c>
      <c r="R26" s="380">
        <v>924.1848</v>
      </c>
      <c r="S26" s="176"/>
      <c r="T26" s="542">
        <f t="shared" si="6"/>
        <v>119099.8152</v>
      </c>
      <c r="U26" s="176"/>
      <c r="V26" s="313">
        <f>N26/$J$42</f>
        <v>8.2495211168377125</v>
      </c>
      <c r="W26" s="293"/>
      <c r="X26" s="296">
        <f>$J$44*V26</f>
        <v>21.067796231991888</v>
      </c>
    </row>
    <row r="27" spans="1:24">
      <c r="A27" s="293"/>
      <c r="B27" s="293" t="s">
        <v>1359</v>
      </c>
      <c r="C27" s="293"/>
      <c r="E27" s="290" t="s">
        <v>918</v>
      </c>
      <c r="M27" s="142"/>
      <c r="N27" s="542">
        <f t="shared" si="7"/>
        <v>426</v>
      </c>
      <c r="O27" s="142" t="s">
        <v>113</v>
      </c>
      <c r="P27" s="379">
        <v>0.5</v>
      </c>
      <c r="Q27" s="312" t="s">
        <v>114</v>
      </c>
      <c r="R27" s="380">
        <v>213</v>
      </c>
      <c r="S27" s="293"/>
      <c r="T27" s="542">
        <f>N27-R27</f>
        <v>213</v>
      </c>
      <c r="U27" s="293"/>
      <c r="V27" s="316">
        <f>N27/$J$42</f>
        <v>2.9279943975978686E-2</v>
      </c>
      <c r="W27" s="293"/>
      <c r="X27" s="296">
        <f>$J$44*V27</f>
        <v>7.4775721479275359E-2</v>
      </c>
    </row>
    <row r="28" spans="1:24" s="304" customFormat="1">
      <c r="A28" s="269"/>
      <c r="B28" s="305" t="s">
        <v>118</v>
      </c>
      <c r="C28" s="269"/>
      <c r="N28" s="317">
        <f>SUM(N22:N27)</f>
        <v>122076.08695652174</v>
      </c>
      <c r="P28" s="157"/>
      <c r="R28" s="317">
        <f>SUM(R22:R27)</f>
        <v>1587.6195826086955</v>
      </c>
      <c r="S28" s="170"/>
      <c r="T28" s="317">
        <f>SUM(T26:T27)</f>
        <v>119312.8152</v>
      </c>
      <c r="U28" s="170"/>
      <c r="V28" s="333">
        <f t="shared" ref="V28" si="11">N28/$J$42</f>
        <v>8.3905656969334714</v>
      </c>
      <c r="W28" s="269"/>
      <c r="X28" s="323">
        <f>$J$46*V28</f>
        <v>23.945168482649684</v>
      </c>
    </row>
    <row r="29" spans="1:24">
      <c r="A29" s="269"/>
      <c r="B29" s="360"/>
      <c r="C29" s="269"/>
      <c r="F29" s="170"/>
      <c r="G29" s="157"/>
      <c r="H29" s="334"/>
      <c r="I29" s="157"/>
      <c r="J29" s="170"/>
      <c r="K29" s="157"/>
      <c r="L29" s="170"/>
      <c r="M29" s="157"/>
      <c r="N29" s="170"/>
      <c r="O29" s="157"/>
      <c r="P29" s="171"/>
      <c r="Q29" s="292"/>
      <c r="R29" s="170"/>
      <c r="S29" s="293"/>
      <c r="T29" s="170"/>
      <c r="U29" s="293"/>
      <c r="V29" s="335"/>
      <c r="W29" s="293"/>
      <c r="X29" s="295"/>
    </row>
    <row r="30" spans="1:24">
      <c r="A30" s="269"/>
      <c r="B30" s="269" t="s">
        <v>117</v>
      </c>
      <c r="C30" s="293"/>
      <c r="F30" s="170"/>
      <c r="G30" s="157"/>
      <c r="H30" s="295"/>
      <c r="I30" s="299"/>
      <c r="J30" s="317">
        <f>J17</f>
        <v>57247.943682117824</v>
      </c>
      <c r="K30" s="298"/>
      <c r="L30" s="317">
        <f>-J34</f>
        <v>24962.339363320778</v>
      </c>
      <c r="M30" s="157"/>
      <c r="N30" s="317">
        <f>J30-L30</f>
        <v>32285.604318797046</v>
      </c>
      <c r="P30" s="300"/>
      <c r="Q30" s="301"/>
      <c r="R30" s="317">
        <f>SUM(R17,R28)</f>
        <v>50732.938396175814</v>
      </c>
      <c r="S30" s="293"/>
      <c r="T30" s="317">
        <f>T17</f>
        <v>6699.6248685507089</v>
      </c>
      <c r="U30" s="293"/>
      <c r="V30" s="333">
        <f>N30/$J$42</f>
        <v>2.2190626424530353</v>
      </c>
      <c r="W30" s="293"/>
      <c r="X30" s="323">
        <f>$J$44*V30</f>
        <v>5.667087690921262</v>
      </c>
    </row>
    <row r="31" spans="1:24">
      <c r="D31" s="269"/>
      <c r="E31" s="304"/>
      <c r="F31" s="304"/>
      <c r="G31" s="304"/>
      <c r="H31" s="304"/>
      <c r="I31" s="304"/>
      <c r="J31" s="304"/>
      <c r="K31" s="304"/>
      <c r="R31" s="293"/>
    </row>
    <row r="32" spans="1:24">
      <c r="D32" s="269"/>
      <c r="E32" s="304"/>
      <c r="F32" s="304"/>
      <c r="G32" s="304"/>
      <c r="H32" s="304"/>
      <c r="I32" s="304"/>
      <c r="J32" s="304"/>
      <c r="K32" s="304"/>
      <c r="R32" s="293"/>
    </row>
    <row r="33" spans="2:24" ht="12.6" thickBot="1">
      <c r="B33" s="305" t="s">
        <v>121</v>
      </c>
      <c r="D33" s="269"/>
      <c r="E33" s="304"/>
      <c r="H33" s="304"/>
      <c r="I33" s="304"/>
      <c r="J33" s="297">
        <f>J30</f>
        <v>57247.943682117824</v>
      </c>
      <c r="T33" s="357" t="s">
        <v>452</v>
      </c>
      <c r="U33" s="357"/>
      <c r="V33" s="291"/>
      <c r="W33" s="291"/>
      <c r="X33" s="291"/>
    </row>
    <row r="34" spans="2:24" ht="12.6" thickTop="1">
      <c r="B34" s="306" t="s">
        <v>1181</v>
      </c>
      <c r="J34" s="380">
        <v>-24962.339363320778</v>
      </c>
    </row>
    <row r="35" spans="2:24">
      <c r="B35" s="306" t="s">
        <v>724</v>
      </c>
      <c r="J35" s="542">
        <f>-T30</f>
        <v>-6699.6248685507089</v>
      </c>
      <c r="K35" s="304"/>
    </row>
    <row r="36" spans="2:24">
      <c r="B36" s="306" t="s">
        <v>442</v>
      </c>
      <c r="J36" s="542">
        <f>R28</f>
        <v>1587.6195826086955</v>
      </c>
      <c r="K36" s="304"/>
    </row>
    <row r="37" spans="2:24">
      <c r="B37" s="306" t="s">
        <v>1202</v>
      </c>
      <c r="J37" s="380">
        <v>-3886.020540544283</v>
      </c>
      <c r="K37" s="304"/>
    </row>
    <row r="38" spans="2:24">
      <c r="B38" s="307" t="s">
        <v>1136</v>
      </c>
      <c r="J38" s="380">
        <v>-2321.2838020339532</v>
      </c>
      <c r="K38" s="304"/>
    </row>
    <row r="39" spans="2:24">
      <c r="B39" s="307" t="s">
        <v>835</v>
      </c>
      <c r="J39" s="380">
        <v>-7550</v>
      </c>
      <c r="K39" s="304"/>
    </row>
    <row r="40" spans="2:24">
      <c r="B40" s="307" t="s">
        <v>1203</v>
      </c>
      <c r="J40" s="380">
        <v>412.91347588264546</v>
      </c>
      <c r="K40" s="304"/>
    </row>
    <row r="41" spans="2:24">
      <c r="B41" s="307" t="s">
        <v>1361</v>
      </c>
      <c r="J41" s="380">
        <v>720</v>
      </c>
      <c r="K41" s="304"/>
    </row>
    <row r="42" spans="2:24">
      <c r="B42" s="305" t="s">
        <v>407</v>
      </c>
      <c r="D42" s="269"/>
      <c r="E42" s="304"/>
      <c r="F42" s="304"/>
      <c r="G42" s="304"/>
      <c r="H42" s="304"/>
      <c r="I42" s="304"/>
      <c r="J42" s="317">
        <f>SUM(J33:J41)</f>
        <v>14549.20816615944</v>
      </c>
      <c r="K42" s="304"/>
    </row>
    <row r="43" spans="2:24" ht="12.6" thickBot="1">
      <c r="B43" s="307" t="s">
        <v>408</v>
      </c>
      <c r="D43" s="293"/>
      <c r="J43" s="176">
        <f>(TEF!E10)</f>
        <v>5697.0363050000005</v>
      </c>
      <c r="K43" s="304"/>
    </row>
    <row r="44" spans="2:24" ht="12.6" thickBot="1">
      <c r="B44" s="305" t="s">
        <v>409</v>
      </c>
      <c r="D44" s="293"/>
      <c r="J44" s="358">
        <f>J42/J43</f>
        <v>2.5538205107435137</v>
      </c>
      <c r="K44" s="304"/>
      <c r="U44" s="269"/>
      <c r="X44" s="310"/>
    </row>
    <row r="45" spans="2:24" ht="12.6" thickBot="1">
      <c r="B45" s="307" t="s">
        <v>624</v>
      </c>
      <c r="J45" s="400">
        <v>0.3</v>
      </c>
      <c r="K45" s="304"/>
    </row>
    <row r="46" spans="2:24" ht="12.6" thickBot="1">
      <c r="B46" s="305" t="s">
        <v>55</v>
      </c>
      <c r="D46" s="269"/>
      <c r="E46" s="304"/>
      <c r="H46" s="304"/>
      <c r="I46" s="304"/>
      <c r="J46" s="358">
        <f>J44+J45</f>
        <v>2.8538205107435135</v>
      </c>
    </row>
    <row r="47" spans="2:24">
      <c r="B47" s="307" t="s">
        <v>410</v>
      </c>
      <c r="D47" s="293"/>
      <c r="J47" s="296">
        <f>Prices!C17</f>
        <v>3.8820000000000001</v>
      </c>
    </row>
    <row r="48" spans="2:24">
      <c r="B48" s="305" t="s">
        <v>84</v>
      </c>
      <c r="D48" s="269"/>
      <c r="E48" s="304"/>
      <c r="F48" s="304"/>
      <c r="G48" s="304"/>
      <c r="H48" s="304"/>
      <c r="I48" s="304"/>
      <c r="J48" s="310">
        <f>J46/J47-1</f>
        <v>-0.26485818888626655</v>
      </c>
      <c r="K48" s="304"/>
    </row>
    <row r="49" spans="2:24">
      <c r="B49" s="305"/>
      <c r="D49" s="269"/>
      <c r="E49" s="269"/>
      <c r="H49" s="304"/>
      <c r="I49" s="304"/>
    </row>
    <row r="50" spans="2:24">
      <c r="D50" s="269"/>
      <c r="E50" s="269"/>
      <c r="F50" s="269"/>
      <c r="G50" s="269"/>
      <c r="H50" s="269"/>
      <c r="I50" s="269"/>
    </row>
    <row r="51" spans="2:24">
      <c r="D51" s="269"/>
      <c r="E51" s="269"/>
      <c r="F51" s="269"/>
      <c r="G51" s="269"/>
      <c r="H51" s="269"/>
      <c r="I51" s="269"/>
    </row>
    <row r="52" spans="2:24">
      <c r="D52" s="269"/>
      <c r="E52" s="269"/>
      <c r="F52" s="269"/>
      <c r="G52" s="269"/>
      <c r="H52" s="269"/>
      <c r="I52" s="269"/>
    </row>
    <row r="53" spans="2:24" ht="12.6" thickBot="1">
      <c r="D53" s="269"/>
      <c r="E53" s="269"/>
      <c r="F53" s="269"/>
      <c r="G53" s="269"/>
      <c r="H53" s="269"/>
      <c r="I53" s="269"/>
      <c r="T53" s="357" t="s">
        <v>452</v>
      </c>
      <c r="U53" s="357"/>
      <c r="V53" s="291"/>
      <c r="W53" s="291"/>
      <c r="X53" s="291"/>
    </row>
    <row r="54" spans="2:24" ht="12.6" thickTop="1">
      <c r="D54" s="269"/>
      <c r="E54" s="269"/>
      <c r="F54" s="269"/>
      <c r="G54" s="269"/>
      <c r="H54" s="269"/>
      <c r="I54" s="269"/>
      <c r="T54" s="293" t="s">
        <v>90</v>
      </c>
      <c r="X54" s="404">
        <f>(N11+N12+N15+N16+R22)/(N17+R28)</f>
        <v>0.5874536738331293</v>
      </c>
    </row>
    <row r="55" spans="2:24">
      <c r="D55" s="269"/>
      <c r="E55" s="269"/>
      <c r="F55" s="269"/>
      <c r="G55" s="269"/>
      <c r="H55" s="269"/>
      <c r="I55" s="269"/>
      <c r="T55" s="293" t="s">
        <v>548</v>
      </c>
      <c r="X55" s="404">
        <f>1-X54</f>
        <v>0.4125463261668707</v>
      </c>
    </row>
  </sheetData>
  <phoneticPr fontId="26" type="noConversion"/>
  <pageMargins left="0.75" right="0.75" top="1" bottom="1" header="0.5" footer="0.5"/>
  <pageSetup scale="46"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70">
    <pageSetUpPr fitToPage="1"/>
  </sheetPr>
  <dimension ref="B1:X50"/>
  <sheetViews>
    <sheetView showGridLines="0" zoomScale="80" zoomScaleNormal="80" workbookViewId="0"/>
  </sheetViews>
  <sheetFormatPr defaultColWidth="9.109375" defaultRowHeight="12"/>
  <cols>
    <col min="1" max="1" width="2.33203125" style="290" customWidth="1"/>
    <col min="2" max="4" width="10" style="290" customWidth="1"/>
    <col min="5" max="5" width="22.66406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1158</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D6" s="353"/>
      <c r="E6" s="353"/>
      <c r="F6" s="353"/>
      <c r="G6" s="353"/>
      <c r="H6" s="353"/>
      <c r="I6" s="353"/>
      <c r="L6" s="337"/>
      <c r="M6" s="337"/>
      <c r="N6" s="337"/>
      <c r="O6" s="337"/>
      <c r="P6" s="337"/>
      <c r="Q6" s="337"/>
      <c r="R6" s="337"/>
      <c r="S6" s="337"/>
      <c r="T6" s="337"/>
      <c r="U6" s="337"/>
      <c r="V6" s="337"/>
      <c r="W6" s="337"/>
      <c r="X6" s="337"/>
    </row>
    <row r="7" spans="2:24" ht="12.6" thickBot="1">
      <c r="B7" s="249" t="s">
        <v>322</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row r="9" spans="2:24">
      <c r="D9" s="269"/>
      <c r="E9" s="305" t="s">
        <v>69</v>
      </c>
      <c r="F9" s="355" t="s">
        <v>70</v>
      </c>
      <c r="G9" s="355"/>
      <c r="H9" s="355" t="s">
        <v>71</v>
      </c>
      <c r="I9" s="355"/>
      <c r="J9" s="355" t="s">
        <v>72</v>
      </c>
      <c r="K9" s="355"/>
      <c r="L9" s="355" t="s">
        <v>73</v>
      </c>
      <c r="M9" s="355"/>
      <c r="N9" s="356" t="s">
        <v>107</v>
      </c>
      <c r="O9" s="356"/>
      <c r="P9" s="355" t="s">
        <v>108</v>
      </c>
      <c r="Q9" s="355"/>
      <c r="R9" s="355" t="s">
        <v>10</v>
      </c>
      <c r="S9" s="355"/>
      <c r="T9" s="355" t="s">
        <v>109</v>
      </c>
      <c r="U9" s="355"/>
      <c r="V9" s="355" t="s">
        <v>110</v>
      </c>
      <c r="W9" s="355"/>
      <c r="X9" s="355" t="s">
        <v>100</v>
      </c>
    </row>
    <row r="10" spans="2:24">
      <c r="D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189</v>
      </c>
      <c r="C11" s="293"/>
      <c r="E11" s="290" t="str">
        <f>"DCF, "&amp;TEXT(H11,"0.0")&amp;"x 26E EBITDA"</f>
        <v>DCF, 10.3x 26E EBITDA</v>
      </c>
      <c r="F11" s="373">
        <v>9001.9632150618218</v>
      </c>
      <c r="G11" s="142" t="s">
        <v>113</v>
      </c>
      <c r="H11" s="376">
        <v>10.253323427075872</v>
      </c>
      <c r="I11" s="142" t="s">
        <v>114</v>
      </c>
      <c r="J11" s="176">
        <f>H11*F11</f>
        <v>92300.040322668603</v>
      </c>
      <c r="K11" s="142"/>
      <c r="L11" s="373"/>
      <c r="M11" s="142" t="s">
        <v>114</v>
      </c>
      <c r="N11" s="142">
        <f t="shared" ref="N11" si="0">J11-L11</f>
        <v>92300.040322668603</v>
      </c>
      <c r="O11" s="142" t="s">
        <v>113</v>
      </c>
      <c r="P11" s="379">
        <v>1</v>
      </c>
      <c r="Q11" s="312" t="s">
        <v>114</v>
      </c>
      <c r="R11" s="176">
        <f t="shared" ref="R11" si="1">P11*N11</f>
        <v>92300.040322668603</v>
      </c>
      <c r="S11" s="176"/>
      <c r="T11" s="176">
        <f t="shared" ref="T11" si="2">N11-R11</f>
        <v>0</v>
      </c>
      <c r="U11" s="176"/>
      <c r="V11" s="316">
        <f>N11/$J$30</f>
        <v>0.84503644406264256</v>
      </c>
      <c r="W11" s="293"/>
      <c r="X11" s="296">
        <f>$J$35*V11</f>
        <v>143.04346124818048</v>
      </c>
    </row>
    <row r="12" spans="2:24">
      <c r="B12" s="293" t="s">
        <v>672</v>
      </c>
      <c r="C12" s="293"/>
      <c r="E12" s="290" t="str">
        <f t="shared" ref="E12:E14" si="3">"DCF, "&amp;TEXT(H12,"0.0")&amp;"x 26E EBITDA"</f>
        <v>DCF, 14.7x 26E EBITDA</v>
      </c>
      <c r="F12" s="373">
        <v>1829.2126009625854</v>
      </c>
      <c r="G12" s="142" t="s">
        <v>113</v>
      </c>
      <c r="H12" s="376">
        <v>14.666246619630606</v>
      </c>
      <c r="I12" s="142" t="s">
        <v>114</v>
      </c>
      <c r="J12" s="176">
        <f>H12*F12</f>
        <v>26827.683125453226</v>
      </c>
      <c r="K12" s="142"/>
      <c r="L12" s="373"/>
      <c r="M12" s="142" t="s">
        <v>114</v>
      </c>
      <c r="N12" s="142">
        <f t="shared" ref="N12" si="4">J12-L12</f>
        <v>26827.683125453226</v>
      </c>
      <c r="O12" s="142" t="s">
        <v>113</v>
      </c>
      <c r="P12" s="379">
        <v>1</v>
      </c>
      <c r="Q12" s="312" t="s">
        <v>114</v>
      </c>
      <c r="R12" s="176">
        <f t="shared" ref="R12" si="5">P12*N12</f>
        <v>26827.683125453226</v>
      </c>
      <c r="S12" s="176"/>
      <c r="T12" s="176">
        <f t="shared" ref="T12" si="6">N12-R12</f>
        <v>0</v>
      </c>
      <c r="U12" s="176"/>
      <c r="V12" s="316">
        <f>N12/$J$30</f>
        <v>0.24561603517744707</v>
      </c>
      <c r="W12" s="293"/>
      <c r="X12" s="296">
        <f>$J$35*V12</f>
        <v>41.576630282270301</v>
      </c>
    </row>
    <row r="13" spans="2:24">
      <c r="B13" s="293" t="s">
        <v>674</v>
      </c>
      <c r="C13" s="293"/>
      <c r="E13" s="290" t="str">
        <f t="shared" si="3"/>
        <v>DCF, 10.4x 26E EBITDA</v>
      </c>
      <c r="F13" s="373">
        <v>893.56607667129072</v>
      </c>
      <c r="G13" s="142" t="s">
        <v>113</v>
      </c>
      <c r="H13" s="376">
        <v>10.410978195148864</v>
      </c>
      <c r="I13" s="142" t="s">
        <v>114</v>
      </c>
      <c r="J13" s="176">
        <f>H13*F13</f>
        <v>9302.8969401495251</v>
      </c>
      <c r="K13" s="142"/>
      <c r="L13" s="373"/>
      <c r="M13" s="142" t="s">
        <v>114</v>
      </c>
      <c r="N13" s="142">
        <f t="shared" ref="N13" si="7">J13-L13</f>
        <v>9302.8969401495251</v>
      </c>
      <c r="O13" s="142" t="s">
        <v>113</v>
      </c>
      <c r="P13" s="379">
        <v>1</v>
      </c>
      <c r="Q13" s="312" t="s">
        <v>114</v>
      </c>
      <c r="R13" s="176">
        <f t="shared" ref="R13" si="8">P13*N13</f>
        <v>9302.8969401495251</v>
      </c>
      <c r="S13" s="176"/>
      <c r="T13" s="176">
        <f t="shared" ref="T13" si="9">N13-R13</f>
        <v>0</v>
      </c>
      <c r="U13" s="176"/>
      <c r="V13" s="316">
        <f>N13/$J$30</f>
        <v>8.5171002334378021E-2</v>
      </c>
      <c r="W13" s="293"/>
      <c r="X13" s="296">
        <f>$J$35*V13</f>
        <v>14.417313072692938</v>
      </c>
    </row>
    <row r="14" spans="2:24">
      <c r="B14" s="293" t="s">
        <v>673</v>
      </c>
      <c r="C14" s="293"/>
      <c r="E14" s="290" t="str">
        <f t="shared" si="3"/>
        <v>DCF, 10.0x 26E EBITDA</v>
      </c>
      <c r="F14" s="373">
        <v>288.76799833968084</v>
      </c>
      <c r="G14" s="142" t="s">
        <v>113</v>
      </c>
      <c r="H14" s="376">
        <v>10.037468901834002</v>
      </c>
      <c r="I14" s="142" t="s">
        <v>114</v>
      </c>
      <c r="J14" s="176">
        <f>H14*F14</f>
        <v>2898.4998031793989</v>
      </c>
      <c r="K14" s="142" t="s">
        <v>115</v>
      </c>
      <c r="L14" s="373"/>
      <c r="M14" s="142" t="s">
        <v>114</v>
      </c>
      <c r="N14" s="142">
        <f t="shared" ref="N14" si="10">J14-L14</f>
        <v>2898.4998031793989</v>
      </c>
      <c r="O14" s="142" t="s">
        <v>113</v>
      </c>
      <c r="P14" s="379">
        <v>1</v>
      </c>
      <c r="Q14" s="312" t="s">
        <v>114</v>
      </c>
      <c r="R14" s="176">
        <f t="shared" ref="R14" si="11">P14*N14</f>
        <v>2898.4998031793989</v>
      </c>
      <c r="S14" s="176"/>
      <c r="T14" s="176">
        <f t="shared" ref="T14" si="12">N14-R14</f>
        <v>0</v>
      </c>
      <c r="U14" s="176"/>
      <c r="V14" s="316">
        <f>N14/$J$30</f>
        <v>2.653669443948703E-2</v>
      </c>
      <c r="W14" s="293"/>
      <c r="X14" s="296">
        <f>$J$35*V14</f>
        <v>4.4919963504298037</v>
      </c>
    </row>
    <row r="15" spans="2:24">
      <c r="B15" s="269" t="s">
        <v>117</v>
      </c>
      <c r="C15" s="293"/>
      <c r="F15" s="170"/>
      <c r="G15" s="157"/>
      <c r="H15" s="295"/>
      <c r="I15" s="157"/>
      <c r="J15" s="317">
        <f>SUM(J11:J14)</f>
        <v>131329.12019145075</v>
      </c>
      <c r="K15" s="157"/>
      <c r="L15" s="170"/>
      <c r="M15" s="157"/>
      <c r="N15" s="317">
        <f>SUM(N11:N14)</f>
        <v>131329.12019145075</v>
      </c>
      <c r="O15" s="157"/>
      <c r="P15" s="171"/>
      <c r="Q15" s="292"/>
      <c r="R15" s="317">
        <f>SUM(R11:R14)</f>
        <v>131329.12019145075</v>
      </c>
      <c r="S15" s="170"/>
      <c r="T15" s="317">
        <f>SUM(T11:T14)</f>
        <v>0</v>
      </c>
      <c r="U15" s="170"/>
      <c r="V15" s="171"/>
      <c r="W15" s="293"/>
      <c r="X15" s="295"/>
    </row>
    <row r="16" spans="2:24">
      <c r="B16" s="293"/>
      <c r="C16" s="293"/>
      <c r="F16" s="170"/>
      <c r="G16" s="157"/>
      <c r="H16" s="295"/>
      <c r="J16" s="170"/>
      <c r="K16" s="157"/>
      <c r="L16" s="170"/>
      <c r="M16" s="157"/>
      <c r="N16" s="157"/>
      <c r="O16" s="157"/>
      <c r="P16" s="171"/>
      <c r="Q16" s="292"/>
      <c r="R16" s="170"/>
      <c r="S16" s="170"/>
      <c r="T16" s="170"/>
      <c r="U16" s="170"/>
      <c r="V16" s="171"/>
      <c r="W16" s="293"/>
      <c r="X16" s="295"/>
    </row>
    <row r="17" spans="2:24">
      <c r="B17" s="269" t="s">
        <v>118</v>
      </c>
      <c r="C17" s="269"/>
      <c r="F17" s="170"/>
      <c r="G17" s="157"/>
      <c r="H17" s="295"/>
      <c r="J17" s="170"/>
      <c r="K17" s="157"/>
      <c r="L17" s="170"/>
      <c r="M17" s="157"/>
      <c r="N17" s="157"/>
      <c r="O17" s="157"/>
      <c r="P17" s="171"/>
      <c r="Q17" s="292"/>
      <c r="R17" s="170"/>
      <c r="S17" s="170"/>
      <c r="T17" s="170"/>
      <c r="U17" s="170"/>
      <c r="V17" s="171"/>
      <c r="W17" s="293"/>
      <c r="X17" s="295"/>
    </row>
    <row r="18" spans="2:24">
      <c r="B18" s="269" t="s">
        <v>1345</v>
      </c>
      <c r="C18" s="269"/>
      <c r="E18" s="290" t="s">
        <v>1117</v>
      </c>
      <c r="F18" s="170"/>
      <c r="G18" s="157"/>
      <c r="H18" s="295"/>
      <c r="J18" s="170"/>
      <c r="K18" s="157"/>
      <c r="L18" s="170"/>
      <c r="M18" s="157"/>
      <c r="N18" s="157"/>
      <c r="O18" s="157"/>
      <c r="P18" s="171"/>
      <c r="Q18" s="292"/>
      <c r="R18" s="369">
        <v>3102.4210000000003</v>
      </c>
      <c r="S18" s="170"/>
      <c r="T18" s="170"/>
      <c r="U18" s="170"/>
      <c r="V18" s="171"/>
      <c r="W18" s="293"/>
      <c r="X18" s="295"/>
    </row>
    <row r="19" spans="2:24">
      <c r="B19" s="269" t="s">
        <v>904</v>
      </c>
      <c r="C19" s="269"/>
      <c r="E19" s="290" t="s">
        <v>1117</v>
      </c>
      <c r="Q19" s="292"/>
      <c r="R19" s="371">
        <v>0</v>
      </c>
      <c r="S19" s="170"/>
      <c r="T19" s="170"/>
      <c r="U19" s="176"/>
      <c r="V19" s="313"/>
      <c r="W19" s="293"/>
      <c r="X19" s="296"/>
    </row>
    <row r="20" spans="2:24">
      <c r="B20" s="269" t="s">
        <v>117</v>
      </c>
      <c r="C20" s="293"/>
      <c r="I20" s="157"/>
      <c r="J20" s="170"/>
      <c r="K20" s="157"/>
      <c r="L20" s="157"/>
      <c r="M20" s="157"/>
      <c r="N20" s="170"/>
      <c r="O20" s="157"/>
      <c r="P20" s="157"/>
      <c r="Q20" s="157"/>
      <c r="R20" s="170">
        <f>R19+R18</f>
        <v>3102.4210000000003</v>
      </c>
      <c r="S20" s="157"/>
      <c r="T20" s="170"/>
      <c r="U20" s="157"/>
      <c r="V20" s="301"/>
      <c r="W20" s="157"/>
      <c r="X20" s="329"/>
    </row>
    <row r="21" spans="2:24">
      <c r="B21" s="269"/>
      <c r="C21" s="293"/>
      <c r="I21" s="157"/>
      <c r="J21" s="170"/>
      <c r="K21" s="157"/>
      <c r="L21" s="157"/>
      <c r="M21" s="157"/>
      <c r="N21" s="170"/>
      <c r="O21" s="157"/>
      <c r="P21" s="157"/>
      <c r="Q21" s="157"/>
      <c r="R21" s="170"/>
      <c r="S21" s="157"/>
      <c r="T21" s="170"/>
      <c r="U21" s="157"/>
      <c r="V21" s="301"/>
      <c r="W21" s="157"/>
      <c r="X21" s="329"/>
    </row>
    <row r="22" spans="2:24" ht="12.6" thickBot="1">
      <c r="B22" s="305" t="s">
        <v>121</v>
      </c>
      <c r="D22" s="269"/>
      <c r="E22" s="304"/>
      <c r="H22" s="304"/>
      <c r="I22" s="304"/>
      <c r="J22" s="297">
        <f>J15</f>
        <v>131329.12019145075</v>
      </c>
      <c r="M22" s="157"/>
      <c r="N22" s="170"/>
      <c r="P22" s="300"/>
      <c r="Q22" s="301"/>
      <c r="R22" s="170"/>
      <c r="S22" s="293"/>
      <c r="T22" s="357" t="s">
        <v>452</v>
      </c>
      <c r="U22" s="291"/>
      <c r="V22" s="291"/>
      <c r="W22" s="291"/>
      <c r="X22" s="291"/>
    </row>
    <row r="23" spans="2:24" ht="12.6" thickTop="1">
      <c r="B23" s="306" t="s">
        <v>1086</v>
      </c>
      <c r="D23" s="306"/>
      <c r="J23" s="176">
        <f>-TELE2!E12</f>
        <v>-21008.785642044899</v>
      </c>
    </row>
    <row r="24" spans="2:24">
      <c r="B24" s="307" t="s">
        <v>905</v>
      </c>
      <c r="D24" s="306"/>
      <c r="J24" s="373">
        <v>-5865.3267222612658</v>
      </c>
      <c r="M24" s="157"/>
    </row>
    <row r="25" spans="2:24">
      <c r="B25" s="307" t="s">
        <v>811</v>
      </c>
      <c r="D25" s="306"/>
      <c r="J25" s="373">
        <v>101.519959224375</v>
      </c>
    </row>
    <row r="26" spans="2:24">
      <c r="B26" s="307" t="s">
        <v>812</v>
      </c>
      <c r="D26" s="306"/>
      <c r="J26" s="373">
        <v>708.52657968977917</v>
      </c>
    </row>
    <row r="27" spans="2:24">
      <c r="B27" s="307" t="s">
        <v>1346</v>
      </c>
      <c r="D27" s="306"/>
      <c r="F27" s="536">
        <v>0.2</v>
      </c>
      <c r="J27" s="373">
        <v>858.63076366268604</v>
      </c>
    </row>
    <row r="28" spans="2:24">
      <c r="B28" s="307" t="s">
        <v>301</v>
      </c>
      <c r="J28" s="176">
        <f>-T15</f>
        <v>0</v>
      </c>
      <c r="K28" s="304"/>
    </row>
    <row r="29" spans="2:24">
      <c r="B29" s="307" t="s">
        <v>859</v>
      </c>
      <c r="J29" s="176">
        <f>R20</f>
        <v>3102.4210000000003</v>
      </c>
      <c r="K29" s="304"/>
    </row>
    <row r="30" spans="2:24">
      <c r="B30" s="305" t="s">
        <v>407</v>
      </c>
      <c r="D30" s="269"/>
      <c r="E30" s="304"/>
      <c r="F30" s="304"/>
      <c r="G30" s="304"/>
      <c r="H30" s="304"/>
      <c r="I30" s="304"/>
      <c r="J30" s="317">
        <f>SUM(J22:J29)</f>
        <v>109226.10612972143</v>
      </c>
      <c r="K30" s="304"/>
    </row>
    <row r="31" spans="2:24">
      <c r="B31" s="307" t="s">
        <v>408</v>
      </c>
      <c r="D31" s="293"/>
      <c r="J31" s="176">
        <f>TELE2!D10</f>
        <v>687.93055300000003</v>
      </c>
    </row>
    <row r="32" spans="2:24">
      <c r="B32" s="305" t="s">
        <v>409</v>
      </c>
      <c r="D32" s="293"/>
      <c r="J32" s="330">
        <f>J30/J31</f>
        <v>158.77490199177333</v>
      </c>
      <c r="K32" s="304"/>
    </row>
    <row r="33" spans="2:24">
      <c r="B33" s="307" t="s">
        <v>575</v>
      </c>
      <c r="D33" s="293"/>
      <c r="J33" s="375">
        <v>10.5</v>
      </c>
      <c r="K33" s="304"/>
    </row>
    <row r="34" spans="2:24" ht="12.6" thickBot="1">
      <c r="B34" s="307" t="s">
        <v>921</v>
      </c>
      <c r="D34" s="293"/>
      <c r="J34" s="375">
        <v>0</v>
      </c>
      <c r="K34" s="304"/>
    </row>
    <row r="35" spans="2:24" ht="12.6" thickBot="1">
      <c r="B35" s="305" t="s">
        <v>55</v>
      </c>
      <c r="D35" s="269"/>
      <c r="E35" s="304"/>
      <c r="H35" s="304"/>
      <c r="I35" s="304"/>
      <c r="J35" s="359">
        <f>J32+J33+J34</f>
        <v>169.27490199177333</v>
      </c>
      <c r="K35" s="304"/>
    </row>
    <row r="36" spans="2:24">
      <c r="B36" s="307" t="s">
        <v>410</v>
      </c>
      <c r="D36" s="293"/>
      <c r="J36" s="296">
        <f>Prices!C34</f>
        <v>189.65</v>
      </c>
    </row>
    <row r="37" spans="2:24">
      <c r="B37" s="305" t="s">
        <v>84</v>
      </c>
      <c r="D37" s="269"/>
      <c r="E37" s="304"/>
      <c r="F37" s="304"/>
      <c r="G37" s="304"/>
      <c r="H37" s="304"/>
      <c r="I37" s="304"/>
      <c r="J37" s="310">
        <f>J35/J36-1</f>
        <v>-0.10743526500514988</v>
      </c>
      <c r="K37" s="304"/>
    </row>
    <row r="39" spans="2:24">
      <c r="D39" s="269"/>
      <c r="E39" s="269"/>
      <c r="J39" s="304"/>
      <c r="K39" s="304"/>
    </row>
    <row r="40" spans="2:24">
      <c r="J40" s="299"/>
    </row>
    <row r="41" spans="2:24">
      <c r="D41" s="269"/>
      <c r="E41" s="269"/>
      <c r="F41" s="269"/>
      <c r="G41" s="269"/>
      <c r="J41" s="299"/>
      <c r="K41" s="304"/>
    </row>
    <row r="42" spans="2:24">
      <c r="D42" s="309"/>
      <c r="E42" s="269"/>
      <c r="F42" s="269"/>
      <c r="G42" s="269"/>
      <c r="H42" s="269"/>
      <c r="I42" s="269"/>
      <c r="J42" s="325"/>
      <c r="K42" s="304"/>
      <c r="L42" s="304"/>
    </row>
    <row r="43" spans="2:24">
      <c r="D43" s="309"/>
      <c r="E43" s="269"/>
      <c r="F43" s="269"/>
      <c r="G43" s="269"/>
      <c r="H43" s="269"/>
      <c r="I43" s="269"/>
      <c r="K43" s="304"/>
      <c r="L43" s="304"/>
    </row>
    <row r="46" spans="2:24" ht="12.6" thickBot="1">
      <c r="T46" s="357" t="s">
        <v>452</v>
      </c>
      <c r="U46" s="291"/>
      <c r="V46" s="291"/>
      <c r="W46" s="291"/>
      <c r="X46" s="291"/>
    </row>
    <row r="47" spans="2:24" ht="12.6" thickTop="1">
      <c r="T47" s="293" t="str">
        <f>B11</f>
        <v>Sweden</v>
      </c>
      <c r="X47" s="313">
        <f>(J11)/$J$22</f>
        <v>0.70281473132626027</v>
      </c>
    </row>
    <row r="48" spans="2:24">
      <c r="N48" s="304"/>
      <c r="T48" s="293" t="str">
        <f>B12</f>
        <v>Lithuania</v>
      </c>
      <c r="X48" s="313">
        <f>(J12)/$J$22</f>
        <v>0.20427825212217976</v>
      </c>
    </row>
    <row r="49" spans="4:24">
      <c r="D49" s="269"/>
      <c r="E49" s="269"/>
      <c r="F49" s="269"/>
      <c r="G49" s="269"/>
      <c r="H49" s="269"/>
      <c r="I49" s="269"/>
      <c r="N49" s="304"/>
      <c r="T49" s="293" t="str">
        <f>B13</f>
        <v>Latvia</v>
      </c>
      <c r="X49" s="313">
        <f>(J13)/$J$22</f>
        <v>7.083651307941316E-2</v>
      </c>
    </row>
    <row r="50" spans="4:24">
      <c r="D50" s="293"/>
      <c r="E50" s="304"/>
      <c r="F50" s="304"/>
      <c r="G50" s="304"/>
      <c r="H50" s="304"/>
      <c r="I50" s="304"/>
      <c r="T50" s="293" t="str">
        <f>B14</f>
        <v>Estonia</v>
      </c>
      <c r="W50" s="207"/>
      <c r="X50" s="313">
        <f>(J14)/$J$22</f>
        <v>2.2070503472146806E-2</v>
      </c>
    </row>
  </sheetData>
  <phoneticPr fontId="26" type="noConversion"/>
  <pageMargins left="0.75" right="0.75" top="1" bottom="1" header="0.5" footer="0.5"/>
  <pageSetup scale="46"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47">
    <pageSetUpPr fitToPage="1"/>
  </sheetPr>
  <dimension ref="B1:X68"/>
  <sheetViews>
    <sheetView showGridLines="0" zoomScale="80" zoomScaleNormal="80" workbookViewId="0">
      <selection activeCell="AB34" sqref="AB34"/>
    </sheetView>
  </sheetViews>
  <sheetFormatPr defaultColWidth="9.109375" defaultRowHeight="12"/>
  <cols>
    <col min="1" max="1" width="2.33203125" style="290" customWidth="1"/>
    <col min="2" max="4" width="10" style="290" customWidth="1"/>
    <col min="5" max="5" width="19"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1159</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181</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182</v>
      </c>
      <c r="S9" s="355"/>
      <c r="T9" s="355" t="s">
        <v>109</v>
      </c>
      <c r="U9" s="355"/>
      <c r="V9" s="355" t="s">
        <v>110</v>
      </c>
      <c r="W9" s="355"/>
      <c r="X9" s="355" t="s">
        <v>111</v>
      </c>
    </row>
    <row r="10" spans="2:24">
      <c r="B10" s="293" t="s">
        <v>185</v>
      </c>
      <c r="C10" s="293"/>
      <c r="E10" s="290" t="str">
        <f>"DCF, "&amp;TEXT(H10,"0.0")&amp;"x 26E FCF"</f>
        <v>DCF, 15.3x 26E FCF</v>
      </c>
      <c r="F10" s="373">
        <v>5109.2018802490556</v>
      </c>
      <c r="G10" s="142" t="s">
        <v>113</v>
      </c>
      <c r="H10" s="376">
        <v>15.28457106875625</v>
      </c>
      <c r="I10" s="362" t="s">
        <v>114</v>
      </c>
      <c r="J10" s="393">
        <f>H10*F10</f>
        <v>78091.959243289748</v>
      </c>
      <c r="K10" s="362" t="s">
        <v>115</v>
      </c>
      <c r="L10" s="373"/>
      <c r="M10" s="362"/>
      <c r="N10" s="393">
        <f>J10-L10</f>
        <v>78091.959243289748</v>
      </c>
      <c r="O10" s="293" t="s">
        <v>113</v>
      </c>
      <c r="P10" s="379">
        <v>1</v>
      </c>
      <c r="Q10" s="362"/>
      <c r="R10" s="393">
        <f>N10*P10</f>
        <v>78091.959243289748</v>
      </c>
      <c r="S10" s="362"/>
      <c r="T10" s="393">
        <f>N10-R10</f>
        <v>0</v>
      </c>
      <c r="U10" s="362"/>
      <c r="V10" s="394">
        <f>N10/$J$54</f>
        <v>0.38918703536624899</v>
      </c>
      <c r="W10" s="362"/>
      <c r="X10" s="296">
        <f>V10*$J$58</f>
        <v>62.144909575955069</v>
      </c>
    </row>
    <row r="11" spans="2:24">
      <c r="B11" s="293" t="s">
        <v>183</v>
      </c>
      <c r="C11" s="293"/>
      <c r="E11" s="290" t="str">
        <f>"DCF, "&amp;TEXT(H11,"0.0")&amp;"x 26E FCF"</f>
        <v>DCF, 19.9x 26E FCF</v>
      </c>
      <c r="F11" s="373">
        <v>3079.6705671295817</v>
      </c>
      <c r="G11" s="142" t="s">
        <v>113</v>
      </c>
      <c r="H11" s="376">
        <v>19.94989575281506</v>
      </c>
      <c r="I11" s="362" t="s">
        <v>114</v>
      </c>
      <c r="J11" s="395">
        <f t="shared" ref="J11:J23" si="0">H11*F11</f>
        <v>61439.106767247991</v>
      </c>
      <c r="K11" s="362" t="s">
        <v>115</v>
      </c>
      <c r="L11" s="373"/>
      <c r="M11" s="362"/>
      <c r="N11" s="393">
        <f t="shared" ref="N11:N23" si="1">J11-L11</f>
        <v>61439.106767247991</v>
      </c>
      <c r="O11" s="293" t="s">
        <v>113</v>
      </c>
      <c r="P11" s="379">
        <v>1</v>
      </c>
      <c r="Q11" s="362"/>
      <c r="R11" s="393">
        <f t="shared" ref="R11:R23" si="2">N11*P11</f>
        <v>61439.106767247991</v>
      </c>
      <c r="S11" s="362"/>
      <c r="T11" s="393">
        <f t="shared" ref="T11:T23" si="3">N11-R11</f>
        <v>0</v>
      </c>
      <c r="U11" s="362"/>
      <c r="V11" s="394">
        <f>N11/$J$54</f>
        <v>0.30619418503513002</v>
      </c>
      <c r="W11" s="362"/>
      <c r="X11" s="296">
        <f>V11*$J$58</f>
        <v>48.892712789840246</v>
      </c>
    </row>
    <row r="12" spans="2:24" s="304" customFormat="1">
      <c r="B12" s="269"/>
      <c r="C12" s="269" t="s">
        <v>893</v>
      </c>
      <c r="J12" s="454">
        <f>J11+J10</f>
        <v>139531.06601053773</v>
      </c>
      <c r="K12" s="355"/>
      <c r="L12" s="355"/>
      <c r="M12" s="355"/>
      <c r="N12" s="454"/>
      <c r="O12" s="269"/>
      <c r="P12" s="171"/>
      <c r="Q12" s="355"/>
      <c r="R12" s="454"/>
      <c r="S12" s="355"/>
      <c r="T12" s="454"/>
      <c r="U12" s="355"/>
      <c r="V12" s="455"/>
      <c r="W12" s="355"/>
      <c r="X12" s="295"/>
    </row>
    <row r="13" spans="2:24" s="304" customFormat="1">
      <c r="B13" s="293" t="s">
        <v>1176</v>
      </c>
      <c r="C13" s="269"/>
      <c r="J13" s="373">
        <v>36100</v>
      </c>
      <c r="K13" s="355"/>
      <c r="L13" s="355"/>
      <c r="M13" s="355"/>
      <c r="N13" s="393">
        <f>J13</f>
        <v>36100</v>
      </c>
      <c r="O13" s="269"/>
      <c r="P13" s="379">
        <v>0.7</v>
      </c>
      <c r="Q13" s="355"/>
      <c r="R13" s="454"/>
      <c r="S13" s="355"/>
      <c r="T13" s="393">
        <f>(1-P13)*N13</f>
        <v>10830.000000000002</v>
      </c>
      <c r="U13" s="355"/>
      <c r="V13" s="455"/>
      <c r="W13" s="355"/>
      <c r="X13" s="295"/>
    </row>
    <row r="14" spans="2:24" s="304" customFormat="1">
      <c r="B14" s="293" t="s">
        <v>1177</v>
      </c>
      <c r="C14" s="269"/>
      <c r="J14" s="373">
        <v>13964.458766464642</v>
      </c>
      <c r="K14" s="355"/>
      <c r="L14" s="355"/>
      <c r="M14" s="355"/>
      <c r="N14" s="393">
        <f>J14</f>
        <v>13964.458766464642</v>
      </c>
      <c r="O14" s="269"/>
      <c r="P14" s="171"/>
      <c r="Q14" s="355"/>
      <c r="R14" s="454"/>
      <c r="S14" s="355"/>
      <c r="T14" s="454"/>
      <c r="U14" s="355"/>
      <c r="V14" s="455"/>
      <c r="W14" s="355"/>
      <c r="X14" s="295"/>
    </row>
    <row r="15" spans="2:24">
      <c r="B15" s="293"/>
      <c r="C15" s="293"/>
      <c r="J15" s="393"/>
      <c r="K15" s="393"/>
      <c r="L15" s="393"/>
      <c r="M15" s="393"/>
      <c r="N15" s="393"/>
      <c r="O15" s="293"/>
      <c r="P15" s="175"/>
      <c r="Q15" s="362"/>
      <c r="R15" s="393"/>
      <c r="S15" s="362"/>
      <c r="T15" s="393"/>
      <c r="U15" s="362"/>
      <c r="V15" s="394"/>
      <c r="W15" s="362"/>
      <c r="X15" s="296"/>
    </row>
    <row r="16" spans="2:24">
      <c r="B16" s="293" t="s">
        <v>843</v>
      </c>
      <c r="C16" s="293"/>
      <c r="E16" s="290" t="str">
        <f>"DCF, "&amp;TEXT(H16,"0.0")&amp;"x 26E FCF"</f>
        <v>DCF, 17.6x 26E FCF</v>
      </c>
      <c r="F16" s="373">
        <v>2117.3841480692422</v>
      </c>
      <c r="G16" s="142" t="s">
        <v>113</v>
      </c>
      <c r="H16" s="376">
        <v>17.582071580564982</v>
      </c>
      <c r="I16" s="362" t="s">
        <v>114</v>
      </c>
      <c r="J16" s="393">
        <f t="shared" si="0"/>
        <v>37227.99965490702</v>
      </c>
      <c r="K16" s="362" t="s">
        <v>115</v>
      </c>
      <c r="L16" s="373"/>
      <c r="M16" s="362"/>
      <c r="N16" s="393">
        <f t="shared" si="1"/>
        <v>37227.99965490702</v>
      </c>
      <c r="O16" s="293" t="s">
        <v>113</v>
      </c>
      <c r="P16" s="379">
        <v>1</v>
      </c>
      <c r="Q16" s="362"/>
      <c r="R16" s="393">
        <f t="shared" si="2"/>
        <v>37227.99965490702</v>
      </c>
      <c r="S16" s="362"/>
      <c r="T16" s="393">
        <f t="shared" si="3"/>
        <v>0</v>
      </c>
      <c r="U16" s="362"/>
      <c r="V16" s="394">
        <f>N16/$J$54</f>
        <v>0.1855332477082649</v>
      </c>
      <c r="W16" s="362"/>
      <c r="X16" s="296">
        <f>V16*$J$58</f>
        <v>29.625721965052112</v>
      </c>
    </row>
    <row r="17" spans="2:24">
      <c r="B17" s="293" t="s">
        <v>184</v>
      </c>
      <c r="C17" s="293"/>
      <c r="E17" s="290" t="str">
        <f>"DCF, "&amp;TEXT(H17,"0.0")&amp;"x 26E FCF"</f>
        <v>DCF, 18.1x 26E FCF</v>
      </c>
      <c r="F17" s="373">
        <v>716.4637154462838</v>
      </c>
      <c r="G17" s="142" t="s">
        <v>113</v>
      </c>
      <c r="H17" s="376">
        <v>18.062956087093028</v>
      </c>
      <c r="I17" s="362" t="s">
        <v>114</v>
      </c>
      <c r="J17" s="395">
        <f t="shared" si="0"/>
        <v>12941.452630101739</v>
      </c>
      <c r="K17" s="362" t="s">
        <v>115</v>
      </c>
      <c r="L17" s="373"/>
      <c r="M17" s="362"/>
      <c r="N17" s="393">
        <f t="shared" si="1"/>
        <v>12941.452630101739</v>
      </c>
      <c r="O17" s="293" t="s">
        <v>113</v>
      </c>
      <c r="P17" s="379">
        <v>1</v>
      </c>
      <c r="Q17" s="362"/>
      <c r="R17" s="393">
        <f t="shared" si="2"/>
        <v>12941.452630101739</v>
      </c>
      <c r="S17" s="362"/>
      <c r="T17" s="393">
        <f t="shared" si="3"/>
        <v>0</v>
      </c>
      <c r="U17" s="362"/>
      <c r="V17" s="394">
        <f>N17/$J$54</f>
        <v>6.4496340356255413E-2</v>
      </c>
      <c r="W17" s="362"/>
      <c r="X17" s="296">
        <f>V17*$J$58</f>
        <v>10.298696706707167</v>
      </c>
    </row>
    <row r="18" spans="2:24" s="304" customFormat="1">
      <c r="B18" s="269"/>
      <c r="C18" s="269" t="s">
        <v>881</v>
      </c>
      <c r="J18" s="454">
        <f>J17+J16</f>
        <v>50169.45228500876</v>
      </c>
      <c r="K18" s="355"/>
      <c r="L18" s="454"/>
      <c r="M18" s="355"/>
      <c r="N18" s="454"/>
      <c r="O18" s="269"/>
      <c r="P18" s="171"/>
      <c r="Q18" s="355"/>
      <c r="R18" s="454"/>
      <c r="S18" s="355"/>
      <c r="T18" s="454"/>
      <c r="U18" s="355"/>
      <c r="V18" s="455"/>
      <c r="W18" s="355"/>
      <c r="X18" s="295"/>
    </row>
    <row r="19" spans="2:24">
      <c r="B19" s="293"/>
      <c r="C19" s="293"/>
      <c r="J19" s="393"/>
      <c r="K19" s="393"/>
      <c r="L19" s="393"/>
      <c r="M19" s="393"/>
      <c r="N19" s="393"/>
      <c r="O19" s="293"/>
      <c r="P19" s="175"/>
      <c r="Q19" s="362"/>
      <c r="R19" s="393"/>
      <c r="S19" s="362"/>
      <c r="T19" s="393"/>
      <c r="U19" s="362"/>
      <c r="V19" s="394"/>
      <c r="W19" s="362"/>
      <c r="X19" s="296"/>
    </row>
    <row r="20" spans="2:24">
      <c r="B20" s="293" t="s">
        <v>894</v>
      </c>
      <c r="C20" s="293"/>
      <c r="E20" s="290" t="str">
        <f>"DCF, "&amp;TEXT(H20,"0.0")&amp;"x 26E FCF"</f>
        <v>DCF, 19.3x 26E FCF</v>
      </c>
      <c r="F20" s="373">
        <v>3110.2488885113039</v>
      </c>
      <c r="G20" s="142" t="s">
        <v>113</v>
      </c>
      <c r="H20" s="376">
        <v>19.287254789435483</v>
      </c>
      <c r="I20" s="362" t="s">
        <v>114</v>
      </c>
      <c r="J20" s="393">
        <f t="shared" ref="J20" si="4">H20*F20</f>
        <v>59988.162771276031</v>
      </c>
      <c r="K20" s="362" t="s">
        <v>115</v>
      </c>
      <c r="L20" s="373"/>
      <c r="M20" s="362"/>
      <c r="N20" s="393">
        <f t="shared" ref="N20" si="5">J20-L20</f>
        <v>59988.162771276031</v>
      </c>
      <c r="O20" s="293" t="s">
        <v>113</v>
      </c>
      <c r="P20" s="379">
        <v>1</v>
      </c>
      <c r="Q20" s="362"/>
      <c r="R20" s="393"/>
      <c r="S20" s="362"/>
      <c r="T20" s="393"/>
      <c r="U20" s="362"/>
      <c r="V20" s="394"/>
      <c r="W20" s="362"/>
      <c r="X20" s="296"/>
    </row>
    <row r="21" spans="2:24">
      <c r="B21" s="293"/>
      <c r="C21" s="293"/>
      <c r="J21" s="393"/>
      <c r="K21" s="393"/>
      <c r="L21" s="393"/>
      <c r="M21" s="393"/>
      <c r="N21" s="393"/>
      <c r="O21" s="293"/>
      <c r="P21" s="175"/>
      <c r="Q21" s="362"/>
      <c r="R21" s="393"/>
      <c r="S21" s="362"/>
      <c r="T21" s="393"/>
      <c r="U21" s="362"/>
      <c r="V21" s="394"/>
      <c r="W21" s="362"/>
      <c r="X21" s="296"/>
    </row>
    <row r="22" spans="2:24">
      <c r="B22" s="293" t="s">
        <v>789</v>
      </c>
      <c r="C22" s="293"/>
      <c r="E22" s="290" t="str">
        <f>"DCF, "&amp;TEXT(H22,"0.0")&amp;"x 26E FCF"</f>
        <v>DCF, 18.2x 26E FCF</v>
      </c>
      <c r="F22" s="373">
        <v>989.19327688278179</v>
      </c>
      <c r="G22" s="142" t="s">
        <v>113</v>
      </c>
      <c r="H22" s="376">
        <v>18.164791780261943</v>
      </c>
      <c r="I22" s="362" t="s">
        <v>114</v>
      </c>
      <c r="J22" s="393">
        <f t="shared" si="0"/>
        <v>17968.489905010731</v>
      </c>
      <c r="K22" s="362" t="s">
        <v>115</v>
      </c>
      <c r="L22" s="373"/>
      <c r="M22" s="362"/>
      <c r="N22" s="393">
        <f t="shared" si="1"/>
        <v>17968.489905010731</v>
      </c>
      <c r="O22" s="293" t="s">
        <v>113</v>
      </c>
      <c r="P22" s="379">
        <v>1</v>
      </c>
      <c r="Q22" s="362"/>
      <c r="R22" s="393">
        <f t="shared" si="2"/>
        <v>17968.489905010731</v>
      </c>
      <c r="S22" s="362"/>
      <c r="T22" s="393">
        <f t="shared" si="3"/>
        <v>0</v>
      </c>
      <c r="U22" s="362"/>
      <c r="V22" s="394">
        <f>N22/$J$54</f>
        <v>8.9549594912236755E-2</v>
      </c>
      <c r="W22" s="362"/>
      <c r="X22" s="296">
        <f>V22*$J$58</f>
        <v>14.299169737623204</v>
      </c>
    </row>
    <row r="23" spans="2:24">
      <c r="B23" s="293" t="s">
        <v>89</v>
      </c>
      <c r="C23" s="293"/>
      <c r="E23" s="290" t="str">
        <f>"DCF, "&amp;TEXT(H23,"0.0")&amp;"x 26E FCF"</f>
        <v>DCF, 14.9x 26E FCF</v>
      </c>
      <c r="F23" s="373">
        <v>83.42723436059795</v>
      </c>
      <c r="G23" s="142" t="s">
        <v>113</v>
      </c>
      <c r="H23" s="376">
        <v>14.925071946865252</v>
      </c>
      <c r="I23" s="362" t="s">
        <v>114</v>
      </c>
      <c r="J23" s="395">
        <f t="shared" si="0"/>
        <v>1245.1574751599132</v>
      </c>
      <c r="K23" s="362" t="s">
        <v>115</v>
      </c>
      <c r="L23" s="373"/>
      <c r="M23" s="362"/>
      <c r="N23" s="393">
        <f t="shared" si="1"/>
        <v>1245.1574751599132</v>
      </c>
      <c r="O23" s="293" t="s">
        <v>113</v>
      </c>
      <c r="P23" s="379">
        <v>1</v>
      </c>
      <c r="Q23" s="362"/>
      <c r="R23" s="393">
        <f t="shared" si="2"/>
        <v>1245.1574751599132</v>
      </c>
      <c r="S23" s="362"/>
      <c r="T23" s="393">
        <f t="shared" si="3"/>
        <v>0</v>
      </c>
      <c r="U23" s="362"/>
      <c r="V23" s="394">
        <f>N23/$J$54</f>
        <v>6.205493510693944E-3</v>
      </c>
      <c r="W23" s="362"/>
      <c r="X23" s="296">
        <f>V23*$J$58</f>
        <v>0.99088561039383094</v>
      </c>
    </row>
    <row r="24" spans="2:24" s="304" customFormat="1">
      <c r="B24" s="269"/>
      <c r="C24" s="269" t="s">
        <v>884</v>
      </c>
      <c r="J24" s="454">
        <f>J23+J22</f>
        <v>19213.647380170645</v>
      </c>
      <c r="K24" s="355"/>
      <c r="L24" s="170"/>
      <c r="M24" s="355"/>
      <c r="N24" s="454"/>
      <c r="O24" s="269"/>
      <c r="P24" s="171"/>
      <c r="Q24" s="355"/>
      <c r="R24" s="454"/>
      <c r="S24" s="355"/>
      <c r="T24" s="454"/>
      <c r="U24" s="355"/>
      <c r="V24" s="455"/>
      <c r="W24" s="355"/>
      <c r="X24" s="295"/>
    </row>
    <row r="25" spans="2:24" s="304" customFormat="1">
      <c r="B25" s="456" t="s">
        <v>860</v>
      </c>
      <c r="C25" s="269"/>
      <c r="F25" s="355"/>
      <c r="G25" s="355"/>
      <c r="H25" s="355"/>
      <c r="I25" s="355"/>
      <c r="J25" s="457">
        <f>J12+J18+J20+J24+J14</f>
        <v>282866.78721345781</v>
      </c>
      <c r="K25" s="355"/>
      <c r="L25" s="355"/>
      <c r="M25" s="355"/>
      <c r="N25" s="457">
        <f>SUM(N10:N23)-N13</f>
        <v>282866.78721345781</v>
      </c>
      <c r="O25" s="356"/>
      <c r="P25" s="355"/>
      <c r="Q25" s="355"/>
      <c r="R25" s="457">
        <f>SUM(R10:R23)</f>
        <v>208914.16567571714</v>
      </c>
      <c r="S25" s="355"/>
      <c r="T25" s="355"/>
      <c r="U25" s="355"/>
      <c r="V25" s="355"/>
      <c r="W25" s="355"/>
      <c r="X25" s="355"/>
    </row>
    <row r="26" spans="2:24">
      <c r="B26" s="293"/>
      <c r="C26" s="293"/>
      <c r="E26" s="307"/>
      <c r="F26" s="362"/>
      <c r="G26" s="362"/>
      <c r="H26" s="362"/>
      <c r="I26" s="362"/>
      <c r="J26" s="362"/>
      <c r="K26" s="362"/>
      <c r="L26" s="362"/>
      <c r="M26" s="362"/>
      <c r="N26" s="396"/>
      <c r="O26" s="396"/>
      <c r="P26" s="362"/>
      <c r="Q26" s="362"/>
      <c r="R26" s="362"/>
      <c r="S26" s="362"/>
      <c r="T26" s="362"/>
      <c r="U26" s="362"/>
      <c r="V26" s="362"/>
      <c r="W26" s="362"/>
      <c r="X26" s="362"/>
    </row>
    <row r="27" spans="2:24">
      <c r="B27" s="293" t="s">
        <v>1220</v>
      </c>
      <c r="C27" s="293"/>
      <c r="E27" s="290" t="str">
        <f>"DCF, "&amp;TEXT(H27,"0.0")&amp;"x 26E FCF"</f>
        <v>DCF, 17.6x 26E FCF</v>
      </c>
      <c r="F27" s="373">
        <v>194.13107956746697</v>
      </c>
      <c r="G27" s="142" t="s">
        <v>113</v>
      </c>
      <c r="H27" s="376">
        <v>17.564072416365139</v>
      </c>
      <c r="I27" s="142" t="s">
        <v>114</v>
      </c>
      <c r="J27" s="168">
        <f>F27*H27</f>
        <v>3409.7323397901328</v>
      </c>
      <c r="K27" s="142" t="s">
        <v>115</v>
      </c>
      <c r="L27" s="373"/>
      <c r="M27" s="142"/>
      <c r="N27" s="176">
        <f>J27-L27</f>
        <v>3409.7323397901328</v>
      </c>
      <c r="O27" s="397" t="s">
        <v>113</v>
      </c>
      <c r="P27" s="379">
        <v>1</v>
      </c>
      <c r="Q27" s="312"/>
      <c r="R27" s="398">
        <f>P27*N27</f>
        <v>3409.7323397901328</v>
      </c>
      <c r="S27" s="293"/>
      <c r="T27" s="176">
        <v>0</v>
      </c>
      <c r="U27" s="293"/>
      <c r="V27" s="313">
        <f>R27/$J$54</f>
        <v>1.6993089091043304E-2</v>
      </c>
      <c r="W27" s="293"/>
      <c r="X27" s="296">
        <f>$J$58*V27</f>
        <v>2.7134356723502919</v>
      </c>
    </row>
    <row r="28" spans="2:24">
      <c r="B28" s="293" t="s">
        <v>1221</v>
      </c>
      <c r="C28" s="293"/>
      <c r="E28" s="290" t="str">
        <f>"DCF, "&amp;TEXT(H28,"0.0")&amp;"x 26E FCF"</f>
        <v>DCF, 19.0x 26E FCF</v>
      </c>
      <c r="F28" s="373">
        <v>768.10994972327944</v>
      </c>
      <c r="G28" s="142" t="s">
        <v>113</v>
      </c>
      <c r="H28" s="376">
        <v>19.0366756284389</v>
      </c>
      <c r="I28" s="142" t="s">
        <v>114</v>
      </c>
      <c r="J28" s="168">
        <f>F28*H28</f>
        <v>14622.259959858582</v>
      </c>
      <c r="K28" s="142" t="s">
        <v>115</v>
      </c>
      <c r="L28" s="373"/>
      <c r="M28" s="142"/>
      <c r="N28" s="176">
        <f>J28-L28</f>
        <v>14622.259959858582</v>
      </c>
      <c r="O28" s="397" t="s">
        <v>113</v>
      </c>
      <c r="P28" s="379">
        <v>1</v>
      </c>
      <c r="Q28" s="312"/>
      <c r="R28" s="398">
        <f>P28*N28</f>
        <v>14622.259959858582</v>
      </c>
      <c r="S28" s="293"/>
      <c r="T28" s="176">
        <v>0</v>
      </c>
      <c r="U28" s="293"/>
      <c r="V28" s="313">
        <f>R28/$J$54</f>
        <v>7.2872982817638363E-2</v>
      </c>
      <c r="W28" s="293"/>
      <c r="X28" s="296">
        <f>$J$58*V28</f>
        <v>11.636268724806035</v>
      </c>
    </row>
    <row r="29" spans="2:24">
      <c r="B29" s="293" t="s">
        <v>1222</v>
      </c>
      <c r="C29" s="293"/>
      <c r="E29" s="290" t="str">
        <f>"DCF, "&amp;TEXT(H29,"0.0")&amp;"x 26E FCF"</f>
        <v>DCF, 16.9x 26E FCF</v>
      </c>
      <c r="F29" s="373">
        <v>-2065.3553740083103</v>
      </c>
      <c r="G29" s="142" t="s">
        <v>113</v>
      </c>
      <c r="H29" s="376">
        <v>16.875433865726077</v>
      </c>
      <c r="I29" s="142" t="s">
        <v>114</v>
      </c>
      <c r="J29" s="168">
        <f>F29*H29</f>
        <v>-34853.768023299184</v>
      </c>
      <c r="K29" s="142" t="s">
        <v>115</v>
      </c>
      <c r="L29" s="373"/>
      <c r="M29" s="142"/>
      <c r="N29" s="176">
        <f>J29-L29</f>
        <v>-34853.768023299184</v>
      </c>
      <c r="O29" s="397" t="s">
        <v>113</v>
      </c>
      <c r="P29" s="379">
        <v>1</v>
      </c>
      <c r="Q29" s="312"/>
      <c r="R29" s="398">
        <f>P29*N29</f>
        <v>-34853.768023299184</v>
      </c>
      <c r="S29" s="293"/>
      <c r="T29" s="176">
        <v>0</v>
      </c>
      <c r="U29" s="293"/>
      <c r="V29" s="313">
        <f>R29/$J$54</f>
        <v>-0.17370078532760536</v>
      </c>
      <c r="W29" s="293"/>
      <c r="X29" s="296">
        <f>$J$58*V29</f>
        <v>-27.736328850980392</v>
      </c>
    </row>
    <row r="30" spans="2:24" s="304" customFormat="1">
      <c r="B30" s="269" t="s">
        <v>861</v>
      </c>
      <c r="C30" s="269"/>
      <c r="F30" s="170"/>
      <c r="G30" s="157"/>
      <c r="H30" s="295"/>
      <c r="I30" s="157"/>
      <c r="J30" s="317">
        <f>J29+J25+J28+J27</f>
        <v>266045.0114898074</v>
      </c>
      <c r="K30" s="157"/>
      <c r="L30" s="170"/>
      <c r="M30" s="157"/>
      <c r="N30" s="317">
        <f>N25+N29</f>
        <v>248013.01919015864</v>
      </c>
      <c r="O30" s="157"/>
      <c r="P30" s="171"/>
      <c r="Q30" s="292"/>
      <c r="R30" s="317">
        <f>R25+R29</f>
        <v>174060.39765241795</v>
      </c>
      <c r="S30" s="269"/>
      <c r="T30" s="170"/>
      <c r="U30" s="269"/>
      <c r="V30" s="310"/>
      <c r="W30" s="269"/>
      <c r="X30" s="295"/>
    </row>
    <row r="31" spans="2:24">
      <c r="B31" s="293"/>
      <c r="C31" s="293"/>
      <c r="F31" s="176"/>
      <c r="G31" s="142"/>
      <c r="H31" s="296"/>
      <c r="I31" s="142"/>
      <c r="J31" s="176"/>
      <c r="K31" s="142"/>
      <c r="L31" s="176"/>
      <c r="M31" s="142"/>
      <c r="N31" s="176"/>
      <c r="O31" s="142"/>
      <c r="P31" s="175"/>
      <c r="Q31" s="312"/>
      <c r="R31" s="176"/>
      <c r="S31" s="293"/>
      <c r="T31" s="176"/>
      <c r="U31" s="293"/>
      <c r="V31" s="313"/>
      <c r="W31" s="293"/>
      <c r="X31" s="296"/>
    </row>
    <row r="32" spans="2:24">
      <c r="B32" s="293" t="s">
        <v>842</v>
      </c>
      <c r="C32" s="293"/>
      <c r="E32" s="290" t="s">
        <v>412</v>
      </c>
      <c r="F32" s="373">
        <v>1350.3000219999999</v>
      </c>
      <c r="G32" s="142" t="s">
        <v>113</v>
      </c>
      <c r="H32" s="376">
        <v>277.89999999999998</v>
      </c>
      <c r="I32" s="142" t="s">
        <v>114</v>
      </c>
      <c r="J32" s="176">
        <f>(F32*H32/D68)+L32</f>
        <v>28777.429071462797</v>
      </c>
      <c r="K32" s="142" t="s">
        <v>115</v>
      </c>
      <c r="L32" s="373">
        <v>298.62631893290865</v>
      </c>
      <c r="M32" s="142"/>
      <c r="N32" s="176">
        <f>J32-L32</f>
        <v>28478.802752529889</v>
      </c>
      <c r="O32" s="142"/>
      <c r="P32" s="379">
        <v>0.55800000000000005</v>
      </c>
      <c r="Q32" s="312"/>
      <c r="R32" s="176">
        <f>P32*N32</f>
        <v>15891.17193591168</v>
      </c>
      <c r="S32" s="293"/>
      <c r="T32" s="176">
        <f>N32-R32</f>
        <v>12587.63081661821</v>
      </c>
      <c r="U32" s="293"/>
      <c r="V32" s="313">
        <f>N32/$J$54</f>
        <v>0.14192985963519239</v>
      </c>
      <c r="W32" s="293"/>
      <c r="X32" s="296">
        <f>V32*$J$58</f>
        <v>22.663186313122321</v>
      </c>
    </row>
    <row r="33" spans="2:24">
      <c r="B33" s="293" t="s">
        <v>445</v>
      </c>
      <c r="C33" s="293"/>
      <c r="E33" s="290" t="s">
        <v>1182</v>
      </c>
      <c r="F33" s="170"/>
      <c r="G33" s="170"/>
      <c r="H33" s="170"/>
      <c r="I33" s="170"/>
      <c r="J33" s="373">
        <v>0</v>
      </c>
      <c r="K33" s="142" t="s">
        <v>115</v>
      </c>
      <c r="L33" s="373"/>
      <c r="M33" s="142"/>
      <c r="N33" s="176">
        <f t="shared" ref="N33" si="6">J33-L33</f>
        <v>0</v>
      </c>
      <c r="O33" s="142"/>
      <c r="P33" s="379">
        <v>1</v>
      </c>
      <c r="Q33" s="312"/>
      <c r="R33" s="176">
        <f t="shared" ref="R33" si="7">P33*N33</f>
        <v>0</v>
      </c>
      <c r="S33" s="293"/>
      <c r="T33" s="176">
        <f t="shared" ref="T33" si="8">N33-R33</f>
        <v>0</v>
      </c>
      <c r="U33" s="293"/>
      <c r="V33" s="313">
        <f>N33/$J$54</f>
        <v>0</v>
      </c>
      <c r="W33" s="293"/>
      <c r="X33" s="296">
        <f>V33*$J$58</f>
        <v>0</v>
      </c>
    </row>
    <row r="34" spans="2:24" s="304" customFormat="1">
      <c r="B34" s="456" t="s">
        <v>862</v>
      </c>
      <c r="F34" s="170"/>
      <c r="G34" s="157"/>
      <c r="H34" s="295"/>
      <c r="I34" s="295"/>
      <c r="J34" s="457">
        <f>J32+J33</f>
        <v>28777.429071462797</v>
      </c>
      <c r="K34" s="157"/>
      <c r="L34" s="170"/>
      <c r="M34" s="157"/>
      <c r="N34" s="457">
        <f>N32+N33</f>
        <v>28478.802752529889</v>
      </c>
      <c r="O34" s="157"/>
      <c r="P34" s="171"/>
      <c r="Q34" s="292"/>
      <c r="R34" s="457">
        <f>R32+R33</f>
        <v>15891.17193591168</v>
      </c>
      <c r="S34" s="269"/>
      <c r="T34" s="170"/>
      <c r="U34" s="269"/>
      <c r="V34" s="310"/>
      <c r="W34" s="269"/>
      <c r="X34" s="295"/>
    </row>
    <row r="35" spans="2:24">
      <c r="B35" s="293"/>
      <c r="C35" s="293"/>
      <c r="F35" s="176"/>
      <c r="G35" s="142"/>
      <c r="H35" s="296"/>
      <c r="I35" s="142"/>
      <c r="J35" s="176"/>
      <c r="K35" s="142"/>
      <c r="L35" s="176"/>
      <c r="M35" s="142"/>
      <c r="N35" s="176"/>
      <c r="O35" s="142"/>
      <c r="P35" s="175"/>
      <c r="Q35" s="312"/>
      <c r="R35" s="176"/>
      <c r="S35" s="293"/>
      <c r="T35" s="176"/>
      <c r="U35" s="293"/>
      <c r="V35" s="313"/>
      <c r="W35" s="293"/>
      <c r="X35" s="296"/>
    </row>
    <row r="36" spans="2:24">
      <c r="B36" s="269" t="s">
        <v>863</v>
      </c>
      <c r="C36" s="293"/>
      <c r="F36" s="170"/>
      <c r="G36" s="157"/>
      <c r="H36" s="295"/>
      <c r="I36" s="299"/>
      <c r="J36" s="170">
        <f>J34+J30</f>
        <v>294822.44056127017</v>
      </c>
      <c r="K36" s="298"/>
      <c r="L36" s="170">
        <f>-J44</f>
        <v>62853.014837156254</v>
      </c>
      <c r="M36" s="157"/>
      <c r="N36" s="170">
        <f>N34+N30</f>
        <v>276491.82194268855</v>
      </c>
      <c r="P36" s="300"/>
      <c r="Q36" s="301"/>
      <c r="R36" s="170">
        <f>R34+R30</f>
        <v>189951.56958832961</v>
      </c>
      <c r="S36" s="293"/>
      <c r="T36" s="170">
        <f>SUM(T10:T35)</f>
        <v>23417.630816618213</v>
      </c>
      <c r="U36" s="293"/>
      <c r="V36" s="310">
        <f>N36/$J$54</f>
        <v>1.3779527819201713</v>
      </c>
      <c r="W36" s="293"/>
      <c r="X36" s="295">
        <f>$J$58*V36</f>
        <v>220.02981407584423</v>
      </c>
    </row>
    <row r="37" spans="2:24" ht="12.6" thickBot="1">
      <c r="B37" s="293"/>
      <c r="C37" s="293"/>
      <c r="F37" s="170"/>
      <c r="G37" s="157"/>
      <c r="H37" s="295"/>
      <c r="I37" s="299"/>
      <c r="J37" s="157"/>
      <c r="K37" s="298"/>
      <c r="L37" s="293"/>
      <c r="M37" s="157"/>
      <c r="N37" s="170"/>
      <c r="P37" s="300"/>
      <c r="Q37" s="301"/>
      <c r="R37" s="170"/>
      <c r="T37" s="157"/>
    </row>
    <row r="38" spans="2:24" ht="12.6" thickBot="1">
      <c r="B38" s="269" t="s">
        <v>118</v>
      </c>
      <c r="C38" s="293"/>
      <c r="F38" s="176"/>
      <c r="G38" s="142"/>
      <c r="H38" s="296"/>
      <c r="I38" s="321"/>
      <c r="L38" s="142"/>
      <c r="M38" s="142"/>
      <c r="N38" s="293"/>
      <c r="P38" s="382" t="s">
        <v>1280</v>
      </c>
      <c r="Q38" s="383"/>
      <c r="R38" s="399">
        <v>0</v>
      </c>
      <c r="T38" s="290" t="s">
        <v>605</v>
      </c>
      <c r="V38" s="290" t="s">
        <v>1291</v>
      </c>
      <c r="X38" s="290" t="s">
        <v>1292</v>
      </c>
    </row>
    <row r="39" spans="2:24">
      <c r="B39" s="390" t="s">
        <v>1279</v>
      </c>
      <c r="C39" s="293"/>
      <c r="E39" s="290" t="s">
        <v>412</v>
      </c>
      <c r="F39" s="373">
        <v>34552.100801000001</v>
      </c>
      <c r="G39" s="142" t="s">
        <v>113</v>
      </c>
      <c r="H39" s="376">
        <v>11.2</v>
      </c>
      <c r="I39" s="142" t="s">
        <v>114</v>
      </c>
      <c r="J39" s="176">
        <f>(F39*H39*D65)+L39</f>
        <v>111527.81563489378</v>
      </c>
      <c r="K39" s="142" t="s">
        <v>115</v>
      </c>
      <c r="L39" s="373"/>
      <c r="M39" s="312" t="s">
        <v>114</v>
      </c>
      <c r="N39" s="168">
        <f>J39-L39</f>
        <v>111527.81563489378</v>
      </c>
      <c r="O39" s="142" t="s">
        <v>113</v>
      </c>
      <c r="P39" s="379">
        <v>0</v>
      </c>
      <c r="Q39" s="312" t="s">
        <v>114</v>
      </c>
      <c r="R39" s="176">
        <f>P39*N39*(1-$R$38)</f>
        <v>0</v>
      </c>
      <c r="S39" s="293"/>
      <c r="T39" s="376">
        <v>11.2</v>
      </c>
      <c r="U39" s="293"/>
      <c r="V39" s="176">
        <f>T39*F39*D65</f>
        <v>111527.81563489378</v>
      </c>
      <c r="W39" s="293"/>
      <c r="X39" s="176">
        <f>V39*P39</f>
        <v>0</v>
      </c>
    </row>
    <row r="40" spans="2:24">
      <c r="B40" s="293" t="s">
        <v>841</v>
      </c>
      <c r="C40" s="293"/>
      <c r="E40" s="290" t="s">
        <v>412</v>
      </c>
      <c r="F40" s="373">
        <v>11731.508</v>
      </c>
      <c r="G40" s="142" t="s">
        <v>113</v>
      </c>
      <c r="H40" s="376">
        <v>3.37</v>
      </c>
      <c r="I40" s="142" t="s">
        <v>114</v>
      </c>
      <c r="J40" s="176">
        <f>(F40*H40*D63)+L40</f>
        <v>93192.027087568</v>
      </c>
      <c r="K40" s="142" t="s">
        <v>115</v>
      </c>
      <c r="L40" s="373"/>
      <c r="M40" s="312" t="s">
        <v>114</v>
      </c>
      <c r="N40" s="168">
        <f t="shared" ref="N40" si="9">J40-L40</f>
        <v>93192.027087568</v>
      </c>
      <c r="O40" s="142" t="s">
        <v>113</v>
      </c>
      <c r="P40" s="379">
        <v>0.33100000000000002</v>
      </c>
      <c r="Q40" s="312" t="s">
        <v>114</v>
      </c>
      <c r="R40" s="343">
        <f t="shared" ref="R40" si="10">P40*N40*(1-$R$38)</f>
        <v>30846.560965985009</v>
      </c>
      <c r="S40" s="293"/>
      <c r="T40" s="376">
        <v>3.37</v>
      </c>
      <c r="U40" s="293"/>
      <c r="V40" s="176">
        <f>T40*F40*D63</f>
        <v>93192.027087568</v>
      </c>
      <c r="W40" s="293"/>
      <c r="X40" s="176">
        <f>V40*P40</f>
        <v>30846.560965985009</v>
      </c>
    </row>
    <row r="41" spans="2:24">
      <c r="B41" s="269" t="s">
        <v>117</v>
      </c>
      <c r="C41" s="293"/>
      <c r="R41" s="170">
        <f>R40+R39</f>
        <v>30846.560965985009</v>
      </c>
      <c r="X41" s="490">
        <f>X40+X39</f>
        <v>30846.560965985009</v>
      </c>
    </row>
    <row r="42" spans="2:24" ht="12.6" thickBot="1">
      <c r="D42" s="269"/>
      <c r="E42" s="304"/>
      <c r="F42" s="304"/>
      <c r="G42" s="304"/>
      <c r="H42" s="304"/>
      <c r="I42" s="304"/>
      <c r="J42" s="304"/>
      <c r="K42" s="304"/>
      <c r="R42" s="293"/>
      <c r="T42" s="357" t="s">
        <v>452</v>
      </c>
      <c r="U42" s="291"/>
      <c r="V42" s="291"/>
      <c r="W42" s="291"/>
      <c r="X42" s="291"/>
    </row>
    <row r="43" spans="2:24" ht="12.6" thickTop="1">
      <c r="B43" s="305" t="s">
        <v>121</v>
      </c>
      <c r="D43" s="269"/>
      <c r="E43" s="304"/>
      <c r="H43" s="304"/>
      <c r="I43" s="304"/>
      <c r="J43" s="297">
        <f>J36</f>
        <v>294822.44056127017</v>
      </c>
      <c r="L43" s="326"/>
      <c r="T43" s="105"/>
    </row>
    <row r="44" spans="2:24">
      <c r="B44" s="306" t="s">
        <v>1180</v>
      </c>
      <c r="D44" s="324"/>
      <c r="J44" s="405">
        <v>-62853.014837156254</v>
      </c>
      <c r="L44" s="326"/>
      <c r="T44" s="105"/>
    </row>
    <row r="45" spans="2:24">
      <c r="B45" s="307" t="s">
        <v>303</v>
      </c>
      <c r="D45" s="293"/>
      <c r="J45" s="176">
        <f>R41</f>
        <v>30846.560965985009</v>
      </c>
      <c r="K45" s="304"/>
      <c r="L45" s="326"/>
      <c r="T45" s="105"/>
    </row>
    <row r="46" spans="2:24">
      <c r="B46" s="307" t="s">
        <v>301</v>
      </c>
      <c r="J46" s="176">
        <f>-T36</f>
        <v>-23417.630816618213</v>
      </c>
      <c r="K46" s="304"/>
      <c r="L46" s="326"/>
      <c r="T46" s="105"/>
    </row>
    <row r="47" spans="2:24">
      <c r="B47" s="307" t="s">
        <v>895</v>
      </c>
      <c r="J47" s="373">
        <v>-29658.358543701463</v>
      </c>
      <c r="K47" s="304"/>
      <c r="L47" s="326"/>
    </row>
    <row r="48" spans="2:24">
      <c r="B48" s="307" t="s">
        <v>864</v>
      </c>
      <c r="J48" s="373">
        <v>-3500</v>
      </c>
      <c r="K48" s="304"/>
      <c r="L48" s="326"/>
    </row>
    <row r="49" spans="2:24">
      <c r="B49" s="307" t="s">
        <v>1367</v>
      </c>
      <c r="D49" s="269"/>
      <c r="E49" s="304"/>
      <c r="F49" s="304"/>
      <c r="G49" s="304"/>
      <c r="H49" s="304"/>
      <c r="I49" s="304"/>
      <c r="J49" s="373">
        <v>6472.7954971857407</v>
      </c>
      <c r="L49" s="326"/>
    </row>
    <row r="50" spans="2:24">
      <c r="B50" s="307" t="s">
        <v>817</v>
      </c>
      <c r="D50" s="293"/>
      <c r="J50" s="373">
        <v>0</v>
      </c>
      <c r="K50" s="304"/>
      <c r="L50" s="326"/>
    </row>
    <row r="51" spans="2:24">
      <c r="B51" s="307" t="s">
        <v>896</v>
      </c>
      <c r="D51" s="293"/>
      <c r="J51" s="373">
        <v>0</v>
      </c>
      <c r="K51" s="304"/>
      <c r="L51" s="326"/>
    </row>
    <row r="52" spans="2:24">
      <c r="B52" s="307" t="s">
        <v>1343</v>
      </c>
      <c r="D52" s="293"/>
      <c r="J52" s="373">
        <v>253.54183682779535</v>
      </c>
      <c r="K52" s="304"/>
      <c r="L52" s="326"/>
    </row>
    <row r="53" spans="2:24">
      <c r="B53" s="307" t="s">
        <v>790</v>
      </c>
      <c r="D53" s="293"/>
      <c r="J53" s="387">
        <v>-12312.273385003293</v>
      </c>
      <c r="K53" s="304"/>
    </row>
    <row r="54" spans="2:24">
      <c r="B54" s="307" t="s">
        <v>407</v>
      </c>
      <c r="J54" s="170">
        <f>SUM(J43:J53)</f>
        <v>200654.06127878951</v>
      </c>
      <c r="K54" s="304"/>
    </row>
    <row r="55" spans="2:24">
      <c r="B55" s="307" t="s">
        <v>408</v>
      </c>
      <c r="D55" s="293"/>
      <c r="J55" s="176">
        <f>TNOR!E10</f>
        <v>1338.8341552941176</v>
      </c>
      <c r="K55" s="304"/>
    </row>
    <row r="56" spans="2:24">
      <c r="B56" s="305" t="s">
        <v>406</v>
      </c>
      <c r="D56" s="293"/>
      <c r="J56" s="330">
        <f>J54/J55</f>
        <v>149.87223061597905</v>
      </c>
    </row>
    <row r="57" spans="2:24" ht="12.6" thickBot="1">
      <c r="B57" s="307" t="s">
        <v>1116</v>
      </c>
      <c r="D57" s="269"/>
      <c r="E57" s="304"/>
      <c r="F57" s="304"/>
      <c r="G57" s="304"/>
      <c r="H57" s="304"/>
      <c r="I57" s="304"/>
      <c r="J57" s="375">
        <v>9.8065457273101853</v>
      </c>
    </row>
    <row r="58" spans="2:24" ht="12.6" thickBot="1">
      <c r="B58" s="305" t="s">
        <v>55</v>
      </c>
      <c r="J58" s="359">
        <f>J57+J56</f>
        <v>159.67877634328923</v>
      </c>
      <c r="K58" s="304"/>
    </row>
    <row r="59" spans="2:24">
      <c r="B59" s="307" t="s">
        <v>410</v>
      </c>
      <c r="D59" s="269"/>
      <c r="E59" s="269"/>
      <c r="F59" s="269"/>
      <c r="G59" s="269"/>
      <c r="H59" s="269"/>
      <c r="I59" s="269"/>
      <c r="J59" s="296">
        <f>Prices!C18</f>
        <v>164.3</v>
      </c>
    </row>
    <row r="60" spans="2:24">
      <c r="B60" s="305" t="s">
        <v>84</v>
      </c>
      <c r="E60" s="360"/>
      <c r="F60" s="269"/>
      <c r="G60" s="269"/>
      <c r="H60" s="269"/>
      <c r="I60" s="269"/>
      <c r="J60" s="310">
        <f>J58/J59-1</f>
        <v>-2.8126741672007238E-2</v>
      </c>
      <c r="K60" s="304"/>
    </row>
    <row r="61" spans="2:24">
      <c r="E61" s="269"/>
      <c r="F61" s="269"/>
      <c r="G61" s="269"/>
      <c r="H61" s="269"/>
      <c r="I61" s="269"/>
    </row>
    <row r="62" spans="2:24" ht="12.6" thickBot="1">
      <c r="E62" s="309"/>
      <c r="F62" s="269"/>
      <c r="G62" s="269"/>
      <c r="H62" s="269"/>
      <c r="I62" s="269"/>
      <c r="T62" s="357" t="s">
        <v>452</v>
      </c>
      <c r="U62" s="291"/>
      <c r="V62" s="291"/>
      <c r="W62" s="291"/>
      <c r="X62" s="291"/>
    </row>
    <row r="63" spans="2:24" ht="12.6" thickTop="1">
      <c r="B63" s="290" t="s">
        <v>633</v>
      </c>
      <c r="D63" s="309">
        <f>Prices!C137/Prices!C139</f>
        <v>2.3571923149830369</v>
      </c>
      <c r="E63" s="491"/>
      <c r="F63" s="269"/>
      <c r="G63" s="269"/>
      <c r="H63" s="269"/>
      <c r="I63" s="269"/>
      <c r="K63" s="304"/>
      <c r="T63" s="293" t="s">
        <v>90</v>
      </c>
      <c r="X63" s="313">
        <f>J30/(J43+R41)</f>
        <v>0.81691843633310046</v>
      </c>
    </row>
    <row r="64" spans="2:24">
      <c r="B64" s="290" t="s">
        <v>634</v>
      </c>
      <c r="D64" s="309">
        <f>Prices!F137</f>
        <v>10.922727667887049</v>
      </c>
      <c r="E64" s="269"/>
      <c r="F64" s="269"/>
      <c r="G64" s="269"/>
      <c r="H64" s="269"/>
      <c r="I64" s="269"/>
      <c r="T64" s="293" t="s">
        <v>1115</v>
      </c>
      <c r="X64" s="313">
        <f>R41/(J36+R41)</f>
        <v>9.4717522457855016E-2</v>
      </c>
    </row>
    <row r="65" spans="2:24">
      <c r="B65" s="290" t="s">
        <v>635</v>
      </c>
      <c r="D65" s="309">
        <f>Prices!C137/Prices!C143</f>
        <v>0.28819783604586924</v>
      </c>
      <c r="E65" s="491"/>
      <c r="T65" s="293" t="s">
        <v>120</v>
      </c>
      <c r="X65" s="313">
        <f>1-X64-X63</f>
        <v>8.8364041209044508E-2</v>
      </c>
    </row>
    <row r="66" spans="2:24">
      <c r="B66" s="290" t="s">
        <v>637</v>
      </c>
      <c r="D66" s="309">
        <f>Prices!C137</f>
        <v>9.3462514999999993</v>
      </c>
      <c r="E66" s="269"/>
      <c r="F66" s="269"/>
      <c r="G66" s="269"/>
      <c r="H66" s="269"/>
      <c r="I66" s="269"/>
    </row>
    <row r="67" spans="2:24">
      <c r="B67" s="290" t="s">
        <v>636</v>
      </c>
      <c r="D67" s="309">
        <f>Prices!C137/Prices!C144</f>
        <v>6.8273334501628655</v>
      </c>
      <c r="E67" s="269"/>
    </row>
    <row r="68" spans="2:24">
      <c r="B68" s="290" t="s">
        <v>671</v>
      </c>
      <c r="D68" s="309">
        <f>Prices!$C$164/Prices!$C$137</f>
        <v>13.176409815207736</v>
      </c>
      <c r="E68" s="269"/>
      <c r="F68" s="269"/>
      <c r="G68" s="269"/>
      <c r="H68" s="269"/>
      <c r="I68" s="269"/>
    </row>
  </sheetData>
  <phoneticPr fontId="26" type="noConversion"/>
  <pageMargins left="0.75" right="0.75" top="1" bottom="1" header="0.5" footer="0.5"/>
  <pageSetup scale="46"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46">
    <pageSetUpPr fitToPage="1"/>
  </sheetPr>
  <dimension ref="B1:X76"/>
  <sheetViews>
    <sheetView showGridLines="0" zoomScale="80" zoomScaleNormal="80" zoomScaleSheetLayoutView="80" workbookViewId="0">
      <selection activeCell="N54" sqref="N54"/>
    </sheetView>
  </sheetViews>
  <sheetFormatPr defaultColWidth="9.109375" defaultRowHeight="12" outlineLevelRow="1"/>
  <cols>
    <col min="1" max="1" width="2.33203125" style="290" customWidth="1"/>
    <col min="2" max="4" width="10" style="290" customWidth="1"/>
    <col min="5" max="5" width="17.6640625" style="290" customWidth="1"/>
    <col min="6"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1160</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844</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249</v>
      </c>
      <c r="S9" s="355"/>
      <c r="T9" s="355" t="s">
        <v>109</v>
      </c>
      <c r="U9" s="355"/>
      <c r="V9" s="355" t="s">
        <v>110</v>
      </c>
      <c r="W9" s="355"/>
      <c r="X9" s="355" t="s">
        <v>100</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86</v>
      </c>
      <c r="C11" s="293"/>
      <c r="E11" s="290" t="str">
        <f>"DCF, "&amp;TEXT(H11,"0.0")&amp;"x 26E FCF"</f>
        <v>DCF, 18.2x 26E FCF</v>
      </c>
      <c r="F11" s="373">
        <v>3569.1929549345559</v>
      </c>
      <c r="G11" s="142" t="s">
        <v>113</v>
      </c>
      <c r="H11" s="376">
        <v>18.196753866864203</v>
      </c>
      <c r="I11" s="142" t="s">
        <v>114</v>
      </c>
      <c r="J11" s="176">
        <f>H11*F11</f>
        <v>64947.725704289849</v>
      </c>
      <c r="K11" s="142" t="s">
        <v>115</v>
      </c>
      <c r="L11" s="373"/>
      <c r="M11" s="142" t="s">
        <v>114</v>
      </c>
      <c r="N11" s="176">
        <f>J11-L11</f>
        <v>64947.725704289849</v>
      </c>
      <c r="O11" s="142" t="s">
        <v>113</v>
      </c>
      <c r="P11" s="379">
        <v>1</v>
      </c>
      <c r="Q11" s="312" t="s">
        <v>114</v>
      </c>
      <c r="R11" s="176">
        <f>P11*N11</f>
        <v>64947.725704289849</v>
      </c>
      <c r="S11" s="176"/>
      <c r="T11" s="176">
        <f>N11-R11</f>
        <v>0</v>
      </c>
      <c r="U11" s="176"/>
      <c r="V11" s="313">
        <f>N11/$J$57</f>
        <v>0.37924513797203374</v>
      </c>
      <c r="W11" s="293"/>
      <c r="X11" s="296">
        <f>$J$61*V11</f>
        <v>16.904103844776465</v>
      </c>
    </row>
    <row r="12" spans="2:24">
      <c r="B12" s="293" t="s">
        <v>184</v>
      </c>
      <c r="C12" s="293"/>
      <c r="E12" s="290" t="str">
        <f>"DCF, "&amp;TEXT(H12,"0.0")&amp;"x 26E FCF"</f>
        <v>DCF, 19.5x 26E FCF</v>
      </c>
      <c r="F12" s="373">
        <v>4734.1503733680402</v>
      </c>
      <c r="G12" s="142" t="s">
        <v>113</v>
      </c>
      <c r="H12" s="376">
        <v>19.505778456381584</v>
      </c>
      <c r="I12" s="142" t="s">
        <v>114</v>
      </c>
      <c r="J12" s="308">
        <f>H12*F12</f>
        <v>92343.288362113148</v>
      </c>
      <c r="K12" s="142" t="s">
        <v>115</v>
      </c>
      <c r="L12" s="373"/>
      <c r="M12" s="142" t="s">
        <v>114</v>
      </c>
      <c r="N12" s="142">
        <f>J12-L12</f>
        <v>92343.288362113148</v>
      </c>
      <c r="O12" s="142" t="s">
        <v>113</v>
      </c>
      <c r="P12" s="379">
        <v>1</v>
      </c>
      <c r="Q12" s="312" t="s">
        <v>114</v>
      </c>
      <c r="R12" s="308">
        <f>P12*N12</f>
        <v>92343.288362113148</v>
      </c>
      <c r="S12" s="176"/>
      <c r="T12" s="176">
        <f t="shared" ref="T12" si="0">N12-R12</f>
        <v>0</v>
      </c>
      <c r="U12" s="176"/>
      <c r="V12" s="313">
        <f>N12/$J$57</f>
        <v>0.539214310523082</v>
      </c>
      <c r="W12" s="293"/>
      <c r="X12" s="296">
        <f>$J$61*V12</f>
        <v>24.034414121727973</v>
      </c>
    </row>
    <row r="13" spans="2:24" s="304" customFormat="1">
      <c r="B13" s="269"/>
      <c r="C13" s="269" t="s">
        <v>881</v>
      </c>
      <c r="I13" s="157"/>
      <c r="J13" s="170">
        <f>J12+J11</f>
        <v>157291.014066403</v>
      </c>
      <c r="K13" s="157"/>
      <c r="M13" s="157"/>
      <c r="N13" s="170">
        <f>N12+N11</f>
        <v>157291.014066403</v>
      </c>
      <c r="O13" s="157"/>
      <c r="P13" s="157"/>
      <c r="Q13" s="292"/>
      <c r="R13" s="170">
        <f>R12+R11</f>
        <v>157291.014066403</v>
      </c>
      <c r="S13" s="170"/>
      <c r="T13" s="170"/>
      <c r="U13" s="170"/>
      <c r="V13" s="310"/>
      <c r="W13" s="269"/>
      <c r="X13" s="295"/>
    </row>
    <row r="15" spans="2:24">
      <c r="B15" s="293" t="s">
        <v>885</v>
      </c>
      <c r="C15" s="293"/>
      <c r="E15" s="290" t="str">
        <f t="shared" ref="E15:E16" si="1">"DCF, "&amp;TEXT(H15,"0.0")&amp;"x 26E FCF"</f>
        <v>DCF, 16.6x 26E FCF</v>
      </c>
      <c r="F15" s="373">
        <v>1837.6313997636164</v>
      </c>
      <c r="G15" s="142" t="s">
        <v>113</v>
      </c>
      <c r="H15" s="376">
        <v>16.564410489685653</v>
      </c>
      <c r="I15" s="142" t="s">
        <v>114</v>
      </c>
      <c r="J15" s="176">
        <f>H15*F15</f>
        <v>30439.280834420177</v>
      </c>
      <c r="K15" s="142" t="s">
        <v>115</v>
      </c>
      <c r="L15" s="373"/>
      <c r="M15" s="142" t="s">
        <v>114</v>
      </c>
      <c r="N15" s="176">
        <f>J15-L15</f>
        <v>30439.280834420177</v>
      </c>
      <c r="O15" s="142" t="s">
        <v>113</v>
      </c>
      <c r="P15" s="379">
        <v>1</v>
      </c>
      <c r="Q15" s="312" t="s">
        <v>114</v>
      </c>
      <c r="R15" s="176">
        <f>P15*N15</f>
        <v>30439.280834420177</v>
      </c>
      <c r="S15" s="176"/>
      <c r="T15" s="176">
        <f>N15-R15</f>
        <v>0</v>
      </c>
      <c r="U15" s="176"/>
      <c r="V15" s="313">
        <f>N15/$J$57</f>
        <v>0.17774216317256933</v>
      </c>
      <c r="W15" s="293"/>
      <c r="X15" s="296">
        <f>$J$61*V15</f>
        <v>7.9225062710912804</v>
      </c>
    </row>
    <row r="16" spans="2:24">
      <c r="B16" s="293" t="s">
        <v>800</v>
      </c>
      <c r="C16" s="293"/>
      <c r="E16" s="290" t="str">
        <f t="shared" si="1"/>
        <v>DCF, 20.3x 26E FCF</v>
      </c>
      <c r="F16" s="373">
        <v>552.99874576264051</v>
      </c>
      <c r="G16" s="142" t="s">
        <v>113</v>
      </c>
      <c r="H16" s="376">
        <v>20.277836717994884</v>
      </c>
      <c r="I16" s="142" t="s">
        <v>114</v>
      </c>
      <c r="J16" s="308">
        <f>H16*F16</f>
        <v>11213.61827183079</v>
      </c>
      <c r="K16" s="142" t="s">
        <v>115</v>
      </c>
      <c r="L16" s="373"/>
      <c r="M16" s="142" t="s">
        <v>114</v>
      </c>
      <c r="N16" s="142">
        <f>J16-L16</f>
        <v>11213.61827183079</v>
      </c>
      <c r="O16" s="142" t="s">
        <v>113</v>
      </c>
      <c r="P16" s="379">
        <v>1</v>
      </c>
      <c r="Q16" s="312" t="s">
        <v>114</v>
      </c>
      <c r="R16" s="308">
        <f>P16*N16</f>
        <v>11213.61827183079</v>
      </c>
      <c r="S16" s="176"/>
      <c r="T16" s="176">
        <f>N16-R16</f>
        <v>0</v>
      </c>
      <c r="U16" s="176"/>
      <c r="V16" s="313">
        <f>N16/$J$57</f>
        <v>6.5478970395806968E-2</v>
      </c>
      <c r="W16" s="293"/>
      <c r="X16" s="296">
        <f>$J$61*V16</f>
        <v>2.9185959275274538</v>
      </c>
    </row>
    <row r="17" spans="2:24" s="304" customFormat="1">
      <c r="B17" s="269"/>
      <c r="C17" s="269" t="s">
        <v>882</v>
      </c>
      <c r="I17" s="157"/>
      <c r="J17" s="170">
        <f>J16+J15</f>
        <v>41652.899106250967</v>
      </c>
      <c r="K17" s="157"/>
      <c r="M17" s="157"/>
      <c r="N17" s="170">
        <f>N16+N15</f>
        <v>41652.899106250967</v>
      </c>
      <c r="O17" s="157"/>
      <c r="P17" s="157"/>
      <c r="Q17" s="292"/>
      <c r="R17" s="170">
        <f>R16+R15</f>
        <v>41652.899106250967</v>
      </c>
      <c r="S17" s="170"/>
      <c r="T17" s="170"/>
      <c r="U17" s="170"/>
      <c r="V17" s="310"/>
      <c r="W17" s="269"/>
      <c r="X17" s="295"/>
    </row>
    <row r="18" spans="2:24">
      <c r="B18" s="293"/>
      <c r="C18" s="293"/>
      <c r="K18" s="142"/>
      <c r="L18" s="142"/>
      <c r="M18" s="142"/>
      <c r="N18" s="176"/>
      <c r="Q18" s="312"/>
      <c r="R18" s="176"/>
      <c r="S18" s="176"/>
      <c r="T18" s="176"/>
      <c r="U18" s="176"/>
      <c r="V18" s="313"/>
      <c r="W18" s="293"/>
      <c r="X18" s="296"/>
    </row>
    <row r="19" spans="2:24">
      <c r="B19" s="293" t="s">
        <v>185</v>
      </c>
      <c r="C19" s="293"/>
      <c r="E19" s="290" t="str">
        <f t="shared" ref="E19:E20" si="2">"DCF, "&amp;TEXT(H19,"0.0")&amp;"x 26E FCF"</f>
        <v>DCF, 20.2x 26E FCF</v>
      </c>
      <c r="F19" s="373">
        <v>2614.0186898463385</v>
      </c>
      <c r="G19" s="142" t="s">
        <v>113</v>
      </c>
      <c r="H19" s="376">
        <v>20.18055508824493</v>
      </c>
      <c r="I19" s="142" t="s">
        <v>114</v>
      </c>
      <c r="J19" s="176">
        <f>H19*F19</f>
        <v>52752.348172145874</v>
      </c>
      <c r="K19" s="142" t="s">
        <v>115</v>
      </c>
      <c r="L19" s="373"/>
      <c r="M19" s="142" t="s">
        <v>114</v>
      </c>
      <c r="N19" s="176">
        <f>J19-L19</f>
        <v>52752.348172145874</v>
      </c>
      <c r="O19" s="142" t="s">
        <v>113</v>
      </c>
      <c r="P19" s="379">
        <v>1</v>
      </c>
      <c r="Q19" s="312" t="s">
        <v>114</v>
      </c>
      <c r="R19" s="176">
        <f>P19*N19</f>
        <v>52752.348172145874</v>
      </c>
      <c r="S19" s="176"/>
      <c r="T19" s="176">
        <f>N19-R19</f>
        <v>0</v>
      </c>
      <c r="U19" s="176"/>
      <c r="V19" s="313">
        <f>N19/$J$57</f>
        <v>0.30803344295661467</v>
      </c>
      <c r="W19" s="293"/>
      <c r="X19" s="296">
        <f>$J$61*V19</f>
        <v>13.729983026932354</v>
      </c>
    </row>
    <row r="20" spans="2:24">
      <c r="B20" s="293" t="s">
        <v>183</v>
      </c>
      <c r="C20" s="293"/>
      <c r="E20" s="290" t="str">
        <f t="shared" si="2"/>
        <v>DCF, 31.2x 26E FCF</v>
      </c>
      <c r="F20" s="373">
        <v>367.67479700691086</v>
      </c>
      <c r="G20" s="142" t="s">
        <v>113</v>
      </c>
      <c r="H20" s="376">
        <v>31.222553556585545</v>
      </c>
      <c r="I20" s="142" t="s">
        <v>114</v>
      </c>
      <c r="J20" s="308">
        <f>H20*F20</f>
        <v>11479.746040954993</v>
      </c>
      <c r="K20" s="142" t="s">
        <v>115</v>
      </c>
      <c r="L20" s="373"/>
      <c r="M20" s="142" t="s">
        <v>114</v>
      </c>
      <c r="N20" s="142">
        <f>J20-L20</f>
        <v>11479.746040954993</v>
      </c>
      <c r="O20" s="142" t="s">
        <v>113</v>
      </c>
      <c r="P20" s="379">
        <v>1</v>
      </c>
      <c r="Q20" s="312" t="s">
        <v>114</v>
      </c>
      <c r="R20" s="308">
        <f>P20*N20</f>
        <v>11479.746040954993</v>
      </c>
      <c r="S20" s="176"/>
      <c r="T20" s="176">
        <f>N20-R20</f>
        <v>0</v>
      </c>
      <c r="U20" s="176"/>
      <c r="V20" s="313">
        <f>N20/$J$57</f>
        <v>6.703295340945746E-2</v>
      </c>
      <c r="W20" s="293"/>
      <c r="X20" s="296">
        <f>$J$61*V20</f>
        <v>2.9878616546406218</v>
      </c>
    </row>
    <row r="21" spans="2:24" s="304" customFormat="1">
      <c r="B21" s="269"/>
      <c r="C21" s="269" t="s">
        <v>883</v>
      </c>
      <c r="I21" s="157"/>
      <c r="J21" s="170">
        <f>J20+J19</f>
        <v>64232.094213100863</v>
      </c>
      <c r="K21" s="157"/>
      <c r="M21" s="157"/>
      <c r="N21" s="170">
        <f>N20+N19</f>
        <v>64232.094213100863</v>
      </c>
      <c r="O21" s="157"/>
      <c r="P21" s="157"/>
      <c r="Q21" s="292"/>
      <c r="R21" s="170">
        <f>R20+R19</f>
        <v>64232.094213100863</v>
      </c>
      <c r="S21" s="170"/>
      <c r="T21" s="170"/>
      <c r="U21" s="170"/>
      <c r="V21" s="310"/>
      <c r="W21" s="269"/>
      <c r="X21" s="295"/>
    </row>
    <row r="22" spans="2:24">
      <c r="B22" s="293"/>
      <c r="C22" s="293"/>
      <c r="K22" s="142"/>
      <c r="M22" s="142"/>
      <c r="N22" s="176"/>
      <c r="Q22" s="312"/>
      <c r="R22" s="176"/>
      <c r="S22" s="176"/>
      <c r="T22" s="176"/>
      <c r="U22" s="176"/>
      <c r="V22" s="313"/>
      <c r="W22" s="293"/>
      <c r="X22" s="296"/>
    </row>
    <row r="23" spans="2:24">
      <c r="B23" s="293" t="s">
        <v>1</v>
      </c>
      <c r="C23" s="293"/>
      <c r="E23" s="290" t="str">
        <f t="shared" ref="E23:E24" si="3">"DCF, "&amp;TEXT(H23,"0.0")&amp;"x 26E FCF"</f>
        <v>DCF, 16.6x 26E FCF</v>
      </c>
      <c r="F23" s="373">
        <v>556.50445505245193</v>
      </c>
      <c r="G23" s="142" t="s">
        <v>113</v>
      </c>
      <c r="H23" s="376">
        <v>16.636631261918037</v>
      </c>
      <c r="I23" s="142" t="s">
        <v>114</v>
      </c>
      <c r="J23" s="176">
        <f>H23*F23</f>
        <v>9258.3594143222836</v>
      </c>
      <c r="K23" s="142" t="s">
        <v>115</v>
      </c>
      <c r="L23" s="373">
        <v>-167.08223988715275</v>
      </c>
      <c r="M23" s="142" t="s">
        <v>114</v>
      </c>
      <c r="N23" s="176">
        <f>J23-L23</f>
        <v>9425.4416542094368</v>
      </c>
      <c r="O23" s="142" t="s">
        <v>113</v>
      </c>
      <c r="P23" s="379">
        <v>0.9758</v>
      </c>
      <c r="Q23" s="312" t="s">
        <v>114</v>
      </c>
      <c r="R23" s="176">
        <f>P23*N23</f>
        <v>9197.3459661775687</v>
      </c>
      <c r="S23" s="176"/>
      <c r="T23" s="176">
        <f>N23-R23</f>
        <v>228.09568803186812</v>
      </c>
      <c r="U23" s="176"/>
      <c r="V23" s="313">
        <f>N23/$J$57</f>
        <v>5.5037384016695598E-2</v>
      </c>
      <c r="W23" s="293"/>
      <c r="X23" s="296">
        <f>$J$61*V23</f>
        <v>2.4531828139921181</v>
      </c>
    </row>
    <row r="24" spans="2:24">
      <c r="B24" s="293" t="s">
        <v>799</v>
      </c>
      <c r="C24" s="293"/>
      <c r="E24" s="290" t="str">
        <f t="shared" si="3"/>
        <v>DCF, 16.8x 26E FCF</v>
      </c>
      <c r="F24" s="373">
        <v>400.33239727451809</v>
      </c>
      <c r="G24" s="142" t="s">
        <v>113</v>
      </c>
      <c r="H24" s="376">
        <v>16.757834788499462</v>
      </c>
      <c r="I24" s="142" t="s">
        <v>114</v>
      </c>
      <c r="J24" s="308">
        <f>H24*F24</f>
        <v>6708.7041740103068</v>
      </c>
      <c r="K24" s="142" t="s">
        <v>115</v>
      </c>
      <c r="L24" s="373">
        <f>L23</f>
        <v>-167.08223988715275</v>
      </c>
      <c r="M24" s="142" t="s">
        <v>749</v>
      </c>
      <c r="N24" s="142">
        <f>J24-L24</f>
        <v>6875.7864138974592</v>
      </c>
      <c r="O24" s="142" t="s">
        <v>113</v>
      </c>
      <c r="P24" s="379">
        <v>0.9758</v>
      </c>
      <c r="Q24" s="312" t="s">
        <v>114</v>
      </c>
      <c r="R24" s="308">
        <f>P24*N24</f>
        <v>6709.3923826811406</v>
      </c>
      <c r="S24" s="176"/>
      <c r="T24" s="176">
        <f>N24-R24</f>
        <v>166.39403121631858</v>
      </c>
      <c r="U24" s="176"/>
      <c r="V24" s="313">
        <f>N24/$J$57</f>
        <v>4.0149343782680633E-2</v>
      </c>
      <c r="W24" s="293"/>
      <c r="X24" s="296">
        <f>$J$61*V24</f>
        <v>1.7895777919033244</v>
      </c>
    </row>
    <row r="25" spans="2:24" s="304" customFormat="1">
      <c r="C25" s="269" t="s">
        <v>886</v>
      </c>
      <c r="I25" s="157"/>
      <c r="J25" s="170">
        <f>J24+J23</f>
        <v>15967.06358833259</v>
      </c>
      <c r="K25" s="157"/>
      <c r="N25" s="170">
        <f>N24+N23</f>
        <v>16301.228068106895</v>
      </c>
      <c r="R25" s="170">
        <f>R24+R23</f>
        <v>15906.738348858709</v>
      </c>
    </row>
    <row r="27" spans="2:24">
      <c r="B27" s="293" t="s">
        <v>890</v>
      </c>
      <c r="C27" s="293"/>
      <c r="E27" s="290" t="str">
        <f>"DCF, "&amp;TEXT(H27,"0.0")&amp;"x 26E FCF"</f>
        <v>DCF, 16.5x 26E FCF</v>
      </c>
      <c r="F27" s="373">
        <v>810.10036189947243</v>
      </c>
      <c r="G27" s="142" t="s">
        <v>113</v>
      </c>
      <c r="H27" s="376">
        <v>16.452291776559171</v>
      </c>
      <c r="I27" s="142" t="s">
        <v>114</v>
      </c>
      <c r="J27" s="176">
        <f>H27*F27</f>
        <v>13328.007522266298</v>
      </c>
      <c r="K27" s="142" t="s">
        <v>115</v>
      </c>
      <c r="L27" s="373">
        <v>0</v>
      </c>
      <c r="M27" s="142" t="s">
        <v>114</v>
      </c>
      <c r="N27" s="176">
        <f>J27-L27</f>
        <v>13328.007522266298</v>
      </c>
      <c r="O27" s="142" t="s">
        <v>113</v>
      </c>
      <c r="P27" s="379">
        <v>1</v>
      </c>
      <c r="Q27" s="312" t="s">
        <v>114</v>
      </c>
      <c r="R27" s="176">
        <f>P27*N27</f>
        <v>13328.007522266298</v>
      </c>
      <c r="S27" s="176"/>
      <c r="T27" s="176">
        <f>N27-R27</f>
        <v>0</v>
      </c>
      <c r="U27" s="176"/>
      <c r="V27" s="313">
        <f>N27/$J$57</f>
        <v>7.7825389524614666E-2</v>
      </c>
      <c r="W27" s="293"/>
      <c r="X27" s="296">
        <f>$J$61*V27</f>
        <v>3.4689132029987353</v>
      </c>
    </row>
    <row r="28" spans="2:24">
      <c r="B28" s="293" t="s">
        <v>891</v>
      </c>
      <c r="C28" s="293"/>
      <c r="E28" s="290" t="s">
        <v>94</v>
      </c>
      <c r="F28" s="373">
        <v>582.61300000000006</v>
      </c>
      <c r="G28" s="142" t="s">
        <v>113</v>
      </c>
      <c r="H28" s="376">
        <v>1.8</v>
      </c>
      <c r="I28" s="142" t="s">
        <v>114</v>
      </c>
      <c r="J28" s="308">
        <v>11545.604198620002</v>
      </c>
      <c r="K28" s="142" t="s">
        <v>115</v>
      </c>
      <c r="L28" s="373">
        <v>-110</v>
      </c>
      <c r="M28" s="142" t="s">
        <v>114</v>
      </c>
      <c r="N28" s="142">
        <f>J28-L28</f>
        <v>11655.604198620002</v>
      </c>
      <c r="O28" s="142" t="s">
        <v>113</v>
      </c>
      <c r="P28" s="379">
        <v>0.88149999999999995</v>
      </c>
      <c r="Q28" s="312" t="s">
        <v>114</v>
      </c>
      <c r="R28" s="308">
        <f>P28*N28</f>
        <v>10274.41510108353</v>
      </c>
      <c r="S28" s="176"/>
      <c r="T28" s="176">
        <f>N28-R28</f>
        <v>1381.1890975364713</v>
      </c>
      <c r="U28" s="176"/>
      <c r="V28" s="313">
        <f>N28/$J$57</f>
        <v>6.8059830802683394E-2</v>
      </c>
      <c r="W28" s="293"/>
      <c r="X28" s="296">
        <f>$J$61*V28</f>
        <v>3.0336326886050031</v>
      </c>
    </row>
    <row r="29" spans="2:24" s="304" customFormat="1">
      <c r="C29" s="269" t="s">
        <v>887</v>
      </c>
      <c r="I29" s="157"/>
      <c r="J29" s="170">
        <f>J28+J27</f>
        <v>24873.6117208863</v>
      </c>
      <c r="K29" s="157"/>
      <c r="N29" s="170">
        <f>N28+N27</f>
        <v>24983.6117208863</v>
      </c>
      <c r="R29" s="170">
        <f>R28+R27</f>
        <v>23602.422623349827</v>
      </c>
    </row>
    <row r="31" spans="2:24" s="304" customFormat="1" hidden="1" outlineLevel="1">
      <c r="B31" s="269" t="s">
        <v>190</v>
      </c>
      <c r="C31" s="269"/>
      <c r="E31" s="304" t="str">
        <f>"DCF, "&amp;TEXT(H31,"0.0")&amp;"x 25E FCF"</f>
        <v>DCF, 0.0x 25E FCF</v>
      </c>
      <c r="F31" s="369"/>
      <c r="G31" s="157" t="s">
        <v>113</v>
      </c>
      <c r="H31" s="370"/>
      <c r="I31" s="157" t="s">
        <v>114</v>
      </c>
      <c r="J31" s="170">
        <f>H31*F31</f>
        <v>0</v>
      </c>
      <c r="K31" s="157" t="s">
        <v>115</v>
      </c>
      <c r="L31" s="369"/>
      <c r="M31" s="157" t="s">
        <v>114</v>
      </c>
      <c r="N31" s="170">
        <f>J31-L31</f>
        <v>0</v>
      </c>
      <c r="O31" s="157" t="s">
        <v>113</v>
      </c>
      <c r="P31" s="372">
        <v>0.60299999999999998</v>
      </c>
      <c r="Q31" s="292" t="s">
        <v>114</v>
      </c>
      <c r="R31" s="170">
        <f>P31*N31</f>
        <v>0</v>
      </c>
      <c r="S31" s="170"/>
      <c r="T31" s="170">
        <f>N31-R31</f>
        <v>0</v>
      </c>
      <c r="U31" s="170"/>
      <c r="V31" s="310">
        <f>N31/$J$57</f>
        <v>0</v>
      </c>
      <c r="W31" s="269"/>
      <c r="X31" s="295">
        <f>$J$61*V31</f>
        <v>0</v>
      </c>
    </row>
    <row r="32" spans="2:24" collapsed="1">
      <c r="B32" s="293"/>
      <c r="F32" s="176"/>
      <c r="G32" s="142"/>
      <c r="H32" s="296"/>
      <c r="P32" s="142"/>
    </row>
    <row r="34" spans="2:24">
      <c r="B34" s="293" t="s">
        <v>1336</v>
      </c>
      <c r="C34" s="293"/>
      <c r="E34" s="290" t="str">
        <f>"DCF, "&amp;TEXT(H34,"0.0")&amp;"x 26E EBITDA"</f>
        <v>DCF, 9.7x 26E EBITDA</v>
      </c>
      <c r="F34" s="373">
        <v>1590.9000374765426</v>
      </c>
      <c r="G34" s="142" t="s">
        <v>113</v>
      </c>
      <c r="H34" s="375">
        <v>9.6723422553004017</v>
      </c>
      <c r="I34" s="142" t="s">
        <v>114</v>
      </c>
      <c r="J34" s="176">
        <f>H34*F34</f>
        <v>15387.729656443356</v>
      </c>
      <c r="K34" s="142" t="s">
        <v>115</v>
      </c>
      <c r="L34" s="373"/>
      <c r="M34" s="142" t="s">
        <v>114</v>
      </c>
      <c r="N34" s="176">
        <f>J34-L34</f>
        <v>15387.729656443356</v>
      </c>
      <c r="O34" s="142" t="s">
        <v>113</v>
      </c>
      <c r="P34" s="379">
        <v>0.51</v>
      </c>
      <c r="Q34" s="312" t="s">
        <v>114</v>
      </c>
      <c r="R34" s="176">
        <f>P34*N34</f>
        <v>7847.7421247861121</v>
      </c>
      <c r="S34" s="176"/>
      <c r="T34" s="176">
        <f>IF(R34&lt;0,0,(N34-R34))</f>
        <v>7539.9875316572443</v>
      </c>
      <c r="U34" s="176"/>
      <c r="V34" s="313">
        <f>N34/$J$57</f>
        <v>8.9852594426547597E-2</v>
      </c>
      <c r="W34" s="293"/>
      <c r="X34" s="296">
        <f>$J$61*V34</f>
        <v>4.0050021340575466</v>
      </c>
    </row>
    <row r="35" spans="2:24">
      <c r="B35" s="293" t="s">
        <v>845</v>
      </c>
      <c r="C35" s="293"/>
      <c r="E35" s="290" t="str">
        <f t="shared" ref="E35:E36" si="4">"DCF, "&amp;TEXT(H35,"0.0")&amp;"x 26E FCF"</f>
        <v>DCF, 15.2x 26E FCF</v>
      </c>
      <c r="F35" s="373">
        <v>-1950</v>
      </c>
      <c r="G35" s="142" t="s">
        <v>113</v>
      </c>
      <c r="H35" s="375">
        <v>15.151515151515143</v>
      </c>
      <c r="I35" s="142" t="s">
        <v>114</v>
      </c>
      <c r="J35" s="176">
        <f>H35*F35</f>
        <v>-29545.45454545453</v>
      </c>
      <c r="K35" s="142" t="s">
        <v>115</v>
      </c>
      <c r="L35" s="373"/>
      <c r="M35" s="142" t="s">
        <v>114</v>
      </c>
      <c r="N35" s="176">
        <f>J35-L35</f>
        <v>-29545.45454545453</v>
      </c>
      <c r="O35" s="142" t="s">
        <v>113</v>
      </c>
      <c r="P35" s="379">
        <v>1</v>
      </c>
      <c r="Q35" s="312" t="s">
        <v>114</v>
      </c>
      <c r="R35" s="176">
        <f>P35*N35</f>
        <v>-29545.45454545453</v>
      </c>
      <c r="S35" s="176"/>
      <c r="T35" s="176">
        <f>IF(R35&lt;0,0,(N35-R35))</f>
        <v>0</v>
      </c>
      <c r="U35" s="176"/>
      <c r="V35" s="313">
        <f>N35/$J$57</f>
        <v>-0.17252289997888651</v>
      </c>
      <c r="W35" s="293"/>
      <c r="X35" s="296">
        <f>$J$61*V35</f>
        <v>-7.6898679108712473</v>
      </c>
    </row>
    <row r="36" spans="2:24">
      <c r="B36" s="293" t="s">
        <v>888</v>
      </c>
      <c r="C36" s="293"/>
      <c r="E36" s="290" t="str">
        <f t="shared" si="4"/>
        <v>DCF, 0.0x 26E FCF</v>
      </c>
      <c r="F36" s="373"/>
      <c r="G36" s="142" t="s">
        <v>113</v>
      </c>
      <c r="H36" s="375"/>
      <c r="I36" s="142" t="s">
        <v>114</v>
      </c>
      <c r="J36" s="308">
        <f>H36*F36</f>
        <v>0</v>
      </c>
      <c r="K36" s="142" t="s">
        <v>115</v>
      </c>
      <c r="L36" s="387"/>
      <c r="M36" s="142" t="s">
        <v>114</v>
      </c>
      <c r="N36" s="308">
        <f t="shared" ref="N36" si="5">J36-L36</f>
        <v>0</v>
      </c>
      <c r="O36" s="142" t="s">
        <v>113</v>
      </c>
      <c r="P36" s="379">
        <v>1</v>
      </c>
      <c r="Q36" s="312" t="s">
        <v>114</v>
      </c>
      <c r="R36" s="308">
        <f>P36*N36</f>
        <v>0</v>
      </c>
      <c r="S36" s="176"/>
      <c r="T36" s="308">
        <f>N36-R36</f>
        <v>0</v>
      </c>
      <c r="U36" s="176"/>
      <c r="V36" s="314">
        <f>N36/$J$57</f>
        <v>0</v>
      </c>
      <c r="W36" s="293"/>
      <c r="X36" s="315">
        <f>$J$61*V36</f>
        <v>0</v>
      </c>
    </row>
    <row r="37" spans="2:24">
      <c r="B37" s="269" t="s">
        <v>117</v>
      </c>
      <c r="C37" s="293"/>
      <c r="F37" s="170"/>
      <c r="G37" s="157"/>
      <c r="H37" s="295"/>
      <c r="I37" s="299"/>
      <c r="J37" s="170">
        <f>J36+J35+J31+J29+J25+J21+J17+J13+J34</f>
        <v>289858.95780596253</v>
      </c>
      <c r="K37" s="298"/>
      <c r="L37" s="170">
        <f>-J47</f>
        <v>58829.35612998619</v>
      </c>
      <c r="M37" s="157"/>
      <c r="N37" s="170">
        <f>N36+N35+N31+N29+N25+N21+N17+N13+N34</f>
        <v>290303.12228573684</v>
      </c>
      <c r="P37" s="300"/>
      <c r="Q37" s="301"/>
      <c r="R37" s="170">
        <f>R36+R35+R31+R29+R25+R21+R17+R13+R34</f>
        <v>280987.45593729499</v>
      </c>
      <c r="S37" s="293"/>
      <c r="T37" s="170">
        <f>SUM(T11:T36)</f>
        <v>9315.6663484419023</v>
      </c>
      <c r="U37" s="293"/>
      <c r="V37" s="310">
        <f>N37/$J$57</f>
        <v>1.6951486210038995</v>
      </c>
      <c r="W37" s="293"/>
      <c r="X37" s="295">
        <f>$J$61*V37</f>
        <v>75.557905567381624</v>
      </c>
    </row>
    <row r="39" spans="2:24">
      <c r="C39" s="269"/>
      <c r="G39" s="157"/>
      <c r="I39" s="157"/>
      <c r="J39" s="170"/>
      <c r="K39" s="157"/>
      <c r="L39" s="170"/>
      <c r="M39" s="157"/>
      <c r="N39" s="157"/>
      <c r="O39" s="157"/>
      <c r="Q39" s="157"/>
      <c r="R39" s="157"/>
      <c r="S39" s="170"/>
    </row>
    <row r="40" spans="2:24">
      <c r="F40" s="170"/>
      <c r="H40" s="295"/>
      <c r="P40" s="157"/>
    </row>
    <row r="41" spans="2:24">
      <c r="B41" s="269" t="s">
        <v>118</v>
      </c>
      <c r="C41" s="269"/>
      <c r="F41" s="170"/>
      <c r="H41" s="295"/>
      <c r="I41" s="299"/>
      <c r="L41" s="157"/>
      <c r="M41" s="157"/>
      <c r="N41" s="293"/>
      <c r="P41" s="300"/>
      <c r="Q41" s="301"/>
      <c r="R41" s="293"/>
    </row>
    <row r="42" spans="2:24" hidden="1" outlineLevel="1">
      <c r="B42" s="269" t="s">
        <v>99</v>
      </c>
      <c r="C42" s="269"/>
      <c r="E42" s="290" t="str">
        <f>"DCF, "&amp;TEXT(H42,"0.0")&amp;"x 25E FCF"</f>
        <v>DCF, 0.0x 25E FCF</v>
      </c>
      <c r="F42" s="369"/>
      <c r="G42" s="157" t="s">
        <v>113</v>
      </c>
      <c r="H42" s="370"/>
      <c r="I42" s="157" t="s">
        <v>114</v>
      </c>
      <c r="J42" s="170">
        <f>H42*F42</f>
        <v>0</v>
      </c>
      <c r="K42" s="157" t="s">
        <v>115</v>
      </c>
      <c r="L42" s="369"/>
      <c r="M42" s="157" t="s">
        <v>114</v>
      </c>
      <c r="N42" s="170">
        <f>J42-L42</f>
        <v>0</v>
      </c>
      <c r="O42" s="157" t="s">
        <v>113</v>
      </c>
      <c r="P42" s="372">
        <v>0.49</v>
      </c>
      <c r="Q42" s="292" t="s">
        <v>114</v>
      </c>
      <c r="R42" s="297">
        <f>P42*N42</f>
        <v>0</v>
      </c>
    </row>
    <row r="43" spans="2:24" collapsed="1">
      <c r="B43" s="269" t="s">
        <v>117</v>
      </c>
      <c r="C43" s="293"/>
      <c r="R43" s="170">
        <f>R42</f>
        <v>0</v>
      </c>
    </row>
    <row r="46" spans="2:24" ht="12.6" thickBot="1">
      <c r="B46" s="305" t="s">
        <v>121</v>
      </c>
      <c r="D46" s="269"/>
      <c r="E46" s="304"/>
      <c r="H46" s="304"/>
      <c r="I46" s="304"/>
      <c r="J46" s="297">
        <f>J37</f>
        <v>289858.95780596253</v>
      </c>
      <c r="T46" s="357" t="s">
        <v>452</v>
      </c>
      <c r="U46" s="291"/>
      <c r="V46" s="291"/>
      <c r="W46" s="291"/>
      <c r="X46" s="291"/>
    </row>
    <row r="47" spans="2:24" ht="12.6" thickTop="1">
      <c r="B47" s="306" t="s">
        <v>1180</v>
      </c>
      <c r="D47" s="324"/>
      <c r="J47" s="373">
        <v>-58829.35612998619</v>
      </c>
      <c r="T47" s="105"/>
    </row>
    <row r="48" spans="2:24">
      <c r="B48" s="307" t="s">
        <v>1077</v>
      </c>
      <c r="D48" s="293"/>
      <c r="J48" s="373">
        <v>-9177</v>
      </c>
      <c r="T48" s="105"/>
    </row>
    <row r="49" spans="2:18">
      <c r="B49" s="307" t="s">
        <v>1078</v>
      </c>
      <c r="D49" s="293"/>
      <c r="J49" s="373">
        <v>-18248.123707325136</v>
      </c>
      <c r="R49" s="293"/>
    </row>
    <row r="50" spans="2:18">
      <c r="B50" s="307" t="s">
        <v>1281</v>
      </c>
      <c r="D50" s="293"/>
      <c r="J50" s="373">
        <v>-5565</v>
      </c>
      <c r="R50" s="293"/>
    </row>
    <row r="51" spans="2:18">
      <c r="B51" s="307" t="s">
        <v>889</v>
      </c>
      <c r="D51" s="293"/>
      <c r="J51" s="373">
        <v>-16025.260835838882</v>
      </c>
    </row>
    <row r="52" spans="2:18">
      <c r="B52" s="307" t="s">
        <v>792</v>
      </c>
      <c r="D52" s="293"/>
      <c r="J52" s="373">
        <v>-2628.5961000000002</v>
      </c>
    </row>
    <row r="53" spans="2:18">
      <c r="B53" s="307" t="s">
        <v>791</v>
      </c>
      <c r="D53" s="293"/>
      <c r="J53" s="373">
        <v>1185.3079449403697</v>
      </c>
      <c r="K53" s="304"/>
    </row>
    <row r="54" spans="2:18">
      <c r="B54" s="307" t="s">
        <v>859</v>
      </c>
      <c r="J54" s="176">
        <f>R43</f>
        <v>0</v>
      </c>
    </row>
    <row r="55" spans="2:18">
      <c r="B55" s="307" t="s">
        <v>1340</v>
      </c>
      <c r="J55" s="405"/>
    </row>
    <row r="56" spans="2:18">
      <c r="B56" s="307" t="s">
        <v>441</v>
      </c>
      <c r="J56" s="308">
        <f>-T37</f>
        <v>-9315.6663484419023</v>
      </c>
      <c r="K56" s="304"/>
    </row>
    <row r="57" spans="2:18">
      <c r="B57" s="305" t="s">
        <v>407</v>
      </c>
      <c r="J57" s="170">
        <f>SUM(J46:J56)</f>
        <v>171255.2626293108</v>
      </c>
    </row>
    <row r="58" spans="2:18">
      <c r="B58" s="307" t="s">
        <v>408</v>
      </c>
      <c r="J58" s="308">
        <f>TELIA!E10</f>
        <v>3932.1092859999999</v>
      </c>
    </row>
    <row r="59" spans="2:18">
      <c r="B59" s="305" t="s">
        <v>409</v>
      </c>
      <c r="D59" s="269"/>
      <c r="E59" s="304"/>
      <c r="F59" s="304"/>
      <c r="G59" s="304"/>
      <c r="H59" s="304"/>
      <c r="I59" s="304"/>
      <c r="J59" s="167">
        <f>J57/J58</f>
        <v>43.553027185448073</v>
      </c>
    </row>
    <row r="60" spans="2:18" ht="12.6" thickBot="1">
      <c r="B60" s="307" t="s">
        <v>624</v>
      </c>
      <c r="D60" s="293"/>
      <c r="J60" s="375">
        <v>1.0200000000000002</v>
      </c>
    </row>
    <row r="61" spans="2:18" ht="12.6" thickBot="1">
      <c r="B61" s="305" t="s">
        <v>55</v>
      </c>
      <c r="D61" s="293"/>
      <c r="J61" s="358">
        <f>J60+J59</f>
        <v>44.573027185448076</v>
      </c>
    </row>
    <row r="62" spans="2:18">
      <c r="B62" s="307" t="s">
        <v>410</v>
      </c>
      <c r="J62" s="174">
        <f>Prices!C19</f>
        <v>48.71</v>
      </c>
    </row>
    <row r="63" spans="2:18">
      <c r="B63" s="305" t="s">
        <v>84</v>
      </c>
      <c r="J63" s="325">
        <f>J61/J62-1</f>
        <v>-8.4930667512870595E-2</v>
      </c>
    </row>
    <row r="66" spans="2:24">
      <c r="B66" s="305"/>
      <c r="D66" s="269"/>
      <c r="E66" s="304"/>
      <c r="H66" s="304"/>
      <c r="I66" s="304"/>
      <c r="J66" s="304"/>
      <c r="K66" s="304"/>
    </row>
    <row r="68" spans="2:24" ht="12.6" thickBot="1">
      <c r="T68" s="357" t="s">
        <v>452</v>
      </c>
      <c r="U68" s="291"/>
      <c r="V68" s="291"/>
      <c r="W68" s="291"/>
      <c r="X68" s="291"/>
    </row>
    <row r="69" spans="2:24" ht="12.6" thickTop="1">
      <c r="T69" s="293" t="s">
        <v>119</v>
      </c>
      <c r="X69" s="313">
        <f>(R11+R15+R19+R23+R27+R31)/(R37+R43)</f>
        <v>0.6073748297055126</v>
      </c>
    </row>
    <row r="70" spans="2:24">
      <c r="T70" s="293" t="s">
        <v>892</v>
      </c>
      <c r="X70" s="313">
        <f>(R12+R16+R20+R24+R28+R42)/(R37+R44)</f>
        <v>0.46984467587095852</v>
      </c>
    </row>
    <row r="71" spans="2:24">
      <c r="B71" s="307"/>
      <c r="D71" s="293"/>
      <c r="J71" s="296"/>
      <c r="T71" s="293" t="s">
        <v>120</v>
      </c>
      <c r="X71" s="313">
        <f>1-X70-X69</f>
        <v>-7.7219505576471059E-2</v>
      </c>
    </row>
    <row r="72" spans="2:24">
      <c r="B72" s="305"/>
      <c r="D72" s="269"/>
      <c r="E72" s="304"/>
      <c r="F72" s="304"/>
      <c r="G72" s="304"/>
      <c r="H72" s="304"/>
      <c r="I72" s="304"/>
      <c r="J72" s="310" t="s">
        <v>571</v>
      </c>
      <c r="K72" s="304"/>
    </row>
    <row r="73" spans="2:24">
      <c r="D73" s="309"/>
      <c r="E73" s="269"/>
      <c r="F73" s="269"/>
      <c r="G73" s="269"/>
      <c r="H73" s="269"/>
      <c r="I73" s="269"/>
      <c r="T73" s="293" t="s">
        <v>683</v>
      </c>
      <c r="X73" s="313">
        <f>X69</f>
        <v>0.6073748297055126</v>
      </c>
    </row>
    <row r="74" spans="2:24">
      <c r="D74" s="309"/>
      <c r="E74" s="269"/>
      <c r="F74" s="269"/>
      <c r="G74" s="269"/>
      <c r="H74" s="269"/>
      <c r="I74" s="269"/>
      <c r="T74" s="293" t="s">
        <v>684</v>
      </c>
      <c r="X74" s="313">
        <f>X69-X73</f>
        <v>0</v>
      </c>
    </row>
    <row r="75" spans="2:24">
      <c r="B75" s="290" t="s">
        <v>550</v>
      </c>
      <c r="D75" s="309">
        <f>Prices!C138/Prices!C146</f>
        <v>3.1388263525036635</v>
      </c>
      <c r="E75" s="269"/>
      <c r="F75" s="269"/>
      <c r="G75" s="269"/>
      <c r="H75" s="269"/>
      <c r="I75" s="269"/>
      <c r="K75" s="304"/>
      <c r="T75" s="293" t="s">
        <v>685</v>
      </c>
      <c r="X75" s="313">
        <v>0</v>
      </c>
    </row>
    <row r="76" spans="2:24">
      <c r="B76" s="290" t="s">
        <v>676</v>
      </c>
      <c r="D76" s="309">
        <v>8.5808499999999999</v>
      </c>
    </row>
  </sheetData>
  <phoneticPr fontId="26" type="noConversion"/>
  <pageMargins left="0.75" right="0.75" top="1" bottom="1" header="0.5" footer="0.5"/>
  <pageSetup scale="46" orientation="landscape"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52">
    <pageSetUpPr fitToPage="1"/>
  </sheetPr>
  <dimension ref="A1:X43"/>
  <sheetViews>
    <sheetView showGridLines="0" zoomScale="80" zoomScaleNormal="80" workbookViewId="0"/>
  </sheetViews>
  <sheetFormatPr defaultColWidth="9.109375" defaultRowHeight="12"/>
  <cols>
    <col min="1" max="1" width="2.33203125" style="290" customWidth="1"/>
    <col min="2" max="6" width="10" style="290" customWidth="1"/>
    <col min="7" max="7" width="2.33203125" style="290" customWidth="1"/>
    <col min="8" max="8" width="10" style="290" customWidth="1"/>
    <col min="9" max="9" width="2.109375" style="290" customWidth="1"/>
    <col min="10" max="10" width="10" style="290" customWidth="1"/>
    <col min="11" max="11" width="2.109375" style="290" customWidth="1"/>
    <col min="12" max="12" width="10" style="290" customWidth="1"/>
    <col min="13" max="13" width="2.109375" style="290" customWidth="1"/>
    <col min="14" max="14" width="10" style="290" customWidth="1"/>
    <col min="15" max="15" width="2.109375" style="290" customWidth="1"/>
    <col min="16" max="16" width="10" style="290" customWidth="1"/>
    <col min="17" max="17" width="2.109375" style="290" customWidth="1"/>
    <col min="18" max="18" width="10" style="290" customWidth="1"/>
    <col min="19" max="19" width="2.109375" style="290" customWidth="1"/>
    <col min="20" max="20" width="9.88671875" style="290" customWidth="1"/>
    <col min="21" max="21" width="2.109375" style="290" customWidth="1"/>
    <col min="22" max="22" width="10" style="290" customWidth="1"/>
    <col min="23" max="23" width="2.109375" style="290" customWidth="1"/>
    <col min="24" max="24" width="10" style="290" customWidth="1"/>
    <col min="25" max="16384" width="9.109375" style="290"/>
  </cols>
  <sheetData>
    <row r="1" spans="2:24" s="365" customFormat="1">
      <c r="E1" s="116"/>
    </row>
    <row r="2" spans="2:24" s="365" customFormat="1">
      <c r="E2" s="116"/>
    </row>
    <row r="3" spans="2:24" s="365" customFormat="1"/>
    <row r="4" spans="2:24" s="368" customFormat="1" ht="21">
      <c r="B4" s="100" t="s">
        <v>1161</v>
      </c>
      <c r="C4" s="100"/>
    </row>
    <row r="5" spans="2:24" s="365" customFormat="1">
      <c r="D5" s="103"/>
      <c r="E5" s="103"/>
      <c r="F5" s="103"/>
      <c r="G5" s="103"/>
      <c r="H5" s="103"/>
      <c r="I5" s="103"/>
      <c r="L5" s="366"/>
      <c r="M5" s="366"/>
      <c r="N5" s="366"/>
      <c r="O5" s="366"/>
      <c r="P5" s="366"/>
      <c r="Q5" s="366"/>
      <c r="R5" s="366"/>
      <c r="S5" s="366"/>
      <c r="T5" s="366"/>
      <c r="U5" s="366"/>
      <c r="V5" s="366"/>
      <c r="W5" s="366"/>
      <c r="X5" s="366"/>
    </row>
    <row r="6" spans="2:24">
      <c r="B6" s="353"/>
      <c r="C6" s="353"/>
      <c r="D6" s="353"/>
      <c r="E6" s="353"/>
      <c r="F6" s="353"/>
      <c r="G6" s="353"/>
      <c r="H6" s="353"/>
      <c r="I6" s="353"/>
      <c r="L6" s="337"/>
      <c r="M6" s="337"/>
      <c r="N6" s="337"/>
      <c r="O6" s="337"/>
      <c r="P6" s="337"/>
      <c r="Q6" s="337"/>
      <c r="R6" s="337"/>
      <c r="S6" s="337"/>
      <c r="T6" s="337"/>
      <c r="U6" s="337"/>
      <c r="V6" s="337"/>
      <c r="W6" s="337"/>
      <c r="X6" s="337"/>
    </row>
    <row r="7" spans="2:24" ht="12.6" thickBot="1">
      <c r="B7" s="249" t="s">
        <v>362</v>
      </c>
      <c r="C7" s="249"/>
      <c r="D7" s="291"/>
      <c r="E7" s="354"/>
      <c r="F7" s="354"/>
      <c r="G7" s="354"/>
      <c r="H7" s="354"/>
      <c r="I7" s="354"/>
      <c r="J7" s="291"/>
      <c r="K7" s="291"/>
      <c r="L7" s="291"/>
      <c r="M7" s="291"/>
      <c r="N7" s="291"/>
      <c r="O7" s="291"/>
      <c r="P7" s="291"/>
      <c r="Q7" s="291"/>
      <c r="R7" s="291"/>
      <c r="S7" s="291"/>
      <c r="T7" s="291"/>
      <c r="U7" s="291"/>
      <c r="V7" s="291"/>
      <c r="W7" s="291"/>
      <c r="X7" s="291"/>
    </row>
    <row r="8" spans="2:24" ht="12.6" thickTop="1">
      <c r="B8" s="269"/>
      <c r="C8" s="269"/>
      <c r="E8" s="269"/>
      <c r="F8" s="269"/>
      <c r="G8" s="269"/>
      <c r="H8" s="269"/>
      <c r="I8" s="269"/>
    </row>
    <row r="9" spans="2:24">
      <c r="D9" s="269"/>
      <c r="E9" s="305" t="s">
        <v>69</v>
      </c>
      <c r="F9" s="355" t="s">
        <v>70</v>
      </c>
      <c r="G9" s="355"/>
      <c r="H9" s="355" t="s">
        <v>71</v>
      </c>
      <c r="I9" s="355"/>
      <c r="J9" s="355" t="s">
        <v>72</v>
      </c>
      <c r="K9" s="355"/>
      <c r="L9" s="355" t="s">
        <v>73</v>
      </c>
      <c r="M9" s="355"/>
      <c r="N9" s="356" t="s">
        <v>107</v>
      </c>
      <c r="O9" s="356"/>
      <c r="P9" s="355" t="s">
        <v>108</v>
      </c>
      <c r="Q9" s="355"/>
      <c r="R9" s="355" t="s">
        <v>367</v>
      </c>
      <c r="S9" s="355"/>
      <c r="T9" s="355" t="s">
        <v>109</v>
      </c>
      <c r="U9" s="355"/>
      <c r="V9" s="355" t="s">
        <v>110</v>
      </c>
      <c r="W9" s="355"/>
      <c r="X9" s="355" t="s">
        <v>111</v>
      </c>
    </row>
    <row r="10" spans="2:24">
      <c r="B10" s="269"/>
      <c r="C10" s="269"/>
      <c r="E10" s="305"/>
      <c r="F10" s="355"/>
      <c r="G10" s="355"/>
      <c r="H10" s="355"/>
      <c r="I10" s="355"/>
      <c r="J10" s="355"/>
      <c r="K10" s="355"/>
      <c r="L10" s="355"/>
      <c r="M10" s="355"/>
      <c r="N10" s="356"/>
      <c r="O10" s="356"/>
      <c r="P10" s="355"/>
      <c r="Q10" s="355"/>
      <c r="R10" s="355"/>
      <c r="S10" s="355"/>
      <c r="T10" s="355"/>
      <c r="U10" s="355"/>
      <c r="V10" s="355"/>
      <c r="W10" s="355"/>
      <c r="X10" s="355"/>
    </row>
    <row r="11" spans="2:24">
      <c r="B11" s="293" t="s">
        <v>364</v>
      </c>
      <c r="C11" s="293"/>
      <c r="E11" s="290" t="str">
        <f>"DCF, "&amp;TEXT(H11,"0.0")&amp;"x FY27E EBITDA"</f>
        <v>DCF, 6.2x FY27E EBITDA</v>
      </c>
      <c r="F11" s="373">
        <v>4210.0610838458388</v>
      </c>
      <c r="G11" s="142" t="s">
        <v>113</v>
      </c>
      <c r="H11" s="296">
        <f>J11/F11</f>
        <v>6.2449365569680007</v>
      </c>
      <c r="I11" s="142" t="s">
        <v>114</v>
      </c>
      <c r="J11" s="373">
        <v>26291.564369577201</v>
      </c>
      <c r="K11" s="142" t="s">
        <v>115</v>
      </c>
      <c r="L11" s="373">
        <v>0</v>
      </c>
      <c r="M11" s="142" t="s">
        <v>114</v>
      </c>
      <c r="N11" s="176">
        <f t="shared" ref="N11:N18" si="0">J11-L11</f>
        <v>26291.564369577201</v>
      </c>
      <c r="O11" s="142" t="s">
        <v>113</v>
      </c>
      <c r="P11" s="379">
        <v>1</v>
      </c>
      <c r="Q11" s="312" t="s">
        <v>114</v>
      </c>
      <c r="R11" s="176">
        <f t="shared" ref="R11:R17" si="1">P11*N11</f>
        <v>26291.564369577201</v>
      </c>
      <c r="S11" s="176"/>
      <c r="T11" s="176">
        <f t="shared" ref="T11:T18" si="2">N11-R11</f>
        <v>0</v>
      </c>
      <c r="U11" s="176"/>
      <c r="V11" s="313">
        <f>N11/$J$32</f>
        <v>0.81052250939682879</v>
      </c>
      <c r="W11" s="293"/>
      <c r="X11" s="296">
        <f>$J$36*V11</f>
        <v>119.82944979592163</v>
      </c>
    </row>
    <row r="12" spans="2:24">
      <c r="B12" s="293" t="s">
        <v>363</v>
      </c>
      <c r="C12" s="293"/>
      <c r="E12" s="290" t="str">
        <f>"DCF, "&amp;TEXT(H12,"0.0")&amp;"x FY27E EBITDA"</f>
        <v>DCF, 10.5x FY27E EBITDA</v>
      </c>
      <c r="F12" s="373">
        <v>2058.0946774349759</v>
      </c>
      <c r="G12" s="142" t="s">
        <v>113</v>
      </c>
      <c r="H12" s="296">
        <f t="shared" ref="H12:H13" si="3">J12/F12</f>
        <v>10.473399155429709</v>
      </c>
      <c r="I12" s="142" t="s">
        <v>114</v>
      </c>
      <c r="J12" s="373">
        <v>21555.247056441855</v>
      </c>
      <c r="K12" s="142" t="s">
        <v>115</v>
      </c>
      <c r="L12" s="373">
        <v>13499.783954533126</v>
      </c>
      <c r="M12" s="142" t="s">
        <v>114</v>
      </c>
      <c r="N12" s="176">
        <f t="shared" si="0"/>
        <v>8055.4631019087283</v>
      </c>
      <c r="O12" s="142" t="s">
        <v>113</v>
      </c>
      <c r="P12" s="379">
        <v>0.51</v>
      </c>
      <c r="Q12" s="312" t="s">
        <v>114</v>
      </c>
      <c r="R12" s="176">
        <f t="shared" si="1"/>
        <v>4108.2861819734517</v>
      </c>
      <c r="S12" s="176"/>
      <c r="T12" s="176">
        <f t="shared" si="2"/>
        <v>3947.1769199352766</v>
      </c>
      <c r="U12" s="176"/>
      <c r="V12" s="313">
        <f>N12/$J$32</f>
        <v>0.24833570478855538</v>
      </c>
      <c r="W12" s="293"/>
      <c r="X12" s="296">
        <f>$J$36*V12</f>
        <v>36.714502712133367</v>
      </c>
    </row>
    <row r="13" spans="2:24">
      <c r="B13" s="293" t="s">
        <v>48</v>
      </c>
      <c r="C13" s="293"/>
      <c r="E13" s="290" t="str">
        <f>"DCF, "&amp;TEXT(H13,"0.0")&amp;"x FY27E EBITDA"</f>
        <v>DCF, 6.4x FY27E EBITDA</v>
      </c>
      <c r="F13" s="391">
        <v>1608.1241433935779</v>
      </c>
      <c r="G13" s="142" t="s">
        <v>113</v>
      </c>
      <c r="H13" s="296">
        <f t="shared" si="3"/>
        <v>6.3984697962386283</v>
      </c>
      <c r="I13" s="142" t="s">
        <v>114</v>
      </c>
      <c r="J13" s="387">
        <v>10289.533760105925</v>
      </c>
      <c r="K13" s="142" t="s">
        <v>115</v>
      </c>
      <c r="L13" s="373">
        <v>0</v>
      </c>
      <c r="M13" s="142" t="s">
        <v>114</v>
      </c>
      <c r="N13" s="308">
        <f t="shared" si="0"/>
        <v>10289.533760105925</v>
      </c>
      <c r="O13" s="142" t="s">
        <v>113</v>
      </c>
      <c r="P13" s="379">
        <v>1</v>
      </c>
      <c r="Q13" s="312" t="s">
        <v>114</v>
      </c>
      <c r="R13" s="308">
        <f t="shared" si="1"/>
        <v>10289.533760105925</v>
      </c>
      <c r="S13" s="176"/>
      <c r="T13" s="308">
        <f t="shared" si="2"/>
        <v>0</v>
      </c>
      <c r="U13" s="176"/>
      <c r="V13" s="314">
        <f>N13/$J$32</f>
        <v>0.31720815872846281</v>
      </c>
      <c r="W13" s="293"/>
      <c r="X13" s="315">
        <f>$J$36*V13</f>
        <v>46.89675942435683</v>
      </c>
    </row>
    <row r="14" spans="2:24">
      <c r="B14" s="269" t="s">
        <v>876</v>
      </c>
      <c r="C14" s="269"/>
      <c r="I14" s="157"/>
      <c r="J14" s="170">
        <f>SUM(J11:J13)</f>
        <v>58136.345186124978</v>
      </c>
      <c r="K14" s="157"/>
      <c r="L14" s="170"/>
      <c r="M14" s="157"/>
      <c r="N14" s="170">
        <f>SUM(N11:N13)</f>
        <v>44636.561231591855</v>
      </c>
      <c r="O14" s="157"/>
      <c r="P14" s="171"/>
      <c r="Q14" s="292"/>
      <c r="R14" s="170">
        <f>SUM(R11:R13)</f>
        <v>40689.384311656584</v>
      </c>
      <c r="S14" s="170"/>
      <c r="T14" s="170">
        <f>SUM(T11:T13)</f>
        <v>3947.1769199352766</v>
      </c>
      <c r="U14" s="170"/>
      <c r="V14" s="310">
        <f>N14/$J$32</f>
        <v>1.3760663729138469</v>
      </c>
      <c r="W14" s="293"/>
      <c r="X14" s="295">
        <f>$J$36*V14</f>
        <v>203.44071193241183</v>
      </c>
    </row>
    <row r="15" spans="2:24">
      <c r="B15" s="269"/>
      <c r="C15" s="269"/>
      <c r="I15" s="157"/>
      <c r="J15" s="170"/>
      <c r="K15" s="157"/>
      <c r="L15" s="170"/>
      <c r="M15" s="157"/>
      <c r="N15" s="170"/>
      <c r="O15" s="157"/>
      <c r="P15" s="171"/>
      <c r="Q15" s="292"/>
      <c r="R15" s="170"/>
      <c r="S15" s="170"/>
      <c r="T15" s="170"/>
      <c r="U15" s="170"/>
      <c r="V15" s="310"/>
      <c r="W15" s="293"/>
      <c r="X15" s="295"/>
    </row>
    <row r="16" spans="2:24">
      <c r="B16" s="293" t="s">
        <v>307</v>
      </c>
      <c r="C16" s="293"/>
      <c r="E16" s="290" t="s">
        <v>793</v>
      </c>
      <c r="F16" s="373">
        <v>2078</v>
      </c>
      <c r="G16" s="142" t="s">
        <v>113</v>
      </c>
      <c r="H16" s="392">
        <v>214.50000000000003</v>
      </c>
      <c r="I16" s="142"/>
      <c r="J16" s="373">
        <v>23350.617975634574</v>
      </c>
      <c r="K16" s="142" t="s">
        <v>115</v>
      </c>
      <c r="L16" s="373">
        <v>1553.937706115365</v>
      </c>
      <c r="M16" s="142" t="s">
        <v>114</v>
      </c>
      <c r="N16" s="176">
        <f>J16-L16</f>
        <v>21796.680269519209</v>
      </c>
      <c r="O16" s="142" t="s">
        <v>113</v>
      </c>
      <c r="P16" s="379">
        <v>0.65099999999999991</v>
      </c>
      <c r="Q16" s="312" t="s">
        <v>114</v>
      </c>
      <c r="R16" s="176">
        <f>P16*N16</f>
        <v>14189.638855457004</v>
      </c>
      <c r="S16" s="176"/>
      <c r="T16" s="176">
        <f t="shared" si="2"/>
        <v>7607.0414140622051</v>
      </c>
      <c r="U16" s="176"/>
      <c r="V16" s="313">
        <f>N16/$J$32</f>
        <v>0.67195316871345068</v>
      </c>
      <c r="W16" s="293"/>
      <c r="X16" s="296">
        <f>$J$36*V16</f>
        <v>99.343050392862949</v>
      </c>
    </row>
    <row r="17" spans="1:24">
      <c r="B17" s="293" t="s">
        <v>1362</v>
      </c>
      <c r="C17" s="293"/>
      <c r="E17" s="290" t="str">
        <f>"DCF, "&amp;TEXT(H17,"0.0")&amp;"x FY27E EBITDA"</f>
        <v>DCF, 3.9x FY27E EBITDA</v>
      </c>
      <c r="F17" s="373">
        <v>1101.270374093112</v>
      </c>
      <c r="G17" s="142" t="s">
        <v>113</v>
      </c>
      <c r="H17" s="376">
        <v>3.8595039620430041</v>
      </c>
      <c r="I17" s="142" t="s">
        <v>114</v>
      </c>
      <c r="J17" s="176">
        <f t="shared" ref="J17:J18" si="4">H17*F17</f>
        <v>4250.3573720929471</v>
      </c>
      <c r="K17" s="142" t="s">
        <v>115</v>
      </c>
      <c r="L17" s="373"/>
      <c r="M17" s="142" t="s">
        <v>114</v>
      </c>
      <c r="N17" s="176">
        <f t="shared" si="0"/>
        <v>4250.3573720929471</v>
      </c>
      <c r="O17" s="142" t="s">
        <v>113</v>
      </c>
      <c r="P17" s="379">
        <v>1</v>
      </c>
      <c r="Q17" s="312" t="s">
        <v>114</v>
      </c>
      <c r="R17" s="176">
        <f t="shared" si="1"/>
        <v>4250.3573720929471</v>
      </c>
      <c r="S17" s="176"/>
      <c r="T17" s="176">
        <f t="shared" si="2"/>
        <v>0</v>
      </c>
      <c r="U17" s="176"/>
      <c r="V17" s="313">
        <f>N17/$J$32</f>
        <v>0.13103101339410661</v>
      </c>
      <c r="W17" s="293"/>
      <c r="X17" s="296">
        <f>$J$36*V17</f>
        <v>19.371916336910143</v>
      </c>
    </row>
    <row r="18" spans="1:24">
      <c r="B18" s="293" t="s">
        <v>1204</v>
      </c>
      <c r="C18" s="293"/>
      <c r="E18" s="290" t="str">
        <f>"DCF, "&amp;TEXT(H18,"0.0")&amp;"x FY27E EBITDA"</f>
        <v>DCF, 13.7x FY27E EBITDA</v>
      </c>
      <c r="F18" s="373">
        <v>-900</v>
      </c>
      <c r="G18" s="142" t="s">
        <v>113</v>
      </c>
      <c r="H18" s="376">
        <v>13.707912457912453</v>
      </c>
      <c r="I18" s="142" t="s">
        <v>114</v>
      </c>
      <c r="J18" s="176">
        <f t="shared" si="4"/>
        <v>-12337.121212121208</v>
      </c>
      <c r="K18" s="142" t="s">
        <v>115</v>
      </c>
      <c r="L18" s="373"/>
      <c r="M18" s="142" t="s">
        <v>114</v>
      </c>
      <c r="N18" s="176">
        <f t="shared" si="0"/>
        <v>-12337.121212121208</v>
      </c>
      <c r="O18" s="142" t="s">
        <v>113</v>
      </c>
      <c r="P18" s="379">
        <v>1</v>
      </c>
      <c r="Q18" s="312" t="s">
        <v>114</v>
      </c>
      <c r="R18" s="176">
        <f>P18*N18</f>
        <v>-12337.121212121208</v>
      </c>
      <c r="S18" s="176"/>
      <c r="T18" s="176">
        <f t="shared" si="2"/>
        <v>0</v>
      </c>
      <c r="U18" s="176"/>
      <c r="V18" s="313">
        <f>N18/$J$32</f>
        <v>-0.38033166467462398</v>
      </c>
      <c r="W18" s="293"/>
      <c r="X18" s="296">
        <f>$J$36*V18</f>
        <v>-56.229078883747377</v>
      </c>
    </row>
    <row r="19" spans="1:24">
      <c r="A19" s="269"/>
      <c r="B19" s="269" t="s">
        <v>877</v>
      </c>
      <c r="C19" s="269"/>
      <c r="I19" s="157"/>
      <c r="J19" s="317">
        <f>SUM(J16:J18)</f>
        <v>15263.854135606314</v>
      </c>
      <c r="K19" s="157"/>
      <c r="L19" s="170"/>
      <c r="M19" s="157"/>
      <c r="N19" s="317">
        <f>SUM(N16:N18)</f>
        <v>13709.91642949095</v>
      </c>
      <c r="O19" s="157"/>
      <c r="P19" s="171"/>
      <c r="Q19" s="292"/>
      <c r="R19" s="317">
        <f>SUM(R16:R18)</f>
        <v>6102.8750154287409</v>
      </c>
      <c r="S19" s="170"/>
      <c r="T19" s="317">
        <f>SUM(T16:T18)</f>
        <v>7607.0414140622051</v>
      </c>
      <c r="U19" s="170"/>
      <c r="V19" s="310">
        <f>N19/$J$32</f>
        <v>0.42265251743293331</v>
      </c>
      <c r="W19" s="293"/>
      <c r="X19" s="295">
        <f>$J$36*V19</f>
        <v>62.485887846025726</v>
      </c>
    </row>
    <row r="20" spans="1:24">
      <c r="A20" s="269"/>
      <c r="B20" s="269"/>
      <c r="C20" s="269"/>
      <c r="I20" s="157"/>
      <c r="J20" s="170"/>
      <c r="K20" s="157"/>
      <c r="L20" s="170"/>
      <c r="M20" s="157"/>
      <c r="N20" s="170"/>
      <c r="O20" s="157"/>
      <c r="P20" s="171"/>
      <c r="Q20" s="292"/>
      <c r="R20" s="170"/>
      <c r="S20" s="170"/>
      <c r="T20" s="170"/>
      <c r="U20" s="170"/>
      <c r="V20" s="294"/>
      <c r="W20" s="293"/>
      <c r="X20" s="295"/>
    </row>
    <row r="21" spans="1:24">
      <c r="B21" s="269" t="s">
        <v>117</v>
      </c>
      <c r="C21" s="293"/>
      <c r="F21" s="170"/>
      <c r="G21" s="157"/>
      <c r="H21" s="295"/>
      <c r="I21" s="299"/>
      <c r="J21" s="317">
        <f>SUM(J14,J19)</f>
        <v>73400.199321731285</v>
      </c>
      <c r="K21" s="157"/>
      <c r="L21" s="170"/>
      <c r="M21" s="157"/>
      <c r="N21" s="317">
        <f>SUM(N14,N19)</f>
        <v>58346.477661082805</v>
      </c>
      <c r="O21" s="157"/>
      <c r="P21" s="171"/>
      <c r="Q21" s="292"/>
      <c r="R21" s="317">
        <f>SUM(R14,R19)</f>
        <v>46792.259327085325</v>
      </c>
      <c r="S21" s="170"/>
      <c r="T21" s="317">
        <f>SUM(T14,T19)</f>
        <v>11554.218333997482</v>
      </c>
      <c r="U21" s="170"/>
      <c r="V21" s="310"/>
      <c r="W21" s="293"/>
      <c r="X21" s="295"/>
    </row>
    <row r="22" spans="1:24">
      <c r="B22" s="293"/>
      <c r="C22" s="293"/>
      <c r="F22" s="170"/>
      <c r="G22" s="157"/>
      <c r="H22" s="295"/>
      <c r="I22" s="299"/>
      <c r="J22" s="157"/>
      <c r="K22" s="298"/>
      <c r="L22" s="293"/>
      <c r="M22" s="157"/>
      <c r="N22" s="170"/>
      <c r="P22" s="300"/>
      <c r="Q22" s="301"/>
      <c r="R22" s="170"/>
      <c r="T22" s="157"/>
    </row>
    <row r="23" spans="1:24">
      <c r="B23" s="305" t="s">
        <v>121</v>
      </c>
      <c r="D23" s="269"/>
      <c r="E23" s="304"/>
      <c r="J23" s="297">
        <f>J21</f>
        <v>73400.199321731285</v>
      </c>
    </row>
    <row r="24" spans="1:24">
      <c r="B24" s="306" t="s">
        <v>1197</v>
      </c>
      <c r="C24" s="307"/>
      <c r="D24" s="307"/>
      <c r="E24" s="307"/>
      <c r="F24" s="307"/>
      <c r="G24" s="307"/>
      <c r="H24" s="307"/>
      <c r="I24" s="307"/>
      <c r="J24" s="373">
        <v>-24442.629675199783</v>
      </c>
      <c r="K24" s="307"/>
    </row>
    <row r="25" spans="1:24">
      <c r="B25" s="306" t="s">
        <v>1205</v>
      </c>
      <c r="C25" s="307"/>
      <c r="D25" s="307"/>
      <c r="E25" s="307"/>
      <c r="F25" s="307"/>
      <c r="G25" s="307"/>
      <c r="H25" s="307"/>
      <c r="I25" s="307"/>
      <c r="J25" s="373">
        <v>-12596.43725396861</v>
      </c>
      <c r="K25" s="307"/>
    </row>
    <row r="26" spans="1:24">
      <c r="B26" s="306" t="s">
        <v>1206</v>
      </c>
      <c r="C26" s="307"/>
      <c r="D26" s="307"/>
      <c r="E26" s="307"/>
      <c r="F26" s="307"/>
      <c r="G26" s="307"/>
      <c r="H26" s="307"/>
      <c r="I26" s="307"/>
      <c r="J26" s="373">
        <v>950</v>
      </c>
      <c r="K26" s="307"/>
    </row>
    <row r="27" spans="1:24">
      <c r="B27" s="306" t="s">
        <v>1207</v>
      </c>
      <c r="C27" s="307"/>
      <c r="D27" s="307"/>
      <c r="E27" s="307"/>
      <c r="F27" s="307"/>
      <c r="G27" s="307"/>
      <c r="H27" s="307"/>
      <c r="I27" s="307"/>
      <c r="J27" s="373">
        <v>-1810.0801637386999</v>
      </c>
      <c r="K27" s="307"/>
    </row>
    <row r="28" spans="1:24">
      <c r="B28" s="306" t="s">
        <v>1208</v>
      </c>
      <c r="C28" s="307"/>
      <c r="D28" s="307"/>
      <c r="E28" s="307"/>
      <c r="F28" s="307"/>
      <c r="G28" s="307"/>
      <c r="H28" s="307"/>
      <c r="I28" s="307"/>
      <c r="J28" s="373">
        <v>1136.3636363636363</v>
      </c>
      <c r="K28" s="307"/>
    </row>
    <row r="29" spans="1:24">
      <c r="B29" s="306" t="s">
        <v>120</v>
      </c>
      <c r="C29" s="307"/>
      <c r="D29" s="307"/>
      <c r="E29" s="307"/>
      <c r="F29" s="307"/>
      <c r="G29" s="307"/>
      <c r="H29" s="307"/>
      <c r="I29" s="307"/>
      <c r="J29" s="373">
        <v>-500</v>
      </c>
      <c r="K29" s="307"/>
    </row>
    <row r="30" spans="1:24">
      <c r="B30" s="307" t="s">
        <v>724</v>
      </c>
      <c r="C30" s="307"/>
      <c r="D30" s="307"/>
      <c r="E30" s="307"/>
      <c r="F30" s="307"/>
      <c r="G30" s="307"/>
      <c r="H30" s="307"/>
      <c r="I30" s="307"/>
      <c r="J30" s="176">
        <f>-T21</f>
        <v>-11554.218333997482</v>
      </c>
      <c r="K30" s="307"/>
    </row>
    <row r="31" spans="1:24">
      <c r="B31" s="307" t="s">
        <v>849</v>
      </c>
      <c r="C31" s="307"/>
      <c r="D31" s="307"/>
      <c r="E31" s="307"/>
      <c r="F31" s="307"/>
      <c r="G31" s="307"/>
      <c r="H31" s="307"/>
      <c r="I31" s="307"/>
      <c r="J31" s="373">
        <v>7854.5991552246196</v>
      </c>
      <c r="K31" s="307"/>
    </row>
    <row r="32" spans="1:24">
      <c r="B32" s="305" t="s">
        <v>407</v>
      </c>
      <c r="C32" s="307"/>
      <c r="D32" s="307"/>
      <c r="E32" s="307"/>
      <c r="F32" s="307"/>
      <c r="G32" s="307"/>
      <c r="H32" s="307"/>
      <c r="I32" s="307"/>
      <c r="J32" s="331">
        <f>SUM(J23:J31)</f>
        <v>32437.796686414971</v>
      </c>
      <c r="K32" s="307"/>
    </row>
    <row r="33" spans="2:11">
      <c r="B33" s="307" t="s">
        <v>408</v>
      </c>
      <c r="C33" s="307"/>
      <c r="D33" s="307"/>
      <c r="E33" s="307"/>
      <c r="F33" s="307"/>
      <c r="G33" s="307"/>
      <c r="H33" s="307"/>
      <c r="I33" s="307"/>
      <c r="J33" s="373">
        <v>22656.289567183332</v>
      </c>
      <c r="K33" s="307"/>
    </row>
    <row r="34" spans="2:11">
      <c r="B34" s="305" t="s">
        <v>409</v>
      </c>
      <c r="C34" s="307"/>
      <c r="D34" s="307"/>
      <c r="E34" s="307"/>
      <c r="F34" s="307"/>
      <c r="G34" s="307"/>
      <c r="H34" s="307"/>
      <c r="I34" s="307"/>
      <c r="J34" s="331">
        <f>J32/J33*100</f>
        <v>143.17347326545357</v>
      </c>
      <c r="K34" s="307"/>
    </row>
    <row r="35" spans="2:11">
      <c r="B35" s="307" t="s">
        <v>1209</v>
      </c>
      <c r="C35" s="307"/>
      <c r="D35" s="307"/>
      <c r="E35" s="307"/>
      <c r="F35" s="307"/>
      <c r="G35" s="307"/>
      <c r="H35" s="307"/>
      <c r="I35" s="307"/>
      <c r="J35" s="375">
        <v>4.6687499999999993</v>
      </c>
      <c r="K35" s="307"/>
    </row>
    <row r="36" spans="2:11">
      <c r="B36" s="305" t="s">
        <v>1212</v>
      </c>
      <c r="C36" s="307"/>
      <c r="D36" s="307"/>
      <c r="E36" s="307"/>
      <c r="F36" s="307"/>
      <c r="G36" s="307"/>
      <c r="H36" s="307"/>
      <c r="I36" s="307"/>
      <c r="J36" s="331">
        <f>SUM(J34:J35)</f>
        <v>147.84222326545355</v>
      </c>
      <c r="K36" s="307"/>
    </row>
    <row r="37" spans="2:11">
      <c r="B37" s="307" t="s">
        <v>1210</v>
      </c>
      <c r="C37" s="307"/>
      <c r="D37" s="307"/>
      <c r="E37" s="307"/>
      <c r="F37" s="307"/>
      <c r="G37" s="307"/>
      <c r="H37" s="307"/>
      <c r="I37" s="307"/>
      <c r="J37" s="327">
        <f>Prices!C133*Prices!C135</f>
        <v>0.86677645752009003</v>
      </c>
      <c r="K37" s="307"/>
    </row>
    <row r="38" spans="2:11">
      <c r="B38" s="305" t="s">
        <v>1211</v>
      </c>
      <c r="C38" s="307"/>
      <c r="D38" s="307"/>
      <c r="E38" s="307"/>
      <c r="F38" s="307"/>
      <c r="G38" s="307"/>
      <c r="H38" s="307"/>
      <c r="I38" s="307"/>
      <c r="J38" s="331">
        <f>J36*J37</f>
        <v>128.14615855392407</v>
      </c>
      <c r="K38" s="307"/>
    </row>
    <row r="39" spans="2:11">
      <c r="B39" s="305"/>
      <c r="C39" s="307"/>
      <c r="D39" s="307"/>
      <c r="E39" s="307"/>
      <c r="F39" s="307"/>
      <c r="G39" s="307"/>
      <c r="H39" s="307"/>
      <c r="I39" s="307"/>
      <c r="J39" s="334"/>
      <c r="K39" s="307"/>
    </row>
    <row r="40" spans="2:11">
      <c r="B40" s="307" t="s">
        <v>410</v>
      </c>
      <c r="C40" s="307"/>
      <c r="D40" s="307"/>
      <c r="E40" s="307"/>
      <c r="F40" s="307"/>
      <c r="G40" s="307"/>
      <c r="H40" s="307"/>
      <c r="I40" s="307"/>
      <c r="J40" s="319">
        <f>Prices!C36</f>
        <v>115.95</v>
      </c>
      <c r="K40" s="307"/>
    </row>
    <row r="41" spans="2:11" s="544" customFormat="1">
      <c r="B41" s="472" t="s">
        <v>84</v>
      </c>
      <c r="C41" s="472"/>
      <c r="D41" s="472"/>
      <c r="E41" s="472"/>
      <c r="F41" s="472"/>
      <c r="G41" s="472"/>
      <c r="H41" s="472"/>
      <c r="I41" s="472"/>
      <c r="J41" s="547">
        <f>J38/J40-1</f>
        <v>0.10518463608386419</v>
      </c>
    </row>
    <row r="43" spans="2:11">
      <c r="D43" s="328"/>
      <c r="E43" s="304"/>
    </row>
  </sheetData>
  <phoneticPr fontId="26" type="noConversion"/>
  <pageMargins left="0.75" right="0.75" top="1" bottom="1" header="0.5" footer="0.5"/>
  <pageSetup scale="4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6">
    <pageSetUpPr fitToPage="1"/>
  </sheetPr>
  <dimension ref="B1:AA48"/>
  <sheetViews>
    <sheetView showGridLines="0" zoomScale="80" zoomScaleNormal="80" zoomScaleSheetLayoutView="80" workbookViewId="0">
      <selection activeCell="D23" sqref="D23:F30"/>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330</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155</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96</v>
      </c>
      <c r="C9" s="221">
        <f>Prices!C45</f>
        <v>26.28</v>
      </c>
      <c r="D9" s="412">
        <v>0</v>
      </c>
      <c r="E9" s="413">
        <v>0</v>
      </c>
      <c r="F9" s="413">
        <v>0</v>
      </c>
      <c r="G9" s="413">
        <v>0</v>
      </c>
      <c r="H9" s="209"/>
      <c r="I9" s="209"/>
      <c r="J9" s="5" t="s">
        <v>225</v>
      </c>
      <c r="L9" s="406">
        <f>'US TELCO'!D37</f>
        <v>3.1912515933350361</v>
      </c>
      <c r="M9" s="406">
        <f>'US TELCO'!E37</f>
        <v>3.0787187231969964</v>
      </c>
      <c r="N9" s="406">
        <f>'US TELCO'!F37</f>
        <v>2.8503225545326361</v>
      </c>
      <c r="O9" s="406">
        <f>'US TELCO'!G37</f>
        <v>2.6431750462938113</v>
      </c>
      <c r="P9" s="14">
        <f>'US TELCO'!H37</f>
        <v>2.4384163316372609E-2</v>
      </c>
    </row>
    <row r="10" spans="2:27">
      <c r="B10" s="5" t="s">
        <v>226</v>
      </c>
      <c r="C10" s="5"/>
      <c r="D10" s="410">
        <v>7181.9301955018036</v>
      </c>
      <c r="E10" s="410">
        <v>7023.2160853707046</v>
      </c>
      <c r="F10" s="410">
        <v>6689.1444874817444</v>
      </c>
      <c r="G10" s="410">
        <v>6558.2899906784278</v>
      </c>
      <c r="H10" s="207"/>
      <c r="I10" s="207"/>
      <c r="J10" s="5" t="s">
        <v>158</v>
      </c>
      <c r="L10" s="406">
        <f>'US TELCO'!D38</f>
        <v>7.0076377857560876</v>
      </c>
      <c r="M10" s="406">
        <f>'US TELCO'!E38</f>
        <v>6.6721556234523973</v>
      </c>
      <c r="N10" s="406">
        <f>'US TELCO'!F38</f>
        <v>6.0644964269488959</v>
      </c>
      <c r="O10" s="406">
        <f>'US TELCO'!G38</f>
        <v>5.5379250833598066</v>
      </c>
      <c r="P10" s="14">
        <f>'US TELCO'!H38</f>
        <v>4.0541340228376743E-2</v>
      </c>
    </row>
    <row r="11" spans="2:27">
      <c r="B11" s="25" t="s">
        <v>227</v>
      </c>
      <c r="C11" s="5"/>
      <c r="D11" s="409">
        <f>$C$9*$D10</f>
        <v>188741.12553778742</v>
      </c>
      <c r="E11" s="409">
        <f>$C$9*$E10</f>
        <v>184570.11872354214</v>
      </c>
      <c r="F11" s="409">
        <f>$C$9*$F10</f>
        <v>175790.71713102024</v>
      </c>
      <c r="G11" s="409">
        <f>$C$9*$G10</f>
        <v>172351.86095502909</v>
      </c>
      <c r="H11" s="209"/>
      <c r="I11" s="209"/>
      <c r="J11" s="5" t="s">
        <v>159</v>
      </c>
      <c r="L11" s="406">
        <f>'US TELCO'!D39</f>
        <v>11.344474517594159</v>
      </c>
      <c r="M11" s="406">
        <f>'US TELCO'!E39</f>
        <v>10.541500567041032</v>
      </c>
      <c r="N11" s="406">
        <f>'US TELCO'!F39</f>
        <v>9.3775630727872166</v>
      </c>
      <c r="O11" s="406">
        <f>'US TELCO'!G39</f>
        <v>8.3578168223796521</v>
      </c>
      <c r="P11" s="14">
        <f>'US TELCO'!H39</f>
        <v>6.51603570146575E-2</v>
      </c>
    </row>
    <row r="12" spans="2:27">
      <c r="B12" s="5" t="s">
        <v>22</v>
      </c>
      <c r="C12" s="209"/>
      <c r="D12" s="410">
        <v>116969.45998309206</v>
      </c>
      <c r="E12" s="410">
        <v>142124.81630943459</v>
      </c>
      <c r="F12" s="410">
        <v>140250.17494607138</v>
      </c>
      <c r="G12" s="410">
        <v>138300.94752772839</v>
      </c>
      <c r="H12" s="207"/>
      <c r="I12" s="207"/>
      <c r="J12" s="5" t="s">
        <v>381</v>
      </c>
      <c r="L12" s="406">
        <f>'US TELCO'!D40</f>
        <v>16.709554745428136</v>
      </c>
      <c r="M12" s="406">
        <f>'US TELCO'!E40</f>
        <v>15.758627227570189</v>
      </c>
      <c r="N12" s="406">
        <f>'US TELCO'!F40</f>
        <v>13.535776633534837</v>
      </c>
      <c r="O12" s="406">
        <f>'US TELCO'!G40</f>
        <v>11.886437593885129</v>
      </c>
      <c r="P12" s="14">
        <f>'US TELCO'!H40</f>
        <v>7.7677635873599549E-2</v>
      </c>
    </row>
    <row r="13" spans="2:27">
      <c r="B13" s="5" t="s">
        <v>433</v>
      </c>
      <c r="C13" s="216"/>
      <c r="D13" s="410">
        <v>0</v>
      </c>
      <c r="E13" s="410">
        <v>0</v>
      </c>
      <c r="F13" s="410">
        <v>0</v>
      </c>
      <c r="G13" s="410">
        <v>0</v>
      </c>
      <c r="H13" s="207"/>
      <c r="I13" s="207"/>
      <c r="J13" s="5" t="s">
        <v>434</v>
      </c>
      <c r="L13" s="406">
        <f>'US TELCO'!D41</f>
        <v>1.8809025689809733</v>
      </c>
      <c r="M13" s="406">
        <f>'US TELCO'!E41</f>
        <v>1.766265670071739</v>
      </c>
      <c r="N13" s="406">
        <f>'US TELCO'!F41</f>
        <v>1.6623601249316389</v>
      </c>
      <c r="O13" s="406">
        <f>'US TELCO'!G41</f>
        <v>1.5673415756231237</v>
      </c>
      <c r="P13" s="14">
        <f>'US TELCO'!H41</f>
        <v>2.2316486738481522E-2</v>
      </c>
    </row>
    <row r="14" spans="2:27">
      <c r="B14" s="5" t="s">
        <v>436</v>
      </c>
      <c r="C14" s="216"/>
      <c r="D14" s="410">
        <v>0</v>
      </c>
      <c r="E14" s="410">
        <v>0</v>
      </c>
      <c r="F14" s="410">
        <v>0</v>
      </c>
      <c r="G14" s="410">
        <v>0</v>
      </c>
      <c r="H14" s="207"/>
      <c r="I14" s="207"/>
      <c r="J14" s="5" t="s">
        <v>493</v>
      </c>
      <c r="L14" s="406">
        <f>'US TELCO'!D42</f>
        <v>3.4905600577328242</v>
      </c>
      <c r="M14" s="406">
        <f>'US TELCO'!E42</f>
        <v>3.4580582032694864</v>
      </c>
      <c r="N14" s="406">
        <f>'US TELCO'!F42</f>
        <v>3.2809378565331038</v>
      </c>
      <c r="O14" s="406">
        <f>'US TELCO'!G42</f>
        <v>3.1198934529722759</v>
      </c>
      <c r="P14" s="14">
        <f>'US TELCO'!H42</f>
        <v>-1.2972016508007167E-3</v>
      </c>
    </row>
    <row r="15" spans="2:27">
      <c r="B15" s="5" t="s">
        <v>435</v>
      </c>
      <c r="C15" s="228"/>
      <c r="D15" s="410">
        <v>20981</v>
      </c>
      <c r="E15" s="410">
        <v>20981</v>
      </c>
      <c r="F15" s="410">
        <v>20981</v>
      </c>
      <c r="G15" s="410">
        <v>20981</v>
      </c>
      <c r="H15" s="207"/>
      <c r="I15" s="207"/>
      <c r="J15" s="5" t="s">
        <v>390</v>
      </c>
      <c r="L15" s="406">
        <f>'US TELCO'!D43</f>
        <v>12.725776470696086</v>
      </c>
      <c r="M15" s="406">
        <f>'US TELCO'!E43</f>
        <v>15.177275737851533</v>
      </c>
      <c r="N15" s="406">
        <f>'US TELCO'!F43</f>
        <v>13.991790816794484</v>
      </c>
      <c r="O15" s="406">
        <f>'US TELCO'!G43</f>
        <v>12.765983540061763</v>
      </c>
      <c r="P15" s="14">
        <f>'US TELCO'!H43</f>
        <v>-2.4379245025710983E-2</v>
      </c>
    </row>
    <row r="16" spans="2:27">
      <c r="B16" s="5" t="s">
        <v>438</v>
      </c>
      <c r="C16" s="216"/>
      <c r="D16" s="410">
        <v>8176.7475000000004</v>
      </c>
      <c r="E16" s="410">
        <v>16099.508079871779</v>
      </c>
      <c r="F16" s="410">
        <v>23836.955247458609</v>
      </c>
      <c r="G16" s="410">
        <v>31269.018128563344</v>
      </c>
      <c r="H16" s="207"/>
      <c r="I16" s="207"/>
      <c r="J16" s="5" t="s">
        <v>437</v>
      </c>
      <c r="L16" s="406">
        <f>'US TELCO'!D44</f>
        <v>13.266784878088224</v>
      </c>
      <c r="M16" s="406">
        <f>'US TELCO'!E44</f>
        <v>11.999390633171901</v>
      </c>
      <c r="N16" s="406">
        <f>'US TELCO'!F44</f>
        <v>10.690983801136143</v>
      </c>
      <c r="O16" s="406">
        <f>'US TELCO'!G44</f>
        <v>9.7423251474524637</v>
      </c>
      <c r="P16" s="14">
        <f>'US TELCO'!H44</f>
        <v>8.2526948023635915E-2</v>
      </c>
    </row>
    <row r="17" spans="2:24">
      <c r="B17" s="5" t="s">
        <v>4</v>
      </c>
      <c r="C17" s="216"/>
      <c r="D17" s="410">
        <v>0</v>
      </c>
      <c r="E17" s="410">
        <v>0</v>
      </c>
      <c r="F17" s="410">
        <v>0</v>
      </c>
      <c r="G17" s="410">
        <v>0</v>
      </c>
      <c r="H17" s="207"/>
      <c r="I17" s="207"/>
      <c r="J17" s="5" t="s">
        <v>481</v>
      </c>
      <c r="L17" s="14">
        <f>'US TELCO'!D45</f>
        <v>3.9302505739264929E-2</v>
      </c>
      <c r="M17" s="14">
        <f>'US TELCO'!E45</f>
        <v>4.1038330582823093E-2</v>
      </c>
      <c r="N17" s="14">
        <f>'US TELCO'!F45</f>
        <v>4.3684734283513924E-2</v>
      </c>
      <c r="O17" s="14">
        <f>'US TELCO'!G45</f>
        <v>4.5876932576331915E-2</v>
      </c>
      <c r="P17" s="14">
        <f>'US TELCO'!H45</f>
        <v>2.8321867991065286E-2</v>
      </c>
      <c r="S17" s="72"/>
      <c r="T17" s="26"/>
      <c r="U17" s="26"/>
      <c r="V17" s="26"/>
      <c r="W17" s="26"/>
      <c r="X17" s="26"/>
    </row>
    <row r="18" spans="2:24" ht="12.6" thickBot="1">
      <c r="B18" s="25" t="s">
        <v>484</v>
      </c>
      <c r="C18" s="209"/>
      <c r="D18" s="411">
        <f>D11+D12+D13-D14+D15-D16-D17</f>
        <v>318514.83802087948</v>
      </c>
      <c r="E18" s="411">
        <f>E11+E12+E13-E14+E15-E16-E17</f>
        <v>331576.42695310496</v>
      </c>
      <c r="F18" s="411">
        <f>F11+F12+F13-F14+F15-F16-F17</f>
        <v>313184.93682963302</v>
      </c>
      <c r="G18" s="411">
        <f>G11+G12+G13-G14+G15-G16-G17</f>
        <v>300364.79035419412</v>
      </c>
      <c r="H18" s="230">
        <f>IF(D18=0,"nm",IF(G18=0,"nm",(G18/D18)^(1/3)-1))</f>
        <v>-1.9367119280740974E-2</v>
      </c>
      <c r="I18" s="214"/>
      <c r="J18" s="5" t="s">
        <v>33</v>
      </c>
      <c r="L18" s="14">
        <f>'US TELCO'!D46</f>
        <v>6.1272160434465234E-2</v>
      </c>
      <c r="M18" s="14">
        <f>'US TELCO'!E46</f>
        <v>6.3744410252143627E-2</v>
      </c>
      <c r="N18" s="14">
        <f>'US TELCO'!F46</f>
        <v>6.0125837151764457E-2</v>
      </c>
      <c r="O18" s="14">
        <f>'US TELCO'!G46</f>
        <v>6.3588969137866505E-2</v>
      </c>
      <c r="P18" s="14">
        <f>'US TELCO'!H46</f>
        <v>-1.1195219112098531E-2</v>
      </c>
      <c r="S18" s="72"/>
      <c r="T18" s="26"/>
      <c r="U18" s="26"/>
      <c r="V18" s="26"/>
      <c r="W18" s="26"/>
      <c r="X18" s="26"/>
    </row>
    <row r="19" spans="2:24" ht="12.6" thickTop="1">
      <c r="B19" s="25"/>
      <c r="C19" s="209"/>
      <c r="D19" s="189"/>
      <c r="E19" s="189"/>
      <c r="F19" s="189"/>
      <c r="G19" s="189"/>
      <c r="H19" s="230"/>
      <c r="I19" s="214"/>
      <c r="J19" s="5" t="s">
        <v>482</v>
      </c>
      <c r="L19" s="14">
        <f>'US TELCO'!D47</f>
        <v>7.8580666751669026E-2</v>
      </c>
      <c r="M19" s="14">
        <f>'US TELCO'!E47</f>
        <v>6.5887977346688054E-2</v>
      </c>
      <c r="N19" s="14">
        <f>'US TELCO'!F47</f>
        <v>7.1470479590052913E-2</v>
      </c>
      <c r="O19" s="14">
        <f>'US TELCO'!G47</f>
        <v>7.8333173222559394E-2</v>
      </c>
      <c r="P19" s="14">
        <f>'US TELCO'!H47</f>
        <v>-2.4379245025710983E-2</v>
      </c>
      <c r="S19" s="72"/>
      <c r="T19" s="26"/>
      <c r="U19" s="26"/>
      <c r="V19" s="26"/>
      <c r="W19" s="26"/>
      <c r="X19" s="26"/>
    </row>
    <row r="20" spans="2:24">
      <c r="H20" s="231"/>
      <c r="I20" s="13"/>
      <c r="J20" s="5" t="s">
        <v>504</v>
      </c>
      <c r="L20" s="425">
        <f>'US TELCO'!D48</f>
        <v>0.5001549027761355</v>
      </c>
      <c r="M20" s="425">
        <f>'US TELCO'!E48</f>
        <v>0.62285005907661151</v>
      </c>
      <c r="N20" s="425">
        <f>'US TELCO'!F48</f>
        <v>0.61122766398217732</v>
      </c>
      <c r="O20" s="425">
        <f>'US TELCO'!G48</f>
        <v>0.58566416613797645</v>
      </c>
      <c r="P20" s="14" t="str">
        <f>'US TELCO'!H48</f>
        <v>nm</v>
      </c>
      <c r="S20" s="72"/>
      <c r="T20" s="26"/>
      <c r="U20" s="26"/>
      <c r="V20" s="26"/>
      <c r="W20" s="26"/>
      <c r="X20" s="26"/>
    </row>
    <row r="21" spans="2:24" ht="12.6" thickBot="1">
      <c r="B21" s="249" t="s">
        <v>758</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100135</v>
      </c>
      <c r="D23" s="410">
        <v>101125.4116956459</v>
      </c>
      <c r="E23" s="410">
        <v>101827.41651928179</v>
      </c>
      <c r="F23" s="410">
        <v>103706.14033651381</v>
      </c>
      <c r="G23" s="410">
        <v>105890.47610550425</v>
      </c>
      <c r="H23" s="233">
        <f t="shared" ref="H23:H32" si="3">IF(D23=0,"nm",IF(G23=0,"nm",(G23/D23)^(1/3)-1))</f>
        <v>1.5466341139514173E-2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45225</v>
      </c>
      <c r="D24" s="410">
        <v>46401.988135609514</v>
      </c>
      <c r="E24" s="410">
        <v>47366.283297298221</v>
      </c>
      <c r="F24" s="410">
        <v>49232.456983779164</v>
      </c>
      <c r="G24" s="410">
        <v>51222.573158417916</v>
      </c>
      <c r="H24" s="233">
        <f t="shared" si="3"/>
        <v>3.3494732747037181E-2</v>
      </c>
      <c r="I24" s="209"/>
      <c r="J24" s="13"/>
      <c r="K24" s="13"/>
      <c r="L24" s="13"/>
      <c r="M24" s="13"/>
      <c r="N24" s="13"/>
      <c r="O24" s="208"/>
      <c r="S24" s="72"/>
      <c r="T24" s="26"/>
      <c r="U24" s="26"/>
      <c r="V24" s="26"/>
      <c r="W24" s="26" t="s">
        <v>330</v>
      </c>
      <c r="X24" s="26" t="s">
        <v>214</v>
      </c>
    </row>
    <row r="25" spans="2:24">
      <c r="B25" s="5" t="s">
        <v>157</v>
      </c>
      <c r="C25" s="422">
        <v>23170</v>
      </c>
      <c r="D25" s="410">
        <v>24151.988135609514</v>
      </c>
      <c r="E25" s="410">
        <v>23791.283297298221</v>
      </c>
      <c r="F25" s="410">
        <v>25432.456983779164</v>
      </c>
      <c r="G25" s="410">
        <v>27822.573158417916</v>
      </c>
      <c r="H25" s="233">
        <f t="shared" si="3"/>
        <v>4.8290062420434543E-2</v>
      </c>
      <c r="I25" s="208"/>
      <c r="J25" s="207" t="s">
        <v>8</v>
      </c>
      <c r="K25" s="207"/>
      <c r="L25" s="252">
        <v>0</v>
      </c>
      <c r="M25" s="252">
        <v>0</v>
      </c>
      <c r="N25" s="252">
        <v>0</v>
      </c>
      <c r="O25" s="252">
        <v>0</v>
      </c>
      <c r="P25" s="233" t="str">
        <f>IF(L25=0,"nm",IF(O25=0,"nm",(O25/L25)^(1/3)-1))</f>
        <v>nm</v>
      </c>
      <c r="S25" s="72"/>
      <c r="T25" s="26"/>
      <c r="U25" s="26"/>
      <c r="V25" s="113" t="s">
        <v>225</v>
      </c>
      <c r="W25" s="242">
        <f t="shared" ref="W25:W33" si="5">D37/L9</f>
        <v>0.98697992984159877</v>
      </c>
      <c r="X25" s="242">
        <v>1</v>
      </c>
    </row>
    <row r="26" spans="2:24">
      <c r="B26" s="5" t="s">
        <v>487</v>
      </c>
      <c r="C26" s="422">
        <v>15154</v>
      </c>
      <c r="D26" s="410">
        <v>16779.444908035934</v>
      </c>
      <c r="E26" s="410">
        <v>17055.404253529254</v>
      </c>
      <c r="F26" s="410">
        <v>18612.088530950008</v>
      </c>
      <c r="G26" s="410">
        <v>20668.616259543691</v>
      </c>
      <c r="H26" s="233">
        <f t="shared" si="3"/>
        <v>7.1958414067140763E-2</v>
      </c>
      <c r="I26" s="209"/>
      <c r="J26" s="209" t="s">
        <v>9</v>
      </c>
      <c r="K26" s="209"/>
      <c r="L26" s="235">
        <f>D11+L25</f>
        <v>188741.12553778742</v>
      </c>
      <c r="M26" s="235">
        <f>E11+M25</f>
        <v>184570.11872354214</v>
      </c>
      <c r="N26" s="235">
        <f>F11+N25</f>
        <v>175790.71713102024</v>
      </c>
      <c r="O26" s="235">
        <f>G11+O25</f>
        <v>172351.86095502909</v>
      </c>
      <c r="P26" s="233">
        <f>IF(L26=0,"nm",IF(O26=0,"nm",(O26/L26)^(1/3)-1))</f>
        <v>-2.9825596789653352E-2</v>
      </c>
      <c r="Q26" s="5"/>
      <c r="S26" s="72"/>
      <c r="T26" s="26"/>
      <c r="U26" s="26"/>
      <c r="V26" s="113" t="s">
        <v>158</v>
      </c>
      <c r="W26" s="242">
        <f t="shared" si="5"/>
        <v>0.97953832875826452</v>
      </c>
      <c r="X26" s="242">
        <v>1</v>
      </c>
    </row>
    <row r="27" spans="2:24">
      <c r="B27" s="5" t="s">
        <v>488</v>
      </c>
      <c r="C27" s="423">
        <v>224456</v>
      </c>
      <c r="D27" s="410">
        <v>227298.14443773305</v>
      </c>
      <c r="E27" s="410">
        <v>254633.79512140353</v>
      </c>
      <c r="F27" s="410">
        <v>262599.8947265633</v>
      </c>
      <c r="G27" s="410">
        <v>271977.54154775367</v>
      </c>
      <c r="H27" s="233">
        <f t="shared" si="3"/>
        <v>6.1644345943229872E-2</v>
      </c>
      <c r="I27" s="209"/>
      <c r="J27" s="208"/>
      <c r="K27" s="208"/>
      <c r="L27" s="208"/>
      <c r="M27" s="208"/>
      <c r="N27" s="208"/>
      <c r="O27" s="208"/>
      <c r="Q27" s="25"/>
      <c r="S27" s="72"/>
      <c r="T27" s="26"/>
      <c r="U27" s="26"/>
      <c r="V27" s="113" t="s">
        <v>159</v>
      </c>
      <c r="W27" s="242">
        <f t="shared" si="5"/>
        <v>1.1624984919237393</v>
      </c>
      <c r="X27" s="242">
        <v>1</v>
      </c>
    </row>
    <row r="28" spans="2:24" ht="12.6" thickBot="1">
      <c r="B28" s="5" t="s">
        <v>492</v>
      </c>
      <c r="C28" s="422">
        <v>128871</v>
      </c>
      <c r="D28" s="410">
        <v>132041.32835041577</v>
      </c>
      <c r="E28" s="410">
        <v>135122.92303640646</v>
      </c>
      <c r="F28" s="410">
        <v>138517.10971591447</v>
      </c>
      <c r="G28" s="410">
        <v>141650.01533303811</v>
      </c>
      <c r="H28" s="233">
        <f t="shared" si="3"/>
        <v>2.3691067418790457E-2</v>
      </c>
      <c r="I28" s="208"/>
      <c r="J28" s="249" t="s">
        <v>1073</v>
      </c>
      <c r="K28" s="249"/>
      <c r="L28" s="249"/>
      <c r="M28" s="249"/>
      <c r="N28" s="220"/>
      <c r="O28" s="220"/>
      <c r="P28" s="220"/>
      <c r="Q28" s="5"/>
      <c r="S28" s="72"/>
      <c r="T28" s="26"/>
      <c r="U28" s="26"/>
      <c r="V28" s="113" t="s">
        <v>381</v>
      </c>
      <c r="W28" s="242">
        <f t="shared" si="5"/>
        <v>1.1360232026295134</v>
      </c>
      <c r="X28" s="242">
        <v>1</v>
      </c>
    </row>
    <row r="29" spans="2:24" ht="12.6" thickTop="1">
      <c r="B29" s="5" t="s">
        <v>489</v>
      </c>
      <c r="C29" s="422">
        <v>12620.462112115412</v>
      </c>
      <c r="D29" s="410">
        <v>13208.209695730424</v>
      </c>
      <c r="E29" s="410">
        <v>13417.110873596059</v>
      </c>
      <c r="F29" s="410">
        <v>13784.001456601851</v>
      </c>
      <c r="G29" s="410">
        <v>15426.031503514416</v>
      </c>
      <c r="H29" s="233">
        <f t="shared" si="3"/>
        <v>5.3101148097755901E-2</v>
      </c>
      <c r="I29" s="212"/>
      <c r="J29" s="209"/>
      <c r="K29" s="209"/>
      <c r="L29" s="209"/>
      <c r="M29" s="209"/>
      <c r="N29" s="209"/>
      <c r="O29" s="211"/>
      <c r="Q29" s="5"/>
      <c r="S29" s="72"/>
      <c r="T29" s="26"/>
      <c r="U29" s="26"/>
      <c r="V29" s="113" t="s">
        <v>434</v>
      </c>
      <c r="W29" s="242">
        <f t="shared" si="5"/>
        <v>0.74501922338799242</v>
      </c>
      <c r="X29" s="242">
        <v>1</v>
      </c>
    </row>
    <row r="30" spans="2:24">
      <c r="B30" s="5" t="s">
        <v>490</v>
      </c>
      <c r="C30" s="423">
        <v>14148.46211211541</v>
      </c>
      <c r="D30" s="410">
        <v>14681.538046146212</v>
      </c>
      <c r="E30" s="410">
        <v>17098.705559586757</v>
      </c>
      <c r="F30" s="410">
        <v>17578.188136109853</v>
      </c>
      <c r="G30" s="410">
        <v>18758.937120638078</v>
      </c>
      <c r="H30" s="233">
        <f t="shared" si="3"/>
        <v>8.5122805469674212E-2</v>
      </c>
      <c r="I30" s="214"/>
      <c r="J30" s="208"/>
      <c r="K30" s="208"/>
      <c r="L30" s="208"/>
      <c r="M30" s="208"/>
      <c r="N30" s="208"/>
      <c r="O30" s="5"/>
      <c r="Q30" s="5"/>
      <c r="S30" s="72"/>
      <c r="T30" s="26"/>
      <c r="U30" s="26"/>
      <c r="V30" s="113" t="s">
        <v>493</v>
      </c>
      <c r="W30" s="242">
        <f t="shared" si="5"/>
        <v>0.6910741834211821</v>
      </c>
      <c r="X30" s="242">
        <v>1</v>
      </c>
    </row>
    <row r="31" spans="2:24">
      <c r="B31" s="5" t="s">
        <v>491</v>
      </c>
      <c r="C31" s="423">
        <v>8208</v>
      </c>
      <c r="D31" s="410">
        <v>8176.7475000000004</v>
      </c>
      <c r="E31" s="410">
        <v>7922.7605798717786</v>
      </c>
      <c r="F31" s="410">
        <v>7737.4471675868281</v>
      </c>
      <c r="G31" s="410">
        <v>7432.0628811047372</v>
      </c>
      <c r="H31" s="233">
        <f t="shared" si="3"/>
        <v>-3.1329078459721216E-2</v>
      </c>
      <c r="I31" s="214"/>
      <c r="J31" s="212"/>
      <c r="K31" s="212"/>
      <c r="L31" s="212"/>
      <c r="M31" s="212"/>
      <c r="N31" s="212"/>
      <c r="O31" s="5"/>
      <c r="Q31" s="5"/>
      <c r="S31" s="72"/>
      <c r="T31" s="26"/>
      <c r="U31" s="26"/>
      <c r="V31" s="113" t="s">
        <v>390</v>
      </c>
      <c r="W31" s="242">
        <f t="shared" si="5"/>
        <v>1.1228927939427005</v>
      </c>
      <c r="X31" s="242">
        <v>1</v>
      </c>
    </row>
    <row r="32" spans="2:24">
      <c r="B32" s="5" t="s">
        <v>506</v>
      </c>
      <c r="C32" s="424">
        <v>0</v>
      </c>
      <c r="D32" s="410">
        <v>218</v>
      </c>
      <c r="E32" s="410">
        <v>0</v>
      </c>
      <c r="F32" s="410">
        <v>0</v>
      </c>
      <c r="G32" s="410">
        <v>0</v>
      </c>
      <c r="H32" s="233" t="str">
        <f t="shared" si="3"/>
        <v>nm</v>
      </c>
      <c r="I32" s="214"/>
      <c r="J32" s="214"/>
      <c r="K32" s="214"/>
      <c r="L32" s="214"/>
      <c r="M32" s="214"/>
      <c r="N32" s="214"/>
      <c r="O32" s="211"/>
      <c r="Q32" s="5"/>
      <c r="S32" s="72"/>
      <c r="T32" s="26"/>
      <c r="U32" s="26"/>
      <c r="V32" s="113" t="s">
        <v>437</v>
      </c>
      <c r="W32" s="242">
        <f t="shared" si="5"/>
        <v>0.9690123198198185</v>
      </c>
      <c r="X32" s="242">
        <v>1</v>
      </c>
    </row>
    <row r="33" spans="2:24">
      <c r="B33" s="5" t="s">
        <v>3</v>
      </c>
      <c r="C33" s="423">
        <v>6759</v>
      </c>
      <c r="D33" s="410">
        <v>6587.0880774006655</v>
      </c>
      <c r="E33" s="410">
        <v>6926.427374154604</v>
      </c>
      <c r="F33" s="410">
        <v>7020.3554991546034</v>
      </c>
      <c r="G33" s="410">
        <v>6918.7423136960278</v>
      </c>
      <c r="H33" s="233">
        <f>IF(D33=0,"nm",IF(G33=0,"nm",(G33/D33)^(1/3)-1))</f>
        <v>1.6509000574613131E-2</v>
      </c>
      <c r="I33" s="5"/>
      <c r="J33" s="214"/>
      <c r="K33" s="214"/>
      <c r="L33" s="214"/>
      <c r="M33" s="214"/>
      <c r="N33" s="214"/>
      <c r="O33" s="211"/>
      <c r="Q33" s="5"/>
      <c r="S33" s="72"/>
      <c r="T33" s="26"/>
      <c r="U33" s="26"/>
      <c r="V33" s="113" t="s">
        <v>481</v>
      </c>
      <c r="W33" s="242">
        <f t="shared" si="5"/>
        <v>1.1022847688385613</v>
      </c>
      <c r="X33" s="242">
        <v>1</v>
      </c>
    </row>
    <row r="34" spans="2:24">
      <c r="D34" s="5"/>
      <c r="E34" s="5"/>
      <c r="F34" s="5"/>
      <c r="G34" s="5"/>
      <c r="H34" s="231"/>
      <c r="I34" s="33"/>
      <c r="J34" s="214"/>
      <c r="K34" s="214"/>
      <c r="L34" s="214"/>
      <c r="M34" s="214"/>
      <c r="N34" s="214"/>
      <c r="O34" s="211"/>
      <c r="Q34" s="5"/>
      <c r="S34" s="72"/>
      <c r="T34" s="26"/>
      <c r="U34" s="26"/>
      <c r="V34" s="113" t="s">
        <v>482</v>
      </c>
      <c r="W34" s="242">
        <f>D47/L19</f>
        <v>0.89055696625213931</v>
      </c>
      <c r="X34" s="242">
        <v>1</v>
      </c>
    </row>
    <row r="35" spans="2:24" ht="12.6" thickBot="1">
      <c r="B35" s="249" t="s">
        <v>541</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3.1497012736967043</v>
      </c>
      <c r="E37" s="406">
        <f t="shared" ref="E37:G41" si="7">E$18/E23</f>
        <v>3.2562588572628517</v>
      </c>
      <c r="F37" s="406">
        <f t="shared" si="7"/>
        <v>3.0199266486380267</v>
      </c>
      <c r="G37" s="406">
        <f t="shared" si="7"/>
        <v>2.8365609580877216</v>
      </c>
      <c r="H37" s="13">
        <f t="shared" ref="H37:H45" si="8">H23</f>
        <v>1.5466341139514173E-2</v>
      </c>
      <c r="I37" s="5"/>
      <c r="J37" s="217"/>
      <c r="K37" s="217"/>
      <c r="L37" s="217"/>
      <c r="M37" s="217"/>
      <c r="N37" s="217"/>
      <c r="O37" s="14"/>
      <c r="Q37" s="5"/>
      <c r="R37" s="5"/>
      <c r="S37" s="26"/>
      <c r="T37" s="26"/>
      <c r="U37" s="26"/>
      <c r="V37" s="26"/>
      <c r="W37" s="26"/>
      <c r="X37" s="26"/>
    </row>
    <row r="38" spans="2:24">
      <c r="B38" s="5" t="s">
        <v>158</v>
      </c>
      <c r="C38" s="207"/>
      <c r="D38" s="406">
        <f>D$18/D24</f>
        <v>6.8642498052027836</v>
      </c>
      <c r="E38" s="406">
        <f>E$18/E24</f>
        <v>7.0002627158212798</v>
      </c>
      <c r="F38" s="406">
        <f>F$18/F24</f>
        <v>6.3613509464461515</v>
      </c>
      <c r="G38" s="406">
        <f t="shared" si="7"/>
        <v>5.8639145172431109</v>
      </c>
      <c r="H38" s="13">
        <f t="shared" si="8"/>
        <v>3.3494732747037181E-2</v>
      </c>
      <c r="I38" s="217"/>
      <c r="J38" s="13"/>
      <c r="K38" s="13"/>
      <c r="L38" s="13"/>
      <c r="M38" s="13"/>
      <c r="N38" s="13"/>
      <c r="O38" s="5"/>
      <c r="Q38" s="5"/>
      <c r="R38" s="5"/>
      <c r="S38" s="26"/>
      <c r="T38" s="26"/>
      <c r="U38" s="26"/>
      <c r="V38" s="26"/>
      <c r="W38" s="26"/>
      <c r="X38" s="26"/>
    </row>
    <row r="39" spans="2:24">
      <c r="B39" s="5" t="s">
        <v>159</v>
      </c>
      <c r="C39" s="207"/>
      <c r="D39" s="406">
        <f>D$18/D25</f>
        <v>13.187934518370501</v>
      </c>
      <c r="E39" s="406">
        <f t="shared" si="7"/>
        <v>13.936887002255963</v>
      </c>
      <c r="F39" s="406">
        <f>F$18/F25</f>
        <v>12.314379889814914</v>
      </c>
      <c r="G39" s="406">
        <f t="shared" si="7"/>
        <v>10.795722906143807</v>
      </c>
      <c r="H39" s="13">
        <f t="shared" si="8"/>
        <v>4.8290062420434543E-2</v>
      </c>
      <c r="I39" s="13"/>
      <c r="J39" s="5"/>
      <c r="K39" s="5"/>
      <c r="L39" s="5"/>
      <c r="M39" s="5"/>
      <c r="N39" s="5"/>
      <c r="O39" s="5"/>
      <c r="Q39" s="5"/>
      <c r="R39" s="5"/>
      <c r="S39" s="26"/>
      <c r="T39" s="26"/>
      <c r="U39" s="26"/>
      <c r="V39" s="26"/>
      <c r="W39" s="26"/>
      <c r="X39" s="26"/>
    </row>
    <row r="40" spans="2:24">
      <c r="B40" s="5" t="s">
        <v>381</v>
      </c>
      <c r="C40" s="207"/>
      <c r="D40" s="406">
        <f>D$18/D26</f>
        <v>18.982441896414453</v>
      </c>
      <c r="E40" s="406">
        <f t="shared" si="7"/>
        <v>19.441135608643943</v>
      </c>
      <c r="F40" s="406">
        <f>F$18/F26</f>
        <v>16.826963632202713</v>
      </c>
      <c r="G40" s="406">
        <f t="shared" si="7"/>
        <v>14.532409261577987</v>
      </c>
      <c r="H40" s="13">
        <f t="shared" si="8"/>
        <v>7.1958414067140763E-2</v>
      </c>
      <c r="I40" s="5"/>
      <c r="J40" s="217"/>
      <c r="K40" s="217"/>
      <c r="L40" s="217"/>
      <c r="M40" s="217"/>
      <c r="N40" s="217"/>
      <c r="O40" s="14"/>
      <c r="Q40" s="5"/>
      <c r="R40" s="5"/>
      <c r="S40" s="26"/>
      <c r="T40" s="26"/>
      <c r="U40" s="26"/>
      <c r="V40" s="26"/>
      <c r="W40" s="242"/>
      <c r="X40" s="242"/>
    </row>
    <row r="41" spans="2:24">
      <c r="B41" s="5" t="s">
        <v>434</v>
      </c>
      <c r="C41" s="207"/>
      <c r="D41" s="406">
        <f>D$18/D27</f>
        <v>1.4013085712106845</v>
      </c>
      <c r="E41" s="406">
        <f t="shared" si="7"/>
        <v>1.3021697563554633</v>
      </c>
      <c r="F41" s="406">
        <f>F$18/F27</f>
        <v>1.1926316160779207</v>
      </c>
      <c r="G41" s="406">
        <f t="shared" si="7"/>
        <v>1.1043735032124196</v>
      </c>
      <c r="H41" s="13">
        <f t="shared" si="8"/>
        <v>6.1644345943229872E-2</v>
      </c>
      <c r="I41" s="207"/>
      <c r="J41" s="13"/>
      <c r="K41" s="13"/>
      <c r="L41" s="13"/>
      <c r="M41" s="13"/>
      <c r="N41" s="13"/>
      <c r="O41" s="5"/>
      <c r="Q41" s="5"/>
      <c r="R41" s="5"/>
      <c r="S41" s="26"/>
      <c r="T41" s="26"/>
      <c r="U41" s="26"/>
      <c r="V41" s="26"/>
      <c r="W41" s="242"/>
      <c r="X41" s="242"/>
    </row>
    <row r="42" spans="2:24">
      <c r="B42" s="5" t="s">
        <v>493</v>
      </c>
      <c r="C42" s="207"/>
      <c r="D42" s="406">
        <f>D18/D28</f>
        <v>2.4122359415803056</v>
      </c>
      <c r="E42" s="406">
        <f>E18/E28</f>
        <v>2.4538873160978585</v>
      </c>
      <c r="F42" s="406">
        <f>F18/F28</f>
        <v>2.2609837692393797</v>
      </c>
      <c r="G42" s="406">
        <f>G18/G28</f>
        <v>2.1204712872638689</v>
      </c>
      <c r="H42" s="13">
        <f t="shared" si="8"/>
        <v>2.3691067418790457E-2</v>
      </c>
      <c r="I42" s="208"/>
      <c r="J42" s="5"/>
      <c r="K42" s="5"/>
      <c r="L42" s="5"/>
      <c r="M42" s="5"/>
      <c r="N42" s="5"/>
      <c r="O42" s="5"/>
      <c r="Q42" s="5"/>
      <c r="R42" s="5"/>
      <c r="S42" s="26"/>
      <c r="T42" s="26"/>
      <c r="U42" s="26"/>
      <c r="V42" s="26"/>
      <c r="W42" s="242"/>
      <c r="X42" s="242"/>
    </row>
    <row r="43" spans="2:24">
      <c r="B43" s="5" t="s">
        <v>390</v>
      </c>
      <c r="C43" s="207"/>
      <c r="D43" s="406">
        <f>L26/D29</f>
        <v>14.289682696270207</v>
      </c>
      <c r="E43" s="406">
        <f>M26/E29</f>
        <v>13.756323582803754</v>
      </c>
      <c r="F43" s="406">
        <f>N26/F29</f>
        <v>12.753242785448577</v>
      </c>
      <c r="G43" s="406">
        <f>O26/G29</f>
        <v>11.172793269335878</v>
      </c>
      <c r="H43" s="13">
        <f t="shared" si="8"/>
        <v>5.3101148097755901E-2</v>
      </c>
      <c r="I43" s="207"/>
      <c r="J43" s="207"/>
      <c r="K43" s="207"/>
      <c r="L43" s="207"/>
      <c r="M43" s="207"/>
      <c r="N43" s="207"/>
      <c r="O43" s="14"/>
      <c r="Q43" s="5"/>
      <c r="R43" s="5"/>
      <c r="S43" s="26"/>
      <c r="T43" s="26"/>
      <c r="U43" s="26"/>
      <c r="V43" s="26"/>
      <c r="W43" s="242"/>
      <c r="X43" s="242"/>
    </row>
    <row r="44" spans="2:24">
      <c r="B44" s="5" t="s">
        <v>437</v>
      </c>
      <c r="C44" s="53"/>
      <c r="D44" s="406">
        <f>D11/D30</f>
        <v>12.855677991266758</v>
      </c>
      <c r="E44" s="406">
        <f>E11/E30</f>
        <v>10.794391311104771</v>
      </c>
      <c r="F44" s="406">
        <f>F11/F30</f>
        <v>10.000502655327915</v>
      </c>
      <c r="G44" s="406">
        <f>G11/G30</f>
        <v>9.1877199569805157</v>
      </c>
      <c r="H44" s="13">
        <f t="shared" si="8"/>
        <v>8.5122805469674212E-2</v>
      </c>
      <c r="I44" s="207"/>
      <c r="J44" s="208"/>
      <c r="K44" s="208"/>
      <c r="L44" s="208"/>
      <c r="M44" s="208"/>
      <c r="N44" s="208"/>
      <c r="O44" s="208"/>
      <c r="Q44" s="5"/>
      <c r="R44" s="5"/>
      <c r="S44" s="26"/>
      <c r="T44" s="26"/>
      <c r="U44" s="26"/>
      <c r="V44" s="26"/>
      <c r="W44" s="255"/>
      <c r="X44" s="255"/>
    </row>
    <row r="45" spans="2:24">
      <c r="B45" s="5" t="s">
        <v>481</v>
      </c>
      <c r="C45" s="207"/>
      <c r="D45" s="208">
        <f>D31/D11</f>
        <v>4.3322553453581866E-2</v>
      </c>
      <c r="E45" s="208">
        <f>E31/E11</f>
        <v>4.2925478049558305E-2</v>
      </c>
      <c r="F45" s="208">
        <f>F31/F11</f>
        <v>4.4015106678357528E-2</v>
      </c>
      <c r="G45" s="208">
        <f>G31/G11</f>
        <v>4.3121454215362072E-2</v>
      </c>
      <c r="H45" s="13">
        <f t="shared" si="8"/>
        <v>-3.1329078459721216E-2</v>
      </c>
      <c r="I45" s="208"/>
      <c r="J45" s="207"/>
      <c r="K45" s="207"/>
      <c r="L45" s="207"/>
      <c r="M45" s="207"/>
      <c r="N45" s="207"/>
      <c r="O45" s="208"/>
      <c r="Q45" s="5"/>
      <c r="R45" s="5"/>
      <c r="S45" s="26"/>
      <c r="T45" s="26"/>
      <c r="U45" s="26"/>
      <c r="V45" s="26"/>
      <c r="W45" s="26"/>
      <c r="X45" s="26"/>
    </row>
    <row r="46" spans="2:24">
      <c r="B46" s="5" t="s">
        <v>505</v>
      </c>
      <c r="C46" s="207"/>
      <c r="D46" s="208">
        <f>(D31+D32)/D11</f>
        <v>4.447757464665171E-2</v>
      </c>
      <c r="E46" s="208">
        <f>(E31+E32)/E11</f>
        <v>4.2925478049558305E-2</v>
      </c>
      <c r="F46" s="208">
        <f>(F31+F32)/F11</f>
        <v>4.4015106678357528E-2</v>
      </c>
      <c r="G46" s="208">
        <f>(G31+G32)/G11</f>
        <v>4.3121454215362072E-2</v>
      </c>
      <c r="H46" s="233">
        <f>((G31+G32)/(D31+D32))^(1/3)-1</f>
        <v>-3.9787741899543372E-2</v>
      </c>
      <c r="I46" s="207"/>
      <c r="J46" s="207"/>
      <c r="K46" s="207"/>
      <c r="L46" s="207"/>
      <c r="M46" s="207"/>
      <c r="N46" s="207"/>
      <c r="O46" s="14"/>
      <c r="Q46" s="5"/>
      <c r="R46" s="5"/>
      <c r="S46" s="26"/>
      <c r="T46" s="26"/>
      <c r="U46" s="26"/>
      <c r="V46" s="26"/>
      <c r="W46" s="26"/>
      <c r="X46" s="26"/>
    </row>
    <row r="47" spans="2:24">
      <c r="B47" s="5" t="s">
        <v>482</v>
      </c>
      <c r="C47" s="5"/>
      <c r="D47" s="208">
        <f>1/D43</f>
        <v>6.9980560188436722E-2</v>
      </c>
      <c r="E47" s="208">
        <f>1/E43</f>
        <v>7.2693841052856686E-2</v>
      </c>
      <c r="F47" s="208">
        <f>1/F43</f>
        <v>7.8411429690729159E-2</v>
      </c>
      <c r="G47" s="208">
        <f>1/G43</f>
        <v>8.9503132823958623E-2</v>
      </c>
      <c r="H47" s="13">
        <f>H29</f>
        <v>5.3101148097755901E-2</v>
      </c>
      <c r="I47" s="13"/>
      <c r="J47" s="208"/>
      <c r="K47" s="208"/>
      <c r="L47" s="208"/>
      <c r="M47" s="208"/>
      <c r="N47" s="208"/>
      <c r="O47" s="208"/>
      <c r="Q47" s="5"/>
      <c r="R47" s="5"/>
      <c r="S47" s="26"/>
      <c r="T47" s="26"/>
      <c r="U47" s="26"/>
      <c r="V47" s="26"/>
      <c r="W47" s="26"/>
      <c r="X47" s="26"/>
    </row>
    <row r="48" spans="2:24">
      <c r="B48" s="5" t="s">
        <v>518</v>
      </c>
      <c r="C48" s="5"/>
      <c r="D48" s="248">
        <f>D31/D29</f>
        <v>0.61906554244388989</v>
      </c>
      <c r="E48" s="248">
        <f>E31/E29</f>
        <v>0.59049676599626377</v>
      </c>
      <c r="F48" s="248">
        <f>F31/F29</f>
        <v>0.56133534169651267</v>
      </c>
      <c r="G48" s="248">
        <f>G31/G29</f>
        <v>0.48178709342137266</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6">
    <pageSetUpPr fitToPage="1"/>
  </sheetPr>
  <dimension ref="B1:AB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16384" width="9.109375" style="23"/>
  </cols>
  <sheetData>
    <row r="1" spans="2:28" s="489" customFormat="1">
      <c r="T1" s="64"/>
      <c r="U1" s="64"/>
      <c r="V1" s="64"/>
      <c r="W1" s="64"/>
      <c r="X1" s="64"/>
      <c r="Y1" s="64"/>
      <c r="Z1" s="64"/>
      <c r="AA1" s="64"/>
      <c r="AB1" s="64"/>
    </row>
    <row r="2" spans="2:28" s="115" customFormat="1"/>
    <row r="3" spans="2:28" s="115" customFormat="1">
      <c r="H3" s="119"/>
      <c r="P3" s="119"/>
    </row>
    <row r="4" spans="2:28" s="122" customFormat="1" ht="21">
      <c r="B4" s="100" t="s">
        <v>273</v>
      </c>
      <c r="H4" s="182"/>
      <c r="P4" s="182"/>
    </row>
    <row r="5" spans="2:28"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8">
      <c r="I6" s="5"/>
      <c r="J6" s="5"/>
      <c r="K6" s="5"/>
      <c r="L6" s="5"/>
      <c r="M6" s="5"/>
      <c r="N6" s="5"/>
      <c r="O6" s="33"/>
    </row>
    <row r="7" spans="2:28"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8" ht="12.6" thickTop="1">
      <c r="B8" s="5"/>
      <c r="C8" s="5"/>
      <c r="D8" s="5"/>
      <c r="E8" s="5"/>
      <c r="F8" s="5"/>
      <c r="G8" s="5"/>
      <c r="H8" s="5"/>
      <c r="I8" s="5"/>
      <c r="J8" s="5"/>
      <c r="K8" s="5"/>
      <c r="L8" s="5"/>
      <c r="M8" s="5"/>
      <c r="N8" s="5"/>
    </row>
    <row r="9" spans="2:28">
      <c r="B9" s="25" t="s">
        <v>12</v>
      </c>
      <c r="C9" s="221">
        <f>Prices!C75</f>
        <v>2.2400000000000002</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8">
      <c r="B10" s="5" t="s">
        <v>226</v>
      </c>
      <c r="C10" s="5"/>
      <c r="D10" s="408">
        <v>9194</v>
      </c>
      <c r="E10" s="408">
        <v>9194</v>
      </c>
      <c r="F10" s="408">
        <v>9194</v>
      </c>
      <c r="G10" s="408">
        <v>9194</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8">
      <c r="B11" s="25" t="s">
        <v>227</v>
      </c>
      <c r="C11" s="5"/>
      <c r="D11" s="409">
        <f>$C$9*D10</f>
        <v>20594.560000000001</v>
      </c>
      <c r="E11" s="409">
        <f>$C$9*E10</f>
        <v>20594.560000000001</v>
      </c>
      <c r="F11" s="409">
        <f>$C$9*F10</f>
        <v>20594.560000000001</v>
      </c>
      <c r="G11" s="409">
        <f>$C$9*G10</f>
        <v>20594.560000000001</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8">
      <c r="B12" s="5" t="s">
        <v>22</v>
      </c>
      <c r="C12" s="209"/>
      <c r="D12" s="410">
        <v>13698</v>
      </c>
      <c r="E12" s="410">
        <v>13286</v>
      </c>
      <c r="F12" s="410">
        <v>12306</v>
      </c>
      <c r="G12" s="410">
        <v>11094</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8">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8">
      <c r="B14" s="5" t="s">
        <v>436</v>
      </c>
      <c r="C14" s="216"/>
      <c r="D14" s="410">
        <v>7986</v>
      </c>
      <c r="E14" s="410">
        <v>266.47500000000002</v>
      </c>
      <c r="F14" s="410">
        <v>253.29300000000003</v>
      </c>
      <c r="G14" s="410">
        <v>246.70200000000003</v>
      </c>
      <c r="H14" s="209" t="s">
        <v>116</v>
      </c>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8">
      <c r="B15" s="5" t="s">
        <v>435</v>
      </c>
      <c r="C15" s="228"/>
      <c r="D15" s="410">
        <v>5773</v>
      </c>
      <c r="E15" s="410">
        <v>5737.9070000000002</v>
      </c>
      <c r="F15" s="410">
        <v>5811.6016791263946</v>
      </c>
      <c r="G15" s="410">
        <v>5987.1145973780158</v>
      </c>
      <c r="H15" s="209" t="s">
        <v>116</v>
      </c>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8">
      <c r="B16" s="5" t="s">
        <v>438</v>
      </c>
      <c r="C16" s="216"/>
      <c r="D16" s="410">
        <v>0</v>
      </c>
      <c r="E16" s="410">
        <v>1011</v>
      </c>
      <c r="F16" s="410">
        <v>2115</v>
      </c>
      <c r="G16" s="410">
        <v>3310</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32079.559999999998</v>
      </c>
      <c r="E18" s="411">
        <f>E11+E12+E13-E14+E15-E16-E17</f>
        <v>38340.991999999998</v>
      </c>
      <c r="F18" s="411">
        <f>F11+F12+F13-F14+F15-F16-F17</f>
        <v>36343.86867912639</v>
      </c>
      <c r="G18" s="411">
        <f>G11+G12+G13-G14+G15-G16-G17</f>
        <v>34118.972597378015</v>
      </c>
      <c r="H18" s="230">
        <f>IF(D18=0,"nm",IF(G18=0,"nm",(G18/D18)^(1/3)-1))</f>
        <v>2.0757345981561981E-2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759</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22335</v>
      </c>
      <c r="D23" s="416">
        <v>11352</v>
      </c>
      <c r="E23" s="416">
        <v>11773</v>
      </c>
      <c r="F23" s="416">
        <v>12146</v>
      </c>
      <c r="G23" s="416">
        <v>12507</v>
      </c>
      <c r="H23" s="233">
        <f t="shared" ref="H23:H32" si="3">IF(D23=0,"nm",IF(G23=0,"nm",(G23/D23)^(1/3)-1))</f>
        <v>3.2825429934682848E-2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11129</v>
      </c>
      <c r="D24" s="416">
        <v>5160</v>
      </c>
      <c r="E24" s="416">
        <v>5421</v>
      </c>
      <c r="F24" s="416">
        <v>5643</v>
      </c>
      <c r="G24" s="416">
        <v>5854</v>
      </c>
      <c r="H24" s="233">
        <f t="shared" si="3"/>
        <v>4.296004716232682E-2</v>
      </c>
      <c r="I24" s="209"/>
      <c r="J24" s="13"/>
      <c r="K24" s="13"/>
      <c r="L24" s="13"/>
      <c r="M24" s="13"/>
      <c r="N24" s="13"/>
      <c r="O24" s="208"/>
      <c r="S24" s="72"/>
      <c r="T24" s="26"/>
      <c r="U24" s="26"/>
      <c r="V24" s="26"/>
      <c r="W24" s="26" t="s">
        <v>271</v>
      </c>
      <c r="X24" s="26" t="s">
        <v>209</v>
      </c>
    </row>
    <row r="25" spans="2:24">
      <c r="B25" s="5" t="s">
        <v>157</v>
      </c>
      <c r="C25" s="422">
        <v>6074</v>
      </c>
      <c r="D25" s="416">
        <v>2547</v>
      </c>
      <c r="E25" s="416">
        <v>2908</v>
      </c>
      <c r="F25" s="416">
        <v>3357</v>
      </c>
      <c r="G25" s="416">
        <v>3518</v>
      </c>
      <c r="H25" s="233">
        <f>IF(D25=0,"nm",IF(G25=0,"nm",(G25/D25)^(1/3)-1))</f>
        <v>0.11366771581485469</v>
      </c>
      <c r="I25" s="208"/>
      <c r="J25" s="207" t="s">
        <v>8</v>
      </c>
      <c r="K25" s="207"/>
      <c r="L25" s="252">
        <v>0</v>
      </c>
      <c r="M25" s="252">
        <v>0</v>
      </c>
      <c r="N25" s="252">
        <v>0</v>
      </c>
      <c r="O25" s="252">
        <v>0</v>
      </c>
      <c r="P25" s="233" t="str">
        <f>IF(L25=0,"nm",IF(O25=0,"nm",(O25/L25)^(1/3)-1))</f>
        <v>nm</v>
      </c>
      <c r="S25" s="72"/>
      <c r="T25" s="26"/>
      <c r="U25" s="26"/>
      <c r="V25" s="113" t="s">
        <v>225</v>
      </c>
      <c r="W25" s="242">
        <f t="shared" ref="W25:W33" si="5">D37/L9</f>
        <v>1.3623398514875318</v>
      </c>
      <c r="X25" s="242">
        <v>1</v>
      </c>
    </row>
    <row r="26" spans="2:24">
      <c r="B26" s="5" t="s">
        <v>487</v>
      </c>
      <c r="C26" s="422">
        <v>3787</v>
      </c>
      <c r="D26" s="416">
        <v>1655</v>
      </c>
      <c r="E26" s="416">
        <v>1890</v>
      </c>
      <c r="F26" s="416">
        <v>2182</v>
      </c>
      <c r="G26" s="416">
        <v>2287</v>
      </c>
      <c r="H26" s="233">
        <f t="shared" si="3"/>
        <v>0.11383977439356463</v>
      </c>
      <c r="I26" s="209"/>
      <c r="J26" s="209" t="s">
        <v>9</v>
      </c>
      <c r="K26" s="209"/>
      <c r="L26" s="235">
        <f>D11+L25</f>
        <v>20594.560000000001</v>
      </c>
      <c r="M26" s="235">
        <f>E11+M25</f>
        <v>20594.560000000001</v>
      </c>
      <c r="N26" s="235">
        <f>F11+N25</f>
        <v>20594.560000000001</v>
      </c>
      <c r="O26" s="235">
        <f>G11+O25</f>
        <v>20594.560000000001</v>
      </c>
      <c r="P26" s="233">
        <f>IF(L26=0,"nm",IF(O26=0,"nm",(O26/L26)^(1/3)-1))</f>
        <v>0</v>
      </c>
      <c r="Q26" s="5"/>
      <c r="S26" s="72"/>
      <c r="T26" s="26"/>
      <c r="U26" s="26"/>
      <c r="V26" s="113" t="s">
        <v>158</v>
      </c>
      <c r="W26" s="242">
        <f t="shared" si="5"/>
        <v>1.0008572754162643</v>
      </c>
      <c r="X26" s="242">
        <v>1</v>
      </c>
    </row>
    <row r="27" spans="2:24">
      <c r="B27" s="5" t="s">
        <v>488</v>
      </c>
      <c r="C27" s="423">
        <v>63326</v>
      </c>
      <c r="D27" s="416">
        <v>42873</v>
      </c>
      <c r="E27" s="416">
        <v>42550</v>
      </c>
      <c r="F27" s="416">
        <v>42008</v>
      </c>
      <c r="G27" s="416">
        <v>41768</v>
      </c>
      <c r="H27" s="233">
        <f t="shared" si="3"/>
        <v>-8.6661508986253244E-3</v>
      </c>
      <c r="I27" s="209"/>
      <c r="J27" s="208"/>
      <c r="K27" s="208"/>
      <c r="L27" s="208"/>
      <c r="M27" s="208"/>
      <c r="N27" s="208"/>
      <c r="O27" s="208"/>
      <c r="Q27" s="25"/>
      <c r="S27" s="72"/>
      <c r="T27" s="26"/>
      <c r="U27" s="26"/>
      <c r="V27" s="113" t="s">
        <v>159</v>
      </c>
      <c r="W27" s="242">
        <f t="shared" si="5"/>
        <v>1.2176190518975898</v>
      </c>
      <c r="X27" s="242">
        <v>1</v>
      </c>
    </row>
    <row r="28" spans="2:24" ht="12.6" thickBot="1">
      <c r="B28" s="5" t="s">
        <v>492</v>
      </c>
      <c r="C28" s="422">
        <v>25522</v>
      </c>
      <c r="D28" s="416">
        <v>14491</v>
      </c>
      <c r="E28" s="416">
        <v>13652</v>
      </c>
      <c r="F28" s="416">
        <v>12439</v>
      </c>
      <c r="G28" s="416">
        <v>11137</v>
      </c>
      <c r="H28" s="233">
        <f t="shared" si="3"/>
        <v>-8.4011640981891067E-2</v>
      </c>
      <c r="I28" s="208"/>
      <c r="J28" s="249" t="s">
        <v>1073</v>
      </c>
      <c r="K28" s="249"/>
      <c r="L28" s="249"/>
      <c r="M28" s="249"/>
      <c r="N28" s="220"/>
      <c r="O28" s="220"/>
      <c r="P28" s="220"/>
      <c r="Q28" s="5"/>
      <c r="S28" s="72"/>
      <c r="T28" s="26"/>
      <c r="U28" s="26"/>
      <c r="V28" s="113" t="s">
        <v>381</v>
      </c>
      <c r="W28" s="242">
        <f t="shared" si="5"/>
        <v>1.4305075590985816</v>
      </c>
      <c r="X28" s="242">
        <v>1</v>
      </c>
    </row>
    <row r="29" spans="2:24" ht="12.6" thickTop="1">
      <c r="B29" s="5" t="s">
        <v>489</v>
      </c>
      <c r="C29" s="422">
        <v>1209</v>
      </c>
      <c r="D29" s="416">
        <v>572</v>
      </c>
      <c r="E29" s="416">
        <v>780</v>
      </c>
      <c r="F29" s="416">
        <v>1431</v>
      </c>
      <c r="G29" s="416">
        <v>1739</v>
      </c>
      <c r="H29" s="233">
        <f t="shared" si="3"/>
        <v>0.44866461124002854</v>
      </c>
      <c r="I29" s="212"/>
      <c r="J29" s="209"/>
      <c r="K29" s="209"/>
      <c r="L29" s="209"/>
      <c r="M29" s="209"/>
      <c r="N29" s="209"/>
      <c r="O29" s="211"/>
      <c r="Q29" s="5"/>
      <c r="S29" s="72"/>
      <c r="T29" s="26"/>
      <c r="U29" s="26"/>
      <c r="V29" s="113" t="s">
        <v>434</v>
      </c>
      <c r="W29" s="242">
        <f t="shared" si="5"/>
        <v>0.43314971433835459</v>
      </c>
      <c r="X29" s="242">
        <v>1</v>
      </c>
    </row>
    <row r="30" spans="2:24">
      <c r="B30" s="5" t="s">
        <v>490</v>
      </c>
      <c r="C30" s="423">
        <v>947</v>
      </c>
      <c r="D30" s="416">
        <v>777</v>
      </c>
      <c r="E30" s="416">
        <v>933</v>
      </c>
      <c r="F30" s="416">
        <v>1364</v>
      </c>
      <c r="G30" s="416">
        <v>1982</v>
      </c>
      <c r="H30" s="233">
        <f t="shared" si="3"/>
        <v>0.3663465895454272</v>
      </c>
      <c r="I30" s="214"/>
      <c r="J30" s="208"/>
      <c r="K30" s="208"/>
      <c r="L30" s="208"/>
      <c r="M30" s="208"/>
      <c r="N30" s="208"/>
      <c r="O30" s="5"/>
      <c r="Q30" s="5"/>
      <c r="S30" s="72"/>
      <c r="T30" s="26"/>
      <c r="U30" s="26"/>
      <c r="V30" s="113" t="s">
        <v>493</v>
      </c>
      <c r="W30" s="242">
        <f t="shared" si="5"/>
        <v>0.67880892500546086</v>
      </c>
      <c r="X30" s="242">
        <v>1</v>
      </c>
    </row>
    <row r="31" spans="2:24">
      <c r="B31" s="5" t="s">
        <v>491</v>
      </c>
      <c r="C31" s="423">
        <v>919.40000000000009</v>
      </c>
      <c r="D31" s="416">
        <v>919.40000000000009</v>
      </c>
      <c r="E31" s="416">
        <v>1011.34</v>
      </c>
      <c r="F31" s="416">
        <v>1103.28</v>
      </c>
      <c r="G31" s="416">
        <v>1195.22</v>
      </c>
      <c r="H31" s="233">
        <f t="shared" si="3"/>
        <v>9.1392883061105712E-2</v>
      </c>
      <c r="I31" s="214"/>
      <c r="J31" s="212"/>
      <c r="K31" s="212"/>
      <c r="L31" s="212"/>
      <c r="M31" s="212"/>
      <c r="N31" s="212"/>
      <c r="O31" s="5"/>
      <c r="Q31" s="5"/>
      <c r="S31" s="72"/>
      <c r="T31" s="26"/>
      <c r="U31" s="26"/>
      <c r="V31" s="113" t="s">
        <v>390</v>
      </c>
      <c r="W31" s="242">
        <f t="shared" si="5"/>
        <v>2.2377831407047566</v>
      </c>
      <c r="X31" s="242">
        <v>1</v>
      </c>
    </row>
    <row r="32" spans="2:24">
      <c r="B32" s="5" t="s">
        <v>506</v>
      </c>
      <c r="C32" s="424">
        <v>379</v>
      </c>
      <c r="D32" s="416">
        <v>691</v>
      </c>
      <c r="E32" s="416">
        <v>538</v>
      </c>
      <c r="F32" s="416">
        <v>596</v>
      </c>
      <c r="G32" s="416">
        <v>826</v>
      </c>
      <c r="H32" s="233">
        <f t="shared" si="3"/>
        <v>6.1289823737083582E-2</v>
      </c>
      <c r="I32" s="214"/>
      <c r="J32" s="214"/>
      <c r="K32" s="214"/>
      <c r="L32" s="214"/>
      <c r="M32" s="214"/>
      <c r="N32" s="214"/>
      <c r="O32" s="211"/>
      <c r="Q32" s="5"/>
      <c r="S32" s="72"/>
      <c r="T32" s="26"/>
      <c r="U32" s="26"/>
      <c r="V32" s="113" t="s">
        <v>437</v>
      </c>
      <c r="W32" s="242">
        <f t="shared" si="5"/>
        <v>1.536052848653382</v>
      </c>
      <c r="X32" s="242">
        <v>1</v>
      </c>
    </row>
    <row r="33" spans="2:24">
      <c r="B33" s="5" t="s">
        <v>3</v>
      </c>
      <c r="C33" s="423">
        <v>-2079</v>
      </c>
      <c r="D33" s="416">
        <v>-1122</v>
      </c>
      <c r="E33" s="416">
        <v>-1166</v>
      </c>
      <c r="F33" s="416">
        <v>-1120</v>
      </c>
      <c r="G33" s="416">
        <v>-1047</v>
      </c>
      <c r="H33" s="233">
        <f>IF(D33=0,"nm",IF(G33=0,"nm",(G33/D33)^(1/3)-1))</f>
        <v>-2.2797412506625925E-2</v>
      </c>
      <c r="I33" s="5"/>
      <c r="J33" s="214"/>
      <c r="K33" s="214"/>
      <c r="L33" s="214"/>
      <c r="M33" s="214"/>
      <c r="N33" s="214"/>
      <c r="O33" s="211"/>
      <c r="Q33" s="5"/>
      <c r="S33" s="72"/>
      <c r="T33" s="26"/>
      <c r="U33" s="26"/>
      <c r="V33" s="113" t="s">
        <v>481</v>
      </c>
      <c r="W33" s="242">
        <f t="shared" si="5"/>
        <v>1.0463764632592494</v>
      </c>
      <c r="X33" s="242">
        <v>1</v>
      </c>
    </row>
    <row r="34" spans="2:24">
      <c r="H34" s="231"/>
      <c r="I34" s="33"/>
      <c r="J34" s="214"/>
      <c r="K34" s="214"/>
      <c r="L34" s="214"/>
      <c r="M34" s="214"/>
      <c r="N34" s="214"/>
      <c r="O34" s="211"/>
      <c r="Q34" s="5"/>
      <c r="S34" s="72"/>
      <c r="T34" s="26"/>
      <c r="U34" s="26"/>
      <c r="V34" s="113" t="s">
        <v>482</v>
      </c>
      <c r="W34" s="242">
        <f>D47/L19</f>
        <v>0.44687082577852688</v>
      </c>
      <c r="X34" s="242">
        <v>1</v>
      </c>
    </row>
    <row r="35" spans="2:24" ht="12.6" thickBot="1">
      <c r="B35" s="249" t="s">
        <v>428</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2.8258949964763915</v>
      </c>
      <c r="E37" s="406">
        <f t="shared" ref="E37:G41" si="7">E$18/E23</f>
        <v>3.2566883547099295</v>
      </c>
      <c r="F37" s="406">
        <f t="shared" si="7"/>
        <v>2.9922500147477682</v>
      </c>
      <c r="G37" s="406">
        <f t="shared" si="7"/>
        <v>2.7279901333155845</v>
      </c>
      <c r="H37" s="13">
        <f t="shared" ref="H37:H45" si="8">H23</f>
        <v>3.2825429934682848E-2</v>
      </c>
      <c r="I37" s="5"/>
      <c r="J37" s="217"/>
      <c r="K37" s="217"/>
      <c r="L37" s="217"/>
      <c r="M37" s="217"/>
      <c r="N37" s="217"/>
      <c r="O37" s="14"/>
      <c r="Q37" s="5"/>
      <c r="R37" s="5"/>
      <c r="S37" s="26"/>
      <c r="T37" s="26"/>
      <c r="U37" s="26"/>
      <c r="V37" s="26"/>
      <c r="W37" s="26"/>
      <c r="X37" s="26"/>
    </row>
    <row r="38" spans="2:24">
      <c r="B38" s="5" t="s">
        <v>158</v>
      </c>
      <c r="C38" s="207"/>
      <c r="D38" s="406">
        <f>D$18/D24</f>
        <v>6.216968992248062</v>
      </c>
      <c r="E38" s="406">
        <f t="shared" si="7"/>
        <v>7.0726788415421504</v>
      </c>
      <c r="F38" s="406">
        <f t="shared" si="7"/>
        <v>6.4405225375024617</v>
      </c>
      <c r="G38" s="406">
        <f t="shared" si="7"/>
        <v>5.8283178335117896</v>
      </c>
      <c r="H38" s="13">
        <f t="shared" si="8"/>
        <v>4.296004716232682E-2</v>
      </c>
      <c r="I38" s="217"/>
      <c r="J38" s="13"/>
      <c r="K38" s="13"/>
      <c r="L38" s="13"/>
      <c r="M38" s="13"/>
      <c r="N38" s="13"/>
      <c r="O38" s="5"/>
      <c r="Q38" s="5"/>
      <c r="R38" s="5"/>
      <c r="S38" s="26"/>
      <c r="T38" s="26"/>
      <c r="U38" s="26"/>
      <c r="V38" s="26"/>
      <c r="W38" s="26"/>
      <c r="X38" s="26"/>
    </row>
    <row r="39" spans="2:24">
      <c r="B39" s="5" t="s">
        <v>159</v>
      </c>
      <c r="C39" s="207"/>
      <c r="D39" s="406">
        <f>D$18/D25</f>
        <v>12.595037298782881</v>
      </c>
      <c r="E39" s="406">
        <f t="shared" si="7"/>
        <v>13.184660247592847</v>
      </c>
      <c r="F39" s="406">
        <f t="shared" si="7"/>
        <v>10.82629391692773</v>
      </c>
      <c r="G39" s="406">
        <f t="shared" si="7"/>
        <v>9.6984003972080775</v>
      </c>
      <c r="H39" s="13">
        <f t="shared" si="8"/>
        <v>0.11366771581485469</v>
      </c>
      <c r="I39" s="13"/>
      <c r="J39" s="5"/>
      <c r="K39" s="5"/>
      <c r="L39" s="5"/>
      <c r="M39" s="5"/>
      <c r="N39" s="5"/>
      <c r="O39" s="5"/>
      <c r="Q39" s="5"/>
      <c r="R39" s="5"/>
      <c r="S39" s="26"/>
      <c r="T39" s="26"/>
      <c r="U39" s="26"/>
      <c r="V39" s="26"/>
      <c r="W39" s="26"/>
      <c r="X39" s="26"/>
    </row>
    <row r="40" spans="2:24">
      <c r="B40" s="5" t="s">
        <v>381</v>
      </c>
      <c r="C40" s="207"/>
      <c r="D40" s="406">
        <f>D$18/D26</f>
        <v>19.383419939577038</v>
      </c>
      <c r="E40" s="406">
        <f t="shared" si="7"/>
        <v>20.286239153439151</v>
      </c>
      <c r="F40" s="406">
        <f t="shared" si="7"/>
        <v>16.656218459727953</v>
      </c>
      <c r="G40" s="406">
        <f t="shared" si="7"/>
        <v>14.918658765797121</v>
      </c>
      <c r="H40" s="13">
        <f t="shared" si="8"/>
        <v>0.11383977439356463</v>
      </c>
      <c r="I40" s="5"/>
      <c r="J40" s="217"/>
      <c r="K40" s="217"/>
      <c r="L40" s="217"/>
      <c r="M40" s="217"/>
      <c r="N40" s="217"/>
      <c r="O40" s="14"/>
      <c r="Q40" s="5"/>
      <c r="R40" s="5"/>
      <c r="S40" s="26"/>
      <c r="T40" s="26"/>
      <c r="U40" s="26"/>
      <c r="V40" s="26"/>
      <c r="W40" s="242"/>
      <c r="X40" s="242"/>
    </row>
    <row r="41" spans="2:24">
      <c r="B41" s="5" t="s">
        <v>434</v>
      </c>
      <c r="C41" s="207"/>
      <c r="D41" s="406">
        <f>D$18/D27</f>
        <v>0.74824621556690685</v>
      </c>
      <c r="E41" s="406">
        <f t="shared" si="7"/>
        <v>0.90108089306698003</v>
      </c>
      <c r="F41" s="406">
        <f t="shared" si="7"/>
        <v>0.8651654132338219</v>
      </c>
      <c r="G41" s="406">
        <f t="shared" si="7"/>
        <v>0.81686871761583069</v>
      </c>
      <c r="H41" s="13">
        <f t="shared" si="8"/>
        <v>-8.6661508986253244E-3</v>
      </c>
      <c r="I41" s="207"/>
      <c r="J41" s="13"/>
      <c r="K41" s="13"/>
      <c r="L41" s="13"/>
      <c r="M41" s="13"/>
      <c r="N41" s="13"/>
      <c r="O41" s="5"/>
      <c r="Q41" s="5"/>
      <c r="R41" s="5"/>
      <c r="S41" s="26"/>
      <c r="T41" s="26"/>
      <c r="U41" s="26"/>
      <c r="V41" s="26"/>
      <c r="W41" s="242"/>
      <c r="X41" s="242"/>
    </row>
    <row r="42" spans="2:24">
      <c r="B42" s="5" t="s">
        <v>493</v>
      </c>
      <c r="C42" s="207"/>
      <c r="D42" s="406">
        <f>D18/D28</f>
        <v>2.2137575046580635</v>
      </c>
      <c r="E42" s="406">
        <f>E18/E28</f>
        <v>2.8084523879285084</v>
      </c>
      <c r="F42" s="406">
        <f>F18/F28</f>
        <v>2.9217677208076527</v>
      </c>
      <c r="G42" s="406">
        <f>G18/G28</f>
        <v>3.0635694170223591</v>
      </c>
      <c r="H42" s="13">
        <f t="shared" si="8"/>
        <v>-8.4011640981891067E-2</v>
      </c>
      <c r="I42" s="208"/>
      <c r="J42" s="5"/>
      <c r="K42" s="5"/>
      <c r="L42" s="5"/>
      <c r="M42" s="5"/>
      <c r="N42" s="5"/>
      <c r="O42" s="5"/>
      <c r="Q42" s="5"/>
      <c r="R42" s="5"/>
      <c r="S42" s="26"/>
      <c r="T42" s="26"/>
      <c r="U42" s="26"/>
      <c r="V42" s="26"/>
      <c r="W42" s="242"/>
      <c r="X42" s="242"/>
    </row>
    <row r="43" spans="2:24">
      <c r="B43" s="5" t="s">
        <v>390</v>
      </c>
      <c r="C43" s="207"/>
      <c r="D43" s="406">
        <f>L26/D29</f>
        <v>36.004475524475524</v>
      </c>
      <c r="E43" s="406">
        <f>M26/E29</f>
        <v>26.403282051282051</v>
      </c>
      <c r="F43" s="406">
        <f>N26/F29</f>
        <v>14.391726065688331</v>
      </c>
      <c r="G43" s="406">
        <f>O26/G29</f>
        <v>11.842760207015527</v>
      </c>
      <c r="H43" s="13">
        <f t="shared" si="8"/>
        <v>0.44866461124002854</v>
      </c>
      <c r="I43" s="207"/>
      <c r="J43" s="207"/>
      <c r="K43" s="207"/>
      <c r="L43" s="207"/>
      <c r="M43" s="207"/>
      <c r="N43" s="207"/>
      <c r="O43" s="14"/>
      <c r="Q43" s="5"/>
      <c r="R43" s="5"/>
      <c r="S43" s="26"/>
      <c r="T43" s="26"/>
      <c r="U43" s="26"/>
      <c r="V43" s="26"/>
      <c r="W43" s="242"/>
      <c r="X43" s="242"/>
    </row>
    <row r="44" spans="2:24">
      <c r="B44" s="5" t="s">
        <v>437</v>
      </c>
      <c r="C44" s="53"/>
      <c r="D44" s="406">
        <f>D11/D30</f>
        <v>26.505225225225228</v>
      </c>
      <c r="E44" s="406">
        <f>E11/E30</f>
        <v>22.073483386923904</v>
      </c>
      <c r="F44" s="406">
        <f>F11/F30</f>
        <v>15.098651026392963</v>
      </c>
      <c r="G44" s="406">
        <f>G11/G30</f>
        <v>10.390797174571141</v>
      </c>
      <c r="H44" s="13">
        <f t="shared" si="8"/>
        <v>0.3663465895454272</v>
      </c>
      <c r="I44" s="207"/>
      <c r="J44" s="208"/>
      <c r="K44" s="208"/>
      <c r="L44" s="208"/>
      <c r="M44" s="208"/>
      <c r="N44" s="208"/>
      <c r="O44" s="208"/>
      <c r="Q44" s="5"/>
      <c r="R44" s="5"/>
      <c r="S44" s="26"/>
      <c r="T44" s="26"/>
      <c r="U44" s="26"/>
      <c r="V44" s="26"/>
      <c r="W44" s="255"/>
      <c r="X44" s="255"/>
    </row>
    <row r="45" spans="2:24">
      <c r="B45" s="5" t="s">
        <v>481</v>
      </c>
      <c r="C45" s="207"/>
      <c r="D45" s="208">
        <f>D31/D11</f>
        <v>4.4642857142857144E-2</v>
      </c>
      <c r="E45" s="208">
        <f>E31/E11</f>
        <v>4.9107142857142856E-2</v>
      </c>
      <c r="F45" s="208">
        <f>F31/F11</f>
        <v>5.3571428571428568E-2</v>
      </c>
      <c r="G45" s="208">
        <f>G31/G11</f>
        <v>5.8035714285714281E-2</v>
      </c>
      <c r="H45" s="13">
        <f t="shared" si="8"/>
        <v>9.1392883061105712E-2</v>
      </c>
      <c r="I45" s="208"/>
      <c r="J45" s="207"/>
      <c r="K45" s="207"/>
      <c r="L45" s="207"/>
      <c r="M45" s="207"/>
      <c r="N45" s="207"/>
      <c r="O45" s="208"/>
      <c r="Q45" s="5"/>
      <c r="R45" s="5"/>
      <c r="S45" s="26"/>
      <c r="T45" s="26"/>
      <c r="U45" s="26"/>
      <c r="V45" s="26"/>
      <c r="W45" s="26"/>
      <c r="X45" s="26"/>
    </row>
    <row r="46" spans="2:24">
      <c r="B46" s="5" t="s">
        <v>505</v>
      </c>
      <c r="C46" s="207"/>
      <c r="D46" s="208">
        <f>(D31+D32)/D11</f>
        <v>7.8195406942415863E-2</v>
      </c>
      <c r="E46" s="208">
        <f>(E31+E32)/E11</f>
        <v>7.5230546319027938E-2</v>
      </c>
      <c r="F46" s="208">
        <f>(F31+F32)/F11</f>
        <v>8.2511109729948101E-2</v>
      </c>
      <c r="G46" s="208">
        <f>(G31+G32)/G11</f>
        <v>9.8143393206749738E-2</v>
      </c>
      <c r="H46" s="233">
        <f>((G31+G32)/(D31+D32))^(1/3)-1</f>
        <v>7.8681610823356785E-2</v>
      </c>
      <c r="I46" s="207"/>
      <c r="J46" s="207"/>
      <c r="K46" s="207"/>
      <c r="L46" s="207"/>
      <c r="M46" s="207"/>
      <c r="N46" s="207"/>
      <c r="O46" s="14"/>
      <c r="Q46" s="5"/>
      <c r="R46" s="5"/>
      <c r="S46" s="26"/>
      <c r="T46" s="26"/>
      <c r="U46" s="26"/>
      <c r="V46" s="26"/>
      <c r="W46" s="26"/>
      <c r="X46" s="26"/>
    </row>
    <row r="47" spans="2:24">
      <c r="B47" s="5" t="s">
        <v>482</v>
      </c>
      <c r="C47" s="5"/>
      <c r="D47" s="208">
        <f>1/D43</f>
        <v>2.7774324870257001E-2</v>
      </c>
      <c r="E47" s="208">
        <f>1/E43</f>
        <v>3.7874079368532272E-2</v>
      </c>
      <c r="F47" s="208">
        <f>1/F43</f>
        <v>6.9484368687653425E-2</v>
      </c>
      <c r="G47" s="208">
        <f>1/G43</f>
        <v>8.443977438702259E-2</v>
      </c>
      <c r="H47" s="13">
        <f>H29</f>
        <v>0.44866461124002854</v>
      </c>
      <c r="I47" s="13"/>
      <c r="J47" s="208"/>
      <c r="K47" s="208"/>
      <c r="L47" s="208"/>
      <c r="M47" s="208"/>
      <c r="N47" s="208"/>
      <c r="O47" s="208"/>
      <c r="Q47" s="5"/>
      <c r="R47" s="5"/>
      <c r="S47" s="26"/>
      <c r="T47" s="26"/>
      <c r="U47" s="26"/>
      <c r="V47" s="26"/>
      <c r="W47" s="26"/>
      <c r="X47" s="26"/>
    </row>
    <row r="48" spans="2:24">
      <c r="B48" s="5" t="s">
        <v>518</v>
      </c>
      <c r="C48" s="5"/>
      <c r="D48" s="248">
        <f>D31/D29</f>
        <v>1.6073426573426575</v>
      </c>
      <c r="E48" s="248">
        <f>E31/E29</f>
        <v>1.2965897435897435</v>
      </c>
      <c r="F48" s="248">
        <f>F31/F29</f>
        <v>0.77098532494758909</v>
      </c>
      <c r="G48" s="248">
        <f>G31/G29</f>
        <v>0.68730304772857964</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AXISOP!A1" display="Jump to Axiata SOP" xr:uid="{00000000-0004-0000-0D00-000001000000}"/>
  </hyperlinks>
  <pageMargins left="0.75" right="0.75" top="1" bottom="1" header="0.5" footer="0.5"/>
  <pageSetup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8">
    <pageSetUpPr fitToPage="1"/>
  </sheetPr>
  <dimension ref="B1:AA48"/>
  <sheetViews>
    <sheetView showGridLines="0" zoomScale="80" zoomScaleNormal="80" zoomScaleSheetLayoutView="80" workbookViewId="0">
      <selection activeCell="W24" sqref="W24"/>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74</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75</v>
      </c>
      <c r="C9" s="239">
        <f>Prices!C76</f>
        <v>1814.7</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7">
      <c r="B10" s="5" t="s">
        <v>226</v>
      </c>
      <c r="C10" s="5"/>
      <c r="D10" s="408">
        <v>6094</v>
      </c>
      <c r="E10" s="408">
        <v>6094</v>
      </c>
      <c r="F10" s="408">
        <v>6094</v>
      </c>
      <c r="G10" s="408">
        <v>6094</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7">
      <c r="B11" s="25" t="s">
        <v>227</v>
      </c>
      <c r="C11" s="5"/>
      <c r="D11" s="409">
        <f>$C$9*D10</f>
        <v>11058781.800000001</v>
      </c>
      <c r="E11" s="409">
        <f>$C$9*E10</f>
        <v>11058781.800000001</v>
      </c>
      <c r="F11" s="409">
        <f>$C$9*F10</f>
        <v>11058781.800000001</v>
      </c>
      <c r="G11" s="409">
        <f>$C$9*G10</f>
        <v>11058781.800000001</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7">
      <c r="B12" s="5" t="s">
        <v>22</v>
      </c>
      <c r="C12" s="209"/>
      <c r="D12" s="410">
        <v>1722917.8465362489</v>
      </c>
      <c r="E12" s="410">
        <v>1320409.3102103514</v>
      </c>
      <c r="F12" s="410">
        <v>846895.28615047107</v>
      </c>
      <c r="G12" s="410">
        <v>336419.95712683874</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7">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7">
      <c r="B14" s="5" t="s">
        <v>436</v>
      </c>
      <c r="C14" s="216"/>
      <c r="D14" s="414">
        <v>0</v>
      </c>
      <c r="E14" s="407">
        <f t="shared" ref="E14:G15" si="2">D14</f>
        <v>0</v>
      </c>
      <c r="F14" s="407">
        <f t="shared" si="2"/>
        <v>0</v>
      </c>
      <c r="G14" s="407">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7">
      <c r="B15" s="5" t="s">
        <v>435</v>
      </c>
      <c r="C15" s="228"/>
      <c r="D15" s="410">
        <f>BHARTSOP!T20</f>
        <v>894903.04037411837</v>
      </c>
      <c r="E15" s="410">
        <f t="shared" si="2"/>
        <v>894903.04037411837</v>
      </c>
      <c r="F15" s="410">
        <f t="shared" si="2"/>
        <v>894903.04037411837</v>
      </c>
      <c r="G15" s="410">
        <f t="shared" si="2"/>
        <v>894903.04037411837</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7">
      <c r="B16" s="5" t="s">
        <v>438</v>
      </c>
      <c r="C16" s="216"/>
      <c r="D16" s="410">
        <v>0</v>
      </c>
      <c r="E16" s="410">
        <v>126870.53741781876</v>
      </c>
      <c r="F16" s="410">
        <v>328431.67173230177</v>
      </c>
      <c r="G16" s="410">
        <v>615653.4028498088</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13676602.686910369</v>
      </c>
      <c r="E18" s="411">
        <f>E11+E12+E13-E14+E15-E16-E17</f>
        <v>13147223.613166653</v>
      </c>
      <c r="F18" s="411">
        <f>F11+F12+F13-F14+F15-F16-F17</f>
        <v>12472148.454792289</v>
      </c>
      <c r="G18" s="411">
        <f>G11+G12+G13-G14+G15-G16-G17</f>
        <v>11674451.39465115</v>
      </c>
      <c r="H18" s="230">
        <f>IF(D18=0,"nm",IF(G18=0,"nm",(G18/D18)^(1/3)-1))</f>
        <v>-5.1393527502109237E-2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760</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1745589</v>
      </c>
      <c r="D23" s="416">
        <v>2086674.2904833981</v>
      </c>
      <c r="E23" s="416">
        <v>2406842.5471398924</v>
      </c>
      <c r="F23" s="416">
        <v>2741410.1053744857</v>
      </c>
      <c r="G23" s="416">
        <v>3093775.7018540697</v>
      </c>
      <c r="H23" s="233">
        <f t="shared" ref="H23:H32" si="4">IF(D23=0,"nm",IF(G23=0,"nm",(G23/D23)^(1/3)-1))</f>
        <v>0.14027968303904759</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942494</v>
      </c>
      <c r="D24" s="416">
        <v>1205918.2274146669</v>
      </c>
      <c r="E24" s="416">
        <v>1429362.6750965347</v>
      </c>
      <c r="F24" s="416">
        <v>1659371.3029463748</v>
      </c>
      <c r="G24" s="416">
        <v>1896230.6894044692</v>
      </c>
      <c r="H24" s="233">
        <f t="shared" si="4"/>
        <v>0.16285198132244516</v>
      </c>
      <c r="I24" s="209"/>
      <c r="J24" s="13"/>
      <c r="K24" s="13"/>
      <c r="L24" s="13"/>
      <c r="M24" s="13"/>
      <c r="N24" s="13"/>
      <c r="O24" s="208"/>
      <c r="S24" s="72"/>
      <c r="T24" s="26"/>
      <c r="U24" s="26"/>
      <c r="V24" s="26"/>
      <c r="W24" s="26" t="s">
        <v>472</v>
      </c>
      <c r="X24" s="26" t="s">
        <v>209</v>
      </c>
    </row>
    <row r="25" spans="2:24">
      <c r="B25" s="5" t="s">
        <v>157</v>
      </c>
      <c r="C25" s="422">
        <v>554423.25458159763</v>
      </c>
      <c r="D25" s="416">
        <v>808005.66828143841</v>
      </c>
      <c r="E25" s="416">
        <v>1000856.4763833408</v>
      </c>
      <c r="F25" s="416">
        <v>1209465.929334918</v>
      </c>
      <c r="G25" s="416">
        <v>1395187.4932765842</v>
      </c>
      <c r="H25" s="233">
        <f t="shared" si="4"/>
        <v>0.19970017543376728</v>
      </c>
      <c r="I25" s="208"/>
      <c r="J25" s="207" t="s">
        <v>8</v>
      </c>
      <c r="K25" s="207"/>
      <c r="L25" s="252">
        <v>0</v>
      </c>
      <c r="M25" s="252">
        <v>0</v>
      </c>
      <c r="N25" s="252">
        <v>0</v>
      </c>
      <c r="O25" s="252">
        <v>0</v>
      </c>
      <c r="P25" s="233" t="str">
        <f>IF(L25=0,"nm",IF(O25=0,"nm",(O25/L25)^(1/3)-1))</f>
        <v>nm</v>
      </c>
      <c r="S25" s="72"/>
      <c r="T25" s="26"/>
      <c r="U25" s="26"/>
      <c r="V25" s="113" t="s">
        <v>225</v>
      </c>
      <c r="W25" s="242">
        <f>D37/L9</f>
        <v>3.1597520611126635</v>
      </c>
      <c r="X25" s="242">
        <v>1</v>
      </c>
    </row>
    <row r="26" spans="2:24">
      <c r="B26" s="5" t="s">
        <v>487</v>
      </c>
      <c r="C26" s="422">
        <v>443538.60366527812</v>
      </c>
      <c r="D26" s="416">
        <v>646404.53462515073</v>
      </c>
      <c r="E26" s="416">
        <v>800685.18110667262</v>
      </c>
      <c r="F26" s="416">
        <v>967572.74346793443</v>
      </c>
      <c r="G26" s="416">
        <v>1116149.9946212673</v>
      </c>
      <c r="H26" s="233">
        <f t="shared" si="4"/>
        <v>0.19970017543376728</v>
      </c>
      <c r="I26" s="209"/>
      <c r="J26" s="209" t="s">
        <v>9</v>
      </c>
      <c r="K26" s="209"/>
      <c r="L26" s="235">
        <f>D11+L25</f>
        <v>11058781.800000001</v>
      </c>
      <c r="M26" s="235">
        <f>E11+M25</f>
        <v>11058781.800000001</v>
      </c>
      <c r="N26" s="235">
        <f>F11+N25</f>
        <v>11058781.800000001</v>
      </c>
      <c r="O26" s="235">
        <f>G11+O25</f>
        <v>11058781.800000001</v>
      </c>
      <c r="P26" s="233">
        <f>IF(L26=0,"nm",IF(O26=0,"nm",(O26/L26)^(1/3)-1))</f>
        <v>0</v>
      </c>
      <c r="Q26" s="5"/>
      <c r="S26" s="72"/>
      <c r="T26" s="26"/>
      <c r="U26" s="26"/>
      <c r="V26" s="113" t="s">
        <v>158</v>
      </c>
      <c r="W26" s="242">
        <f t="shared" ref="W26:W33" si="6">D38/L10</f>
        <v>1.8258025960339301</v>
      </c>
      <c r="X26" s="242">
        <v>1</v>
      </c>
    </row>
    <row r="27" spans="2:24">
      <c r="B27" s="5" t="s">
        <v>488</v>
      </c>
      <c r="C27" s="423">
        <v>3175102.6427389998</v>
      </c>
      <c r="D27" s="416">
        <v>3079515.2399581969</v>
      </c>
      <c r="E27" s="416">
        <v>3019166.7390327556</v>
      </c>
      <c r="F27" s="416">
        <v>2968839.9524119589</v>
      </c>
      <c r="G27" s="416">
        <v>2953801.4185704361</v>
      </c>
      <c r="H27" s="233">
        <f t="shared" si="4"/>
        <v>-1.3797015798821533E-2</v>
      </c>
      <c r="I27" s="209"/>
      <c r="J27" s="208"/>
      <c r="K27" s="208"/>
      <c r="L27" s="208"/>
      <c r="M27" s="208"/>
      <c r="N27" s="208"/>
      <c r="O27" s="208"/>
      <c r="Q27" s="25"/>
      <c r="S27" s="72"/>
      <c r="T27" s="26"/>
      <c r="U27" s="26"/>
      <c r="V27" s="113" t="s">
        <v>159</v>
      </c>
      <c r="W27" s="242">
        <f t="shared" si="6"/>
        <v>1.636348489986466</v>
      </c>
      <c r="X27" s="242">
        <v>1</v>
      </c>
    </row>
    <row r="28" spans="2:24" ht="12.6" thickBot="1">
      <c r="B28" s="5" t="s">
        <v>492</v>
      </c>
      <c r="C28" s="422">
        <v>2141101</v>
      </c>
      <c r="D28" s="416">
        <v>1998198.0611672197</v>
      </c>
      <c r="E28" s="416">
        <v>1850297.2451472359</v>
      </c>
      <c r="F28" s="416">
        <v>1684631.6497340477</v>
      </c>
      <c r="G28" s="416">
        <v>1526498.8135472792</v>
      </c>
      <c r="H28" s="233">
        <f t="shared" si="4"/>
        <v>-8.584610798242287E-2</v>
      </c>
      <c r="I28" s="208"/>
      <c r="J28" s="249" t="s">
        <v>1073</v>
      </c>
      <c r="K28" s="249"/>
      <c r="L28" s="249"/>
      <c r="M28" s="249"/>
      <c r="N28" s="220"/>
      <c r="O28" s="220"/>
      <c r="P28" s="220"/>
      <c r="Q28" s="5"/>
      <c r="S28" s="72"/>
      <c r="T28" s="26"/>
      <c r="U28" s="26"/>
      <c r="V28" s="113" t="s">
        <v>381</v>
      </c>
      <c r="W28" s="242">
        <f t="shared" si="6"/>
        <v>1.5614697977221081</v>
      </c>
      <c r="X28" s="242">
        <v>1</v>
      </c>
    </row>
    <row r="29" spans="2:24" ht="12.6" thickTop="1">
      <c r="B29" s="5" t="s">
        <v>489</v>
      </c>
      <c r="C29" s="422">
        <v>596342.73299271869</v>
      </c>
      <c r="D29" s="416">
        <v>392464.92636858486</v>
      </c>
      <c r="E29" s="416">
        <v>510014.79921511526</v>
      </c>
      <c r="F29" s="416">
        <v>656892.79292810813</v>
      </c>
      <c r="G29" s="416">
        <v>780766.39583467995</v>
      </c>
      <c r="H29" s="233">
        <f t="shared" si="4"/>
        <v>0.25768945807784704</v>
      </c>
      <c r="I29" s="212"/>
      <c r="J29" s="209"/>
      <c r="K29" s="209"/>
      <c r="L29" s="209"/>
      <c r="M29" s="209"/>
      <c r="N29" s="209"/>
      <c r="O29" s="211"/>
      <c r="Q29" s="5"/>
      <c r="S29" s="72"/>
      <c r="T29" s="26"/>
      <c r="U29" s="26"/>
      <c r="V29" s="113" t="s">
        <v>434</v>
      </c>
      <c r="W29" s="242">
        <f t="shared" si="6"/>
        <v>2.5709248156083682</v>
      </c>
      <c r="X29" s="242">
        <v>1</v>
      </c>
    </row>
    <row r="30" spans="2:24">
      <c r="B30" s="5" t="s">
        <v>490</v>
      </c>
      <c r="C30" s="423">
        <v>262692.8</v>
      </c>
      <c r="D30" s="416">
        <v>317382.75068294839</v>
      </c>
      <c r="E30" s="416">
        <v>469030.57281827496</v>
      </c>
      <c r="F30" s="416">
        <v>624748.37175356632</v>
      </c>
      <c r="G30" s="416">
        <v>782658.52629961679</v>
      </c>
      <c r="H30" s="233">
        <f t="shared" si="4"/>
        <v>0.35102380192086469</v>
      </c>
      <c r="I30" s="214"/>
      <c r="J30" s="208"/>
      <c r="K30" s="208"/>
      <c r="L30" s="208"/>
      <c r="M30" s="208"/>
      <c r="N30" s="208"/>
      <c r="O30" s="5"/>
      <c r="Q30" s="5"/>
      <c r="S30" s="72"/>
      <c r="T30" s="26"/>
      <c r="U30" s="26"/>
      <c r="V30" s="113" t="s">
        <v>493</v>
      </c>
      <c r="W30" s="242">
        <f t="shared" si="6"/>
        <v>2.0987330163302542</v>
      </c>
      <c r="X30" s="242">
        <v>1</v>
      </c>
    </row>
    <row r="31" spans="2:24">
      <c r="B31" s="5" t="s">
        <v>491</v>
      </c>
      <c r="C31" s="423">
        <v>97504</v>
      </c>
      <c r="D31" s="416">
        <v>126870.53741781876</v>
      </c>
      <c r="E31" s="416">
        <v>201561.134314483</v>
      </c>
      <c r="F31" s="416">
        <v>287221.73111750709</v>
      </c>
      <c r="G31" s="416">
        <v>383299.07979408494</v>
      </c>
      <c r="H31" s="233">
        <f t="shared" si="4"/>
        <v>0.4456361475036219</v>
      </c>
      <c r="I31" s="214"/>
      <c r="J31" s="212"/>
      <c r="K31" s="212"/>
      <c r="L31" s="212"/>
      <c r="M31" s="212"/>
      <c r="N31" s="212"/>
      <c r="O31" s="5"/>
      <c r="Q31" s="5"/>
      <c r="S31" s="72"/>
      <c r="T31" s="26"/>
      <c r="U31" s="26"/>
      <c r="V31" s="113" t="s">
        <v>390</v>
      </c>
      <c r="W31" s="242">
        <f t="shared" si="6"/>
        <v>1.7513298372016404</v>
      </c>
      <c r="X31" s="242">
        <v>1</v>
      </c>
    </row>
    <row r="32" spans="2:24">
      <c r="B32" s="5" t="s">
        <v>506</v>
      </c>
      <c r="C32" s="424">
        <v>0</v>
      </c>
      <c r="D32" s="416">
        <v>-30139</v>
      </c>
      <c r="E32" s="416">
        <v>-377273.22501414153</v>
      </c>
      <c r="F32" s="416">
        <v>0</v>
      </c>
      <c r="G32" s="416">
        <v>-63106</v>
      </c>
      <c r="H32" s="233">
        <f t="shared" si="4"/>
        <v>0.27932416962520112</v>
      </c>
      <c r="I32" s="214"/>
      <c r="J32" s="214"/>
      <c r="K32" s="214"/>
      <c r="L32" s="214"/>
      <c r="M32" s="214"/>
      <c r="N32" s="214"/>
      <c r="O32" s="211"/>
      <c r="Q32" s="5"/>
      <c r="S32" s="72"/>
      <c r="T32" s="26"/>
      <c r="U32" s="26"/>
      <c r="V32" s="113" t="s">
        <v>437</v>
      </c>
      <c r="W32" s="242">
        <f t="shared" si="6"/>
        <v>2.0192896928006512</v>
      </c>
      <c r="X32" s="242">
        <v>1</v>
      </c>
    </row>
    <row r="33" spans="2:24">
      <c r="B33" s="5" t="s">
        <v>3</v>
      </c>
      <c r="C33" s="423">
        <v>212233</v>
      </c>
      <c r="D33" s="416">
        <v>225854.42853806051</v>
      </c>
      <c r="E33" s="416">
        <v>208762.62327232354</v>
      </c>
      <c r="F33" s="416">
        <v>189098.54291697449</v>
      </c>
      <c r="G33" s="416">
        <v>168776.72025699363</v>
      </c>
      <c r="H33" s="233">
        <f>IF(D33=0,"nm",IF(G33=0,"nm",(G33/D33)^(1/3)-1))</f>
        <v>-9.2538983007124598E-2</v>
      </c>
      <c r="I33" s="5"/>
      <c r="J33" s="214"/>
      <c r="K33" s="214"/>
      <c r="L33" s="214"/>
      <c r="M33" s="214"/>
      <c r="N33" s="214"/>
      <c r="O33" s="211"/>
      <c r="Q33" s="5"/>
      <c r="S33" s="72"/>
      <c r="T33" s="26"/>
      <c r="U33" s="26"/>
      <c r="V33" s="113" t="s">
        <v>481</v>
      </c>
      <c r="W33" s="242">
        <f t="shared" si="6"/>
        <v>0.26889917575417632</v>
      </c>
      <c r="X33" s="242">
        <v>1</v>
      </c>
    </row>
    <row r="34" spans="2:24">
      <c r="H34" s="231"/>
      <c r="I34" s="33"/>
      <c r="J34" s="214"/>
      <c r="K34" s="214"/>
      <c r="L34" s="214"/>
      <c r="M34" s="214"/>
      <c r="N34" s="214"/>
      <c r="O34" s="211"/>
      <c r="Q34" s="5"/>
      <c r="S34" s="72"/>
      <c r="T34" s="26"/>
      <c r="U34" s="26"/>
      <c r="V34" s="113" t="s">
        <v>482</v>
      </c>
      <c r="W34" s="242">
        <f>D47/L19</f>
        <v>0.5709946685987195</v>
      </c>
      <c r="X34" s="242">
        <v>1</v>
      </c>
    </row>
    <row r="35" spans="2:24" ht="12.6" thickBot="1">
      <c r="B35" s="249" t="s">
        <v>197</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42"/>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6.5542584912674862</v>
      </c>
      <c r="E37" s="406">
        <f t="shared" ref="E37:G41" si="8">E$18/E23</f>
        <v>5.462436098609694</v>
      </c>
      <c r="F37" s="406">
        <f t="shared" si="8"/>
        <v>4.5495376377072745</v>
      </c>
      <c r="G37" s="406">
        <f t="shared" si="8"/>
        <v>3.7735286975247639</v>
      </c>
      <c r="H37" s="13">
        <f t="shared" ref="H37:H45" si="9">H23</f>
        <v>0.14027968303904759</v>
      </c>
      <c r="I37" s="5"/>
      <c r="J37" s="217"/>
      <c r="K37" s="217"/>
      <c r="L37" s="217"/>
      <c r="M37" s="217"/>
      <c r="N37" s="217"/>
      <c r="O37" s="14"/>
      <c r="Q37" s="5"/>
      <c r="R37" s="5"/>
      <c r="S37" s="26"/>
      <c r="T37" s="26"/>
      <c r="U37" s="26"/>
      <c r="V37" s="26"/>
      <c r="W37" s="26"/>
      <c r="X37" s="26"/>
    </row>
    <row r="38" spans="2:24">
      <c r="B38" s="5" t="s">
        <v>158</v>
      </c>
      <c r="C38" s="207"/>
      <c r="D38" s="406">
        <f>D$18/D24</f>
        <v>11.341235563070674</v>
      </c>
      <c r="E38" s="406">
        <f t="shared" si="8"/>
        <v>9.1979620303704444</v>
      </c>
      <c r="F38" s="406">
        <f t="shared" si="8"/>
        <v>7.5161890727209633</v>
      </c>
      <c r="G38" s="406">
        <f t="shared" si="8"/>
        <v>6.1566619820490471</v>
      </c>
      <c r="H38" s="13">
        <f t="shared" si="9"/>
        <v>0.16285198132244516</v>
      </c>
      <c r="I38" s="217"/>
      <c r="J38" s="13"/>
      <c r="K38" s="13"/>
      <c r="L38" s="13"/>
      <c r="M38" s="13"/>
      <c r="N38" s="13"/>
      <c r="O38" s="5"/>
      <c r="Q38" s="5"/>
      <c r="R38" s="5"/>
      <c r="S38" s="26"/>
      <c r="T38" s="26"/>
      <c r="U38" s="26"/>
      <c r="V38" s="26"/>
      <c r="W38" s="26"/>
      <c r="X38" s="26"/>
    </row>
    <row r="39" spans="2:24">
      <c r="B39" s="5" t="s">
        <v>159</v>
      </c>
      <c r="C39" s="207"/>
      <c r="D39" s="406">
        <f>D$18/D25</f>
        <v>16.926369732033411</v>
      </c>
      <c r="E39" s="406">
        <f t="shared" si="8"/>
        <v>13.135972962552025</v>
      </c>
      <c r="F39" s="406">
        <f t="shared" si="8"/>
        <v>10.312112273927955</v>
      </c>
      <c r="G39" s="406">
        <f t="shared" si="8"/>
        <v>8.3676577169092994</v>
      </c>
      <c r="H39" s="13">
        <f t="shared" si="9"/>
        <v>0.19970017543376728</v>
      </c>
      <c r="I39" s="13"/>
      <c r="J39" s="5"/>
      <c r="K39" s="5"/>
      <c r="L39" s="5"/>
      <c r="M39" s="5"/>
      <c r="N39" s="5"/>
      <c r="O39" s="5"/>
      <c r="Q39" s="5"/>
      <c r="R39" s="5"/>
      <c r="S39" s="26"/>
      <c r="T39" s="26"/>
      <c r="U39" s="26"/>
      <c r="V39" s="26"/>
      <c r="W39" s="26"/>
      <c r="X39" s="26"/>
    </row>
    <row r="40" spans="2:24">
      <c r="B40" s="5" t="s">
        <v>381</v>
      </c>
      <c r="C40" s="207"/>
      <c r="D40" s="406">
        <f>D$18/D26</f>
        <v>21.157962165041766</v>
      </c>
      <c r="E40" s="406">
        <f t="shared" si="8"/>
        <v>16.419966203190029</v>
      </c>
      <c r="F40" s="406">
        <f t="shared" si="8"/>
        <v>12.890140342409945</v>
      </c>
      <c r="G40" s="406">
        <f t="shared" si="8"/>
        <v>10.459572146136624</v>
      </c>
      <c r="H40" s="13">
        <f t="shared" si="9"/>
        <v>0.19970017543376728</v>
      </c>
      <c r="I40" s="5"/>
      <c r="J40" s="217"/>
      <c r="K40" s="217"/>
      <c r="L40" s="217"/>
      <c r="M40" s="217"/>
      <c r="N40" s="217"/>
      <c r="O40" s="14"/>
      <c r="Q40" s="5"/>
      <c r="R40" s="5"/>
      <c r="S40" s="26"/>
      <c r="T40" s="26"/>
      <c r="U40" s="26"/>
      <c r="V40" s="26"/>
      <c r="W40" s="242"/>
      <c r="X40" s="242"/>
    </row>
    <row r="41" spans="2:24">
      <c r="B41" s="5" t="s">
        <v>434</v>
      </c>
      <c r="C41" s="207"/>
      <c r="D41" s="406">
        <f>D$18/D27</f>
        <v>4.4411544094505029</v>
      </c>
      <c r="E41" s="406">
        <f t="shared" si="8"/>
        <v>4.3545867948249199</v>
      </c>
      <c r="F41" s="406">
        <f t="shared" si="8"/>
        <v>4.201017452847065</v>
      </c>
      <c r="G41" s="406">
        <f t="shared" si="8"/>
        <v>3.9523480899068986</v>
      </c>
      <c r="H41" s="13">
        <f t="shared" si="9"/>
        <v>-1.3797015798821533E-2</v>
      </c>
      <c r="I41" s="207"/>
      <c r="J41" s="13"/>
      <c r="K41" s="13"/>
      <c r="L41" s="13"/>
      <c r="M41" s="13"/>
      <c r="N41" s="13"/>
      <c r="O41" s="5"/>
      <c r="Q41" s="5"/>
      <c r="R41" s="5"/>
      <c r="S41" s="26"/>
      <c r="T41" s="26"/>
      <c r="U41" s="26"/>
      <c r="V41" s="26"/>
      <c r="W41" s="242"/>
      <c r="X41" s="242"/>
    </row>
    <row r="42" spans="2:24">
      <c r="B42" s="5" t="s">
        <v>493</v>
      </c>
      <c r="C42" s="207"/>
      <c r="D42" s="406">
        <f>D18/D28</f>
        <v>6.8444679997944604</v>
      </c>
      <c r="E42" s="406">
        <f>E18/E28</f>
        <v>7.1054657016043237</v>
      </c>
      <c r="F42" s="406">
        <f>F18/F28</f>
        <v>7.4034869621268626</v>
      </c>
      <c r="G42" s="406">
        <f>G18/G28</f>
        <v>7.6478614271058953</v>
      </c>
      <c r="H42" s="13">
        <f t="shared" si="9"/>
        <v>-8.584610798242287E-2</v>
      </c>
      <c r="I42" s="208"/>
      <c r="J42" s="5"/>
      <c r="K42" s="5"/>
      <c r="L42" s="5"/>
      <c r="M42" s="5"/>
      <c r="N42" s="5"/>
      <c r="O42" s="5"/>
      <c r="Q42" s="5"/>
      <c r="R42" s="5"/>
      <c r="S42" s="26"/>
      <c r="T42" s="26"/>
      <c r="U42" s="26"/>
      <c r="V42" s="26"/>
      <c r="W42" s="242"/>
      <c r="X42" s="242"/>
    </row>
    <row r="43" spans="2:24">
      <c r="B43" s="5" t="s">
        <v>390</v>
      </c>
      <c r="C43" s="207"/>
      <c r="D43" s="406">
        <f>L26/D29</f>
        <v>28.177758207147676</v>
      </c>
      <c r="E43" s="406">
        <f>M26/E29</f>
        <v>21.683256676117747</v>
      </c>
      <c r="F43" s="406">
        <f>N26/F29</f>
        <v>16.834987259801309</v>
      </c>
      <c r="G43" s="406">
        <f>O26/G29</f>
        <v>14.164008414037321</v>
      </c>
      <c r="H43" s="13">
        <f t="shared" si="9"/>
        <v>0.25768945807784704</v>
      </c>
      <c r="I43" s="207"/>
      <c r="J43" s="207"/>
      <c r="K43" s="207"/>
      <c r="L43" s="207"/>
      <c r="M43" s="207"/>
      <c r="N43" s="207"/>
      <c r="O43" s="14"/>
      <c r="Q43" s="5"/>
      <c r="R43" s="5"/>
      <c r="S43" s="26"/>
      <c r="T43" s="26"/>
      <c r="U43" s="26"/>
      <c r="V43" s="26"/>
      <c r="W43" s="242"/>
      <c r="X43" s="242"/>
    </row>
    <row r="44" spans="2:24">
      <c r="B44" s="5" t="s">
        <v>437</v>
      </c>
      <c r="C44" s="53"/>
      <c r="D44" s="406">
        <f>D11/D30</f>
        <v>34.843676211777634</v>
      </c>
      <c r="E44" s="406">
        <f>E11/E30</f>
        <v>23.577955128918017</v>
      </c>
      <c r="F44" s="406">
        <f>F11/F30</f>
        <v>17.701177465992927</v>
      </c>
      <c r="G44" s="406">
        <f>G11/G30</f>
        <v>14.129765955895925</v>
      </c>
      <c r="H44" s="13">
        <f t="shared" si="9"/>
        <v>0.35102380192086469</v>
      </c>
      <c r="I44" s="207"/>
      <c r="J44" s="208"/>
      <c r="K44" s="208"/>
      <c r="L44" s="208"/>
      <c r="M44" s="208"/>
      <c r="N44" s="208"/>
      <c r="O44" s="208"/>
      <c r="Q44" s="5"/>
      <c r="R44" s="5"/>
      <c r="S44" s="26"/>
      <c r="T44" s="26"/>
      <c r="U44" s="26"/>
      <c r="V44" s="26"/>
      <c r="W44" s="255"/>
      <c r="X44" s="255"/>
    </row>
    <row r="45" spans="2:24">
      <c r="B45" s="5" t="s">
        <v>481</v>
      </c>
      <c r="C45" s="207"/>
      <c r="D45" s="208">
        <f>D31/D11</f>
        <v>1.1472379120258865E-2</v>
      </c>
      <c r="E45" s="208">
        <f>E31/E11</f>
        <v>1.822634155911124E-2</v>
      </c>
      <c r="F45" s="208">
        <f>F31/F11</f>
        <v>2.597227581771322E-2</v>
      </c>
      <c r="G45" s="208">
        <f>G31/G11</f>
        <v>3.4660153959641823E-2</v>
      </c>
      <c r="H45" s="13">
        <f t="shared" si="9"/>
        <v>0.4456361475036219</v>
      </c>
      <c r="I45" s="208"/>
      <c r="J45" s="207"/>
      <c r="K45" s="207"/>
      <c r="L45" s="207"/>
      <c r="M45" s="207"/>
      <c r="N45" s="207"/>
      <c r="O45" s="208"/>
      <c r="Q45" s="5"/>
      <c r="R45" s="5"/>
      <c r="S45" s="26"/>
      <c r="T45" s="26"/>
      <c r="U45" s="26"/>
      <c r="V45" s="26"/>
      <c r="W45" s="26"/>
      <c r="X45" s="26"/>
    </row>
    <row r="46" spans="2:24">
      <c r="B46" s="5" t="s">
        <v>505</v>
      </c>
      <c r="C46" s="207"/>
      <c r="D46" s="208">
        <f>(D31+D32)/D11</f>
        <v>8.7470337300459937E-3</v>
      </c>
      <c r="E46" s="208">
        <f>(E31+E32)/E11</f>
        <v>-1.5888919220710052E-2</v>
      </c>
      <c r="F46" s="208">
        <f>(F31+F32)/F11</f>
        <v>2.597227581771322E-2</v>
      </c>
      <c r="G46" s="208">
        <f>(G31+G32)/G11</f>
        <v>2.8953738810009337E-2</v>
      </c>
      <c r="H46" s="233">
        <f>((G31+G32)/(D31+D32))^(1/3)-1</f>
        <v>0.49032601902618755</v>
      </c>
      <c r="I46" s="207"/>
      <c r="J46" s="207"/>
      <c r="K46" s="207"/>
      <c r="L46" s="207"/>
      <c r="M46" s="207"/>
      <c r="N46" s="207"/>
      <c r="O46" s="14"/>
      <c r="Q46" s="5"/>
      <c r="R46" s="5"/>
      <c r="S46" s="26"/>
      <c r="T46" s="26"/>
      <c r="U46" s="26"/>
      <c r="V46" s="26"/>
      <c r="W46" s="26"/>
      <c r="X46" s="26"/>
    </row>
    <row r="47" spans="2:24">
      <c r="B47" s="5" t="s">
        <v>482</v>
      </c>
      <c r="C47" s="5"/>
      <c r="D47" s="208">
        <f>1/D43</f>
        <v>3.5488983639100725E-2</v>
      </c>
      <c r="E47" s="208">
        <f>1/E43</f>
        <v>4.6118533527365127E-2</v>
      </c>
      <c r="F47" s="208">
        <f>1/F43</f>
        <v>5.9400104352190772E-2</v>
      </c>
      <c r="G47" s="208">
        <f>1/G43</f>
        <v>7.0601483052561892E-2</v>
      </c>
      <c r="H47" s="13">
        <f>H29</f>
        <v>0.25768945807784704</v>
      </c>
      <c r="I47" s="13"/>
      <c r="J47" s="208"/>
      <c r="K47" s="208"/>
      <c r="L47" s="208"/>
      <c r="M47" s="208"/>
      <c r="N47" s="208"/>
      <c r="O47" s="208"/>
      <c r="Q47" s="5"/>
      <c r="R47" s="5"/>
      <c r="S47" s="26"/>
      <c r="T47" s="26"/>
      <c r="U47" s="26"/>
      <c r="V47" s="26"/>
      <c r="W47" s="26"/>
      <c r="X47" s="26"/>
    </row>
    <row r="48" spans="2:24">
      <c r="B48" s="5" t="s">
        <v>518</v>
      </c>
      <c r="C48" s="5"/>
      <c r="D48" s="248">
        <f>D31/D29</f>
        <v>0.3232659249113839</v>
      </c>
      <c r="E48" s="248">
        <f>E31/E29</f>
        <v>0.39520644229280111</v>
      </c>
      <c r="F48" s="248">
        <f>F31/F29</f>
        <v>0.43724293249924773</v>
      </c>
      <c r="G48" s="248">
        <f>G31/G29</f>
        <v>0.49092671231619578</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BHARTSOP!A1" display="Jump to Bharti SOP" xr:uid="{00000000-0004-0000-0E00-000001000000}"/>
  </hyperlinks>
  <pageMargins left="0.75" right="0.75" top="1" bottom="1" header="0.5" footer="0.5"/>
  <pageSetup scale="7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7">
    <pageSetUpPr fitToPage="1"/>
  </sheetPr>
  <dimension ref="B1:AA48"/>
  <sheetViews>
    <sheetView showGridLines="0" zoomScale="80" zoomScaleNormal="80" zoomScaleSheetLayoutView="80" workbookViewId="0">
      <selection activeCell="G12" sqref="G12"/>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1085</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75</v>
      </c>
      <c r="C9" s="239">
        <f>Prices!$C$89</f>
        <v>402.15</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7">
      <c r="B10" s="5" t="s">
        <v>226</v>
      </c>
      <c r="C10" s="5"/>
      <c r="D10" s="408">
        <v>2638.16</v>
      </c>
      <c r="E10" s="408">
        <v>2638.16</v>
      </c>
      <c r="F10" s="408">
        <v>2638.16</v>
      </c>
      <c r="G10" s="408">
        <v>2638.16</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7">
      <c r="B11" s="25" t="s">
        <v>227</v>
      </c>
      <c r="C11" s="5"/>
      <c r="D11" s="409">
        <f>$C$9*D10</f>
        <v>1060936.044</v>
      </c>
      <c r="E11" s="409">
        <f>$C$9*E10</f>
        <v>1060936.044</v>
      </c>
      <c r="F11" s="409">
        <f>$C$9*F10</f>
        <v>1060936.044</v>
      </c>
      <c r="G11" s="409">
        <f>$C$9*G10</f>
        <v>1060936.044</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7">
      <c r="B12" s="5" t="s">
        <v>22</v>
      </c>
      <c r="C12" s="209"/>
      <c r="D12" s="410">
        <v>171059.02151048448</v>
      </c>
      <c r="E12" s="410">
        <v>155517.15248998671</v>
      </c>
      <c r="F12" s="410">
        <v>141923.52790152724</v>
      </c>
      <c r="G12" s="410">
        <v>127026.73496222903</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7">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7">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7">
      <c r="B15" s="5" t="s">
        <v>435</v>
      </c>
      <c r="C15" s="228"/>
      <c r="D15" s="410">
        <v>0</v>
      </c>
      <c r="E15" s="410">
        <v>0</v>
      </c>
      <c r="F15" s="410">
        <v>0</v>
      </c>
      <c r="G15" s="410">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7">
      <c r="B16" s="5" t="s">
        <v>438</v>
      </c>
      <c r="C16" s="216"/>
      <c r="D16" s="410">
        <v>-21105.279999999999</v>
      </c>
      <c r="E16" s="410">
        <v>-69290.614010159421</v>
      </c>
      <c r="F16" s="410">
        <v>-124982.93115917311</v>
      </c>
      <c r="G16" s="410">
        <v>-182702.40489962144</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1253100.3455104844</v>
      </c>
      <c r="E18" s="411">
        <f>E11+E12+E13-E14+E15-E16-E17</f>
        <v>1285743.8105001461</v>
      </c>
      <c r="F18" s="411">
        <f>F11+F12+F13-F14+F15-F16-F17</f>
        <v>1327842.5030607004</v>
      </c>
      <c r="G18" s="411">
        <f>G11+G12+G13-G14+G15-G16-G17</f>
        <v>1370665.1838618503</v>
      </c>
      <c r="H18" s="230">
        <f>IF(D18=0,"nm",IF(G18=0,"nm",(G18/D18)^(1/3)-1))</f>
        <v>3.0343045064832097E-2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760</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301228</v>
      </c>
      <c r="D23" s="416">
        <v>333426.77562194789</v>
      </c>
      <c r="E23" s="416">
        <v>354771.3135492719</v>
      </c>
      <c r="F23" s="416">
        <v>367140.60066045308</v>
      </c>
      <c r="G23" s="416">
        <v>372696.31075205503</v>
      </c>
      <c r="H23" s="233">
        <f t="shared" ref="H23:H32" si="3">IF(D23=0,"nm",IF(G23=0,"nm",(G23/D23)^(1/3)-1))</f>
        <v>3.7810850594561352E-2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208447</v>
      </c>
      <c r="D24" s="416">
        <v>190928.1101089007</v>
      </c>
      <c r="E24" s="416">
        <v>202914.8833822567</v>
      </c>
      <c r="F24" s="416">
        <v>209769.90482638756</v>
      </c>
      <c r="G24" s="416">
        <v>212733.51628605521</v>
      </c>
      <c r="H24" s="233">
        <f t="shared" si="3"/>
        <v>3.6705370401068471E-2</v>
      </c>
      <c r="I24" s="209"/>
      <c r="J24" s="13"/>
      <c r="K24" s="13"/>
      <c r="L24" s="13"/>
      <c r="M24" s="13"/>
      <c r="N24" s="13"/>
      <c r="O24" s="208"/>
      <c r="S24" s="72"/>
      <c r="T24" s="26"/>
      <c r="U24" s="26"/>
      <c r="V24" s="26"/>
      <c r="W24" s="26" t="s">
        <v>638</v>
      </c>
      <c r="X24" s="26" t="s">
        <v>209</v>
      </c>
    </row>
    <row r="25" spans="2:24">
      <c r="B25" s="5" t="s">
        <v>157</v>
      </c>
      <c r="C25" s="422">
        <v>251336</v>
      </c>
      <c r="D25" s="416">
        <v>139522.22015122196</v>
      </c>
      <c r="E25" s="416">
        <v>152420.03141797517</v>
      </c>
      <c r="F25" s="416">
        <v>161071.09190258643</v>
      </c>
      <c r="G25" s="416">
        <v>165790.34436776029</v>
      </c>
      <c r="H25" s="233">
        <f t="shared" si="3"/>
        <v>5.9185317105766133E-2</v>
      </c>
      <c r="I25" s="208"/>
      <c r="J25" s="207" t="s">
        <v>8</v>
      </c>
      <c r="K25" s="207"/>
      <c r="L25" s="252">
        <v>0</v>
      </c>
      <c r="M25" s="252">
        <v>0</v>
      </c>
      <c r="N25" s="252">
        <v>0</v>
      </c>
      <c r="O25" s="252">
        <v>0</v>
      </c>
      <c r="P25" s="233" t="str">
        <f>IF(L25=0,"nm",IF(O25=0,"nm",(O25/L25)^(1/3)-1))</f>
        <v>nm</v>
      </c>
      <c r="S25" s="72"/>
      <c r="T25" s="26"/>
      <c r="U25" s="26"/>
      <c r="V25" s="113" t="s">
        <v>225</v>
      </c>
      <c r="W25" s="242">
        <f>D37/L9</f>
        <v>1.811819032815376</v>
      </c>
      <c r="X25" s="242">
        <v>1</v>
      </c>
    </row>
    <row r="26" spans="2:24">
      <c r="B26" s="5" t="s">
        <v>487</v>
      </c>
      <c r="C26" s="422">
        <v>182637</v>
      </c>
      <c r="D26" s="416">
        <v>92842.471564149251</v>
      </c>
      <c r="E26" s="416">
        <v>106299.76065656982</v>
      </c>
      <c r="F26" s="416">
        <v>113342.81381672752</v>
      </c>
      <c r="G26" s="416">
        <v>117339.82396999313</v>
      </c>
      <c r="H26" s="233">
        <f t="shared" si="3"/>
        <v>8.1183924208749314E-2</v>
      </c>
      <c r="I26" s="209"/>
      <c r="J26" s="209" t="s">
        <v>9</v>
      </c>
      <c r="K26" s="209"/>
      <c r="L26" s="235">
        <f>D11+L25</f>
        <v>1060936.044</v>
      </c>
      <c r="M26" s="235">
        <f>E11+M25</f>
        <v>1060936.044</v>
      </c>
      <c r="N26" s="235">
        <f>F11+N25</f>
        <v>1060936.044</v>
      </c>
      <c r="O26" s="235">
        <f>G11+O25</f>
        <v>1060936.044</v>
      </c>
      <c r="P26" s="233">
        <f>IF(L26=0,"nm",IF(O26=0,"nm",(O26/L26)^(1/3)-1))</f>
        <v>0</v>
      </c>
      <c r="Q26" s="5"/>
      <c r="S26" s="72"/>
      <c r="T26" s="26"/>
      <c r="U26" s="26"/>
      <c r="V26" s="113" t="s">
        <v>158</v>
      </c>
      <c r="W26" s="242">
        <f t="shared" ref="W26:W33" si="5">D38/L10</f>
        <v>1.0565971263501905</v>
      </c>
      <c r="X26" s="242">
        <v>1</v>
      </c>
    </row>
    <row r="27" spans="2:24">
      <c r="B27" s="5" t="s">
        <v>488</v>
      </c>
      <c r="C27" s="423">
        <v>480336</v>
      </c>
      <c r="D27" s="416">
        <v>531433.34506033978</v>
      </c>
      <c r="E27" s="416">
        <v>557972.98873021395</v>
      </c>
      <c r="F27" s="416">
        <v>584061.25745558832</v>
      </c>
      <c r="G27" s="416">
        <v>608469.02611448872</v>
      </c>
      <c r="H27" s="233">
        <f t="shared" si="3"/>
        <v>4.6156260138581651E-2</v>
      </c>
      <c r="I27" s="209"/>
      <c r="J27" s="208"/>
      <c r="K27" s="208"/>
      <c r="L27" s="208"/>
      <c r="M27" s="208"/>
      <c r="N27" s="208"/>
      <c r="O27" s="208"/>
      <c r="Q27" s="25"/>
      <c r="S27" s="72"/>
      <c r="T27" s="26"/>
      <c r="U27" s="26"/>
      <c r="V27" s="113" t="s">
        <v>159</v>
      </c>
      <c r="W27" s="242">
        <f t="shared" si="5"/>
        <v>0.86826930517674994</v>
      </c>
      <c r="X27" s="242">
        <v>1</v>
      </c>
    </row>
    <row r="28" spans="2:24">
      <c r="B28" s="5" t="s">
        <v>492</v>
      </c>
      <c r="C28" s="422">
        <v>280895</v>
      </c>
      <c r="D28" s="416">
        <v>302092.47866170644</v>
      </c>
      <c r="E28" s="416">
        <v>323785.47394002439</v>
      </c>
      <c r="F28" s="416">
        <v>347029.79483463068</v>
      </c>
      <c r="G28" s="416">
        <v>370086.60417891579</v>
      </c>
      <c r="H28" s="233">
        <f t="shared" si="3"/>
        <v>7.0009953522713886E-2</v>
      </c>
      <c r="I28" s="208"/>
      <c r="Q28" s="5"/>
      <c r="S28" s="72"/>
      <c r="T28" s="26"/>
      <c r="U28" s="26"/>
      <c r="V28" s="113" t="s">
        <v>381</v>
      </c>
      <c r="W28" s="242">
        <f t="shared" si="5"/>
        <v>0.99609075352583054</v>
      </c>
      <c r="X28" s="242">
        <v>1</v>
      </c>
    </row>
    <row r="29" spans="2:24" ht="12.6" thickBot="1">
      <c r="B29" s="5" t="s">
        <v>489</v>
      </c>
      <c r="C29" s="422">
        <v>147164</v>
      </c>
      <c r="D29" s="416">
        <v>56305.281564149249</v>
      </c>
      <c r="E29" s="416">
        <v>68666.454956569825</v>
      </c>
      <c r="F29" s="416">
        <v>74580.508945727517</v>
      </c>
      <c r="G29" s="416">
        <v>77414.649952863139</v>
      </c>
      <c r="H29" s="233">
        <f t="shared" si="3"/>
        <v>0.11196556902656685</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1.3649934019836993</v>
      </c>
      <c r="X29" s="242">
        <v>1</v>
      </c>
    </row>
    <row r="30" spans="2:24" ht="12.6" thickTop="1">
      <c r="B30" s="5" t="s">
        <v>490</v>
      </c>
      <c r="C30" s="423">
        <v>99317</v>
      </c>
      <c r="D30" s="416">
        <v>81343.60354985531</v>
      </c>
      <c r="E30" s="416">
        <v>90266.846700531401</v>
      </c>
      <c r="F30" s="416">
        <v>95374.21046284755</v>
      </c>
      <c r="G30" s="416">
        <v>97024.035338646936</v>
      </c>
      <c r="H30" s="233">
        <f t="shared" si="3"/>
        <v>6.0519459621983573E-2</v>
      </c>
      <c r="I30" s="214"/>
      <c r="J30" s="208"/>
      <c r="K30" s="208"/>
      <c r="L30" s="208"/>
      <c r="M30" s="208"/>
      <c r="N30" s="208"/>
      <c r="O30" s="5"/>
      <c r="Q30" s="5"/>
      <c r="S30" s="72"/>
      <c r="T30" s="26"/>
      <c r="U30" s="26"/>
      <c r="V30" s="113" t="s">
        <v>493</v>
      </c>
      <c r="W30" s="242">
        <f t="shared" si="5"/>
        <v>1.2719306551435854</v>
      </c>
      <c r="X30" s="242">
        <v>1</v>
      </c>
    </row>
    <row r="31" spans="2:24">
      <c r="B31" s="5" t="s">
        <v>491</v>
      </c>
      <c r="C31" s="423">
        <v>0</v>
      </c>
      <c r="D31" s="416">
        <v>42210.559999999998</v>
      </c>
      <c r="E31" s="416">
        <v>54160.108020318832</v>
      </c>
      <c r="F31" s="416">
        <v>57224.526277708537</v>
      </c>
      <c r="G31" s="416">
        <v>58214.421203188162</v>
      </c>
      <c r="H31" s="233">
        <f t="shared" si="3"/>
        <v>0.11310591346473964</v>
      </c>
      <c r="I31" s="214"/>
      <c r="J31" s="5" t="s">
        <v>613</v>
      </c>
      <c r="K31" s="207"/>
      <c r="L31" s="253">
        <v>219736</v>
      </c>
      <c r="M31" s="253">
        <v>249305</v>
      </c>
      <c r="N31" s="253">
        <v>256784.15</v>
      </c>
      <c r="O31" s="253">
        <v>264487.67450000002</v>
      </c>
      <c r="Q31" s="5"/>
      <c r="S31" s="72"/>
      <c r="T31" s="26"/>
      <c r="U31" s="26"/>
      <c r="V31" s="113" t="s">
        <v>390</v>
      </c>
      <c r="W31" s="242">
        <f t="shared" si="5"/>
        <v>1.1711204868833813</v>
      </c>
      <c r="X31" s="242">
        <v>1</v>
      </c>
    </row>
    <row r="32" spans="2:24">
      <c r="B32" s="5" t="s">
        <v>506</v>
      </c>
      <c r="C32" s="424">
        <v>26400</v>
      </c>
      <c r="D32" s="416">
        <v>0</v>
      </c>
      <c r="E32" s="416">
        <v>0</v>
      </c>
      <c r="F32" s="416">
        <v>0</v>
      </c>
      <c r="G32" s="416">
        <v>0</v>
      </c>
      <c r="H32" s="233" t="str">
        <f t="shared" si="3"/>
        <v>nm</v>
      </c>
      <c r="I32" s="214"/>
      <c r="J32" s="5" t="s">
        <v>1072</v>
      </c>
      <c r="K32" s="214"/>
      <c r="L32" s="253">
        <v>368588</v>
      </c>
      <c r="M32" s="253">
        <v>405435</v>
      </c>
      <c r="N32" s="253">
        <v>433067.91044441093</v>
      </c>
      <c r="O32" s="253">
        <v>454981.14671289816</v>
      </c>
      <c r="Q32" s="5"/>
      <c r="S32" s="72"/>
      <c r="T32" s="26"/>
      <c r="U32" s="26"/>
      <c r="V32" s="113" t="s">
        <v>437</v>
      </c>
      <c r="W32" s="242">
        <f t="shared" si="5"/>
        <v>0.75585842032072437</v>
      </c>
      <c r="X32" s="242">
        <v>1</v>
      </c>
    </row>
    <row r="33" spans="2:24">
      <c r="B33" s="5" t="s">
        <v>3</v>
      </c>
      <c r="C33" s="423">
        <v>2762</v>
      </c>
      <c r="D33" s="416">
        <v>18029.489042426951</v>
      </c>
      <c r="E33" s="416">
        <v>16612.254672548199</v>
      </c>
      <c r="F33" s="416">
        <v>15116.461605417189</v>
      </c>
      <c r="G33" s="416">
        <v>14303.867490797349</v>
      </c>
      <c r="H33" s="233">
        <f>IF(D33=0,"nm",IF(G33=0,"nm",(G33/D33)^(1/3)-1))</f>
        <v>-7.4257889006391631E-2</v>
      </c>
      <c r="I33" s="5"/>
      <c r="Q33" s="5"/>
      <c r="S33" s="72"/>
      <c r="T33" s="26"/>
      <c r="U33" s="26"/>
      <c r="V33" s="113" t="s">
        <v>481</v>
      </c>
      <c r="W33" s="242">
        <f t="shared" si="5"/>
        <v>0.93254090372277743</v>
      </c>
      <c r="X33" s="242">
        <v>1</v>
      </c>
    </row>
    <row r="34" spans="2:24">
      <c r="H34" s="231"/>
      <c r="I34" s="33"/>
      <c r="Q34" s="5"/>
      <c r="S34" s="72"/>
      <c r="T34" s="26"/>
      <c r="U34" s="26"/>
      <c r="V34" s="113" t="s">
        <v>482</v>
      </c>
      <c r="W34" s="242">
        <f>D47/L19</f>
        <v>0.85388310699032177</v>
      </c>
      <c r="X34" s="242">
        <v>1</v>
      </c>
    </row>
    <row r="35" spans="2:24" ht="12.6" thickBot="1">
      <c r="B35" s="249" t="s">
        <v>639</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42"/>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3.7582474987890531</v>
      </c>
      <c r="E37" s="406">
        <f t="shared" ref="E37:G41" si="8">E$18/E23</f>
        <v>3.6241481805196107</v>
      </c>
      <c r="F37" s="406">
        <f t="shared" si="8"/>
        <v>3.6167138711219367</v>
      </c>
      <c r="G37" s="406">
        <f t="shared" si="8"/>
        <v>3.6776998975278761</v>
      </c>
      <c r="H37" s="13">
        <f t="shared" ref="H37:H45" si="9">H23</f>
        <v>3.7810850594561352E-2</v>
      </c>
      <c r="I37" s="5"/>
      <c r="J37" s="208"/>
      <c r="K37" s="208"/>
      <c r="L37" s="208"/>
      <c r="M37" s="208"/>
      <c r="N37" s="208"/>
      <c r="O37" s="5"/>
      <c r="Q37" s="5"/>
      <c r="R37" s="5"/>
      <c r="S37" s="26"/>
      <c r="T37" s="26"/>
      <c r="U37" s="26"/>
      <c r="V37" s="26"/>
      <c r="W37" s="26"/>
      <c r="X37" s="26"/>
    </row>
    <row r="38" spans="2:24">
      <c r="B38" s="5" t="s">
        <v>158</v>
      </c>
      <c r="C38" s="207"/>
      <c r="D38" s="406">
        <f>D$18/D24</f>
        <v>6.5632050974356098</v>
      </c>
      <c r="E38" s="406">
        <f>E$18/E24</f>
        <v>6.3363701521983788</v>
      </c>
      <c r="F38" s="406">
        <f t="shared" si="8"/>
        <v>6.3299952591372257</v>
      </c>
      <c r="G38" s="406">
        <f t="shared" si="8"/>
        <v>6.4431087672088561</v>
      </c>
      <c r="H38" s="13">
        <f t="shared" si="9"/>
        <v>3.6705370401068471E-2</v>
      </c>
      <c r="I38" s="217"/>
      <c r="J38" s="212"/>
      <c r="K38" s="212"/>
      <c r="L38" s="212"/>
      <c r="M38" s="212"/>
      <c r="N38" s="212"/>
      <c r="O38" s="5"/>
      <c r="Q38" s="5"/>
      <c r="R38" s="5"/>
      <c r="S38" s="26"/>
      <c r="T38" s="26"/>
      <c r="U38" s="26"/>
      <c r="V38" s="26"/>
      <c r="W38" s="26"/>
      <c r="X38" s="26"/>
    </row>
    <row r="39" spans="2:24">
      <c r="B39" s="5" t="s">
        <v>159</v>
      </c>
      <c r="C39" s="207"/>
      <c r="D39" s="406">
        <f>D$18/D25</f>
        <v>8.9813675854090071</v>
      </c>
      <c r="E39" s="406">
        <f t="shared" si="8"/>
        <v>8.4355304124974477</v>
      </c>
      <c r="F39" s="406">
        <f t="shared" si="8"/>
        <v>8.2438287800504959</v>
      </c>
      <c r="G39" s="406">
        <f t="shared" si="8"/>
        <v>8.26746086503932</v>
      </c>
      <c r="H39" s="13">
        <f t="shared" si="9"/>
        <v>5.9185317105766133E-2</v>
      </c>
      <c r="I39" s="13"/>
      <c r="J39" s="217"/>
      <c r="K39" s="217"/>
      <c r="L39" s="217"/>
      <c r="M39" s="217"/>
      <c r="N39" s="217"/>
      <c r="O39" s="14"/>
      <c r="Q39" s="5"/>
      <c r="R39" s="5"/>
      <c r="S39" s="26"/>
      <c r="T39" s="26"/>
      <c r="U39" s="26"/>
      <c r="V39" s="26"/>
      <c r="W39" s="26"/>
      <c r="X39" s="26"/>
    </row>
    <row r="40" spans="2:24">
      <c r="B40" s="5" t="s">
        <v>381</v>
      </c>
      <c r="C40" s="207"/>
      <c r="D40" s="406">
        <f>D$18/D26</f>
        <v>13.497059313470109</v>
      </c>
      <c r="E40" s="406">
        <f t="shared" si="8"/>
        <v>12.095453485112632</v>
      </c>
      <c r="F40" s="406">
        <f t="shared" si="8"/>
        <v>11.715277381482592</v>
      </c>
      <c r="G40" s="406">
        <f t="shared" si="8"/>
        <v>11.68115936676678</v>
      </c>
      <c r="H40" s="13">
        <f t="shared" si="9"/>
        <v>8.1183924208749314E-2</v>
      </c>
      <c r="I40" s="5"/>
      <c r="J40" s="217"/>
      <c r="K40" s="217"/>
      <c r="L40" s="217"/>
      <c r="M40" s="217"/>
      <c r="N40" s="217"/>
      <c r="O40" s="14"/>
      <c r="Q40" s="5"/>
      <c r="R40" s="5"/>
      <c r="S40" s="26"/>
      <c r="T40" s="26"/>
      <c r="U40" s="26"/>
      <c r="V40" s="26"/>
      <c r="W40" s="242"/>
      <c r="X40" s="242"/>
    </row>
    <row r="41" spans="2:24">
      <c r="B41" s="5" t="s">
        <v>434</v>
      </c>
      <c r="C41" s="207"/>
      <c r="D41" s="406">
        <f>D$18/D27</f>
        <v>2.3579633403850591</v>
      </c>
      <c r="E41" s="406">
        <f t="shared" si="8"/>
        <v>2.3043119227440187</v>
      </c>
      <c r="F41" s="406">
        <f t="shared" si="8"/>
        <v>2.2734644459133104</v>
      </c>
      <c r="G41" s="406">
        <f t="shared" si="8"/>
        <v>2.252645779875651</v>
      </c>
      <c r="H41" s="13">
        <f t="shared" si="9"/>
        <v>4.6156260138581651E-2</v>
      </c>
      <c r="I41" s="207"/>
      <c r="J41" s="217"/>
      <c r="K41" s="217"/>
      <c r="L41" s="217"/>
      <c r="M41" s="217"/>
      <c r="N41" s="217"/>
      <c r="O41" s="14"/>
      <c r="Q41" s="5"/>
      <c r="R41" s="5"/>
      <c r="S41" s="26"/>
      <c r="T41" s="26"/>
      <c r="U41" s="26"/>
      <c r="V41" s="26"/>
      <c r="W41" s="242"/>
      <c r="X41" s="242"/>
    </row>
    <row r="42" spans="2:24">
      <c r="B42" s="5" t="s">
        <v>493</v>
      </c>
      <c r="C42" s="207"/>
      <c r="D42" s="406">
        <f>D18/D28</f>
        <v>4.1480686677861627</v>
      </c>
      <c r="E42" s="406">
        <f>E18/E28</f>
        <v>3.9709743456196795</v>
      </c>
      <c r="F42" s="406">
        <f>F18/F28</f>
        <v>3.8263069131958947</v>
      </c>
      <c r="G42" s="406">
        <f>G18/G28</f>
        <v>3.703633604633827</v>
      </c>
      <c r="H42" s="13">
        <f t="shared" si="9"/>
        <v>7.0009953522713886E-2</v>
      </c>
      <c r="I42" s="208"/>
      <c r="J42" s="5"/>
      <c r="K42" s="5"/>
      <c r="L42" s="5"/>
      <c r="M42" s="5"/>
      <c r="N42" s="5"/>
      <c r="O42" s="5"/>
      <c r="Q42" s="5"/>
      <c r="R42" s="5"/>
      <c r="S42" s="26"/>
      <c r="T42" s="26"/>
      <c r="U42" s="26"/>
      <c r="V42" s="26"/>
      <c r="W42" s="242"/>
      <c r="X42" s="242"/>
    </row>
    <row r="43" spans="2:24">
      <c r="B43" s="5" t="s">
        <v>390</v>
      </c>
      <c r="C43" s="207"/>
      <c r="D43" s="406">
        <f>L26/D29</f>
        <v>18.842567065245266</v>
      </c>
      <c r="E43" s="406">
        <f>M26/E29</f>
        <v>15.450572549158407</v>
      </c>
      <c r="F43" s="406">
        <f>N26/F29</f>
        <v>14.22537951265587</v>
      </c>
      <c r="G43" s="406">
        <f>O26/G29</f>
        <v>13.704590082703872</v>
      </c>
      <c r="H43" s="13">
        <f t="shared" si="9"/>
        <v>0.11196556902656685</v>
      </c>
      <c r="I43" s="207"/>
      <c r="J43" s="53"/>
      <c r="K43" s="53"/>
      <c r="L43" s="53"/>
      <c r="M43" s="53"/>
      <c r="N43" s="53"/>
      <c r="O43" s="53"/>
      <c r="Q43" s="5"/>
      <c r="R43" s="5"/>
      <c r="S43" s="26"/>
      <c r="T43" s="26"/>
      <c r="U43" s="26"/>
      <c r="V43" s="26"/>
      <c r="W43" s="242"/>
      <c r="X43" s="242"/>
    </row>
    <row r="44" spans="2:24">
      <c r="B44" s="5" t="s">
        <v>437</v>
      </c>
      <c r="C44" s="53"/>
      <c r="D44" s="406">
        <f>D11/D30</f>
        <v>13.042648686565192</v>
      </c>
      <c r="E44" s="406">
        <f>E11/E30</f>
        <v>11.753330073883641</v>
      </c>
      <c r="F44" s="406">
        <f>F11/F30</f>
        <v>11.123930031518125</v>
      </c>
      <c r="G44" s="406">
        <f>G11/G30</f>
        <v>10.934775494515064</v>
      </c>
      <c r="H44" s="13">
        <f t="shared" si="9"/>
        <v>6.0519459621983573E-2</v>
      </c>
      <c r="I44" s="207"/>
      <c r="J44" s="217"/>
      <c r="K44" s="217"/>
      <c r="L44" s="217"/>
      <c r="M44" s="217"/>
      <c r="N44" s="217"/>
      <c r="O44" s="14"/>
      <c r="Q44" s="5"/>
      <c r="R44" s="5"/>
      <c r="S44" s="26"/>
      <c r="T44" s="26"/>
      <c r="U44" s="26"/>
      <c r="V44" s="26"/>
      <c r="W44" s="255"/>
      <c r="X44" s="255"/>
    </row>
    <row r="45" spans="2:24">
      <c r="B45" s="5" t="s">
        <v>481</v>
      </c>
      <c r="C45" s="207"/>
      <c r="D45" s="208">
        <f>D31/D11</f>
        <v>3.9786149446723859E-2</v>
      </c>
      <c r="E45" s="208">
        <f>E31/E11</f>
        <v>5.10493618598548E-2</v>
      </c>
      <c r="F45" s="208">
        <f>F31/F11</f>
        <v>5.3937771839627065E-2</v>
      </c>
      <c r="G45" s="208">
        <f>G31/G11</f>
        <v>5.487081104691751E-2</v>
      </c>
      <c r="H45" s="13">
        <f t="shared" si="9"/>
        <v>0.11310591346473964</v>
      </c>
      <c r="I45" s="208"/>
      <c r="J45" s="13"/>
      <c r="K45" s="13"/>
      <c r="L45" s="13"/>
      <c r="M45" s="13"/>
      <c r="N45" s="13"/>
      <c r="O45" s="5"/>
      <c r="Q45" s="5"/>
      <c r="R45" s="5"/>
      <c r="S45" s="26"/>
      <c r="T45" s="26"/>
      <c r="U45" s="26"/>
      <c r="V45" s="26"/>
      <c r="W45" s="26"/>
      <c r="X45" s="26"/>
    </row>
    <row r="46" spans="2:24">
      <c r="B46" s="5" t="s">
        <v>505</v>
      </c>
      <c r="C46" s="207"/>
      <c r="D46" s="208">
        <f>(D31+D32)/D11</f>
        <v>3.9786149446723859E-2</v>
      </c>
      <c r="E46" s="208">
        <f>(E31+E32)/E11</f>
        <v>5.10493618598548E-2</v>
      </c>
      <c r="F46" s="208">
        <f>(F31+F32)/F11</f>
        <v>5.3937771839627065E-2</v>
      </c>
      <c r="G46" s="208">
        <f>(G31+G32)/G11</f>
        <v>5.487081104691751E-2</v>
      </c>
      <c r="H46" s="233">
        <f>((G31+G32)/(D31+D32))^(1/3)-1</f>
        <v>0.11310591346473964</v>
      </c>
      <c r="I46" s="207"/>
      <c r="J46" s="5"/>
      <c r="K46" s="5"/>
      <c r="L46" s="5"/>
      <c r="M46" s="5"/>
      <c r="N46" s="5"/>
      <c r="O46" s="5"/>
      <c r="Q46" s="5"/>
      <c r="R46" s="5"/>
      <c r="S46" s="26"/>
      <c r="T46" s="26"/>
      <c r="U46" s="26"/>
      <c r="V46" s="26"/>
      <c r="W46" s="26"/>
      <c r="X46" s="26"/>
    </row>
    <row r="47" spans="2:24">
      <c r="B47" s="5" t="s">
        <v>482</v>
      </c>
      <c r="C47" s="5"/>
      <c r="D47" s="208">
        <f>1/D43</f>
        <v>5.3071324970602324E-2</v>
      </c>
      <c r="E47" s="208">
        <f>1/E43</f>
        <v>6.4722520593870805E-2</v>
      </c>
      <c r="F47" s="208">
        <f>1/F43</f>
        <v>7.0296894301507498E-2</v>
      </c>
      <c r="G47" s="208">
        <f>1/G43</f>
        <v>7.296825326151625E-2</v>
      </c>
      <c r="H47" s="13">
        <f>H29</f>
        <v>0.11196556902656685</v>
      </c>
      <c r="I47" s="13"/>
      <c r="J47" s="217"/>
      <c r="K47" s="217"/>
      <c r="L47" s="217"/>
      <c r="M47" s="217"/>
      <c r="N47" s="217"/>
      <c r="O47" s="14"/>
      <c r="Q47" s="5"/>
      <c r="R47" s="5"/>
      <c r="S47" s="26"/>
      <c r="T47" s="26"/>
      <c r="U47" s="26"/>
      <c r="V47" s="26"/>
      <c r="W47" s="26"/>
      <c r="X47" s="26"/>
    </row>
    <row r="48" spans="2:24">
      <c r="B48" s="5" t="s">
        <v>518</v>
      </c>
      <c r="C48" s="5"/>
      <c r="D48" s="248">
        <f>D31/D29</f>
        <v>0.74967318921776505</v>
      </c>
      <c r="E48" s="248">
        <f>E31/E29</f>
        <v>0.78874186900392673</v>
      </c>
      <c r="F48" s="248">
        <f>F31/F29</f>
        <v>0.76728527448573747</v>
      </c>
      <c r="G48" s="248">
        <f>G31/G29</f>
        <v>0.75198197290350377</v>
      </c>
      <c r="H48" s="233" t="s">
        <v>507</v>
      </c>
      <c r="I48" s="207"/>
      <c r="J48" s="13"/>
      <c r="K48" s="13"/>
      <c r="L48" s="13"/>
      <c r="M48" s="13"/>
      <c r="N48" s="13"/>
      <c r="O48" s="5"/>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BEF1C-C59E-4EDF-9728-A90CD06D489B}">
  <sheetPr codeName="Sheet19">
    <pageSetUpPr fitToPage="1"/>
  </sheetPr>
  <dimension ref="B1:AA48"/>
  <sheetViews>
    <sheetView showGridLines="0" zoomScale="80" zoomScaleNormal="80" zoomScaleSheetLayoutView="80" workbookViewId="0">
      <selection activeCell="H26" sqref="H26"/>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1315</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224</v>
      </c>
      <c r="C9" s="221">
        <f>Prices!C23</f>
        <v>51.78</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27">
      <c r="B10" s="5" t="s">
        <v>226</v>
      </c>
      <c r="C10" s="5"/>
      <c r="D10" s="408">
        <v>385.32400000000001</v>
      </c>
      <c r="E10" s="408">
        <v>385.32400000000001</v>
      </c>
      <c r="F10" s="408">
        <v>385.32400000000001</v>
      </c>
      <c r="G10" s="408">
        <v>385.32400000000001</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27">
      <c r="B11" s="25" t="s">
        <v>227</v>
      </c>
      <c r="C11" s="5"/>
      <c r="D11" s="409">
        <f>$C$9*D10</f>
        <v>19952.076720000001</v>
      </c>
      <c r="E11" s="409">
        <f>$C$9*E10</f>
        <v>19952.076720000001</v>
      </c>
      <c r="F11" s="409">
        <f>$C$9*F10</f>
        <v>19952.076720000001</v>
      </c>
      <c r="G11" s="409">
        <f>$C$9*G10</f>
        <v>19952.076720000001</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27">
      <c r="B12" s="5" t="s">
        <v>22</v>
      </c>
      <c r="C12" s="209"/>
      <c r="D12" s="410">
        <v>4204</v>
      </c>
      <c r="E12" s="410">
        <v>3127.525513118695</v>
      </c>
      <c r="F12" s="410">
        <v>2141.1924902724541</v>
      </c>
      <c r="G12" s="410">
        <v>984.03494212240798</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27">
      <c r="B13" s="5" t="s">
        <v>433</v>
      </c>
      <c r="C13" s="216"/>
      <c r="D13" s="410">
        <v>3226.0586564387977</v>
      </c>
      <c r="E13" s="410">
        <v>3226.0586564387977</v>
      </c>
      <c r="F13" s="410">
        <v>3226.0586564387977</v>
      </c>
      <c r="G13" s="410">
        <v>3226.0586564387977</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27">
      <c r="B14" s="5" t="s">
        <v>436</v>
      </c>
      <c r="C14" s="216"/>
      <c r="D14" s="414">
        <f>BOUYSOP!J27</f>
        <v>930</v>
      </c>
      <c r="E14" s="410">
        <f>D14</f>
        <v>930</v>
      </c>
      <c r="F14" s="410">
        <f t="shared" ref="F14:G14" si="2">E14</f>
        <v>930</v>
      </c>
      <c r="G14" s="410">
        <f t="shared" si="2"/>
        <v>930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27">
      <c r="B15" s="5" t="s">
        <v>435</v>
      </c>
      <c r="C15" s="228"/>
      <c r="D15" s="414">
        <f>-BOUYSOP!J26</f>
        <v>1955.0094605235211</v>
      </c>
      <c r="E15" s="410">
        <f t="shared" ref="E15:G15" si="3">D15</f>
        <v>1955.0094605235211</v>
      </c>
      <c r="F15" s="410">
        <f t="shared" si="3"/>
        <v>1955.0094605235211</v>
      </c>
      <c r="G15" s="410">
        <f t="shared" si="3"/>
        <v>1955.0094605235211</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27">
      <c r="B16" s="5" t="s">
        <v>438</v>
      </c>
      <c r="C16" s="216"/>
      <c r="D16" s="410">
        <v>0</v>
      </c>
      <c r="E16" s="410">
        <v>809.18040000000008</v>
      </c>
      <c r="F16" s="410">
        <v>1658.8198200000002</v>
      </c>
      <c r="G16" s="410">
        <v>2550.9412110000003</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0</v>
      </c>
      <c r="E17" s="410">
        <v>0</v>
      </c>
      <c r="F17" s="410">
        <v>0</v>
      </c>
      <c r="G17" s="410">
        <v>0</v>
      </c>
      <c r="H17" s="207"/>
      <c r="I17" s="207"/>
      <c r="J17" s="5" t="s">
        <v>481</v>
      </c>
      <c r="L17" s="14">
        <f>'W.EUR OTHER'!D45</f>
        <v>3.8590223701861853E-2</v>
      </c>
      <c r="M17" s="14">
        <f>'W.EUR OTHER'!E45</f>
        <v>3.991085519827961E-2</v>
      </c>
      <c r="N17" s="14">
        <f>'W.EUR OTHER'!F45</f>
        <v>4.0904800170073315E-2</v>
      </c>
      <c r="O17" s="14">
        <f>'W.EUR OTHER'!G45</f>
        <v>4.3230152986554353E-2</v>
      </c>
      <c r="P17" s="233">
        <f>'W.EUR OTHER'!H45</f>
        <v>3.8610043639548675E-2</v>
      </c>
      <c r="S17" s="72"/>
      <c r="T17" s="26"/>
      <c r="U17" s="26"/>
      <c r="V17" s="26"/>
      <c r="W17" s="26"/>
      <c r="X17" s="26"/>
    </row>
    <row r="18" spans="2:24" ht="12.6" thickBot="1">
      <c r="B18" s="25" t="s">
        <v>484</v>
      </c>
      <c r="C18" s="209"/>
      <c r="D18" s="411">
        <f>D11+D12+D13-D14+D15-D16-D17</f>
        <v>28407.144836962318</v>
      </c>
      <c r="E18" s="411">
        <f>E11+E12+E13-E14+E15-E16-E17</f>
        <v>26521.489950081017</v>
      </c>
      <c r="F18" s="411">
        <f>F11+F12+F13-F14+F15-F16-F17</f>
        <v>24685.517507234774</v>
      </c>
      <c r="G18" s="411">
        <f>G11+G12+G13-G14+G15-G16-G17</f>
        <v>22636.238568084726</v>
      </c>
      <c r="H18" s="230">
        <f>IF(D18=0,"nm",IF(G18=0,"nm",(G18/D18)^(1/3)-1))</f>
        <v>-7.290218197018361E-2</v>
      </c>
      <c r="I18" s="214"/>
      <c r="J18" s="5" t="s">
        <v>33</v>
      </c>
      <c r="L18" s="14">
        <f>'W.EUR OTHER'!D46</f>
        <v>3.8590223701861853E-2</v>
      </c>
      <c r="M18" s="14">
        <f>'W.EUR OTHER'!E46</f>
        <v>3.991085519827961E-2</v>
      </c>
      <c r="N18" s="14">
        <f>'W.EUR OTHER'!F46</f>
        <v>4.0904800170073315E-2</v>
      </c>
      <c r="O18" s="14">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14">
        <f>'W.EUR OTHER'!D47</f>
        <v>4.8783814997563159E-2</v>
      </c>
      <c r="M19" s="14">
        <f>'W.EUR OTHER'!E47</f>
        <v>5.6728872810737699E-2</v>
      </c>
      <c r="N19" s="14">
        <f>'W.EUR OTHER'!F47</f>
        <v>6.0988354301615699E-2</v>
      </c>
      <c r="O19" s="14">
        <f>'W.EUR OTHER'!G47</f>
        <v>7.0093986646525455E-2</v>
      </c>
      <c r="P19" s="233">
        <f>'W.EUR OTHER'!H47</f>
        <v>0.12188256435252187</v>
      </c>
      <c r="S19" s="72"/>
      <c r="T19" s="26"/>
      <c r="U19" s="26"/>
      <c r="V19" s="26"/>
      <c r="W19" s="26"/>
      <c r="X19" s="26"/>
    </row>
    <row r="20" spans="2:24">
      <c r="H20" s="231"/>
      <c r="I20" s="13"/>
      <c r="J20" s="5" t="s">
        <v>504</v>
      </c>
      <c r="L20" s="425">
        <f>'W.EUR OTHER'!D48</f>
        <v>0.87902307367406518</v>
      </c>
      <c r="M20" s="425">
        <f>'W.EUR OTHER'!E48</f>
        <v>0.79495173962574728</v>
      </c>
      <c r="N20" s="425">
        <f>'W.EUR OTHER'!F48</f>
        <v>0.75813237303844561</v>
      </c>
      <c r="O20" s="425">
        <f>'W.EUR OTHER'!G48</f>
        <v>0.69745410320818402</v>
      </c>
      <c r="P20" s="233" t="str">
        <f>'W.EUR OTHER'!H48</f>
        <v>nm</v>
      </c>
      <c r="S20" s="72"/>
      <c r="T20" s="26"/>
      <c r="U20" s="26"/>
      <c r="V20" s="26"/>
      <c r="W20" s="26"/>
      <c r="X20" s="26"/>
    </row>
    <row r="21" spans="2:24" ht="12.6" thickBot="1">
      <c r="B21" s="249" t="s">
        <v>757</v>
      </c>
      <c r="C21" s="219"/>
      <c r="D21" s="219" t="str">
        <f>D5</f>
        <v>2025E</v>
      </c>
      <c r="E21" s="219" t="str">
        <f t="shared" ref="E21:H21" si="4">E5</f>
        <v>2026E</v>
      </c>
      <c r="F21" s="219" t="str">
        <f t="shared" si="4"/>
        <v>2027E</v>
      </c>
      <c r="G21" s="219" t="str">
        <f t="shared" si="4"/>
        <v>2028E</v>
      </c>
      <c r="H21" s="219" t="str">
        <f t="shared" si="4"/>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56752</v>
      </c>
      <c r="D23" s="416">
        <v>56877</v>
      </c>
      <c r="E23" s="416">
        <v>57625.33667425056</v>
      </c>
      <c r="F23" s="416">
        <v>58918.183074251094</v>
      </c>
      <c r="G23" s="416">
        <v>60411.139030732062</v>
      </c>
      <c r="H23" s="233">
        <f t="shared" ref="H23:H32" si="5">IF(D23=0,"nm",IF(G23=0,"nm",(G23/D23)^(1/3)-1))</f>
        <v>2.0297402452326585E-2</v>
      </c>
      <c r="I23" s="207"/>
      <c r="J23" s="249" t="s">
        <v>7</v>
      </c>
      <c r="K23" s="249"/>
      <c r="L23" s="219" t="str">
        <f>D21</f>
        <v>2025E</v>
      </c>
      <c r="M23" s="219" t="str">
        <f t="shared" ref="M23:P23" si="6">E21</f>
        <v>2026E</v>
      </c>
      <c r="N23" s="219" t="str">
        <f t="shared" si="6"/>
        <v>2027E</v>
      </c>
      <c r="O23" s="219" t="str">
        <f t="shared" si="6"/>
        <v>2028E</v>
      </c>
      <c r="P23" s="219" t="str">
        <f t="shared" si="6"/>
        <v>2025-28</v>
      </c>
      <c r="S23" s="72"/>
      <c r="T23" s="26"/>
      <c r="U23" s="26"/>
      <c r="V23" s="26"/>
      <c r="W23" s="26"/>
      <c r="X23" s="26"/>
    </row>
    <row r="24" spans="2:24" ht="12.6" thickTop="1">
      <c r="B24" s="5" t="s">
        <v>1194</v>
      </c>
      <c r="C24" s="422">
        <v>4737</v>
      </c>
      <c r="D24" s="416">
        <v>5124</v>
      </c>
      <c r="E24" s="416">
        <v>5180.8671969180787</v>
      </c>
      <c r="F24" s="416">
        <v>5426.3483473464821</v>
      </c>
      <c r="G24" s="416">
        <v>5830.0916638709459</v>
      </c>
      <c r="H24" s="233">
        <f t="shared" si="5"/>
        <v>4.3971767355378111E-2</v>
      </c>
      <c r="I24" s="209"/>
      <c r="J24" s="13"/>
      <c r="K24" s="13"/>
      <c r="L24" s="13"/>
      <c r="M24" s="13"/>
      <c r="N24" s="13"/>
      <c r="O24" s="208"/>
      <c r="S24" s="72"/>
      <c r="T24" s="26"/>
      <c r="U24" s="26"/>
      <c r="V24" s="26"/>
      <c r="W24" s="26" t="s">
        <v>1316</v>
      </c>
      <c r="X24" s="26" t="s">
        <v>210</v>
      </c>
    </row>
    <row r="25" spans="2:24">
      <c r="B25" s="5" t="s">
        <v>157</v>
      </c>
      <c r="C25" s="422">
        <v>2435</v>
      </c>
      <c r="D25" s="416">
        <v>2885</v>
      </c>
      <c r="E25" s="416">
        <v>3036.1145325903785</v>
      </c>
      <c r="F25" s="416">
        <v>3305.9606357768721</v>
      </c>
      <c r="G25" s="416">
        <v>3764.9060198867296</v>
      </c>
      <c r="H25" s="233">
        <f t="shared" si="5"/>
        <v>9.2788478291361498E-2</v>
      </c>
      <c r="I25" s="208"/>
      <c r="J25" s="207" t="s">
        <v>8</v>
      </c>
      <c r="K25" s="207"/>
      <c r="L25" s="252">
        <v>0</v>
      </c>
      <c r="M25" s="252">
        <v>0</v>
      </c>
      <c r="N25" s="252">
        <v>0</v>
      </c>
      <c r="O25" s="252">
        <v>0</v>
      </c>
      <c r="P25" s="233" t="str">
        <f>IF(L25=0,"nm",IF(O25=0,"nm",(O25/L25)^(1/3)-1))</f>
        <v>nm</v>
      </c>
      <c r="S25" s="72"/>
      <c r="T25" s="26"/>
      <c r="U25" s="26"/>
      <c r="V25" s="113" t="s">
        <v>225</v>
      </c>
      <c r="W25" s="242">
        <f>D37/L9</f>
        <v>0.37091302897538386</v>
      </c>
      <c r="X25" s="242">
        <v>1</v>
      </c>
    </row>
    <row r="26" spans="2:24">
      <c r="B26" s="5" t="s">
        <v>487</v>
      </c>
      <c r="C26" s="422">
        <v>1759.2874999999999</v>
      </c>
      <c r="D26" s="416">
        <v>2077.1999999999998</v>
      </c>
      <c r="E26" s="416">
        <v>2186.0024634650727</v>
      </c>
      <c r="F26" s="416">
        <v>2380.2916577593478</v>
      </c>
      <c r="G26" s="416">
        <v>2710.7323343184453</v>
      </c>
      <c r="H26" s="233">
        <f t="shared" si="5"/>
        <v>9.2788478291361498E-2</v>
      </c>
      <c r="I26" s="209"/>
      <c r="J26" s="209" t="s">
        <v>9</v>
      </c>
      <c r="K26" s="209"/>
      <c r="L26" s="235">
        <f>D11+L25</f>
        <v>19952.076720000001</v>
      </c>
      <c r="M26" s="235">
        <f>E11+M25</f>
        <v>19952.076720000001</v>
      </c>
      <c r="N26" s="235">
        <f>F11+N25</f>
        <v>19952.076720000001</v>
      </c>
      <c r="O26" s="235">
        <f>G11+O25</f>
        <v>19952.076720000001</v>
      </c>
      <c r="P26" s="233">
        <f>IF(L26=0,"nm",IF(O26=0,"nm",(O26/L26)^(1/3)-1))</f>
        <v>0</v>
      </c>
      <c r="Q26" s="5"/>
      <c r="S26" s="72"/>
      <c r="T26" s="26"/>
      <c r="U26" s="26"/>
      <c r="V26" s="113" t="s">
        <v>158</v>
      </c>
      <c r="W26" s="242">
        <f t="shared" ref="W26:W33" si="7">D38/L10</f>
        <v>0.83150349729670858</v>
      </c>
      <c r="X26" s="242">
        <v>1</v>
      </c>
    </row>
    <row r="27" spans="2:24">
      <c r="B27" s="5" t="s">
        <v>488</v>
      </c>
      <c r="C27" s="422">
        <v>6066</v>
      </c>
      <c r="D27" s="416">
        <v>4204</v>
      </c>
      <c r="E27" s="416">
        <v>3127.525513118695</v>
      </c>
      <c r="F27" s="416">
        <v>2141.1924902724541</v>
      </c>
      <c r="G27" s="416">
        <v>984.03494212240798</v>
      </c>
      <c r="H27" s="233">
        <f t="shared" si="5"/>
        <v>-0.38371357123802863</v>
      </c>
      <c r="I27" s="209"/>
      <c r="J27" s="208"/>
      <c r="K27" s="208"/>
      <c r="L27" s="208"/>
      <c r="M27" s="208"/>
      <c r="N27" s="208"/>
      <c r="O27" s="208"/>
      <c r="Q27" s="25"/>
      <c r="S27" s="72"/>
      <c r="T27" s="26"/>
      <c r="U27" s="26"/>
      <c r="V27" s="113" t="s">
        <v>159</v>
      </c>
      <c r="W27" s="242">
        <f t="shared" si="7"/>
        <v>0.6264052739547693</v>
      </c>
      <c r="X27" s="242">
        <v>1</v>
      </c>
    </row>
    <row r="28" spans="2:24" ht="12.6" thickBot="1">
      <c r="B28" s="5" t="s">
        <v>492</v>
      </c>
      <c r="C28" s="422">
        <v>0</v>
      </c>
      <c r="D28" s="416">
        <v>0</v>
      </c>
      <c r="E28" s="416">
        <v>0</v>
      </c>
      <c r="F28" s="416">
        <v>0</v>
      </c>
      <c r="G28" s="416">
        <v>0</v>
      </c>
      <c r="H28" s="233" t="str">
        <f t="shared" si="5"/>
        <v>nm</v>
      </c>
      <c r="I28" s="208"/>
      <c r="J28" s="249" t="s">
        <v>1073</v>
      </c>
      <c r="K28" s="249"/>
      <c r="L28" s="249"/>
      <c r="M28" s="249"/>
      <c r="N28" s="220"/>
      <c r="O28" s="220"/>
      <c r="P28" s="220"/>
      <c r="Q28" s="5"/>
      <c r="S28" s="72"/>
      <c r="T28" s="26"/>
      <c r="U28" s="26"/>
      <c r="V28" s="113" t="s">
        <v>381</v>
      </c>
      <c r="W28" s="242">
        <f t="shared" si="7"/>
        <v>0.64721974926623405</v>
      </c>
      <c r="X28" s="242">
        <v>1</v>
      </c>
    </row>
    <row r="29" spans="2:24" ht="12.6" thickTop="1">
      <c r="B29" s="5" t="s">
        <v>489</v>
      </c>
      <c r="C29" s="422">
        <v>902.26034482758621</v>
      </c>
      <c r="D29" s="416">
        <v>1232.2603448275863</v>
      </c>
      <c r="E29" s="416">
        <v>1234.915231708892</v>
      </c>
      <c r="F29" s="416">
        <v>1427.7076709747444</v>
      </c>
      <c r="G29" s="416">
        <v>1756.0102205832836</v>
      </c>
      <c r="H29" s="233">
        <f t="shared" si="5"/>
        <v>0.12531693724734772</v>
      </c>
      <c r="I29" s="212"/>
      <c r="J29" s="209"/>
      <c r="K29" s="209"/>
      <c r="L29" s="209"/>
      <c r="M29" s="209"/>
      <c r="N29" s="209"/>
      <c r="O29" s="211"/>
      <c r="Q29" s="5"/>
      <c r="S29" s="72"/>
      <c r="T29" s="26"/>
      <c r="U29" s="26"/>
      <c r="V29" s="113" t="s">
        <v>434</v>
      </c>
      <c r="W29" s="242">
        <f t="shared" si="7"/>
        <v>5.5748711888675997</v>
      </c>
      <c r="X29" s="242">
        <v>1</v>
      </c>
    </row>
    <row r="30" spans="2:24">
      <c r="B30" s="5" t="s">
        <v>490</v>
      </c>
      <c r="C30" s="422">
        <v>1132</v>
      </c>
      <c r="D30" s="416">
        <v>1462</v>
      </c>
      <c r="E30" s="416">
        <v>1464.6548868813056</v>
      </c>
      <c r="F30" s="416">
        <v>1657.447326147158</v>
      </c>
      <c r="G30" s="416">
        <v>1985.7498757556973</v>
      </c>
      <c r="H30" s="233">
        <f t="shared" si="5"/>
        <v>0.10745407064746515</v>
      </c>
      <c r="I30" s="214"/>
      <c r="J30" s="208"/>
      <c r="K30" s="208"/>
      <c r="L30" s="208"/>
      <c r="M30" s="208"/>
      <c r="N30" s="208"/>
      <c r="O30" s="5"/>
      <c r="Q30" s="5"/>
      <c r="S30" s="72"/>
      <c r="T30" s="26"/>
      <c r="U30" s="26"/>
      <c r="V30" s="113" t="s">
        <v>493</v>
      </c>
      <c r="W30" s="242" t="e">
        <f t="shared" si="7"/>
        <v>#VALUE!</v>
      </c>
      <c r="X30" s="242">
        <v>1</v>
      </c>
    </row>
    <row r="31" spans="2:24">
      <c r="B31" s="5" t="s">
        <v>491</v>
      </c>
      <c r="C31" s="422">
        <v>757.91600000000005</v>
      </c>
      <c r="D31" s="416">
        <v>809.18040000000008</v>
      </c>
      <c r="E31" s="416">
        <v>849.63942000000009</v>
      </c>
      <c r="F31" s="416">
        <v>892.12139100000013</v>
      </c>
      <c r="G31" s="416">
        <v>936.72746055000016</v>
      </c>
      <c r="H31" s="233">
        <f>IF(D31=0,"nm",IF(G31=0,"nm",(G31/D31)^(1/3)-1))</f>
        <v>5.0000000000000044E-2</v>
      </c>
      <c r="I31" s="214"/>
      <c r="J31" s="212"/>
      <c r="K31" s="212"/>
      <c r="L31" s="212"/>
      <c r="M31" s="212"/>
      <c r="N31" s="212"/>
      <c r="O31" s="5"/>
      <c r="Q31" s="5"/>
      <c r="S31" s="72"/>
      <c r="T31" s="26"/>
      <c r="U31" s="26"/>
      <c r="V31" s="113" t="s">
        <v>390</v>
      </c>
      <c r="W31" s="242">
        <f t="shared" si="7"/>
        <v>0.78988050180406721</v>
      </c>
      <c r="X31" s="242">
        <v>1</v>
      </c>
    </row>
    <row r="32" spans="2:24">
      <c r="B32" s="5" t="s">
        <v>506</v>
      </c>
      <c r="C32" s="424">
        <v>0</v>
      </c>
      <c r="D32" s="416">
        <v>0</v>
      </c>
      <c r="E32" s="416">
        <v>0</v>
      </c>
      <c r="F32" s="416">
        <v>0</v>
      </c>
      <c r="G32" s="416">
        <v>0</v>
      </c>
      <c r="H32" s="233" t="str">
        <f t="shared" si="5"/>
        <v>nm</v>
      </c>
      <c r="I32" s="214"/>
      <c r="J32" s="214"/>
      <c r="K32" s="214"/>
      <c r="L32" s="214"/>
      <c r="M32" s="214"/>
      <c r="N32" s="214"/>
      <c r="O32" s="211"/>
      <c r="Q32" s="5"/>
      <c r="S32" s="72"/>
      <c r="T32" s="26"/>
      <c r="U32" s="26"/>
      <c r="V32" s="113" t="s">
        <v>437</v>
      </c>
      <c r="W32" s="242">
        <f t="shared" si="7"/>
        <v>0.57849331034593976</v>
      </c>
      <c r="X32" s="242">
        <v>1</v>
      </c>
    </row>
    <row r="33" spans="2:24">
      <c r="B33" s="5" t="s">
        <v>3</v>
      </c>
      <c r="C33" s="422">
        <v>187</v>
      </c>
      <c r="D33" s="416">
        <v>212</v>
      </c>
      <c r="E33" s="416">
        <v>205.64941192189917</v>
      </c>
      <c r="F33" s="416">
        <v>185.73823835026411</v>
      </c>
      <c r="G33" s="416">
        <v>165.91412578159571</v>
      </c>
      <c r="H33" s="233">
        <f>IF(D33=0,"nm",IF(G33=0,"nm",(G33/D33)^(1/3)-1))</f>
        <v>-7.8456513118849047E-2</v>
      </c>
      <c r="I33" s="5"/>
      <c r="J33" s="214"/>
      <c r="K33" s="214"/>
      <c r="L33" s="214"/>
      <c r="M33" s="214"/>
      <c r="N33" s="214"/>
      <c r="O33" s="211"/>
      <c r="Q33" s="5"/>
      <c r="S33" s="72"/>
      <c r="T33" s="26"/>
      <c r="U33" s="26"/>
      <c r="V33" s="113" t="s">
        <v>481</v>
      </c>
      <c r="W33" s="242">
        <f t="shared" si="7"/>
        <v>1.0509449133562334</v>
      </c>
      <c r="X33" s="242">
        <v>1</v>
      </c>
    </row>
    <row r="34" spans="2:24">
      <c r="I34" s="33"/>
      <c r="J34" s="214"/>
      <c r="K34" s="214"/>
      <c r="L34" s="214"/>
      <c r="M34" s="214"/>
      <c r="N34" s="214"/>
      <c r="O34" s="211"/>
      <c r="Q34" s="5"/>
      <c r="S34" s="72"/>
      <c r="T34" s="26"/>
      <c r="U34" s="26"/>
      <c r="V34" s="113" t="s">
        <v>482</v>
      </c>
      <c r="W34" s="242">
        <f>D47/L19</f>
        <v>1.2660142866117408</v>
      </c>
      <c r="X34" s="242">
        <v>1</v>
      </c>
    </row>
    <row r="35" spans="2:24" ht="12.6" thickBot="1">
      <c r="B35" s="249" t="s">
        <v>1317</v>
      </c>
      <c r="C35" s="219"/>
      <c r="D35" s="219" t="str">
        <f>D5</f>
        <v>2025E</v>
      </c>
      <c r="E35" s="219" t="str">
        <f t="shared" ref="E35:H35" si="8">E5</f>
        <v>2026E</v>
      </c>
      <c r="F35" s="219" t="str">
        <f t="shared" si="8"/>
        <v>2027E</v>
      </c>
      <c r="G35" s="219" t="str">
        <f t="shared" si="8"/>
        <v>2028E</v>
      </c>
      <c r="H35" s="219" t="str">
        <f t="shared" si="8"/>
        <v>2025-28</v>
      </c>
      <c r="I35" s="214"/>
      <c r="J35" s="5"/>
      <c r="K35" s="5"/>
      <c r="L35" s="5"/>
      <c r="M35" s="5"/>
      <c r="N35" s="5"/>
      <c r="O35" s="5"/>
      <c r="Q35" s="5"/>
      <c r="S35" s="72"/>
      <c r="T35" s="26"/>
      <c r="U35" s="26"/>
      <c r="V35" s="26"/>
      <c r="W35" s="242"/>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0.49944871981578348</v>
      </c>
      <c r="E37" s="406">
        <f t="shared" ref="E37:G41" si="9">E$18/E23</f>
        <v>0.46024008675218625</v>
      </c>
      <c r="F37" s="406">
        <f t="shared" si="9"/>
        <v>0.41897961239105219</v>
      </c>
      <c r="G37" s="406">
        <f t="shared" si="9"/>
        <v>0.37470305859602032</v>
      </c>
      <c r="H37" s="13">
        <f t="shared" ref="H37:H45" si="10">H23</f>
        <v>2.0297402452326585E-2</v>
      </c>
      <c r="I37" s="5"/>
      <c r="J37" s="217"/>
      <c r="K37" s="217"/>
      <c r="L37" s="217"/>
      <c r="M37" s="217"/>
      <c r="N37" s="217"/>
      <c r="O37" s="14"/>
      <c r="Q37" s="5"/>
      <c r="R37" s="5"/>
      <c r="S37" s="26"/>
      <c r="T37" s="26"/>
      <c r="U37" s="26"/>
      <c r="V37" s="26"/>
      <c r="W37" s="26"/>
      <c r="X37" s="26"/>
    </row>
    <row r="38" spans="2:24">
      <c r="B38" s="5" t="s">
        <v>158</v>
      </c>
      <c r="C38" s="207"/>
      <c r="D38" s="406">
        <f t="shared" ref="D38:D39" si="11">D$18/D24</f>
        <v>5.5439392734118496</v>
      </c>
      <c r="E38" s="406">
        <f t="shared" si="9"/>
        <v>5.1191217497058696</v>
      </c>
      <c r="F38" s="406">
        <f t="shared" si="9"/>
        <v>4.5491951358607752</v>
      </c>
      <c r="G38" s="406">
        <f t="shared" si="9"/>
        <v>3.8826556893369966</v>
      </c>
      <c r="H38" s="13">
        <f t="shared" si="10"/>
        <v>4.3971767355378111E-2</v>
      </c>
      <c r="I38" s="217"/>
      <c r="J38" s="13"/>
      <c r="K38" s="13"/>
      <c r="L38" s="13"/>
      <c r="M38" s="13"/>
      <c r="N38" s="13"/>
      <c r="O38" s="5"/>
      <c r="Q38" s="5"/>
      <c r="R38" s="5"/>
      <c r="S38" s="26"/>
      <c r="T38" s="26"/>
      <c r="U38" s="26"/>
      <c r="V38" s="26"/>
      <c r="W38" s="26"/>
      <c r="X38" s="26"/>
    </row>
    <row r="39" spans="2:24">
      <c r="B39" s="5" t="s">
        <v>159</v>
      </c>
      <c r="C39" s="207"/>
      <c r="D39" s="406">
        <f t="shared" si="11"/>
        <v>9.8464973438344252</v>
      </c>
      <c r="E39" s="406">
        <f t="shared" si="9"/>
        <v>8.7353390873081391</v>
      </c>
      <c r="F39" s="406">
        <f t="shared" si="9"/>
        <v>7.4669726070207396</v>
      </c>
      <c r="G39" s="406">
        <f t="shared" si="9"/>
        <v>6.0124312395892838</v>
      </c>
      <c r="H39" s="13">
        <f t="shared" si="10"/>
        <v>9.2788478291361498E-2</v>
      </c>
      <c r="I39" s="13"/>
      <c r="J39" s="5"/>
      <c r="K39" s="5"/>
      <c r="L39" s="5"/>
      <c r="M39" s="5"/>
      <c r="N39" s="5"/>
      <c r="O39" s="5"/>
      <c r="Q39" s="5"/>
      <c r="R39" s="5"/>
      <c r="S39" s="26"/>
      <c r="T39" s="26"/>
      <c r="U39" s="26"/>
      <c r="V39" s="26"/>
      <c r="W39" s="26"/>
      <c r="X39" s="26"/>
    </row>
    <row r="40" spans="2:24">
      <c r="B40" s="5" t="s">
        <v>381</v>
      </c>
      <c r="C40" s="207"/>
      <c r="D40" s="406">
        <f>D$18/D26</f>
        <v>13.675690755325592</v>
      </c>
      <c r="E40" s="406">
        <f>E$18/E26</f>
        <v>12.132415399039083</v>
      </c>
      <c r="F40" s="406">
        <f t="shared" si="9"/>
        <v>10.370795287528805</v>
      </c>
      <c r="G40" s="406">
        <f t="shared" si="9"/>
        <v>8.3505989438740045</v>
      </c>
      <c r="H40" s="13">
        <f>H26</f>
        <v>9.2788478291361498E-2</v>
      </c>
      <c r="I40" s="5"/>
      <c r="J40" s="217"/>
      <c r="K40" s="217"/>
      <c r="L40" s="217"/>
      <c r="M40" s="217"/>
      <c r="N40" s="217"/>
      <c r="O40" s="14"/>
      <c r="Q40" s="5"/>
      <c r="R40" s="5"/>
      <c r="S40" s="26"/>
      <c r="T40" s="26"/>
      <c r="U40" s="26"/>
      <c r="V40" s="26"/>
      <c r="W40" s="242"/>
      <c r="X40" s="242"/>
    </row>
    <row r="41" spans="2:24">
      <c r="B41" s="5" t="s">
        <v>434</v>
      </c>
      <c r="C41" s="207"/>
      <c r="D41" s="406">
        <f>D$18/D27</f>
        <v>6.7571705130738149</v>
      </c>
      <c r="E41" s="406">
        <f>E$18/E27</f>
        <v>8.480023532608822</v>
      </c>
      <c r="F41" s="406">
        <f t="shared" si="9"/>
        <v>11.528864228406521</v>
      </c>
      <c r="G41" s="406">
        <f t="shared" si="9"/>
        <v>23.003490627336802</v>
      </c>
      <c r="H41" s="13">
        <f t="shared" si="10"/>
        <v>-0.38371357123802863</v>
      </c>
      <c r="I41" s="207"/>
      <c r="J41" s="13"/>
      <c r="K41" s="13"/>
      <c r="L41" s="13"/>
      <c r="M41" s="13"/>
      <c r="N41" s="13"/>
      <c r="O41" s="5"/>
      <c r="Q41" s="5"/>
      <c r="R41" s="5"/>
      <c r="S41" s="26"/>
      <c r="T41" s="26"/>
      <c r="U41" s="26"/>
      <c r="V41" s="26"/>
      <c r="W41" s="242"/>
      <c r="X41" s="242"/>
    </row>
    <row r="42" spans="2:24">
      <c r="B42" s="5" t="s">
        <v>493</v>
      </c>
      <c r="C42" s="207"/>
      <c r="D42" s="406" t="str">
        <f>IFERROR(D18/D28,"N/A")</f>
        <v>N/A</v>
      </c>
      <c r="E42" s="406" t="str">
        <f t="shared" ref="E42:G42" si="12">IFERROR(E18/E28,"N/A")</f>
        <v>N/A</v>
      </c>
      <c r="F42" s="406" t="str">
        <f t="shared" si="12"/>
        <v>N/A</v>
      </c>
      <c r="G42" s="406" t="str">
        <f t="shared" si="12"/>
        <v>N/A</v>
      </c>
      <c r="H42" s="13" t="str">
        <f t="shared" si="10"/>
        <v>nm</v>
      </c>
      <c r="I42" s="208"/>
      <c r="J42" s="5"/>
      <c r="K42" s="5"/>
      <c r="L42" s="5"/>
      <c r="M42" s="5"/>
      <c r="N42" s="5"/>
      <c r="O42" s="5"/>
      <c r="Q42" s="5"/>
      <c r="R42" s="5"/>
      <c r="S42" s="26"/>
      <c r="T42" s="26"/>
      <c r="U42" s="26"/>
      <c r="V42" s="26"/>
      <c r="W42" s="242"/>
      <c r="X42" s="242"/>
    </row>
    <row r="43" spans="2:24">
      <c r="B43" s="5" t="s">
        <v>390</v>
      </c>
      <c r="C43" s="207"/>
      <c r="D43" s="406">
        <f>L26/D29</f>
        <v>16.191445909745337</v>
      </c>
      <c r="E43" s="406">
        <f>M26/E29</f>
        <v>16.15663667245407</v>
      </c>
      <c r="F43" s="406">
        <f>N26/F29</f>
        <v>13.974903354254616</v>
      </c>
      <c r="G43" s="406">
        <f>O26/G29</f>
        <v>11.36216434627165</v>
      </c>
      <c r="H43" s="13">
        <f t="shared" si="10"/>
        <v>0.12531693724734772</v>
      </c>
      <c r="I43" s="207"/>
      <c r="J43" s="207"/>
      <c r="K43" s="207"/>
      <c r="L43" s="207"/>
      <c r="M43" s="207"/>
      <c r="N43" s="207"/>
      <c r="O43" s="14"/>
      <c r="Q43" s="5"/>
      <c r="R43" s="5"/>
      <c r="S43" s="26"/>
      <c r="T43" s="26"/>
      <c r="U43" s="26"/>
      <c r="V43" s="26"/>
      <c r="W43" s="242"/>
      <c r="X43" s="242"/>
    </row>
    <row r="44" spans="2:24">
      <c r="B44" s="5" t="s">
        <v>437</v>
      </c>
      <c r="C44" s="53"/>
      <c r="D44" s="406">
        <f>D11/D30</f>
        <v>13.647111299589604</v>
      </c>
      <c r="E44" s="406">
        <f>E11/E30</f>
        <v>13.622374047775871</v>
      </c>
      <c r="F44" s="406">
        <f>F11/F30</f>
        <v>12.037834569608842</v>
      </c>
      <c r="G44" s="406">
        <f>G11/G30</f>
        <v>10.047628336074823</v>
      </c>
      <c r="H44" s="13">
        <f t="shared" si="10"/>
        <v>0.10745407064746515</v>
      </c>
      <c r="I44" s="207"/>
      <c r="J44" s="208"/>
      <c r="K44" s="208"/>
      <c r="L44" s="208"/>
      <c r="M44" s="208"/>
      <c r="N44" s="208"/>
      <c r="O44" s="208"/>
      <c r="Q44" s="5"/>
      <c r="R44" s="5"/>
      <c r="S44" s="26"/>
      <c r="T44" s="26"/>
      <c r="U44" s="26"/>
      <c r="V44" s="26"/>
      <c r="W44" s="255"/>
      <c r="X44" s="255"/>
    </row>
    <row r="45" spans="2:24">
      <c r="B45" s="5" t="s">
        <v>481</v>
      </c>
      <c r="C45" s="207"/>
      <c r="D45" s="208">
        <f>D31/D11</f>
        <v>4.0556199304750871E-2</v>
      </c>
      <c r="E45" s="208">
        <f>E31/E11</f>
        <v>4.2584009269988413E-2</v>
      </c>
      <c r="F45" s="208">
        <f>F31/F11</f>
        <v>4.4713209733487837E-2</v>
      </c>
      <c r="G45" s="208">
        <f>G31/G11</f>
        <v>4.6948870220162232E-2</v>
      </c>
      <c r="H45" s="13">
        <f t="shared" si="10"/>
        <v>5.0000000000000044E-2</v>
      </c>
      <c r="I45" s="208"/>
      <c r="J45" s="207"/>
      <c r="K45" s="207"/>
      <c r="L45" s="207"/>
      <c r="M45" s="207"/>
      <c r="N45" s="207"/>
      <c r="O45" s="208"/>
      <c r="Q45" s="5"/>
      <c r="R45" s="5"/>
      <c r="S45" s="26"/>
      <c r="T45" s="26"/>
      <c r="U45" s="26"/>
      <c r="V45" s="26"/>
      <c r="W45" s="26"/>
      <c r="X45" s="26"/>
    </row>
    <row r="46" spans="2:24">
      <c r="B46" s="5" t="s">
        <v>505</v>
      </c>
      <c r="C46" s="207"/>
      <c r="D46" s="208">
        <f>(D31+D32)/D11</f>
        <v>4.0556199304750871E-2</v>
      </c>
      <c r="E46" s="208">
        <f>(E31+E32)/E11</f>
        <v>4.2584009269988413E-2</v>
      </c>
      <c r="F46" s="208">
        <f>(F31+F32)/F11</f>
        <v>4.4713209733487837E-2</v>
      </c>
      <c r="G46" s="208">
        <f>(G31+G32)/G11</f>
        <v>4.6948870220162232E-2</v>
      </c>
      <c r="H46" s="233">
        <f>((G31+G32)/(D31+D32))^(1/3)-1</f>
        <v>5.0000000000000044E-2</v>
      </c>
      <c r="I46" s="207"/>
      <c r="J46" s="207"/>
      <c r="K46" s="207"/>
      <c r="L46" s="207"/>
      <c r="M46" s="207"/>
      <c r="N46" s="207"/>
      <c r="O46" s="14"/>
      <c r="Q46" s="5"/>
      <c r="R46" s="5"/>
      <c r="S46" s="26"/>
      <c r="T46" s="26"/>
      <c r="U46" s="26"/>
      <c r="V46" s="26"/>
      <c r="W46" s="26"/>
      <c r="X46" s="26"/>
    </row>
    <row r="47" spans="2:24">
      <c r="B47" s="5" t="s">
        <v>482</v>
      </c>
      <c r="C47" s="5"/>
      <c r="D47" s="208">
        <f>1/D43</f>
        <v>6.1761006742339065E-2</v>
      </c>
      <c r="E47" s="208">
        <f>1/E43</f>
        <v>6.1894069927618645E-2</v>
      </c>
      <c r="F47" s="208">
        <f>1/F43</f>
        <v>7.1556845485843956E-2</v>
      </c>
      <c r="G47" s="208">
        <f>1/G43</f>
        <v>8.8011400779301113E-2</v>
      </c>
      <c r="H47" s="13">
        <f>H29</f>
        <v>0.12531693724734772</v>
      </c>
      <c r="I47" s="13"/>
      <c r="J47" s="208"/>
      <c r="K47" s="208"/>
      <c r="L47" s="208"/>
      <c r="M47" s="208"/>
      <c r="N47" s="208"/>
      <c r="O47" s="208"/>
      <c r="Q47" s="5"/>
      <c r="R47" s="5"/>
      <c r="S47" s="26"/>
      <c r="T47" s="26"/>
      <c r="U47" s="26"/>
      <c r="V47" s="26"/>
      <c r="W47" s="26"/>
      <c r="X47" s="26"/>
    </row>
    <row r="48" spans="2:24">
      <c r="B48" s="5" t="s">
        <v>518</v>
      </c>
      <c r="C48" s="5"/>
      <c r="D48" s="248">
        <f>D31/D29</f>
        <v>0.65666350734772516</v>
      </c>
      <c r="E48" s="248">
        <f>E31/E29</f>
        <v>0.68801436583161901</v>
      </c>
      <c r="F48" s="248">
        <f>F31/F29</f>
        <v>0.62486278468400935</v>
      </c>
      <c r="G48" s="248">
        <f>G31/G29</f>
        <v>0.53344077931326217</v>
      </c>
      <c r="H48" s="233" t="s">
        <v>507</v>
      </c>
      <c r="I48" s="207"/>
      <c r="J48" s="207"/>
      <c r="K48" s="207"/>
      <c r="L48" s="207"/>
      <c r="M48" s="207"/>
      <c r="N48" s="207"/>
      <c r="O48" s="208"/>
      <c r="Q48" s="5"/>
      <c r="R48" s="5"/>
      <c r="S48" s="26"/>
      <c r="T48" s="26"/>
      <c r="U48" s="26"/>
      <c r="V48" s="26"/>
      <c r="W48" s="26"/>
      <c r="X48" s="26"/>
    </row>
  </sheetData>
  <pageMargins left="0.75" right="0.75" top="1" bottom="1" header="0.5" footer="0.5"/>
  <pageSetup scale="66"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494</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801</v>
      </c>
      <c r="C9" s="221">
        <f>Prices!C8</f>
        <v>224.04999999999998</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27">
      <c r="B10" s="5" t="s">
        <v>226</v>
      </c>
      <c r="C10" s="5"/>
      <c r="D10" s="408">
        <v>9701.2383300000001</v>
      </c>
      <c r="E10" s="408">
        <v>9671.2383300000001</v>
      </c>
      <c r="F10" s="408">
        <v>9641.2383300000001</v>
      </c>
      <c r="G10" s="408">
        <v>9611.2383300000001</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27">
      <c r="B11" s="25" t="s">
        <v>802</v>
      </c>
      <c r="C11" s="5"/>
      <c r="D11" s="409">
        <f>$C$9*D10/100</f>
        <v>21735.624478364996</v>
      </c>
      <c r="E11" s="409">
        <f t="shared" ref="E11:G11" si="2">$C$9*E10/100</f>
        <v>21668.409478364996</v>
      </c>
      <c r="F11" s="409">
        <f t="shared" si="2"/>
        <v>21601.194478364996</v>
      </c>
      <c r="G11" s="409">
        <f t="shared" si="2"/>
        <v>21533.979478364996</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27">
      <c r="B12" s="5" t="s">
        <v>22</v>
      </c>
      <c r="C12" s="209"/>
      <c r="D12" s="410">
        <v>16037.517717964649</v>
      </c>
      <c r="E12" s="410">
        <v>16271.285539481712</v>
      </c>
      <c r="F12" s="410">
        <v>16145.111685797445</v>
      </c>
      <c r="G12" s="410">
        <v>15982.568544609829</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27">
      <c r="B13" s="5" t="s">
        <v>433</v>
      </c>
      <c r="C13" s="216"/>
      <c r="D13" s="410">
        <v>3512.7339063989471</v>
      </c>
      <c r="E13" s="410">
        <v>2885.0600531783798</v>
      </c>
      <c r="F13" s="410">
        <v>2216.4321262581111</v>
      </c>
      <c r="G13" s="410">
        <v>1531.142942356089</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27">
      <c r="B14" s="5" t="s">
        <v>436</v>
      </c>
      <c r="C14" s="216"/>
      <c r="D14" s="410">
        <v>0</v>
      </c>
      <c r="E14" s="410">
        <v>0</v>
      </c>
      <c r="F14" s="410">
        <v>0</v>
      </c>
      <c r="G14" s="410">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27">
      <c r="B15" s="5" t="s">
        <v>435</v>
      </c>
      <c r="C15" s="228"/>
      <c r="D15" s="410">
        <v>0</v>
      </c>
      <c r="E15" s="410">
        <v>0</v>
      </c>
      <c r="F15" s="410">
        <v>0</v>
      </c>
      <c r="G15" s="410">
        <v>0</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27">
      <c r="B16" s="5" t="s">
        <v>438</v>
      </c>
      <c r="C16" s="216"/>
      <c r="D16" s="410">
        <v>242.14290871680001</v>
      </c>
      <c r="E16" s="410">
        <v>1076.7497037897599</v>
      </c>
      <c r="F16" s="410">
        <v>1988.2759467392639</v>
      </c>
      <c r="G16" s="410">
        <v>3078.7108814786689</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0</v>
      </c>
      <c r="E17" s="410">
        <v>0</v>
      </c>
      <c r="F17" s="410">
        <v>0</v>
      </c>
      <c r="G17" s="410">
        <v>0</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803</v>
      </c>
      <c r="C18" s="209"/>
      <c r="D18" s="411">
        <f>D11+D12+D13-D14+D15-D16-D17</f>
        <v>41043.733194011795</v>
      </c>
      <c r="E18" s="411">
        <f>E11+E12+E13-E14+E15-E16-E17</f>
        <v>39748.005367235324</v>
      </c>
      <c r="F18" s="411">
        <f>F11+F12+F13-F14+F15-F16-F17</f>
        <v>37974.462343681291</v>
      </c>
      <c r="G18" s="411">
        <f>G11+G12+G13-G14+G15-G16-G17</f>
        <v>35968.980083852242</v>
      </c>
      <c r="H18" s="230">
        <f>IF(D18=0,"nm",IF(G18=0,"nm",(G18/D18)^(1/3)-1))</f>
        <v>-4.3040064359258778E-2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761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20369</v>
      </c>
      <c r="D23" s="416">
        <v>19824.02437603108</v>
      </c>
      <c r="E23" s="416">
        <v>19647.94143149069</v>
      </c>
      <c r="F23" s="416">
        <v>19469.655584867909</v>
      </c>
      <c r="G23" s="416">
        <v>19308.576337577455</v>
      </c>
      <c r="H23" s="233">
        <f t="shared" ref="H23:H32" si="4">IF(D23=0,"nm",IF(G23=0,"nm",(G23/D23)^(1/3)-1))</f>
        <v>-8.7432824010660326E-3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1194</v>
      </c>
      <c r="C24" s="422">
        <v>7149</v>
      </c>
      <c r="D24" s="416">
        <v>7167.4142044534847</v>
      </c>
      <c r="E24" s="416">
        <v>7332.2372338677933</v>
      </c>
      <c r="F24" s="416">
        <v>7393.654189470979</v>
      </c>
      <c r="G24" s="416">
        <v>7359.6120308555173</v>
      </c>
      <c r="H24" s="233">
        <f t="shared" si="4"/>
        <v>8.8597740191094232E-3</v>
      </c>
      <c r="I24" s="209"/>
      <c r="J24" s="13"/>
      <c r="K24" s="13"/>
      <c r="L24" s="13"/>
      <c r="M24" s="13"/>
      <c r="N24" s="13"/>
      <c r="O24" s="208"/>
      <c r="S24" s="72"/>
      <c r="T24" s="26"/>
      <c r="U24" s="26"/>
      <c r="V24" s="26"/>
      <c r="W24" s="26" t="s">
        <v>235</v>
      </c>
      <c r="X24" s="26" t="s">
        <v>204</v>
      </c>
    </row>
    <row r="25" spans="2:24">
      <c r="B25" s="5" t="s">
        <v>157</v>
      </c>
      <c r="C25" s="422">
        <v>2194</v>
      </c>
      <c r="D25" s="416">
        <v>2057.340016328485</v>
      </c>
      <c r="E25" s="416">
        <v>2979.8584809927934</v>
      </c>
      <c r="F25" s="416">
        <v>3395.1822402209791</v>
      </c>
      <c r="G25" s="416">
        <v>3686.1842801505168</v>
      </c>
      <c r="H25" s="233">
        <f t="shared" si="4"/>
        <v>0.21457309486903919</v>
      </c>
      <c r="I25" s="208"/>
      <c r="J25" s="207" t="s">
        <v>8</v>
      </c>
      <c r="K25" s="207"/>
      <c r="L25" s="252">
        <v>1634.5786739166406</v>
      </c>
      <c r="M25" s="252">
        <v>1553.0450659928038</v>
      </c>
      <c r="N25" s="252">
        <v>1465.1075468819486</v>
      </c>
      <c r="O25" s="252">
        <v>1370.265600903557</v>
      </c>
      <c r="P25" s="233">
        <f>IF(L25=0,"nm",IF(O25=0,"nm",(O25/L25)^(1/3)-1))</f>
        <v>-5.7098538344478422E-2</v>
      </c>
      <c r="S25" s="72"/>
      <c r="T25" s="26"/>
      <c r="U25" s="26"/>
      <c r="V25" s="113" t="s">
        <v>225</v>
      </c>
      <c r="W25" s="242">
        <f>D37/L9</f>
        <v>0.79279364394281338</v>
      </c>
      <c r="X25" s="242">
        <v>1</v>
      </c>
    </row>
    <row r="26" spans="2:24">
      <c r="B26" s="5" t="s">
        <v>487</v>
      </c>
      <c r="C26" s="422">
        <v>1739.0885529157667</v>
      </c>
      <c r="D26" s="416">
        <v>1543.0050122463638</v>
      </c>
      <c r="E26" s="416">
        <v>2234.8938607445953</v>
      </c>
      <c r="F26" s="416">
        <v>2546.3866801657341</v>
      </c>
      <c r="G26" s="416">
        <v>2764.6382101128875</v>
      </c>
      <c r="H26" s="233">
        <f t="shared" si="4"/>
        <v>0.21457309486903919</v>
      </c>
      <c r="I26" s="209"/>
      <c r="J26" s="209" t="s">
        <v>9</v>
      </c>
      <c r="K26" s="209"/>
      <c r="L26" s="235">
        <f>D11+L25</f>
        <v>23370.203152281636</v>
      </c>
      <c r="M26" s="235">
        <f>E11+M25</f>
        <v>23221.454544357799</v>
      </c>
      <c r="N26" s="235">
        <f>F11+N25</f>
        <v>23066.302025246943</v>
      </c>
      <c r="O26" s="235">
        <f>G11+O25</f>
        <v>22904.245079268552</v>
      </c>
      <c r="P26" s="233">
        <f>IF(L26=0,"nm",IF(O26=0,"nm",(O26/L26)^(1/3)-1))</f>
        <v>-6.6907079911876499E-3</v>
      </c>
      <c r="Q26" s="5"/>
      <c r="S26" s="72"/>
      <c r="T26" s="26"/>
      <c r="U26" s="26"/>
      <c r="V26" s="113" t="s">
        <v>158</v>
      </c>
      <c r="W26" s="242">
        <f t="shared" ref="W26:W33" si="6">D38/L10</f>
        <v>0.74395110792275587</v>
      </c>
      <c r="X26" s="242">
        <v>1</v>
      </c>
    </row>
    <row r="27" spans="2:24">
      <c r="B27" s="5" t="s">
        <v>488</v>
      </c>
      <c r="C27" s="422">
        <v>28096</v>
      </c>
      <c r="D27" s="416">
        <v>29390.665752008783</v>
      </c>
      <c r="E27" s="416">
        <v>30293.317002004951</v>
      </c>
      <c r="F27" s="416">
        <v>30527.653276460471</v>
      </c>
      <c r="G27" s="416">
        <v>30504.359182604101</v>
      </c>
      <c r="H27" s="233">
        <f t="shared" si="4"/>
        <v>1.2474655727553463E-2</v>
      </c>
      <c r="I27" s="209"/>
      <c r="J27" s="208"/>
      <c r="K27" s="208"/>
      <c r="L27" s="208"/>
      <c r="M27" s="208"/>
      <c r="N27" s="208"/>
      <c r="O27" s="208"/>
      <c r="Q27" s="25"/>
      <c r="S27" s="72"/>
      <c r="T27" s="26"/>
      <c r="U27" s="26"/>
      <c r="V27" s="113" t="s">
        <v>159</v>
      </c>
      <c r="W27" s="242">
        <f t="shared" si="6"/>
        <v>1.3583354111820263</v>
      </c>
      <c r="X27" s="242">
        <v>1</v>
      </c>
    </row>
    <row r="28" spans="2:24" ht="12.6" thickBot="1">
      <c r="B28" s="5" t="s">
        <v>492</v>
      </c>
      <c r="C28" s="422">
        <v>23380</v>
      </c>
      <c r="D28" s="416">
        <v>24122.80993225026</v>
      </c>
      <c r="E28" s="416">
        <v>24307.363596526284</v>
      </c>
      <c r="F28" s="416">
        <v>24233.651076491122</v>
      </c>
      <c r="G28" s="416">
        <v>23955.802217730765</v>
      </c>
      <c r="H28" s="233">
        <f t="shared" si="4"/>
        <v>-2.3130889405749144E-3</v>
      </c>
      <c r="I28" s="208"/>
      <c r="J28" s="249" t="s">
        <v>1073</v>
      </c>
      <c r="K28" s="249"/>
      <c r="L28" s="249"/>
      <c r="M28" s="249"/>
      <c r="N28" s="220"/>
      <c r="O28" s="220"/>
      <c r="P28" s="220"/>
      <c r="Q28" s="5"/>
      <c r="S28" s="72"/>
      <c r="T28" s="26"/>
      <c r="U28" s="26"/>
      <c r="V28" s="113" t="s">
        <v>381</v>
      </c>
      <c r="W28" s="242">
        <f t="shared" si="6"/>
        <v>1.341375135888506</v>
      </c>
      <c r="X28" s="242">
        <v>1</v>
      </c>
    </row>
    <row r="29" spans="2:24" ht="12.6" thickTop="1">
      <c r="B29" s="5" t="s">
        <v>489</v>
      </c>
      <c r="C29" s="422">
        <v>1297.7337659580003</v>
      </c>
      <c r="D29" s="416">
        <v>819.47515526969005</v>
      </c>
      <c r="E29" s="416">
        <v>1523.1497051851836</v>
      </c>
      <c r="F29" s="416">
        <v>1841.8198130003677</v>
      </c>
      <c r="G29" s="416">
        <v>2098.3533505608325</v>
      </c>
      <c r="H29" s="233">
        <f t="shared" si="4"/>
        <v>0.36808876736615703</v>
      </c>
      <c r="I29" s="212"/>
      <c r="J29" s="209"/>
      <c r="K29" s="209"/>
      <c r="L29" s="209"/>
      <c r="M29" s="209"/>
      <c r="N29" s="209"/>
      <c r="O29" s="211"/>
      <c r="Q29" s="5"/>
      <c r="S29" s="72"/>
      <c r="T29" s="26"/>
      <c r="U29" s="26"/>
      <c r="V29" s="113" t="s">
        <v>434</v>
      </c>
      <c r="W29" s="242">
        <f t="shared" si="6"/>
        <v>0.8462577242424395</v>
      </c>
      <c r="X29" s="242">
        <v>1</v>
      </c>
    </row>
    <row r="30" spans="2:24">
      <c r="B30" s="5" t="s">
        <v>490</v>
      </c>
      <c r="C30" s="422">
        <v>1794.583765958</v>
      </c>
      <c r="D30" s="416">
        <v>1621.1461572784729</v>
      </c>
      <c r="E30" s="416">
        <v>1605.4570315655462</v>
      </c>
      <c r="F30" s="416">
        <v>1552.1265210765373</v>
      </c>
      <c r="G30" s="416">
        <v>1555.5016695484364</v>
      </c>
      <c r="H30" s="233">
        <f t="shared" si="4"/>
        <v>-1.368394285033947E-2</v>
      </c>
      <c r="I30" s="214"/>
      <c r="J30" s="208"/>
      <c r="K30" s="208"/>
      <c r="L30" s="208"/>
      <c r="M30" s="208"/>
      <c r="N30" s="208"/>
      <c r="O30" s="5"/>
      <c r="Q30" s="5"/>
      <c r="S30" s="72"/>
      <c r="T30" s="26"/>
      <c r="U30" s="26"/>
      <c r="V30" s="113" t="s">
        <v>493</v>
      </c>
      <c r="W30" s="242">
        <f t="shared" si="6"/>
        <v>0.44927434270088096</v>
      </c>
      <c r="X30" s="242">
        <v>1</v>
      </c>
    </row>
    <row r="31" spans="2:24">
      <c r="B31" s="5" t="s">
        <v>491</v>
      </c>
      <c r="C31" s="422">
        <v>793.96704772800001</v>
      </c>
      <c r="D31" s="416">
        <v>823.28588963712002</v>
      </c>
      <c r="E31" s="416">
        <v>861.7769681189759</v>
      </c>
      <c r="F31" s="416">
        <v>1030.9245025427711</v>
      </c>
      <c r="G31" s="416">
        <v>1233.2599720113251</v>
      </c>
      <c r="H31" s="233">
        <f>IF(D31=0,"nm",IF(G31=0,"nm",(G31/D31)^(1/3)-1))</f>
        <v>0.14419836078751258</v>
      </c>
      <c r="I31" s="214"/>
      <c r="J31" s="212"/>
      <c r="K31" s="212"/>
      <c r="L31" s="212"/>
      <c r="M31" s="212"/>
      <c r="N31" s="212"/>
      <c r="O31" s="5"/>
      <c r="Q31" s="5"/>
      <c r="S31" s="72"/>
      <c r="T31" s="26"/>
      <c r="U31" s="26"/>
      <c r="V31" s="113" t="s">
        <v>390</v>
      </c>
      <c r="W31" s="242">
        <f t="shared" si="6"/>
        <v>1.6088342044810391</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0.94791528299737426</v>
      </c>
      <c r="X32" s="242">
        <v>1</v>
      </c>
    </row>
    <row r="33" spans="2:24">
      <c r="B33" s="5" t="s">
        <v>3</v>
      </c>
      <c r="C33" s="422">
        <v>716.11623404199997</v>
      </c>
      <c r="D33" s="416">
        <v>880.84155863263675</v>
      </c>
      <c r="E33" s="416">
        <v>917.46469445242724</v>
      </c>
      <c r="F33" s="416">
        <v>979.9820979450991</v>
      </c>
      <c r="G33" s="416">
        <v>1039.4242043785393</v>
      </c>
      <c r="H33" s="233">
        <f>IF(D33=0,"nm",IF(G33=0,"nm",(G33/D33)^(1/3)-1))</f>
        <v>5.6732366745919416E-2</v>
      </c>
      <c r="I33" s="5"/>
      <c r="J33" s="214"/>
      <c r="K33" s="214"/>
      <c r="L33" s="214"/>
      <c r="M33" s="214"/>
      <c r="N33" s="214"/>
      <c r="O33" s="211"/>
      <c r="Q33" s="5"/>
      <c r="S33" s="72"/>
      <c r="T33" s="26"/>
      <c r="U33" s="26"/>
      <c r="V33" s="113" t="s">
        <v>481</v>
      </c>
      <c r="W33" s="242">
        <f t="shared" si="6"/>
        <v>0.985518551053989</v>
      </c>
      <c r="X33" s="242">
        <v>1</v>
      </c>
    </row>
    <row r="34" spans="2:24">
      <c r="I34" s="33"/>
      <c r="J34" s="214"/>
      <c r="K34" s="214"/>
      <c r="L34" s="214"/>
      <c r="M34" s="214"/>
      <c r="N34" s="214"/>
      <c r="O34" s="211"/>
      <c r="Q34" s="5"/>
      <c r="S34" s="72"/>
      <c r="T34" s="26"/>
      <c r="U34" s="26"/>
      <c r="V34" s="113" t="s">
        <v>482</v>
      </c>
      <c r="W34" s="242">
        <f>D47/L19</f>
        <v>0.62156808775865724</v>
      </c>
      <c r="X34" s="242">
        <v>1</v>
      </c>
    </row>
    <row r="35" spans="2:24" ht="12.6" thickBot="1">
      <c r="B35" s="249" t="s">
        <v>500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42"/>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2.0704036887503596</v>
      </c>
      <c r="E37" s="406">
        <f t="shared" ref="E37:G41" si="8">E$18/E23</f>
        <v>2.023011189535068</v>
      </c>
      <c r="F37" s="406">
        <f t="shared" si="8"/>
        <v>1.9504434569040645</v>
      </c>
      <c r="G37" s="406">
        <f t="shared" si="8"/>
        <v>1.8628499302587671</v>
      </c>
      <c r="H37" s="13">
        <f t="shared" ref="H37:H45" si="9">H23</f>
        <v>-8.7432824010660326E-3</v>
      </c>
      <c r="I37" s="5"/>
      <c r="J37" s="217"/>
      <c r="K37" s="217"/>
      <c r="L37" s="217"/>
      <c r="M37" s="217"/>
      <c r="N37" s="217"/>
      <c r="O37" s="14"/>
      <c r="Q37" s="5"/>
      <c r="R37" s="5"/>
      <c r="S37" s="26"/>
      <c r="T37" s="26"/>
      <c r="U37" s="26"/>
      <c r="V37" s="26"/>
      <c r="W37" s="26"/>
      <c r="X37" s="26"/>
    </row>
    <row r="38" spans="2:24">
      <c r="B38" s="5" t="s">
        <v>158</v>
      </c>
      <c r="C38" s="207"/>
      <c r="D38" s="406">
        <f>D$18/D24</f>
        <v>5.7264352279946653</v>
      </c>
      <c r="E38" s="406">
        <f t="shared" si="8"/>
        <v>5.4209928156222578</v>
      </c>
      <c r="F38" s="406">
        <f t="shared" si="8"/>
        <v>5.1360885119240871</v>
      </c>
      <c r="G38" s="406">
        <f t="shared" si="8"/>
        <v>4.8873473130173997</v>
      </c>
      <c r="H38" s="13">
        <f t="shared" si="9"/>
        <v>8.8597740191094232E-3</v>
      </c>
      <c r="I38" s="217"/>
      <c r="J38" s="13"/>
      <c r="K38" s="13"/>
      <c r="L38" s="13"/>
      <c r="M38" s="13"/>
      <c r="N38" s="13"/>
      <c r="O38" s="5"/>
      <c r="Q38" s="5"/>
      <c r="R38" s="5"/>
      <c r="S38" s="26"/>
      <c r="T38" s="26"/>
      <c r="U38" s="26"/>
      <c r="V38" s="26"/>
      <c r="W38" s="26"/>
      <c r="X38" s="26"/>
    </row>
    <row r="39" spans="2:24">
      <c r="B39" s="5" t="s">
        <v>159</v>
      </c>
      <c r="C39" s="207"/>
      <c r="D39" s="406">
        <f t="shared" ref="D39" si="10">D$18/D25</f>
        <v>19.949902723059925</v>
      </c>
      <c r="E39" s="406">
        <f t="shared" si="8"/>
        <v>13.338890293203644</v>
      </c>
      <c r="F39" s="406">
        <f t="shared" si="8"/>
        <v>11.184808253830193</v>
      </c>
      <c r="G39" s="406">
        <f t="shared" si="8"/>
        <v>9.7577813126541599</v>
      </c>
      <c r="H39" s="13">
        <f t="shared" si="9"/>
        <v>0.21457309486903919</v>
      </c>
      <c r="I39" s="13"/>
      <c r="J39" s="5"/>
      <c r="K39" s="5"/>
      <c r="L39" s="5"/>
      <c r="M39" s="5"/>
      <c r="N39" s="5"/>
      <c r="O39" s="5"/>
      <c r="Q39" s="5"/>
      <c r="R39" s="5"/>
      <c r="S39" s="26"/>
      <c r="T39" s="26"/>
      <c r="U39" s="26"/>
      <c r="V39" s="26"/>
      <c r="W39" s="26"/>
      <c r="X39" s="26"/>
    </row>
    <row r="40" spans="2:24">
      <c r="B40" s="5" t="s">
        <v>381</v>
      </c>
      <c r="C40" s="207"/>
      <c r="D40" s="406">
        <f>D$18/D26</f>
        <v>26.599870297413233</v>
      </c>
      <c r="E40" s="406">
        <f>E$18/E26</f>
        <v>17.785187057604855</v>
      </c>
      <c r="F40" s="406">
        <f t="shared" si="8"/>
        <v>14.913077671773591</v>
      </c>
      <c r="G40" s="406">
        <f t="shared" si="8"/>
        <v>13.010375083538882</v>
      </c>
      <c r="H40" s="13">
        <f>H26</f>
        <v>0.21457309486903919</v>
      </c>
      <c r="I40" s="5"/>
      <c r="J40" s="217"/>
      <c r="K40" s="217"/>
      <c r="L40" s="217"/>
      <c r="M40" s="217"/>
      <c r="N40" s="217"/>
      <c r="O40" s="14"/>
      <c r="Q40" s="5"/>
      <c r="R40" s="5"/>
      <c r="S40" s="26"/>
      <c r="T40" s="26"/>
      <c r="U40" s="26"/>
      <c r="V40" s="26"/>
      <c r="W40" s="242"/>
      <c r="X40" s="242"/>
    </row>
    <row r="41" spans="2:24">
      <c r="B41" s="5" t="s">
        <v>434</v>
      </c>
      <c r="C41" s="207"/>
      <c r="D41" s="406">
        <f>D$18/D27</f>
        <v>1.3964887199333533</v>
      </c>
      <c r="E41" s="406">
        <f>E$18/E27</f>
        <v>1.312104757778906</v>
      </c>
      <c r="F41" s="406">
        <f t="shared" si="8"/>
        <v>1.2439365056914797</v>
      </c>
      <c r="G41" s="406">
        <f t="shared" si="8"/>
        <v>1.1791422946647074</v>
      </c>
      <c r="H41" s="13">
        <f t="shared" si="9"/>
        <v>1.2474655727553463E-2</v>
      </c>
      <c r="I41" s="207"/>
      <c r="J41" s="13"/>
      <c r="K41" s="13"/>
      <c r="L41" s="13"/>
      <c r="M41" s="13"/>
      <c r="N41" s="13"/>
      <c r="O41" s="5"/>
      <c r="Q41" s="5"/>
      <c r="R41" s="5"/>
      <c r="S41" s="26"/>
      <c r="T41" s="26"/>
      <c r="U41" s="26"/>
      <c r="V41" s="26"/>
      <c r="W41" s="242"/>
      <c r="X41" s="242"/>
    </row>
    <row r="42" spans="2:24">
      <c r="B42" s="5" t="s">
        <v>493</v>
      </c>
      <c r="C42" s="207"/>
      <c r="D42" s="406">
        <f>D18/D28</f>
        <v>1.7014490977329975</v>
      </c>
      <c r="E42" s="406">
        <f>E18/E28</f>
        <v>1.6352248654772099</v>
      </c>
      <c r="F42" s="406">
        <f>F18/F28</f>
        <v>1.5670136631008946</v>
      </c>
      <c r="G42" s="406">
        <f>G18/G28</f>
        <v>1.501472576745102</v>
      </c>
      <c r="H42" s="13">
        <f t="shared" si="9"/>
        <v>-2.3130889405749144E-3</v>
      </c>
      <c r="I42" s="208"/>
      <c r="J42" s="5"/>
      <c r="K42" s="5"/>
      <c r="L42" s="5"/>
      <c r="M42" s="5"/>
      <c r="N42" s="5"/>
      <c r="O42" s="5"/>
      <c r="Q42" s="5"/>
      <c r="R42" s="5"/>
      <c r="S42" s="26"/>
      <c r="T42" s="26"/>
      <c r="U42" s="26"/>
      <c r="V42" s="26"/>
      <c r="W42" s="242"/>
      <c r="X42" s="242"/>
    </row>
    <row r="43" spans="2:24">
      <c r="B43" s="5" t="s">
        <v>390</v>
      </c>
      <c r="C43" s="207"/>
      <c r="D43" s="406">
        <f>L26/D29</f>
        <v>28.51850114307673</v>
      </c>
      <c r="E43" s="406">
        <f>M26/E29</f>
        <v>15.2456810156652</v>
      </c>
      <c r="F43" s="406">
        <f>N26/F29</f>
        <v>12.523647461296116</v>
      </c>
      <c r="G43" s="406">
        <f>O26/G29</f>
        <v>10.91534229597073</v>
      </c>
      <c r="H43" s="13">
        <f t="shared" si="9"/>
        <v>0.36808876736615703</v>
      </c>
      <c r="I43" s="207"/>
      <c r="J43" s="207"/>
      <c r="K43" s="207"/>
      <c r="L43" s="207"/>
      <c r="M43" s="207"/>
      <c r="N43" s="207"/>
      <c r="O43" s="14"/>
      <c r="Q43" s="5"/>
      <c r="R43" s="5"/>
      <c r="S43" s="26"/>
      <c r="T43" s="26"/>
      <c r="U43" s="26"/>
      <c r="V43" s="26"/>
      <c r="W43" s="242"/>
      <c r="X43" s="242"/>
    </row>
    <row r="44" spans="2:24">
      <c r="B44" s="5" t="s">
        <v>437</v>
      </c>
      <c r="C44" s="53"/>
      <c r="D44" s="406">
        <f>D11/D30</f>
        <v>13.407566233789835</v>
      </c>
      <c r="E44" s="406">
        <f>E11/E30</f>
        <v>13.496723395477767</v>
      </c>
      <c r="F44" s="406">
        <f>F11/F30</f>
        <v>13.917160866101723</v>
      </c>
      <c r="G44" s="406">
        <f>G11/G30</f>
        <v>13.843752083285343</v>
      </c>
      <c r="H44" s="13">
        <f t="shared" si="9"/>
        <v>-1.368394285033947E-2</v>
      </c>
      <c r="I44" s="207"/>
      <c r="J44" s="208"/>
      <c r="K44" s="208"/>
      <c r="L44" s="208"/>
      <c r="M44" s="208"/>
      <c r="N44" s="208"/>
      <c r="O44" s="208"/>
      <c r="Q44" s="5"/>
      <c r="R44" s="5"/>
      <c r="S44" s="26"/>
      <c r="T44" s="26"/>
      <c r="U44" s="26"/>
      <c r="V44" s="26"/>
      <c r="W44" s="255"/>
      <c r="X44" s="255"/>
    </row>
    <row r="45" spans="2:24">
      <c r="B45" s="5" t="s">
        <v>481</v>
      </c>
      <c r="C45" s="207"/>
      <c r="D45" s="208">
        <f>D31/D11</f>
        <v>3.7877259540281191E-2</v>
      </c>
      <c r="E45" s="208">
        <f>E31/E11</f>
        <v>3.9771122517295247E-2</v>
      </c>
      <c r="F45" s="208">
        <f>F31/F11</f>
        <v>4.7725347020754295E-2</v>
      </c>
      <c r="G45" s="208">
        <f>G31/G11</f>
        <v>5.727041642490515E-2</v>
      </c>
      <c r="H45" s="13">
        <f t="shared" si="9"/>
        <v>0.14419836078751258</v>
      </c>
      <c r="I45" s="208"/>
      <c r="J45" s="207"/>
      <c r="K45" s="207"/>
      <c r="L45" s="207"/>
      <c r="M45" s="207"/>
      <c r="N45" s="207"/>
      <c r="O45" s="208"/>
      <c r="Q45" s="5"/>
      <c r="R45" s="5"/>
      <c r="S45" s="26"/>
      <c r="T45" s="26"/>
      <c r="U45" s="26"/>
      <c r="V45" s="26"/>
      <c r="W45" s="26"/>
      <c r="X45" s="26"/>
    </row>
    <row r="46" spans="2:24">
      <c r="B46" s="5" t="s">
        <v>505</v>
      </c>
      <c r="C46" s="207"/>
      <c r="D46" s="208">
        <f>(D31+D32)/D11</f>
        <v>3.7877259540281191E-2</v>
      </c>
      <c r="E46" s="208">
        <f>(E31+E32)/E11</f>
        <v>3.9771122517295247E-2</v>
      </c>
      <c r="F46" s="208">
        <f>(F31+F32)/F11</f>
        <v>4.7725347020754295E-2</v>
      </c>
      <c r="G46" s="208">
        <f>(G31+G32)/G11</f>
        <v>5.727041642490515E-2</v>
      </c>
      <c r="H46" s="233">
        <f>((G31+G32)/(D31+D32))^(1/3)-1</f>
        <v>0.14419836078751258</v>
      </c>
      <c r="I46" s="207"/>
      <c r="J46" s="207"/>
      <c r="K46" s="207"/>
      <c r="L46" s="207"/>
      <c r="M46" s="207"/>
      <c r="N46" s="207"/>
      <c r="O46" s="14"/>
      <c r="Q46" s="5"/>
      <c r="R46" s="5"/>
      <c r="S46" s="26"/>
      <c r="T46" s="26"/>
      <c r="U46" s="26"/>
      <c r="V46" s="26"/>
      <c r="W46" s="26"/>
      <c r="X46" s="26"/>
    </row>
    <row r="47" spans="2:24">
      <c r="B47" s="5" t="s">
        <v>482</v>
      </c>
      <c r="C47" s="5"/>
      <c r="D47" s="208">
        <f>1/D43</f>
        <v>3.506495642891682E-2</v>
      </c>
      <c r="E47" s="208">
        <f>1/E43</f>
        <v>6.5592347037333576E-2</v>
      </c>
      <c r="F47" s="208">
        <f>1/F43</f>
        <v>7.984894201872611E-2</v>
      </c>
      <c r="G47" s="208">
        <f>1/G43</f>
        <v>9.161416773609915E-2</v>
      </c>
      <c r="H47" s="13">
        <f>H29</f>
        <v>0.36808876736615703</v>
      </c>
      <c r="I47" s="13"/>
      <c r="J47" s="208"/>
      <c r="K47" s="208"/>
      <c r="L47" s="208"/>
      <c r="M47" s="208"/>
      <c r="N47" s="208"/>
      <c r="O47" s="208"/>
      <c r="Q47" s="5"/>
      <c r="R47" s="5"/>
      <c r="S47" s="26"/>
      <c r="T47" s="26"/>
      <c r="U47" s="26"/>
      <c r="V47" s="26"/>
      <c r="W47" s="26"/>
      <c r="X47" s="26"/>
    </row>
    <row r="48" spans="2:24">
      <c r="B48" s="5" t="s">
        <v>518</v>
      </c>
      <c r="C48" s="5"/>
      <c r="D48" s="248">
        <f>D31/D29</f>
        <v>1.0046502134237076</v>
      </c>
      <c r="E48" s="248">
        <f>E31/E29</f>
        <v>0.56578612409881379</v>
      </c>
      <c r="F48" s="248">
        <f>F31/F29</f>
        <v>0.55973146518788441</v>
      </c>
      <c r="G48" s="248">
        <f>G31/G29</f>
        <v>0.5877275015105099</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F8F5-CDDB-46F7-A547-7C60D4BB3A03}">
  <sheetPr codeName="Sheet10">
    <pageSetUpPr fitToPage="1"/>
  </sheetPr>
  <dimension ref="A1:N35"/>
  <sheetViews>
    <sheetView showGridLines="0" tabSelected="1" zoomScale="80" zoomScaleNormal="80" zoomScaleSheetLayoutView="70" workbookViewId="0"/>
  </sheetViews>
  <sheetFormatPr defaultColWidth="8.88671875" defaultRowHeight="12"/>
  <cols>
    <col min="1" max="1" width="2.33203125" style="23" customWidth="1"/>
    <col min="2" max="2" width="11.5546875" style="23" customWidth="1"/>
    <col min="3" max="4" width="8.88671875" style="23" customWidth="1"/>
    <col min="5" max="16384" width="8.88671875" style="23"/>
  </cols>
  <sheetData>
    <row r="1" spans="1:1">
      <c r="A1" s="492"/>
    </row>
    <row r="17" spans="2:14" ht="12.6" thickBot="1"/>
    <row r="18" spans="2:14">
      <c r="B18" s="427"/>
      <c r="C18" s="427"/>
      <c r="D18" s="427"/>
      <c r="E18" s="427"/>
      <c r="F18" s="427"/>
      <c r="G18" s="427"/>
      <c r="H18" s="427"/>
      <c r="I18" s="427"/>
      <c r="J18" s="427"/>
      <c r="K18" s="427"/>
      <c r="L18" s="427"/>
      <c r="M18" s="427"/>
      <c r="N18" s="427"/>
    </row>
    <row r="19" spans="2:14" s="426" customFormat="1" ht="21">
      <c r="B19" s="426" t="s">
        <v>1144</v>
      </c>
    </row>
    <row r="21" spans="2:14" s="429" customFormat="1" ht="14.4">
      <c r="B21" s="428">
        <f ca="1">TODAY()</f>
        <v>46136</v>
      </c>
    </row>
    <row r="23" spans="2:14" ht="12.6" thickBot="1"/>
    <row r="24" spans="2:14">
      <c r="B24" s="427"/>
      <c r="C24" s="427"/>
      <c r="D24" s="427"/>
      <c r="E24" s="427"/>
      <c r="F24" s="427"/>
      <c r="G24" s="427"/>
      <c r="H24" s="427"/>
      <c r="I24" s="427"/>
      <c r="J24" s="427"/>
      <c r="K24" s="427"/>
      <c r="L24" s="427"/>
      <c r="M24" s="427"/>
      <c r="N24" s="427"/>
    </row>
    <row r="27" spans="2:14" s="112" customFormat="1">
      <c r="B27" s="433" t="s">
        <v>90</v>
      </c>
      <c r="C27" s="433"/>
      <c r="D27" s="433"/>
      <c r="F27" s="433" t="s">
        <v>1167</v>
      </c>
      <c r="G27" s="433"/>
      <c r="H27" s="433"/>
      <c r="J27" s="433" t="s">
        <v>1168</v>
      </c>
      <c r="K27" s="433"/>
      <c r="L27" s="433"/>
    </row>
    <row r="29" spans="2:14">
      <c r="B29" s="23" t="s">
        <v>1163</v>
      </c>
      <c r="F29" s="23" t="s">
        <v>1347</v>
      </c>
      <c r="J29" s="23" t="s">
        <v>1170</v>
      </c>
    </row>
    <row r="30" spans="2:14">
      <c r="B30" s="432" t="s">
        <v>1171</v>
      </c>
      <c r="F30" s="432" t="s">
        <v>1173</v>
      </c>
      <c r="J30" s="432" t="s">
        <v>1174</v>
      </c>
    </row>
    <row r="31" spans="2:14">
      <c r="B31" s="431" t="s">
        <v>1164</v>
      </c>
      <c r="F31" s="431" t="s">
        <v>1348</v>
      </c>
      <c r="J31" s="431" t="s">
        <v>1169</v>
      </c>
      <c r="K31" s="431"/>
    </row>
    <row r="33" spans="2:2">
      <c r="B33" s="23" t="s">
        <v>1165</v>
      </c>
    </row>
    <row r="34" spans="2:2">
      <c r="B34" s="432" t="s">
        <v>1172</v>
      </c>
    </row>
    <row r="35" spans="2:2">
      <c r="B35" s="431" t="s">
        <v>1166</v>
      </c>
    </row>
  </sheetData>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4">
    <pageSetUpPr fitToPage="1"/>
  </sheetPr>
  <dimension ref="B1:AA48"/>
  <sheetViews>
    <sheetView showGridLines="0" zoomScale="80" zoomScaleNormal="80" zoomScaleSheetLayoutView="80" workbookViewId="0">
      <selection activeCell="T24" sqref="T24"/>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583</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579</v>
      </c>
      <c r="K7" s="249"/>
      <c r="L7" s="219" t="str">
        <f>L5</f>
        <v>2025E</v>
      </c>
      <c r="M7" s="219" t="str">
        <f t="shared" ref="M7:P7" si="1">M5</f>
        <v>2026E</v>
      </c>
      <c r="N7" s="219" t="str">
        <f t="shared" si="1"/>
        <v>2027E</v>
      </c>
      <c r="O7" s="219" t="str">
        <f t="shared" si="1"/>
        <v>2028E</v>
      </c>
      <c r="P7" s="219" t="str">
        <f t="shared" si="1"/>
        <v>2025-28</v>
      </c>
    </row>
    <row r="8" spans="2:27" ht="12.6" thickTop="1">
      <c r="I8" s="5"/>
      <c r="J8" s="5"/>
      <c r="K8" s="5"/>
      <c r="L8" s="5"/>
      <c r="M8" s="5"/>
      <c r="N8" s="5"/>
    </row>
    <row r="9" spans="2:27">
      <c r="B9" s="25" t="s">
        <v>13</v>
      </c>
      <c r="C9" s="241">
        <f>Prices!C56</f>
        <v>86.215000000000003</v>
      </c>
      <c r="D9" s="412">
        <v>436.75</v>
      </c>
      <c r="E9" s="413">
        <v>433.77956989247315</v>
      </c>
      <c r="F9" s="413">
        <v>433.24731182795699</v>
      </c>
      <c r="G9" s="413">
        <v>433.24731182795699</v>
      </c>
      <c r="H9" s="209"/>
      <c r="I9" s="209"/>
      <c r="J9" s="5" t="s">
        <v>225</v>
      </c>
      <c r="L9" s="406">
        <f>'US TOWERS'!D37</f>
        <v>11.387442893079657</v>
      </c>
      <c r="M9" s="406">
        <f>'US TOWERS'!E37</f>
        <v>10.664828796929593</v>
      </c>
      <c r="N9" s="406">
        <f>'US TOWERS'!F37</f>
        <v>10.122737038800418</v>
      </c>
      <c r="O9" s="406">
        <f>'US TOWERS'!G37</f>
        <v>9.3108648624289465</v>
      </c>
      <c r="P9" s="233">
        <f>'US TOWERS'!H37</f>
        <v>2.1319402766994067E-2</v>
      </c>
    </row>
    <row r="10" spans="2:27">
      <c r="B10" s="5" t="s">
        <v>226</v>
      </c>
      <c r="C10" s="5"/>
      <c r="D10" s="408">
        <v>436.75</v>
      </c>
      <c r="E10" s="408">
        <v>433.77956989247315</v>
      </c>
      <c r="F10" s="408">
        <v>433.24731182795699</v>
      </c>
      <c r="G10" s="408">
        <v>433.24731182795699</v>
      </c>
      <c r="H10" s="207"/>
      <c r="I10" s="207"/>
      <c r="J10" s="5" t="s">
        <v>158</v>
      </c>
      <c r="L10" s="406">
        <f>'US TOWERS'!D38</f>
        <v>16.941426909201031</v>
      </c>
      <c r="M10" s="406">
        <f>'US TOWERS'!E38</f>
        <v>15.912039926787417</v>
      </c>
      <c r="N10" s="406">
        <f>'US TOWERS'!F38</f>
        <v>15.06465830693746</v>
      </c>
      <c r="O10" s="406">
        <f>'US TOWERS'!G38</f>
        <v>13.718815633600604</v>
      </c>
      <c r="P10" s="233">
        <f>'US TOWERS'!H38</f>
        <v>2.4614840647188663E-2</v>
      </c>
    </row>
    <row r="11" spans="2:27">
      <c r="B11" s="25" t="s">
        <v>357</v>
      </c>
      <c r="C11" s="5"/>
      <c r="D11" s="409">
        <f>$C$9*D10</f>
        <v>37654.401250000003</v>
      </c>
      <c r="E11" s="409">
        <f>$C$9*E10</f>
        <v>37398.305618279577</v>
      </c>
      <c r="F11" s="409">
        <f>$C$9*F10</f>
        <v>37352.416989247315</v>
      </c>
      <c r="G11" s="409">
        <f>$C$9*G10</f>
        <v>37352.416989247315</v>
      </c>
      <c r="H11" s="209"/>
      <c r="I11" s="209"/>
      <c r="J11" s="5" t="s">
        <v>159</v>
      </c>
      <c r="L11" s="406">
        <f>'US TOWERS'!D39</f>
        <v>25.044328983269025</v>
      </c>
      <c r="M11" s="406">
        <f>'US TOWERS'!E39</f>
        <v>27.8658053659967</v>
      </c>
      <c r="N11" s="406">
        <f>'US TOWERS'!F39</f>
        <v>25.812240765059837</v>
      </c>
      <c r="O11" s="406">
        <f>'US TOWERS'!G39</f>
        <v>23.410812249171794</v>
      </c>
      <c r="P11" s="233">
        <f>'US TOWERS'!H39</f>
        <v>-2.3256584083791054E-2</v>
      </c>
    </row>
    <row r="12" spans="2:27">
      <c r="B12" s="5" t="s">
        <v>22</v>
      </c>
      <c r="C12" s="209"/>
      <c r="D12" s="410">
        <v>21548</v>
      </c>
      <c r="E12" s="410">
        <v>14682.353025693246</v>
      </c>
      <c r="F12" s="410">
        <v>14775.577088457478</v>
      </c>
      <c r="G12" s="410">
        <v>14845.068619560796</v>
      </c>
      <c r="H12" s="207"/>
      <c r="I12" s="207"/>
      <c r="J12" s="5" t="s">
        <v>381</v>
      </c>
      <c r="L12" s="406">
        <f>'US TOWERS'!D40</f>
        <v>25.811327577987573</v>
      </c>
      <c r="M12" s="406">
        <f>'US TOWERS'!E40</f>
        <v>28.805352403453771</v>
      </c>
      <c r="N12" s="406">
        <f>'US TOWERS'!F40</f>
        <v>26.649214263292812</v>
      </c>
      <c r="O12" s="406">
        <f>'US TOWERS'!G40</f>
        <v>24.132769909398622</v>
      </c>
      <c r="P12" s="233">
        <f>'US TOWERS'!H40</f>
        <v>-2.3323863631279806E-2</v>
      </c>
    </row>
    <row r="13" spans="2:27">
      <c r="B13" s="5" t="s">
        <v>433</v>
      </c>
      <c r="C13" s="216"/>
      <c r="D13" s="410">
        <v>0</v>
      </c>
      <c r="E13" s="410">
        <v>0</v>
      </c>
      <c r="F13" s="410">
        <v>0</v>
      </c>
      <c r="G13" s="410">
        <v>0</v>
      </c>
      <c r="H13" s="207"/>
      <c r="I13" s="207"/>
      <c r="J13" s="5" t="s">
        <v>434</v>
      </c>
      <c r="L13" s="406">
        <f>'US TOWERS'!D41</f>
        <v>2.1457008634461956</v>
      </c>
      <c r="M13" s="406">
        <f>'US TOWERS'!E41</f>
        <v>2.3952937667674412</v>
      </c>
      <c r="N13" s="406">
        <f>'US TOWERS'!F41</f>
        <v>2.2737439576569054</v>
      </c>
      <c r="O13" s="406">
        <f>'US TOWERS'!G41</f>
        <v>2.1582900479284297</v>
      </c>
      <c r="P13" s="233">
        <f>'US TOWERS'!H41</f>
        <v>-4.683231757630979E-2</v>
      </c>
    </row>
    <row r="14" spans="2:27">
      <c r="B14" s="5" t="s">
        <v>436</v>
      </c>
      <c r="C14" s="216"/>
      <c r="D14" s="410">
        <v>0</v>
      </c>
      <c r="E14" s="410">
        <v>0</v>
      </c>
      <c r="F14" s="410">
        <v>0</v>
      </c>
      <c r="G14" s="410">
        <v>0</v>
      </c>
      <c r="H14" s="207"/>
      <c r="I14" s="207"/>
      <c r="J14" s="5" t="s">
        <v>493</v>
      </c>
      <c r="L14" s="406">
        <f>'US TOWERS'!D42</f>
        <v>6.6616104987076543</v>
      </c>
      <c r="M14" s="406">
        <f>'US TOWERS'!E42</f>
        <v>6.2743590798659357</v>
      </c>
      <c r="N14" s="406">
        <f>'US TOWERS'!F42</f>
        <v>6.1943441993636563</v>
      </c>
      <c r="O14" s="406">
        <f>'US TOWERS'!G42</f>
        <v>6.0951108740004605</v>
      </c>
      <c r="P14" s="233">
        <f>'US TOWERS'!H42</f>
        <v>-1.6256078937624263E-2</v>
      </c>
    </row>
    <row r="15" spans="2:27">
      <c r="B15" s="5" t="s">
        <v>435</v>
      </c>
      <c r="C15" s="228"/>
      <c r="D15" s="410">
        <v>0</v>
      </c>
      <c r="E15" s="410">
        <v>0</v>
      </c>
      <c r="F15" s="410">
        <v>0</v>
      </c>
      <c r="G15" s="410">
        <v>0</v>
      </c>
      <c r="H15" s="207"/>
      <c r="I15" s="207"/>
      <c r="J15" s="5" t="s">
        <v>390</v>
      </c>
      <c r="L15" s="406">
        <f>'US TOWERS'!D43</f>
        <v>18.49996444927001</v>
      </c>
      <c r="M15" s="406">
        <f>'US TOWERS'!E43</f>
        <v>22.021153935230735</v>
      </c>
      <c r="N15" s="406">
        <f>'US TOWERS'!F43</f>
        <v>21.040110636012585</v>
      </c>
      <c r="O15" s="406">
        <f>'US TOWERS'!G43</f>
        <v>19.751014947338149</v>
      </c>
      <c r="P15" s="233">
        <f>'US TOWERS'!H43</f>
        <v>-2.3323863631279806E-2</v>
      </c>
    </row>
    <row r="16" spans="2:27">
      <c r="B16" s="5" t="s">
        <v>438</v>
      </c>
      <c r="C16" s="216"/>
      <c r="D16" s="410">
        <v>4809</v>
      </c>
      <c r="E16" s="410">
        <v>6634.9005376344085</v>
      </c>
      <c r="F16" s="410">
        <v>8437.9516129032254</v>
      </c>
      <c r="G16" s="410">
        <v>10241.002688172042</v>
      </c>
      <c r="H16" s="207"/>
      <c r="I16" s="207"/>
      <c r="J16" s="5" t="s">
        <v>437</v>
      </c>
      <c r="L16" s="406">
        <f>'US TOWERS'!D44</f>
        <v>18.652157517178388</v>
      </c>
      <c r="M16" s="406">
        <f>'US TOWERS'!E44</f>
        <v>17.021096013740827</v>
      </c>
      <c r="N16" s="406">
        <f>'US TOWERS'!F44</f>
        <v>16.633597012595249</v>
      </c>
      <c r="O16" s="406">
        <f>'US TOWERS'!G44</f>
        <v>15.656821263786458</v>
      </c>
      <c r="P16" s="233">
        <f>'US TOWERS'!H44</f>
        <v>5.8193878007610333E-2</v>
      </c>
    </row>
    <row r="17" spans="2:24">
      <c r="B17" s="5" t="s">
        <v>4</v>
      </c>
      <c r="C17" s="216"/>
      <c r="D17" s="410">
        <v>0</v>
      </c>
      <c r="E17" s="410">
        <v>0</v>
      </c>
      <c r="F17" s="410">
        <v>0</v>
      </c>
      <c r="G17" s="410">
        <v>0</v>
      </c>
      <c r="H17" s="207"/>
      <c r="I17" s="207"/>
      <c r="J17" s="5" t="s">
        <v>481</v>
      </c>
      <c r="L17" s="406">
        <f>'US TOWERS'!D45</f>
        <v>3.9641506768476914E-2</v>
      </c>
      <c r="M17" s="406">
        <f>'US TOWERS'!E45</f>
        <v>4.0795481094250033E-2</v>
      </c>
      <c r="N17" s="406">
        <f>'US TOWERS'!F45</f>
        <v>4.3870265844032343E-2</v>
      </c>
      <c r="O17" s="406">
        <f>'US TOWERS'!G45</f>
        <v>4.748006555840064E-2</v>
      </c>
      <c r="P17" s="233">
        <f>'US TOWERS'!H45</f>
        <v>6.0092600761919579E-2</v>
      </c>
      <c r="S17" s="72"/>
      <c r="T17" s="26"/>
      <c r="U17" s="26"/>
      <c r="V17" s="26"/>
      <c r="W17" s="26"/>
      <c r="X17" s="26"/>
    </row>
    <row r="18" spans="2:24" ht="12.6" thickBot="1">
      <c r="B18" s="25" t="s">
        <v>423</v>
      </c>
      <c r="C18" s="209"/>
      <c r="D18" s="411">
        <f>D11+D12+D13-D14+D15-D16-D17</f>
        <v>54393.401250000003</v>
      </c>
      <c r="E18" s="411">
        <f>E11+E12+E13-E14+E15-E16-E17</f>
        <v>45445.75810633842</v>
      </c>
      <c r="F18" s="411">
        <f>F11+F12+F13-F14+F15-F16-F17</f>
        <v>43690.042464801561</v>
      </c>
      <c r="G18" s="411">
        <f>G11+G12+G13-G14+G15-G16-G17</f>
        <v>41956.482920636074</v>
      </c>
      <c r="H18" s="230">
        <f>IF(D18=0,"nm",IF(G18=0,"nm",(G18/D18)^(1/3)-1))</f>
        <v>-8.2898043976290858E-2</v>
      </c>
      <c r="I18" s="214"/>
      <c r="J18" s="5" t="s">
        <v>33</v>
      </c>
      <c r="L18" s="406">
        <f>'US TOWERS'!D46</f>
        <v>3.6837692922845361E-2</v>
      </c>
      <c r="M18" s="406">
        <f>'US TOWERS'!E46</f>
        <v>3.0045030008981226E-2</v>
      </c>
      <c r="N18" s="406">
        <f>'US TOWERS'!F46</f>
        <v>4.0046239661242392E-2</v>
      </c>
      <c r="O18" s="406">
        <f>'US TOWERS'!G46</f>
        <v>4.3647498132346405E-2</v>
      </c>
      <c r="P18" s="233">
        <f>'US TOWERS'!H46</f>
        <v>5.6280011990409662E-2</v>
      </c>
      <c r="S18" s="72"/>
      <c r="T18" s="26"/>
      <c r="U18" s="26"/>
      <c r="V18" s="26"/>
      <c r="W18" s="26"/>
      <c r="X18" s="26"/>
    </row>
    <row r="19" spans="2:24" ht="12.6" thickTop="1">
      <c r="B19" s="25"/>
      <c r="C19" s="209"/>
      <c r="D19" s="189"/>
      <c r="E19" s="189"/>
      <c r="F19" s="189"/>
      <c r="G19" s="189"/>
      <c r="H19" s="230"/>
      <c r="I19" s="214"/>
      <c r="J19" s="5" t="s">
        <v>482</v>
      </c>
      <c r="L19" s="406">
        <f>'US TOWERS'!D47</f>
        <v>5.4054157927825586E-2</v>
      </c>
      <c r="M19" s="406">
        <f>'US TOWERS'!E47</f>
        <v>4.5410880962061723E-2</v>
      </c>
      <c r="N19" s="406">
        <f>'US TOWERS'!F47</f>
        <v>4.7528267189260127E-2</v>
      </c>
      <c r="O19" s="406">
        <f>'US TOWERS'!G47</f>
        <v>5.063030951403185E-2</v>
      </c>
      <c r="P19" s="233">
        <f>'US TOWERS'!H47</f>
        <v>-2.3323863631279806E-2</v>
      </c>
      <c r="S19" s="72"/>
      <c r="T19" s="26"/>
      <c r="U19" s="26"/>
      <c r="V19" s="26"/>
      <c r="W19" s="26"/>
      <c r="X19" s="26"/>
    </row>
    <row r="20" spans="2:24">
      <c r="H20" s="231"/>
      <c r="I20" s="13"/>
      <c r="J20" s="5" t="s">
        <v>504</v>
      </c>
      <c r="L20" s="425">
        <f>'US TOWERS'!D48</f>
        <v>0.73336646593231936</v>
      </c>
      <c r="M20" s="425">
        <f>'US TOWERS'!E48</f>
        <v>0.89836356903827519</v>
      </c>
      <c r="N20" s="425">
        <f>'US TOWERS'!F48</f>
        <v>0.9230352469897245</v>
      </c>
      <c r="O20" s="425">
        <f>'US TOWERS'!G48</f>
        <v>0.93777948454456617</v>
      </c>
      <c r="P20" s="233" t="str">
        <f>'US TOWERS'!H48</f>
        <v>nm</v>
      </c>
      <c r="S20" s="72"/>
      <c r="T20" s="26"/>
      <c r="U20" s="26"/>
      <c r="V20" s="26"/>
      <c r="W20" s="26"/>
      <c r="X20" s="26"/>
    </row>
    <row r="21" spans="2:24" ht="12.6" thickBot="1">
      <c r="B21" s="249" t="s">
        <v>755</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4460.1000000000004</v>
      </c>
      <c r="D23" s="410">
        <v>4265.2000000000007</v>
      </c>
      <c r="E23" s="410">
        <v>4058.6201942831235</v>
      </c>
      <c r="F23" s="410">
        <v>4059.8902783642984</v>
      </c>
      <c r="G23" s="410">
        <v>4122.6573929075039</v>
      </c>
      <c r="H23" s="233">
        <f t="shared" ref="H23:H33" si="3">IF(D23=0,"nm",IF(G23=0,"nm",(G23/D23)^(1/3)-1))</f>
        <v>-1.1266426212216629E-2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3035</v>
      </c>
      <c r="D24" s="410">
        <v>2863</v>
      </c>
      <c r="E24" s="410">
        <v>2715.1025578319186</v>
      </c>
      <c r="F24" s="410">
        <v>2724.2635705861826</v>
      </c>
      <c r="G24" s="410">
        <v>2773.5836376224433</v>
      </c>
      <c r="H24" s="233">
        <f t="shared" si="3"/>
        <v>-1.0520867759284402E-2</v>
      </c>
      <c r="I24" s="209"/>
      <c r="J24" s="13"/>
      <c r="K24" s="13"/>
      <c r="L24" s="13"/>
      <c r="M24" s="13"/>
      <c r="N24" s="13"/>
      <c r="O24" s="208"/>
      <c r="S24" s="72"/>
      <c r="T24" s="26"/>
      <c r="U24" s="26"/>
      <c r="V24" s="26"/>
      <c r="W24" s="26" t="s">
        <v>585</v>
      </c>
      <c r="X24" s="26" t="s">
        <v>581</v>
      </c>
    </row>
    <row r="25" spans="2:24">
      <c r="B25" s="5" t="s">
        <v>157</v>
      </c>
      <c r="C25" s="422">
        <v>2764.6</v>
      </c>
      <c r="D25" s="410">
        <v>2874.2</v>
      </c>
      <c r="E25" s="410">
        <v>1746.5475119411617</v>
      </c>
      <c r="F25" s="410">
        <v>1709.8270125045869</v>
      </c>
      <c r="G25" s="410">
        <v>1733.5595441654993</v>
      </c>
      <c r="H25" s="233">
        <f t="shared" si="3"/>
        <v>-0.1550962076675827</v>
      </c>
      <c r="I25" s="208"/>
      <c r="J25" s="207" t="s">
        <v>8</v>
      </c>
      <c r="K25" s="207"/>
      <c r="L25" s="252">
        <v>0</v>
      </c>
      <c r="M25" s="252">
        <v>0</v>
      </c>
      <c r="N25" s="252">
        <v>0</v>
      </c>
      <c r="O25" s="252">
        <v>0</v>
      </c>
      <c r="P25" s="233" t="str">
        <f>IF(L25=0,"nm",IF(O25=0,"nm",(O25/L25)^(1/3)-1))</f>
        <v>nm</v>
      </c>
      <c r="S25" s="72"/>
      <c r="T25" s="26"/>
      <c r="U25" s="26"/>
      <c r="V25" s="113" t="s">
        <v>225</v>
      </c>
      <c r="W25" s="242">
        <f>D37/L9</f>
        <v>1.119903504719953</v>
      </c>
      <c r="X25" s="242">
        <v>1</v>
      </c>
    </row>
    <row r="26" spans="2:24">
      <c r="B26" s="5" t="s">
        <v>487</v>
      </c>
      <c r="C26" s="422">
        <v>2764.6</v>
      </c>
      <c r="D26" s="410">
        <v>2874.2</v>
      </c>
      <c r="E26" s="410">
        <v>1746.5475119411617</v>
      </c>
      <c r="F26" s="410">
        <v>1709.8270125045869</v>
      </c>
      <c r="G26" s="410">
        <v>1733.5595441654993</v>
      </c>
      <c r="H26" s="233">
        <f t="shared" si="3"/>
        <v>-0.1550962076675827</v>
      </c>
      <c r="I26" s="209"/>
      <c r="J26" s="209" t="s">
        <v>9</v>
      </c>
      <c r="K26" s="209"/>
      <c r="L26" s="235">
        <f>D11+L25</f>
        <v>37654.401250000003</v>
      </c>
      <c r="M26" s="235">
        <f>E11+M25</f>
        <v>37398.305618279577</v>
      </c>
      <c r="N26" s="235">
        <f>F11+N25</f>
        <v>37352.416989247315</v>
      </c>
      <c r="O26" s="235">
        <f>G11+O25</f>
        <v>37352.416989247315</v>
      </c>
      <c r="P26" s="233">
        <f>IF(L26=0,"nm",IF(O26=0,"nm",(O26/L26)^(1/3)-1))</f>
        <v>-2.680476126187159E-3</v>
      </c>
      <c r="Q26" s="5"/>
      <c r="S26" s="72"/>
      <c r="T26" s="26"/>
      <c r="U26" s="26"/>
      <c r="V26" s="113" t="s">
        <v>158</v>
      </c>
      <c r="W26" s="242">
        <f t="shared" ref="W26:W33" si="5">D38/L10</f>
        <v>1.1214370026884966</v>
      </c>
      <c r="X26" s="242">
        <v>1</v>
      </c>
    </row>
    <row r="27" spans="2:24">
      <c r="B27" s="5" t="s">
        <v>488</v>
      </c>
      <c r="C27" s="423">
        <v>24012</v>
      </c>
      <c r="D27" s="410">
        <v>40074</v>
      </c>
      <c r="E27" s="410">
        <v>24951.52473463619</v>
      </c>
      <c r="F27" s="410">
        <v>26658.72485355047</v>
      </c>
      <c r="G27" s="410">
        <v>28040.614213555164</v>
      </c>
      <c r="H27" s="233">
        <f t="shared" si="3"/>
        <v>-0.11221403257213924</v>
      </c>
      <c r="I27" s="209"/>
      <c r="J27" s="208"/>
      <c r="K27" s="208"/>
      <c r="L27" s="208"/>
      <c r="M27" s="208"/>
      <c r="N27" s="208"/>
      <c r="O27" s="208"/>
      <c r="Q27" s="25"/>
      <c r="S27" s="72"/>
      <c r="T27" s="26"/>
      <c r="U27" s="26"/>
      <c r="V27" s="113" t="s">
        <v>159</v>
      </c>
      <c r="W27" s="242">
        <f t="shared" si="5"/>
        <v>0.75564851156222324</v>
      </c>
      <c r="X27" s="242">
        <v>1</v>
      </c>
    </row>
    <row r="28" spans="2:24">
      <c r="B28" s="5" t="s">
        <v>492</v>
      </c>
      <c r="C28" s="422">
        <v>15495</v>
      </c>
      <c r="D28" s="410">
        <v>6273</v>
      </c>
      <c r="E28" s="410">
        <v>6327.6241970017827</v>
      </c>
      <c r="F28" s="410">
        <v>5833.7732406472478</v>
      </c>
      <c r="G28" s="410">
        <v>5342.6115253831231</v>
      </c>
      <c r="H28" s="233">
        <f t="shared" si="3"/>
        <v>-5.2106737466530273E-2</v>
      </c>
      <c r="I28" s="208"/>
      <c r="Q28" s="5"/>
      <c r="S28" s="72"/>
      <c r="T28" s="26"/>
      <c r="U28" s="26"/>
      <c r="V28" s="113" t="s">
        <v>381</v>
      </c>
      <c r="W28" s="242">
        <f t="shared" si="5"/>
        <v>0.73319397702818145</v>
      </c>
      <c r="X28" s="242">
        <v>1</v>
      </c>
    </row>
    <row r="29" spans="2:24" ht="12.6" thickBot="1">
      <c r="B29" s="5" t="s">
        <v>489</v>
      </c>
      <c r="C29" s="422">
        <v>2764.6</v>
      </c>
      <c r="D29" s="410">
        <v>2874.2</v>
      </c>
      <c r="E29" s="410">
        <v>1746.5475119411617</v>
      </c>
      <c r="F29" s="410">
        <v>1709.8270125045869</v>
      </c>
      <c r="G29" s="410">
        <v>1733.5595441654993</v>
      </c>
      <c r="H29" s="233">
        <f t="shared" si="3"/>
        <v>-0.1550962076675827</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0.63257838266585154</v>
      </c>
      <c r="X29" s="242">
        <v>1</v>
      </c>
    </row>
    <row r="30" spans="2:24" ht="12.6" thickTop="1">
      <c r="B30" s="5" t="s">
        <v>490</v>
      </c>
      <c r="C30" s="423">
        <v>2069.2863436123348</v>
      </c>
      <c r="D30" s="410">
        <v>1881.9490968801313</v>
      </c>
      <c r="E30" s="410">
        <v>1869.9624986842696</v>
      </c>
      <c r="F30" s="410">
        <v>1982.4663672225165</v>
      </c>
      <c r="G30" s="410">
        <v>2012.0110863303664</v>
      </c>
      <c r="H30" s="233">
        <f t="shared" si="3"/>
        <v>2.2525543077570376E-2</v>
      </c>
      <c r="I30" s="214"/>
      <c r="J30" s="208"/>
      <c r="K30" s="208"/>
      <c r="L30" s="208"/>
      <c r="M30" s="208"/>
      <c r="N30" s="208"/>
      <c r="O30" s="5"/>
      <c r="Q30" s="5"/>
      <c r="S30" s="72"/>
      <c r="T30" s="26"/>
      <c r="U30" s="26"/>
      <c r="V30" s="113" t="s">
        <v>493</v>
      </c>
      <c r="W30" s="242">
        <f t="shared" si="5"/>
        <v>1.3016424171974239</v>
      </c>
      <c r="X30" s="242">
        <v>1</v>
      </c>
    </row>
    <row r="31" spans="2:24">
      <c r="B31" s="5" t="s">
        <v>491</v>
      </c>
      <c r="C31" s="423">
        <v>2729</v>
      </c>
      <c r="D31" s="410">
        <v>2080</v>
      </c>
      <c r="E31" s="410">
        <v>1825.9005376344085</v>
      </c>
      <c r="F31" s="410">
        <v>1803.0510752688172</v>
      </c>
      <c r="G31" s="410">
        <v>1803.0510752688172</v>
      </c>
      <c r="H31" s="233">
        <f t="shared" si="3"/>
        <v>-4.6512732360330822E-2</v>
      </c>
      <c r="I31" s="214"/>
      <c r="J31" s="5" t="s">
        <v>613</v>
      </c>
      <c r="K31" s="207"/>
      <c r="L31" s="253">
        <v>40184</v>
      </c>
      <c r="M31" s="253">
        <v>40234</v>
      </c>
      <c r="N31" s="253">
        <v>40284</v>
      </c>
      <c r="O31" s="253">
        <v>40284</v>
      </c>
      <c r="Q31" s="5"/>
      <c r="S31" s="72"/>
      <c r="T31" s="26"/>
      <c r="U31" s="26"/>
      <c r="V31" s="113" t="s">
        <v>390</v>
      </c>
      <c r="W31" s="242">
        <f t="shared" si="5"/>
        <v>0.70815425225983342</v>
      </c>
      <c r="X31" s="242">
        <v>1</v>
      </c>
    </row>
    <row r="32" spans="2:24">
      <c r="B32" s="5" t="s">
        <v>506</v>
      </c>
      <c r="C32" s="424">
        <v>-33</v>
      </c>
      <c r="D32" s="410">
        <v>-23</v>
      </c>
      <c r="E32" s="410">
        <v>-1000</v>
      </c>
      <c r="F32" s="410">
        <v>0</v>
      </c>
      <c r="G32" s="410">
        <v>0</v>
      </c>
      <c r="H32" s="233" t="str">
        <f t="shared" si="3"/>
        <v>nm</v>
      </c>
      <c r="I32" s="214"/>
      <c r="J32" s="5" t="s">
        <v>1072</v>
      </c>
      <c r="K32" s="214"/>
      <c r="L32" s="253">
        <v>86325.902870813385</v>
      </c>
      <c r="M32" s="253">
        <v>90456.716148325344</v>
      </c>
      <c r="N32" s="253">
        <v>94597.529425837318</v>
      </c>
      <c r="O32" s="253">
        <v>94597.529425837318</v>
      </c>
      <c r="Q32" s="5"/>
      <c r="S32" s="72"/>
      <c r="T32" s="26"/>
      <c r="U32" s="26"/>
      <c r="V32" s="113" t="s">
        <v>437</v>
      </c>
      <c r="W32" s="242">
        <f t="shared" si="5"/>
        <v>1.0727012812907109</v>
      </c>
      <c r="X32" s="242">
        <v>1</v>
      </c>
    </row>
    <row r="33" spans="2:24">
      <c r="B33" s="5" t="s">
        <v>3</v>
      </c>
      <c r="C33" s="423">
        <v>913</v>
      </c>
      <c r="D33" s="410">
        <v>959</v>
      </c>
      <c r="E33" s="410">
        <v>820.24341690742824</v>
      </c>
      <c r="F33" s="410">
        <v>714.97019322233109</v>
      </c>
      <c r="G33" s="410">
        <v>734.40041025143694</v>
      </c>
      <c r="H33" s="233">
        <f t="shared" si="3"/>
        <v>-8.510461994853713E-2</v>
      </c>
      <c r="I33" s="5"/>
      <c r="J33" s="5"/>
      <c r="K33" s="5"/>
      <c r="L33" s="5"/>
      <c r="M33" s="5"/>
      <c r="N33" s="5"/>
      <c r="O33" s="5"/>
      <c r="Q33" s="5"/>
      <c r="S33" s="72"/>
      <c r="T33" s="26"/>
      <c r="U33" s="26"/>
      <c r="V33" s="113" t="s">
        <v>481</v>
      </c>
      <c r="W33" s="242">
        <f t="shared" si="5"/>
        <v>1.3934693965931877</v>
      </c>
      <c r="X33" s="242">
        <v>1</v>
      </c>
    </row>
    <row r="34" spans="2:24">
      <c r="H34" s="231"/>
      <c r="I34" s="33"/>
      <c r="Q34" s="5"/>
      <c r="S34" s="72"/>
      <c r="T34" s="26"/>
      <c r="U34" s="26"/>
      <c r="V34" s="113" t="s">
        <v>482</v>
      </c>
      <c r="W34" s="242">
        <f>D47/L19</f>
        <v>1.4121217189741362</v>
      </c>
      <c r="X34" s="242">
        <v>1</v>
      </c>
    </row>
    <row r="35" spans="2:24" ht="12.6" thickBot="1">
      <c r="B35" s="249" t="s">
        <v>584</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42"/>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 t="shared" ref="D37:G41" si="8">D$18/D23</f>
        <v>12.752837205758228</v>
      </c>
      <c r="E37" s="406">
        <f t="shared" si="8"/>
        <v>11.197341936639511</v>
      </c>
      <c r="F37" s="406">
        <f t="shared" si="8"/>
        <v>10.761385029943217</v>
      </c>
      <c r="G37" s="406">
        <f t="shared" si="8"/>
        <v>10.177048180820639</v>
      </c>
      <c r="H37" s="13">
        <f t="shared" ref="H37:H45" si="9">H23</f>
        <v>-1.1266426212216629E-2</v>
      </c>
      <c r="I37" s="5"/>
      <c r="J37" s="208"/>
      <c r="K37" s="208"/>
      <c r="L37" s="208"/>
      <c r="M37" s="208"/>
      <c r="N37" s="208"/>
      <c r="O37" s="5"/>
      <c r="Q37" s="5"/>
      <c r="R37" s="5"/>
      <c r="S37" s="26"/>
      <c r="T37" s="26"/>
      <c r="U37" s="26"/>
      <c r="V37" s="26"/>
      <c r="W37" s="26"/>
      <c r="X37" s="26"/>
    </row>
    <row r="38" spans="2:24">
      <c r="B38" s="5" t="s">
        <v>158</v>
      </c>
      <c r="C38" s="207"/>
      <c r="D38" s="406">
        <f t="shared" si="8"/>
        <v>18.998743014320645</v>
      </c>
      <c r="E38" s="406">
        <f t="shared" si="8"/>
        <v>16.738136824793855</v>
      </c>
      <c r="F38" s="406">
        <f t="shared" si="8"/>
        <v>16.037377196730173</v>
      </c>
      <c r="G38" s="406">
        <f t="shared" si="8"/>
        <v>15.127174227420014</v>
      </c>
      <c r="H38" s="13">
        <f t="shared" si="9"/>
        <v>-1.0520867759284402E-2</v>
      </c>
      <c r="I38" s="217"/>
      <c r="J38" s="212"/>
      <c r="K38" s="212"/>
      <c r="L38" s="212"/>
      <c r="M38" s="212"/>
      <c r="N38" s="212"/>
      <c r="O38" s="5"/>
      <c r="Q38" s="5"/>
      <c r="R38" s="5"/>
      <c r="S38" s="26"/>
      <c r="T38" s="26"/>
      <c r="U38" s="26"/>
      <c r="V38" s="26"/>
      <c r="W38" s="26"/>
      <c r="X38" s="26"/>
    </row>
    <row r="39" spans="2:24">
      <c r="B39" s="5" t="s">
        <v>159</v>
      </c>
      <c r="C39" s="207"/>
      <c r="D39" s="406">
        <f t="shared" si="8"/>
        <v>18.924709919281888</v>
      </c>
      <c r="E39" s="406">
        <f t="shared" si="8"/>
        <v>26.020338866034475</v>
      </c>
      <c r="F39" s="406">
        <f t="shared" si="8"/>
        <v>25.552317366189904</v>
      </c>
      <c r="G39" s="406">
        <f t="shared" si="8"/>
        <v>24.202504645338319</v>
      </c>
      <c r="H39" s="13">
        <f t="shared" si="9"/>
        <v>-0.1550962076675827</v>
      </c>
      <c r="I39" s="13"/>
      <c r="J39" s="217"/>
      <c r="K39" s="217"/>
      <c r="L39" s="217"/>
      <c r="M39" s="217"/>
      <c r="N39" s="217"/>
      <c r="O39" s="14"/>
      <c r="Q39" s="5"/>
      <c r="R39" s="5"/>
      <c r="S39" s="26"/>
      <c r="T39" s="26"/>
      <c r="U39" s="26"/>
      <c r="V39" s="26"/>
      <c r="W39" s="26"/>
      <c r="X39" s="26"/>
    </row>
    <row r="40" spans="2:24">
      <c r="B40" s="5" t="s">
        <v>381</v>
      </c>
      <c r="C40" s="207"/>
      <c r="D40" s="406">
        <f t="shared" si="8"/>
        <v>18.924709919281888</v>
      </c>
      <c r="E40" s="406">
        <f t="shared" si="8"/>
        <v>26.020338866034475</v>
      </c>
      <c r="F40" s="406">
        <f t="shared" si="8"/>
        <v>25.552317366189904</v>
      </c>
      <c r="G40" s="406">
        <f t="shared" si="8"/>
        <v>24.202504645338319</v>
      </c>
      <c r="H40" s="13">
        <f t="shared" si="9"/>
        <v>-0.1550962076675827</v>
      </c>
      <c r="I40" s="5"/>
      <c r="J40" s="217"/>
      <c r="K40" s="217"/>
      <c r="L40" s="217"/>
      <c r="M40" s="217"/>
      <c r="N40" s="217"/>
      <c r="O40" s="14"/>
      <c r="Q40" s="5"/>
      <c r="R40" s="5"/>
      <c r="S40" s="26"/>
      <c r="T40" s="26"/>
      <c r="U40" s="26"/>
      <c r="V40" s="26"/>
      <c r="W40" s="242"/>
      <c r="X40" s="242"/>
    </row>
    <row r="41" spans="2:24">
      <c r="B41" s="5" t="s">
        <v>434</v>
      </c>
      <c r="C41" s="207"/>
      <c r="D41" s="406">
        <f t="shared" si="8"/>
        <v>1.3573239818835157</v>
      </c>
      <c r="E41" s="406">
        <f t="shared" si="8"/>
        <v>1.8213619644355192</v>
      </c>
      <c r="F41" s="406">
        <f t="shared" si="8"/>
        <v>1.6388646758167362</v>
      </c>
      <c r="G41" s="406">
        <f t="shared" si="8"/>
        <v>1.4962754596279069</v>
      </c>
      <c r="H41" s="13">
        <f t="shared" si="9"/>
        <v>-0.11221403257213924</v>
      </c>
      <c r="I41" s="207"/>
      <c r="J41" s="217"/>
      <c r="K41" s="217"/>
      <c r="L41" s="217"/>
      <c r="M41" s="217"/>
      <c r="N41" s="217"/>
      <c r="O41" s="14"/>
      <c r="Q41" s="5"/>
      <c r="R41" s="5"/>
      <c r="S41" s="26"/>
      <c r="T41" s="26"/>
      <c r="U41" s="26"/>
      <c r="V41" s="26"/>
      <c r="W41" s="242"/>
      <c r="X41" s="242"/>
    </row>
    <row r="42" spans="2:24">
      <c r="B42" s="5" t="s">
        <v>493</v>
      </c>
      <c r="C42" s="207"/>
      <c r="D42" s="406">
        <f>D18/D28</f>
        <v>8.6710347919655675</v>
      </c>
      <c r="E42" s="406">
        <f>E18/E28</f>
        <v>7.182120285821016</v>
      </c>
      <c r="F42" s="406">
        <f>F18/F28</f>
        <v>7.4891567879923668</v>
      </c>
      <c r="G42" s="406">
        <f>G18/G28</f>
        <v>7.8531786788722844</v>
      </c>
      <c r="H42" s="13">
        <f t="shared" si="9"/>
        <v>-5.2106737466530273E-2</v>
      </c>
      <c r="I42" s="208"/>
      <c r="J42" s="5"/>
      <c r="K42" s="5"/>
      <c r="L42" s="5"/>
      <c r="M42" s="5"/>
      <c r="N42" s="5"/>
      <c r="O42" s="5"/>
      <c r="Q42" s="5"/>
      <c r="R42" s="5"/>
      <c r="S42" s="26"/>
      <c r="T42" s="26"/>
      <c r="U42" s="26"/>
      <c r="V42" s="26"/>
      <c r="W42" s="242"/>
      <c r="X42" s="242"/>
    </row>
    <row r="43" spans="2:24">
      <c r="B43" s="5" t="s">
        <v>390</v>
      </c>
      <c r="C43" s="207"/>
      <c r="D43" s="406">
        <f>L26/D29</f>
        <v>13.100828491406306</v>
      </c>
      <c r="E43" s="406">
        <f>M26/E29</f>
        <v>21.412704414043713</v>
      </c>
      <c r="F43" s="406">
        <f>N26/F29</f>
        <v>21.845728670839506</v>
      </c>
      <c r="G43" s="406">
        <f>O26/G29</f>
        <v>21.546659366250967</v>
      </c>
      <c r="H43" s="13">
        <f t="shared" si="9"/>
        <v>-0.1550962076675827</v>
      </c>
      <c r="I43" s="207"/>
      <c r="J43" s="53"/>
      <c r="K43" s="53"/>
      <c r="L43" s="53"/>
      <c r="M43" s="53"/>
      <c r="N43" s="53"/>
      <c r="O43" s="53"/>
      <c r="Q43" s="5"/>
      <c r="R43" s="5"/>
      <c r="S43" s="26"/>
      <c r="T43" s="26"/>
      <c r="U43" s="26"/>
      <c r="V43" s="26"/>
      <c r="W43" s="242"/>
      <c r="X43" s="242"/>
    </row>
    <row r="44" spans="2:24">
      <c r="B44" s="5" t="s">
        <v>437</v>
      </c>
      <c r="C44" s="53"/>
      <c r="D44" s="406">
        <f>D11/D30</f>
        <v>20.00819326751342</v>
      </c>
      <c r="E44" s="406">
        <f>E11/E30</f>
        <v>19.999494986981567</v>
      </c>
      <c r="F44" s="406">
        <f>F11/F30</f>
        <v>18.841387479162613</v>
      </c>
      <c r="G44" s="406">
        <f>G11/G30</f>
        <v>18.564717283627409</v>
      </c>
      <c r="H44" s="13">
        <f t="shared" si="9"/>
        <v>2.2525543077570376E-2</v>
      </c>
      <c r="I44" s="207"/>
      <c r="J44" s="217"/>
      <c r="K44" s="217"/>
      <c r="L44" s="217"/>
      <c r="M44" s="217"/>
      <c r="N44" s="217"/>
      <c r="O44" s="14"/>
      <c r="Q44" s="5"/>
      <c r="R44" s="5"/>
      <c r="S44" s="26"/>
      <c r="T44" s="26"/>
      <c r="U44" s="26"/>
      <c r="V44" s="26"/>
      <c r="W44" s="255"/>
      <c r="X44" s="255"/>
    </row>
    <row r="45" spans="2:24">
      <c r="B45" s="5" t="s">
        <v>481</v>
      </c>
      <c r="C45" s="207"/>
      <c r="D45" s="208">
        <f>D31/D11</f>
        <v>5.5239226516714292E-2</v>
      </c>
      <c r="E45" s="208">
        <f>E31/E11</f>
        <v>4.8823081886948998E-2</v>
      </c>
      <c r="F45" s="208">
        <f>F31/F11</f>
        <v>4.8271336116960349E-2</v>
      </c>
      <c r="G45" s="208">
        <f>G31/G11</f>
        <v>4.8271336116960349E-2</v>
      </c>
      <c r="H45" s="13">
        <f t="shared" si="9"/>
        <v>-4.6512732360330822E-2</v>
      </c>
      <c r="I45" s="208"/>
      <c r="J45" s="13"/>
      <c r="K45" s="13"/>
      <c r="L45" s="13"/>
      <c r="M45" s="13"/>
      <c r="N45" s="13"/>
      <c r="O45" s="5"/>
      <c r="Q45" s="5"/>
      <c r="R45" s="5"/>
      <c r="S45" s="26"/>
      <c r="T45" s="26"/>
      <c r="U45" s="26"/>
      <c r="V45" s="26"/>
      <c r="W45" s="26"/>
      <c r="X45" s="26"/>
    </row>
    <row r="46" spans="2:24">
      <c r="B46" s="5" t="s">
        <v>505</v>
      </c>
      <c r="C46" s="207"/>
      <c r="D46" s="208">
        <f>(D31+D32)/D11</f>
        <v>5.4628408146577552E-2</v>
      </c>
      <c r="E46" s="208">
        <f>(E31+E32)/E11</f>
        <v>2.20839025720653E-2</v>
      </c>
      <c r="F46" s="208">
        <f>(F31+F32)/F11</f>
        <v>4.8271336116960349E-2</v>
      </c>
      <c r="G46" s="208">
        <f>(G31+G32)/G11</f>
        <v>4.8271336116960349E-2</v>
      </c>
      <c r="H46" s="233">
        <f>((G31+G32)/(D31+D32))^(1/3)-1</f>
        <v>-4.2972143342955738E-2</v>
      </c>
      <c r="I46" s="207"/>
      <c r="J46" s="5"/>
      <c r="K46" s="5"/>
      <c r="L46" s="5"/>
      <c r="M46" s="5"/>
      <c r="N46" s="5"/>
      <c r="O46" s="5"/>
      <c r="Q46" s="5"/>
      <c r="R46" s="5"/>
      <c r="S46" s="26"/>
      <c r="T46" s="26"/>
      <c r="U46" s="26"/>
      <c r="V46" s="26"/>
      <c r="W46" s="26"/>
      <c r="X46" s="26"/>
    </row>
    <row r="47" spans="2:24">
      <c r="B47" s="5" t="s">
        <v>482</v>
      </c>
      <c r="C47" s="5"/>
      <c r="D47" s="208">
        <f>1/D43</f>
        <v>7.6331050410740495E-2</v>
      </c>
      <c r="E47" s="208">
        <f>1/E43</f>
        <v>4.6701247103758697E-2</v>
      </c>
      <c r="F47" s="208">
        <f>1/F43</f>
        <v>4.5775538782317542E-2</v>
      </c>
      <c r="G47" s="208">
        <f>1/G43</f>
        <v>4.6410906813996566E-2</v>
      </c>
      <c r="H47" s="13">
        <f>H29</f>
        <v>-0.1550962076675827</v>
      </c>
      <c r="I47" s="13"/>
      <c r="J47" s="217"/>
      <c r="K47" s="217"/>
      <c r="L47" s="217"/>
      <c r="M47" s="217"/>
      <c r="N47" s="217"/>
      <c r="O47" s="14"/>
      <c r="Q47" s="5"/>
      <c r="R47" s="5"/>
      <c r="S47" s="26"/>
      <c r="T47" s="26"/>
      <c r="U47" s="26"/>
      <c r="V47" s="26"/>
      <c r="W47" s="26"/>
      <c r="X47" s="26"/>
    </row>
    <row r="48" spans="2:24">
      <c r="B48" s="5" t="s">
        <v>518</v>
      </c>
      <c r="C48" s="5"/>
      <c r="D48" s="248">
        <f>D31/D29</f>
        <v>0.72367963259341739</v>
      </c>
      <c r="E48" s="248">
        <f>E31/E29</f>
        <v>1.0454342210278904</v>
      </c>
      <c r="F48" s="248">
        <f>F31/F29</f>
        <v>1.0545225113900112</v>
      </c>
      <c r="G48" s="248">
        <f>G31/G29</f>
        <v>1.0400860364659523</v>
      </c>
      <c r="H48" s="233" t="s">
        <v>507</v>
      </c>
      <c r="I48" s="207"/>
      <c r="J48" s="13"/>
      <c r="K48" s="13"/>
      <c r="L48" s="13"/>
      <c r="M48" s="13"/>
      <c r="N48" s="13"/>
      <c r="O48" s="5"/>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5">
    <pageSetUpPr fitToPage="1"/>
  </sheetPr>
  <dimension ref="B1:AR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837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451</v>
      </c>
      <c r="C9" s="221">
        <f>Prices!$C$90</f>
        <v>11.16</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17481.2</v>
      </c>
      <c r="E10" s="408">
        <v>17481.2</v>
      </c>
      <c r="F10" s="408">
        <v>17481.2</v>
      </c>
      <c r="G10" s="408">
        <v>17481.2</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351</v>
      </c>
      <c r="C11" s="5"/>
      <c r="D11" s="409">
        <f>$C$9*D10/Prices!$C$147*Prices!$C$155</f>
        <v>170171.36768989579</v>
      </c>
      <c r="E11" s="409">
        <f>$C$9*E10/Prices!$C$147*Prices!$C$155</f>
        <v>170171.36768989579</v>
      </c>
      <c r="F11" s="409">
        <f>$C$9*F10/Prices!$C$147*Prices!$C$155</f>
        <v>170171.36768989579</v>
      </c>
      <c r="G11" s="409">
        <f>$C$9*G10/Prices!$C$147*Prices!$C$155</f>
        <v>170171.36768989579</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71572.354200117261</v>
      </c>
      <c r="E12" s="410">
        <v>54218.533358072193</v>
      </c>
      <c r="F12" s="410">
        <v>41297.373114760099</v>
      </c>
      <c r="G12" s="410">
        <v>31379.074620552099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v>0</v>
      </c>
      <c r="F15" s="410">
        <v>0</v>
      </c>
      <c r="G15" s="410">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10343.787688893359</v>
      </c>
      <c r="F16" s="410">
        <v>25197.025873286759</v>
      </c>
      <c r="G16" s="410">
        <v>43492.857899587012</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241743.72189001305</v>
      </c>
      <c r="E18" s="411">
        <f>E11+E12+E13-E14+E15-E16-E17</f>
        <v>214046.11335907463</v>
      </c>
      <c r="F18" s="411">
        <f>F11+F12+F13-F14+F15-F16-F17</f>
        <v>186271.71493136912</v>
      </c>
      <c r="G18" s="411">
        <f>G11+G12+G13-G14+G15-G16-G17</f>
        <v>158057.58441086087</v>
      </c>
      <c r="H18" s="230">
        <f>IF(D18=0,"nm",IF(G18=0,"nm",(G18/D18)^(1/3)-1))</f>
        <v>-0.13206597899685535</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764</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97772</v>
      </c>
      <c r="D23" s="416">
        <v>102068.33580025351</v>
      </c>
      <c r="E23" s="416">
        <v>106563.53247602435</v>
      </c>
      <c r="F23" s="416">
        <v>110914.92423637059</v>
      </c>
      <c r="G23" s="416">
        <v>115288.63895027731</v>
      </c>
      <c r="H23" s="233">
        <f t="shared" ref="H23:H32" si="3">IF(D23=0,"nm",IF(G23=0,"nm",(G23/D23)^(1/3)-1))</f>
        <v>4.1434177469848121E-2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66559</v>
      </c>
      <c r="D24" s="416">
        <v>69218.326287501026</v>
      </c>
      <c r="E24" s="416">
        <v>72420.574011402059</v>
      </c>
      <c r="F24" s="416">
        <v>75167.570728448482</v>
      </c>
      <c r="G24" s="416">
        <v>77892.853410958822</v>
      </c>
      <c r="H24" s="233">
        <f t="shared" si="3"/>
        <v>4.0140898464721131E-2</v>
      </c>
      <c r="I24" s="209"/>
      <c r="J24" s="13"/>
      <c r="K24" s="13"/>
      <c r="L24" s="13"/>
      <c r="M24" s="13"/>
      <c r="N24" s="13"/>
      <c r="O24" s="208"/>
      <c r="S24" s="72"/>
      <c r="T24" s="26"/>
      <c r="U24" s="26"/>
      <c r="V24" s="26"/>
      <c r="W24" s="26" t="s">
        <v>836</v>
      </c>
      <c r="X24" s="26" t="s">
        <v>209</v>
      </c>
    </row>
    <row r="25" spans="2:24">
      <c r="B25" s="5" t="s">
        <v>157</v>
      </c>
      <c r="C25" s="422">
        <v>34618</v>
      </c>
      <c r="D25" s="416">
        <v>46319.129968932975</v>
      </c>
      <c r="E25" s="416">
        <v>48669.525327772149</v>
      </c>
      <c r="F25" s="416">
        <v>50576.227400759301</v>
      </c>
      <c r="G25" s="416">
        <v>52444.741709517577</v>
      </c>
      <c r="H25" s="233">
        <f t="shared" si="3"/>
        <v>4.227067603147594E-2</v>
      </c>
      <c r="I25" s="208"/>
      <c r="J25" s="207" t="s">
        <v>8</v>
      </c>
      <c r="K25" s="207"/>
      <c r="L25" s="252">
        <v>0</v>
      </c>
      <c r="M25" s="252">
        <v>0</v>
      </c>
      <c r="N25" s="252">
        <v>0</v>
      </c>
      <c r="O25" s="252">
        <v>0</v>
      </c>
      <c r="P25" s="233" t="str">
        <f>IF(L25=0,"nm",IF(O25=0,"nm",(O25/L25)^(1/3)-1))</f>
        <v>nm</v>
      </c>
      <c r="S25" s="72"/>
      <c r="T25" s="26"/>
      <c r="U25" s="26"/>
      <c r="V25" s="113" t="s">
        <v>225</v>
      </c>
      <c r="W25" s="242">
        <f>D37/L9</f>
        <v>1.1418093917402681</v>
      </c>
      <c r="X25" s="242">
        <v>1</v>
      </c>
    </row>
    <row r="26" spans="2:24">
      <c r="B26" s="5" t="s">
        <v>487</v>
      </c>
      <c r="C26" s="422">
        <v>34531.455000000002</v>
      </c>
      <c r="D26" s="416">
        <v>46203.332144010645</v>
      </c>
      <c r="E26" s="416">
        <v>48547.851514452719</v>
      </c>
      <c r="F26" s="416">
        <v>50449.786832257407</v>
      </c>
      <c r="G26" s="416">
        <v>52313.629855243787</v>
      </c>
      <c r="H26" s="233">
        <f t="shared" si="3"/>
        <v>4.227067603147594E-2</v>
      </c>
      <c r="I26" s="209"/>
      <c r="J26" s="209" t="s">
        <v>9</v>
      </c>
      <c r="K26" s="209"/>
      <c r="L26" s="235">
        <f>D11+L25</f>
        <v>170171.36768989579</v>
      </c>
      <c r="M26" s="235">
        <f>E11+M25</f>
        <v>170171.36768989579</v>
      </c>
      <c r="N26" s="235">
        <f>F11+N25</f>
        <v>170171.36768989579</v>
      </c>
      <c r="O26" s="235">
        <f>G11+O25</f>
        <v>170171.36768989579</v>
      </c>
      <c r="P26" s="233">
        <f>IF(L26=0,"nm",IF(O26=0,"nm",(O26/L26)^(1/3)-1))</f>
        <v>0</v>
      </c>
      <c r="Q26" s="5"/>
      <c r="S26" s="72"/>
      <c r="T26" s="26"/>
      <c r="U26" s="26"/>
      <c r="V26" s="113" t="s">
        <v>158</v>
      </c>
      <c r="W26" s="242">
        <f t="shared" ref="W26:W33" si="5">D38/L10</f>
        <v>0.56224753446429365</v>
      </c>
      <c r="X26" s="242">
        <v>1</v>
      </c>
    </row>
    <row r="27" spans="2:24">
      <c r="B27" s="5" t="s">
        <v>488</v>
      </c>
      <c r="C27" s="423">
        <v>289922</v>
      </c>
      <c r="D27" s="416">
        <v>275636.90629708464</v>
      </c>
      <c r="E27" s="416">
        <v>268428.04917077359</v>
      </c>
      <c r="F27" s="416">
        <v>266648.55451590981</v>
      </c>
      <c r="G27" s="416">
        <v>268182.08964987507</v>
      </c>
      <c r="H27" s="233">
        <f t="shared" si="3"/>
        <v>-9.0977804400642626E-3</v>
      </c>
      <c r="I27" s="209"/>
      <c r="J27" s="208"/>
      <c r="K27" s="208"/>
      <c r="L27" s="208"/>
      <c r="M27" s="208"/>
      <c r="N27" s="208"/>
      <c r="O27" s="208"/>
      <c r="Q27" s="25"/>
      <c r="S27" s="72"/>
      <c r="T27" s="26"/>
      <c r="U27" s="26"/>
      <c r="V27" s="113" t="s">
        <v>159</v>
      </c>
      <c r="W27" s="242">
        <f t="shared" si="5"/>
        <v>0.50455299426072109</v>
      </c>
      <c r="X27" s="242">
        <v>1</v>
      </c>
    </row>
    <row r="28" spans="2:24">
      <c r="B28" s="5" t="s">
        <v>492</v>
      </c>
      <c r="C28" s="422">
        <v>192770</v>
      </c>
      <c r="D28" s="416">
        <v>166240.99119036293</v>
      </c>
      <c r="E28" s="416">
        <v>146244.41061337103</v>
      </c>
      <c r="F28" s="416">
        <v>131310.23755906805</v>
      </c>
      <c r="G28" s="416">
        <v>119241.13852934699</v>
      </c>
      <c r="H28" s="233">
        <f t="shared" si="3"/>
        <v>-0.1048496245750945</v>
      </c>
      <c r="I28" s="208"/>
      <c r="Q28" s="5"/>
      <c r="S28" s="72"/>
      <c r="T28" s="26"/>
      <c r="U28" s="26"/>
      <c r="V28" s="113" t="s">
        <v>381</v>
      </c>
      <c r="W28" s="242">
        <f t="shared" si="5"/>
        <v>0.38613721404402374</v>
      </c>
      <c r="X28" s="242">
        <v>1</v>
      </c>
    </row>
    <row r="29" spans="2:24" ht="12.6" thickBot="1">
      <c r="B29" s="5" t="s">
        <v>489</v>
      </c>
      <c r="C29" s="422">
        <v>10730</v>
      </c>
      <c r="D29" s="416">
        <v>27597.282222933307</v>
      </c>
      <c r="E29" s="416">
        <v>27545.735595890466</v>
      </c>
      <c r="F29" s="416">
        <v>27631.228276178234</v>
      </c>
      <c r="G29" s="416">
        <v>28079.70779840881</v>
      </c>
      <c r="H29" s="233">
        <f t="shared" si="3"/>
        <v>5.7933419967381994E-3</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0.5077048834404051</v>
      </c>
      <c r="X29" s="242">
        <v>1</v>
      </c>
    </row>
    <row r="30" spans="2:24" ht="12.6" thickTop="1">
      <c r="B30" s="5" t="s">
        <v>490</v>
      </c>
      <c r="C30" s="423">
        <v>10730</v>
      </c>
      <c r="D30" s="416">
        <v>13473.051848417399</v>
      </c>
      <c r="E30" s="416">
        <v>20488.751404627372</v>
      </c>
      <c r="F30" s="416">
        <v>25994.903772841717</v>
      </c>
      <c r="G30" s="416">
        <v>29747.665654473527</v>
      </c>
      <c r="H30" s="233">
        <f t="shared" si="3"/>
        <v>0.30215386255564902</v>
      </c>
      <c r="I30" s="214"/>
      <c r="J30" s="208"/>
      <c r="K30" s="208"/>
      <c r="L30" s="208"/>
      <c r="M30" s="208"/>
      <c r="N30" s="208"/>
      <c r="O30" s="5"/>
      <c r="Q30" s="5"/>
      <c r="S30" s="72"/>
      <c r="T30" s="26"/>
      <c r="U30" s="26"/>
      <c r="V30" s="113" t="s">
        <v>493</v>
      </c>
      <c r="W30" s="242">
        <f t="shared" si="5"/>
        <v>0.44589703234345124</v>
      </c>
      <c r="X30" s="242">
        <v>1</v>
      </c>
    </row>
    <row r="31" spans="2:24">
      <c r="B31" s="5" t="s">
        <v>491</v>
      </c>
      <c r="C31" s="423">
        <v>7288.9611519999999</v>
      </c>
      <c r="D31" s="416">
        <v>9152.3347178002077</v>
      </c>
      <c r="E31" s="416">
        <v>13918.146602172821</v>
      </c>
      <c r="F31" s="416">
        <v>17658.512931055127</v>
      </c>
      <c r="G31" s="416">
        <v>20207.78931203562</v>
      </c>
      <c r="H31" s="233">
        <f t="shared" si="3"/>
        <v>0.3021538625556488</v>
      </c>
      <c r="I31" s="214"/>
      <c r="J31" s="5" t="s">
        <v>613</v>
      </c>
      <c r="K31" s="207"/>
      <c r="L31" s="253">
        <v>3829099.55</v>
      </c>
      <c r="M31" s="253">
        <v>3906064.4509549998</v>
      </c>
      <c r="N31" s="253">
        <v>3984576.3464191952</v>
      </c>
      <c r="O31" s="253">
        <v>4064666.3309822213</v>
      </c>
      <c r="Q31" s="5"/>
      <c r="S31" s="72"/>
      <c r="T31" s="26"/>
      <c r="U31" s="26"/>
      <c r="V31" s="113" t="s">
        <v>390</v>
      </c>
      <c r="W31" s="242">
        <f t="shared" si="5"/>
        <v>0.38324957602113607</v>
      </c>
      <c r="X31" s="242">
        <v>1</v>
      </c>
    </row>
    <row r="32" spans="2:24">
      <c r="B32" s="5" t="s">
        <v>506</v>
      </c>
      <c r="C32" s="424">
        <v>0</v>
      </c>
      <c r="D32" s="416">
        <v>0</v>
      </c>
      <c r="E32" s="416">
        <v>0</v>
      </c>
      <c r="F32" s="416">
        <v>0</v>
      </c>
      <c r="G32" s="416">
        <v>0</v>
      </c>
      <c r="H32" s="233" t="str">
        <f t="shared" si="3"/>
        <v>nm</v>
      </c>
      <c r="I32" s="214"/>
      <c r="J32" s="5" t="s">
        <v>1072</v>
      </c>
      <c r="K32" s="214"/>
      <c r="L32" s="253">
        <v>2104470</v>
      </c>
      <c r="M32" s="253">
        <v>2125514.7000000002</v>
      </c>
      <c r="N32" s="253">
        <v>2146769.8470000001</v>
      </c>
      <c r="O32" s="253">
        <v>2168237.5454700002</v>
      </c>
      <c r="Q32" s="5"/>
      <c r="S32" s="72"/>
      <c r="T32" s="26"/>
      <c r="U32" s="26"/>
      <c r="V32" s="113" t="s">
        <v>437</v>
      </c>
      <c r="W32" s="242">
        <f t="shared" si="5"/>
        <v>0.73197317812753016</v>
      </c>
      <c r="X32" s="242">
        <v>1</v>
      </c>
    </row>
    <row r="33" spans="2:24">
      <c r="B33" s="5" t="s">
        <v>3</v>
      </c>
      <c r="C33" s="423">
        <v>-2576</v>
      </c>
      <c r="D33" s="416">
        <v>-2426.6944074035146</v>
      </c>
      <c r="E33" s="416">
        <v>-2077.9558335450174</v>
      </c>
      <c r="F33" s="416">
        <v>-1801.8310129286142</v>
      </c>
      <c r="G33" s="416">
        <v>-1597.3722813331692</v>
      </c>
      <c r="H33" s="233">
        <f>IF(D33=0,"nm",IF(G33=0,"nm",(G33/D33)^(1/3)-1))</f>
        <v>-0.13011130883100741</v>
      </c>
      <c r="I33" s="5"/>
      <c r="Q33" s="5"/>
      <c r="S33" s="72"/>
      <c r="T33" s="26"/>
      <c r="U33" s="26"/>
      <c r="V33" s="113" t="s">
        <v>481</v>
      </c>
      <c r="W33" s="242">
        <f t="shared" si="5"/>
        <v>1.260611851934089</v>
      </c>
      <c r="X33" s="242">
        <v>1</v>
      </c>
    </row>
    <row r="34" spans="2:24">
      <c r="H34" s="231"/>
      <c r="I34" s="33"/>
      <c r="Q34" s="5"/>
      <c r="S34" s="72"/>
      <c r="T34" s="26"/>
      <c r="U34" s="26"/>
      <c r="V34" s="113" t="s">
        <v>482</v>
      </c>
      <c r="W34" s="242">
        <f>D47/L19</f>
        <v>2.6092657697939643</v>
      </c>
      <c r="X34" s="242">
        <v>1</v>
      </c>
    </row>
    <row r="35" spans="2:24" ht="12.6" thickBot="1">
      <c r="B35" s="249" t="s">
        <v>838</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42"/>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2.3684497253203243</v>
      </c>
      <c r="E37" s="406">
        <f t="shared" ref="E37:G41" si="8">E$18/E23</f>
        <v>2.0086244176189703</v>
      </c>
      <c r="F37" s="406">
        <f t="shared" si="8"/>
        <v>1.6794107394817834</v>
      </c>
      <c r="G37" s="406">
        <f t="shared" si="8"/>
        <v>1.3709727675684447</v>
      </c>
      <c r="H37" s="13">
        <f t="shared" ref="H37:H45" si="9">H23</f>
        <v>4.1434177469848121E-2</v>
      </c>
      <c r="I37" s="5"/>
      <c r="J37" s="208"/>
      <c r="K37" s="208"/>
      <c r="L37" s="208"/>
      <c r="M37" s="208"/>
      <c r="N37" s="208"/>
      <c r="O37" s="5"/>
      <c r="Q37" s="5"/>
      <c r="R37" s="5"/>
      <c r="S37" s="26"/>
      <c r="T37" s="26"/>
      <c r="U37" s="26"/>
      <c r="V37" s="26"/>
      <c r="W37" s="26"/>
      <c r="X37" s="26"/>
    </row>
    <row r="38" spans="2:24">
      <c r="B38" s="5" t="s">
        <v>158</v>
      </c>
      <c r="C38" s="207"/>
      <c r="D38" s="406">
        <f>D$18/D24</f>
        <v>3.4924814692271098</v>
      </c>
      <c r="E38" s="406">
        <f>E$18/E24</f>
        <v>2.9555981332787384</v>
      </c>
      <c r="F38" s="406">
        <f>F$18/F24</f>
        <v>2.4780861364310569</v>
      </c>
      <c r="G38" s="406">
        <f t="shared" si="8"/>
        <v>2.0291667013012979</v>
      </c>
      <c r="H38" s="13">
        <f t="shared" si="9"/>
        <v>4.0140898464721131E-2</v>
      </c>
      <c r="I38" s="217"/>
      <c r="J38" s="212"/>
      <c r="K38" s="212"/>
      <c r="L38" s="212"/>
      <c r="M38" s="212"/>
      <c r="N38" s="212"/>
      <c r="O38" s="5"/>
      <c r="Q38" s="5"/>
      <c r="R38" s="5"/>
      <c r="S38" s="26"/>
      <c r="T38" s="26"/>
      <c r="U38" s="26"/>
      <c r="V38" s="26"/>
      <c r="W38" s="26"/>
      <c r="X38" s="26"/>
    </row>
    <row r="39" spans="2:24">
      <c r="B39" s="5" t="s">
        <v>159</v>
      </c>
      <c r="C39" s="207"/>
      <c r="D39" s="406">
        <f>D$18/D25</f>
        <v>5.2190902992382338</v>
      </c>
      <c r="E39" s="406">
        <f t="shared" si="8"/>
        <v>4.3979494749034282</v>
      </c>
      <c r="F39" s="406">
        <f t="shared" si="8"/>
        <v>3.6829895091893037</v>
      </c>
      <c r="G39" s="406">
        <f t="shared" si="8"/>
        <v>3.0137927894909788</v>
      </c>
      <c r="H39" s="13">
        <f t="shared" si="9"/>
        <v>4.227067603147594E-2</v>
      </c>
      <c r="I39" s="13"/>
      <c r="J39" s="217"/>
      <c r="K39" s="217"/>
      <c r="L39" s="217"/>
      <c r="M39" s="217"/>
      <c r="N39" s="217"/>
      <c r="O39" s="14"/>
      <c r="Q39" s="5"/>
      <c r="R39" s="5"/>
      <c r="S39" s="26"/>
      <c r="T39" s="26"/>
      <c r="U39" s="26"/>
      <c r="V39" s="26"/>
      <c r="W39" s="26"/>
      <c r="X39" s="26"/>
    </row>
    <row r="40" spans="2:24">
      <c r="B40" s="5" t="s">
        <v>381</v>
      </c>
      <c r="C40" s="207"/>
      <c r="D40" s="406">
        <f>D$18/D26</f>
        <v>5.2321707260533676</v>
      </c>
      <c r="E40" s="406">
        <f t="shared" si="8"/>
        <v>4.4089719046650915</v>
      </c>
      <c r="F40" s="406">
        <f t="shared" si="8"/>
        <v>3.6922200593376475</v>
      </c>
      <c r="G40" s="406">
        <f t="shared" si="8"/>
        <v>3.0213461548781742</v>
      </c>
      <c r="H40" s="13">
        <f t="shared" si="9"/>
        <v>4.227067603147594E-2</v>
      </c>
      <c r="I40" s="5"/>
      <c r="J40" s="217"/>
      <c r="K40" s="217"/>
      <c r="L40" s="217"/>
      <c r="M40" s="217"/>
      <c r="N40" s="217"/>
      <c r="O40" s="14"/>
      <c r="Q40" s="5"/>
      <c r="R40" s="5"/>
      <c r="S40" s="26"/>
      <c r="T40" s="26"/>
      <c r="U40" s="26"/>
      <c r="V40" s="26"/>
      <c r="W40" s="242"/>
      <c r="X40" s="242"/>
    </row>
    <row r="41" spans="2:24">
      <c r="B41" s="5" t="s">
        <v>434</v>
      </c>
      <c r="C41" s="207"/>
      <c r="D41" s="406">
        <f>D$18/D27</f>
        <v>0.87703684219071476</v>
      </c>
      <c r="E41" s="406">
        <f t="shared" si="8"/>
        <v>0.7974059120136836</v>
      </c>
      <c r="F41" s="406">
        <f t="shared" si="8"/>
        <v>0.69856637801595534</v>
      </c>
      <c r="G41" s="406">
        <f t="shared" si="8"/>
        <v>0.58936666731627319</v>
      </c>
      <c r="H41" s="13">
        <f t="shared" si="9"/>
        <v>-9.0977804400642626E-3</v>
      </c>
      <c r="I41" s="207"/>
      <c r="J41" s="217"/>
      <c r="K41" s="217"/>
      <c r="L41" s="217"/>
      <c r="M41" s="217"/>
      <c r="N41" s="217"/>
      <c r="O41" s="14"/>
      <c r="Q41" s="5"/>
      <c r="R41" s="5"/>
      <c r="S41" s="26"/>
      <c r="T41" s="26"/>
      <c r="U41" s="26"/>
      <c r="V41" s="26"/>
      <c r="W41" s="242"/>
      <c r="X41" s="242"/>
    </row>
    <row r="42" spans="2:24">
      <c r="B42" s="5" t="s">
        <v>493</v>
      </c>
      <c r="C42" s="207"/>
      <c r="D42" s="406">
        <f>D18/D28</f>
        <v>1.4541763746655707</v>
      </c>
      <c r="E42" s="406">
        <f>E18/E28</f>
        <v>1.4636191049034495</v>
      </c>
      <c r="F42" s="406">
        <f>F18/F28</f>
        <v>1.4185620130919148</v>
      </c>
      <c r="G42" s="406">
        <f>G18/G28</f>
        <v>1.3255289773332766</v>
      </c>
      <c r="H42" s="13">
        <f t="shared" si="9"/>
        <v>-0.1048496245750945</v>
      </c>
      <c r="I42" s="208"/>
      <c r="J42" s="5"/>
      <c r="K42" s="5"/>
      <c r="L42" s="5"/>
      <c r="M42" s="5"/>
      <c r="N42" s="5"/>
      <c r="O42" s="5"/>
      <c r="Q42" s="5"/>
      <c r="R42" s="5"/>
      <c r="S42" s="26"/>
      <c r="T42" s="26"/>
      <c r="U42" s="26"/>
      <c r="V42" s="26"/>
      <c r="W42" s="242"/>
      <c r="X42" s="242"/>
    </row>
    <row r="43" spans="2:24">
      <c r="B43" s="5" t="s">
        <v>390</v>
      </c>
      <c r="C43" s="207"/>
      <c r="D43" s="406">
        <f>L26/D29</f>
        <v>6.1662364545623118</v>
      </c>
      <c r="E43" s="406">
        <f>M26/E29</f>
        <v>6.1777753982102253</v>
      </c>
      <c r="F43" s="406">
        <f>N26/F29</f>
        <v>6.1586609899859566</v>
      </c>
      <c r="G43" s="406">
        <f>O26/G29</f>
        <v>6.060296955780248</v>
      </c>
      <c r="H43" s="13">
        <f t="shared" si="9"/>
        <v>5.7933419967381994E-3</v>
      </c>
      <c r="I43" s="207"/>
      <c r="J43" s="53"/>
      <c r="K43" s="53"/>
      <c r="L43" s="53"/>
      <c r="M43" s="53"/>
      <c r="N43" s="53"/>
      <c r="O43" s="53"/>
      <c r="Q43" s="5"/>
      <c r="R43" s="5"/>
      <c r="S43" s="26"/>
      <c r="T43" s="26"/>
      <c r="U43" s="26"/>
      <c r="V43" s="26"/>
      <c r="W43" s="242"/>
      <c r="X43" s="242"/>
    </row>
    <row r="44" spans="2:24">
      <c r="B44" s="5" t="s">
        <v>437</v>
      </c>
      <c r="C44" s="53"/>
      <c r="D44" s="406">
        <f>D11/D30</f>
        <v>12.630498984525531</v>
      </c>
      <c r="E44" s="406">
        <f>E11/E30</f>
        <v>8.3055997083093462</v>
      </c>
      <c r="F44" s="406">
        <f>F11/F30</f>
        <v>6.546335742457452</v>
      </c>
      <c r="G44" s="406">
        <f>G11/G30</f>
        <v>5.7204948336611752</v>
      </c>
      <c r="H44" s="13">
        <f t="shared" si="9"/>
        <v>0.30215386255564902</v>
      </c>
      <c r="I44" s="207"/>
      <c r="J44" s="217"/>
      <c r="K44" s="217"/>
      <c r="L44" s="217"/>
      <c r="M44" s="217"/>
      <c r="N44" s="217"/>
      <c r="O44" s="14"/>
      <c r="Q44" s="5"/>
      <c r="R44" s="5"/>
      <c r="S44" s="26"/>
      <c r="T44" s="26"/>
      <c r="U44" s="26"/>
      <c r="V44" s="26"/>
      <c r="W44" s="255"/>
      <c r="X44" s="255"/>
    </row>
    <row r="45" spans="2:24">
      <c r="B45" s="5" t="s">
        <v>481</v>
      </c>
      <c r="C45" s="207"/>
      <c r="D45" s="208">
        <f>D31/D11</f>
        <v>5.3783047301344825E-2</v>
      </c>
      <c r="E45" s="208">
        <f>E31/E11</f>
        <v>8.1789003585702708E-2</v>
      </c>
      <c r="F45" s="208">
        <f>F31/F11</f>
        <v>0.10376900162919493</v>
      </c>
      <c r="G45" s="208">
        <f>G31/G11</f>
        <v>0.11874964388169215</v>
      </c>
      <c r="H45" s="13">
        <f t="shared" si="9"/>
        <v>0.3021538625556488</v>
      </c>
      <c r="I45" s="208"/>
      <c r="J45" s="13"/>
      <c r="K45" s="13"/>
      <c r="L45" s="13"/>
      <c r="M45" s="13"/>
      <c r="N45" s="13"/>
      <c r="O45" s="5"/>
      <c r="Q45" s="5"/>
      <c r="R45" s="5"/>
      <c r="S45" s="26"/>
      <c r="T45" s="26"/>
      <c r="U45" s="26"/>
      <c r="V45" s="26"/>
      <c r="W45" s="26"/>
      <c r="X45" s="26"/>
    </row>
    <row r="46" spans="2:24">
      <c r="B46" s="5" t="s">
        <v>505</v>
      </c>
      <c r="C46" s="207"/>
      <c r="D46" s="208">
        <f>(D31+D32)/D11</f>
        <v>5.3783047301344825E-2</v>
      </c>
      <c r="E46" s="208">
        <f>(E31+E32)/E11</f>
        <v>8.1789003585702708E-2</v>
      </c>
      <c r="F46" s="208">
        <f>(F31+F32)/F11</f>
        <v>0.10376900162919493</v>
      </c>
      <c r="G46" s="208">
        <f>(G31+G32)/G11</f>
        <v>0.11874964388169215</v>
      </c>
      <c r="H46" s="233">
        <f>((G31+G32)/(D31+D32))^(1/3)-1</f>
        <v>0.3021538625556488</v>
      </c>
      <c r="I46" s="207"/>
      <c r="J46" s="5"/>
      <c r="K46" s="5"/>
      <c r="L46" s="5"/>
      <c r="M46" s="5"/>
      <c r="N46" s="5"/>
      <c r="O46" s="5"/>
      <c r="Q46" s="5"/>
      <c r="R46" s="5"/>
      <c r="S46" s="26"/>
      <c r="T46" s="26"/>
      <c r="U46" s="26"/>
      <c r="V46" s="26"/>
      <c r="W46" s="26"/>
      <c r="X46" s="26"/>
    </row>
    <row r="47" spans="2:24">
      <c r="B47" s="5" t="s">
        <v>482</v>
      </c>
      <c r="C47" s="5"/>
      <c r="D47" s="208">
        <f>1/D43</f>
        <v>0.16217347605282215</v>
      </c>
      <c r="E47" s="208">
        <f>1/E43</f>
        <v>0.16187056594671795</v>
      </c>
      <c r="F47" s="208">
        <f>1/F43</f>
        <v>0.16237295763251294</v>
      </c>
      <c r="G47" s="208">
        <f>1/G43</f>
        <v>0.16500841580810829</v>
      </c>
      <c r="H47" s="13">
        <f>H29</f>
        <v>5.7933419967381994E-3</v>
      </c>
      <c r="I47" s="13"/>
      <c r="J47" s="217"/>
      <c r="K47" s="217"/>
      <c r="L47" s="217"/>
      <c r="M47" s="217"/>
      <c r="N47" s="217"/>
      <c r="O47" s="14"/>
      <c r="Q47" s="5"/>
      <c r="R47" s="5"/>
      <c r="S47" s="26"/>
      <c r="T47" s="26"/>
      <c r="U47" s="26"/>
      <c r="V47" s="26"/>
      <c r="W47" s="26"/>
      <c r="X47" s="26"/>
    </row>
    <row r="48" spans="2:24">
      <c r="B48" s="5" t="s">
        <v>518</v>
      </c>
      <c r="C48" s="5"/>
      <c r="D48" s="248">
        <f>D31/D29</f>
        <v>0.33163898690700161</v>
      </c>
      <c r="E48" s="248">
        <f>E31/E29</f>
        <v>0.5052740941958821</v>
      </c>
      <c r="F48" s="248">
        <f>F31/F29</f>
        <v>0.63907810230351203</v>
      </c>
      <c r="G48" s="248">
        <f>G31/G29</f>
        <v>0.71965810531620744</v>
      </c>
      <c r="H48" s="233" t="s">
        <v>507</v>
      </c>
      <c r="I48" s="207"/>
      <c r="J48" s="13"/>
      <c r="K48" s="13"/>
      <c r="L48" s="13"/>
      <c r="M48" s="13"/>
      <c r="N48" s="13"/>
      <c r="O48" s="5"/>
      <c r="Q48" s="5"/>
      <c r="R48" s="5"/>
      <c r="S48" s="26"/>
      <c r="T48" s="26"/>
      <c r="U48" s="26"/>
      <c r="V48" s="26"/>
      <c r="W48" s="26"/>
      <c r="X48" s="26"/>
    </row>
  </sheetData>
  <pageMargins left="0.75" right="0.75" top="1" bottom="1" header="0.5" footer="0.5"/>
  <pageSetup scale="6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3">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255</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134</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96</v>
      </c>
      <c r="C9" s="221">
        <f>Prices!C50</f>
        <v>222</v>
      </c>
      <c r="D9" s="421">
        <v>0</v>
      </c>
      <c r="E9" s="421">
        <v>0</v>
      </c>
      <c r="F9" s="421">
        <v>0</v>
      </c>
      <c r="G9" s="421">
        <v>0</v>
      </c>
      <c r="H9" s="209"/>
      <c r="I9" s="209"/>
      <c r="J9" s="5" t="s">
        <v>225</v>
      </c>
      <c r="L9" s="406">
        <f>'US OTHER'!D37</f>
        <v>1.9448992788707078</v>
      </c>
      <c r="M9" s="406">
        <f>'US OTHER'!E37</f>
        <v>1.7372240544961668</v>
      </c>
      <c r="N9" s="406">
        <f>'US OTHER'!F37</f>
        <v>5.6262110480321352</v>
      </c>
      <c r="O9" s="406">
        <f>'US OTHER'!G37</f>
        <v>5.6032351257231809</v>
      </c>
      <c r="P9" s="14">
        <f>'US OTHER'!H37</f>
        <v>-0.33257921460153206</v>
      </c>
    </row>
    <row r="10" spans="2:27">
      <c r="B10" s="5" t="s">
        <v>226</v>
      </c>
      <c r="C10" s="5"/>
      <c r="D10" s="408">
        <v>165.61092099999999</v>
      </c>
      <c r="E10" s="408">
        <v>161.599313</v>
      </c>
      <c r="F10" s="408">
        <v>159.79193599999999</v>
      </c>
      <c r="G10" s="408">
        <v>155.88870700000001</v>
      </c>
      <c r="H10" s="209"/>
      <c r="I10" s="207"/>
      <c r="J10" s="5" t="s">
        <v>158</v>
      </c>
      <c r="L10" s="406">
        <f>'US OTHER'!D38</f>
        <v>6.069327328391652</v>
      </c>
      <c r="M10" s="406">
        <f>'US OTHER'!E38</f>
        <v>5.3106733719878578</v>
      </c>
      <c r="N10" s="406">
        <f>'US OTHER'!F38</f>
        <v>18.343386419290955</v>
      </c>
      <c r="O10" s="406">
        <f>'US OTHER'!G38</f>
        <v>17.551992864337155</v>
      </c>
      <c r="P10" s="14">
        <f>'US OTHER'!H38</f>
        <v>-0.33342091865491441</v>
      </c>
    </row>
    <row r="11" spans="2:27">
      <c r="B11" s="25" t="s">
        <v>227</v>
      </c>
      <c r="C11" s="5"/>
      <c r="D11" s="409">
        <f>$C$9*(SUM(D9:D10))</f>
        <v>36765.624462</v>
      </c>
      <c r="E11" s="409">
        <f>$C$9*(SUM(E9:E10))</f>
        <v>35875.047485999996</v>
      </c>
      <c r="F11" s="409">
        <f>$C$9*(SUM(F9:F10))</f>
        <v>35473.809792</v>
      </c>
      <c r="G11" s="409">
        <f>$C$9*(SUM(G9:G10))</f>
        <v>34607.292954000004</v>
      </c>
      <c r="H11" s="209"/>
      <c r="I11" s="209"/>
      <c r="J11" s="5" t="s">
        <v>159</v>
      </c>
      <c r="L11" s="406">
        <f>'US OTHER'!D39</f>
        <v>10.211765759138748</v>
      </c>
      <c r="M11" s="406">
        <f>'US OTHER'!E39</f>
        <v>8.6799339956505754</v>
      </c>
      <c r="N11" s="406">
        <f>'US OTHER'!F39</f>
        <v>25.992725114565481</v>
      </c>
      <c r="O11" s="406">
        <f>'US OTHER'!G39</f>
        <v>26.185859943211955</v>
      </c>
      <c r="P11" s="14">
        <f>'US OTHER'!H39</f>
        <v>-0.30616164120376743</v>
      </c>
    </row>
    <row r="12" spans="2:27">
      <c r="B12" s="5" t="s">
        <v>22</v>
      </c>
      <c r="C12" s="209"/>
      <c r="D12" s="410">
        <v>97068</v>
      </c>
      <c r="E12" s="410">
        <v>93474</v>
      </c>
      <c r="F12" s="410">
        <v>92973</v>
      </c>
      <c r="G12" s="410">
        <v>93806</v>
      </c>
      <c r="H12" s="207"/>
      <c r="I12" s="207"/>
      <c r="J12" s="5" t="s">
        <v>381</v>
      </c>
      <c r="L12" s="406">
        <f>'US OTHER'!D40</f>
        <v>16.118705826454125</v>
      </c>
      <c r="M12" s="406">
        <f>'US OTHER'!E40</f>
        <v>13.452309527569609</v>
      </c>
      <c r="N12" s="406">
        <f>'US OTHER'!F40</f>
        <v>40.614455714863254</v>
      </c>
      <c r="O12" s="406">
        <f>'US OTHER'!G40</f>
        <v>41.106074462355956</v>
      </c>
      <c r="P12" s="14">
        <f>'US OTHER'!H40</f>
        <v>-0.30488761506476691</v>
      </c>
    </row>
    <row r="13" spans="2:27">
      <c r="B13" s="5" t="s">
        <v>433</v>
      </c>
      <c r="C13" s="216"/>
      <c r="D13" s="410">
        <v>0</v>
      </c>
      <c r="E13" s="410">
        <v>0</v>
      </c>
      <c r="F13" s="410">
        <v>0</v>
      </c>
      <c r="G13" s="410">
        <v>0</v>
      </c>
      <c r="H13" s="207"/>
      <c r="I13" s="207"/>
      <c r="J13" s="5" t="s">
        <v>434</v>
      </c>
      <c r="L13" s="406">
        <f>'US OTHER'!D41</f>
        <v>1.1340923293304117</v>
      </c>
      <c r="M13" s="406">
        <f>'US OTHER'!E41</f>
        <v>1.005279373520229</v>
      </c>
      <c r="N13" s="406">
        <f>'US OTHER'!F41</f>
        <v>0.95967974913193332</v>
      </c>
      <c r="O13" s="406">
        <f>'US OTHER'!G41</f>
        <v>0.92484866772176888</v>
      </c>
      <c r="P13" s="14">
        <f>'US OTHER'!H41</f>
        <v>1.6497272107954819E-2</v>
      </c>
    </row>
    <row r="14" spans="2:27">
      <c r="B14" s="5" t="s">
        <v>436</v>
      </c>
      <c r="C14" s="216"/>
      <c r="D14" s="410">
        <v>0</v>
      </c>
      <c r="E14" s="410">
        <v>0</v>
      </c>
      <c r="F14" s="410">
        <v>0</v>
      </c>
      <c r="G14" s="410">
        <v>0</v>
      </c>
      <c r="H14" s="207"/>
      <c r="I14" s="207"/>
      <c r="J14" s="5" t="s">
        <v>493</v>
      </c>
      <c r="L14" s="406">
        <f>'US OTHER'!D42</f>
        <v>3.3664790917806555</v>
      </c>
      <c r="M14" s="406">
        <f>'US OTHER'!E42</f>
        <v>2.8543110594235879</v>
      </c>
      <c r="N14" s="406">
        <f>'US OTHER'!F42</f>
        <v>2.6938137505758633</v>
      </c>
      <c r="O14" s="406">
        <f>'US OTHER'!G42</f>
        <v>2.6425352346819628</v>
      </c>
      <c r="P14" s="14">
        <f>'US OTHER'!H42</f>
        <v>2.9513430354334069E-2</v>
      </c>
    </row>
    <row r="15" spans="2:27">
      <c r="B15" s="5" t="s">
        <v>435</v>
      </c>
      <c r="C15" s="228"/>
      <c r="D15" s="410">
        <v>0</v>
      </c>
      <c r="E15" s="410">
        <v>0</v>
      </c>
      <c r="F15" s="410">
        <v>0</v>
      </c>
      <c r="G15" s="410">
        <v>0</v>
      </c>
      <c r="H15" s="207"/>
      <c r="I15" s="207"/>
      <c r="J15" s="5" t="s">
        <v>390</v>
      </c>
      <c r="L15" s="406">
        <f>'US OTHER'!D43</f>
        <v>3.7200206184242304</v>
      </c>
      <c r="M15" s="406">
        <f>'US OTHER'!E43</f>
        <v>3.437770454988351</v>
      </c>
      <c r="N15" s="406">
        <f>'US OTHER'!F43</f>
        <v>25.372719811664975</v>
      </c>
      <c r="O15" s="406">
        <f>'US OTHER'!G43</f>
        <v>22.610969699280545</v>
      </c>
      <c r="P15" s="14">
        <f>'US OTHER'!H43</f>
        <v>-0.46973269097347681</v>
      </c>
    </row>
    <row r="16" spans="2:27">
      <c r="B16" s="5" t="s">
        <v>438</v>
      </c>
      <c r="C16" s="216"/>
      <c r="D16" s="410">
        <v>0</v>
      </c>
      <c r="E16" s="410">
        <v>0</v>
      </c>
      <c r="F16" s="410">
        <v>0</v>
      </c>
      <c r="G16" s="410">
        <v>0</v>
      </c>
      <c r="H16" s="207"/>
      <c r="I16" s="207"/>
      <c r="J16" s="5" t="s">
        <v>437</v>
      </c>
      <c r="L16" s="406">
        <f>'US OTHER'!D44</f>
        <v>9.7501690793248272</v>
      </c>
      <c r="M16" s="406">
        <f>'US OTHER'!E44</f>
        <v>8.598979993169177</v>
      </c>
      <c r="N16" s="406">
        <f>'US OTHER'!F44</f>
        <v>513.96005321223572</v>
      </c>
      <c r="O16" s="406">
        <f>'US OTHER'!G44</f>
        <v>237.75826996986964</v>
      </c>
      <c r="P16" s="14">
        <f>'US OTHER'!H44</f>
        <v>-0.66392395881441313</v>
      </c>
    </row>
    <row r="17" spans="2:24">
      <c r="B17" s="5" t="s">
        <v>4</v>
      </c>
      <c r="C17" s="216"/>
      <c r="D17" s="410">
        <v>0</v>
      </c>
      <c r="E17" s="410">
        <v>0</v>
      </c>
      <c r="F17" s="410">
        <v>0</v>
      </c>
      <c r="G17" s="410">
        <v>0</v>
      </c>
      <c r="H17" s="207"/>
      <c r="I17" s="207"/>
      <c r="J17" s="5" t="s">
        <v>481</v>
      </c>
      <c r="L17" s="14">
        <f>'US OTHER'!D45</f>
        <v>2.3414031600891949E-2</v>
      </c>
      <c r="M17" s="14">
        <f>'US OTHER'!E45</f>
        <v>2.5520788230292895E-2</v>
      </c>
      <c r="N17" s="14">
        <f>'US OTHER'!F45</f>
        <v>0</v>
      </c>
      <c r="O17" s="14">
        <f>'US OTHER'!G45</f>
        <v>0</v>
      </c>
      <c r="P17" s="14" t="str">
        <f>'US OTHER'!H45</f>
        <v>nm</v>
      </c>
      <c r="S17" s="72"/>
      <c r="T17" s="26"/>
      <c r="U17" s="26"/>
      <c r="V17" s="26"/>
      <c r="W17" s="26"/>
      <c r="X17" s="26"/>
    </row>
    <row r="18" spans="2:24" ht="12.6" thickBot="1">
      <c r="B18" s="25" t="s">
        <v>484</v>
      </c>
      <c r="C18" s="209"/>
      <c r="D18" s="411">
        <f>D11+D12+D13-D14+D15-D16-D17</f>
        <v>133833.62446200001</v>
      </c>
      <c r="E18" s="411">
        <f>E11+E12+E13-E14+E15-E16-E17</f>
        <v>129349.047486</v>
      </c>
      <c r="F18" s="411">
        <f>F11+F12+F13-F14+F15-F16-F17</f>
        <v>128446.809792</v>
      </c>
      <c r="G18" s="411">
        <f>G11+G12+G13-G14+G15-G16-G17</f>
        <v>128413.292954</v>
      </c>
      <c r="H18" s="230">
        <f>IF(D18=0,"nm",IF(G18=0,"nm",(G18/D18)^(1/3)-1))</f>
        <v>-1.3686643231453965E-2</v>
      </c>
      <c r="I18" s="214"/>
      <c r="J18" s="5" t="s">
        <v>33</v>
      </c>
      <c r="L18" s="14">
        <f>'US OTHER'!D46</f>
        <v>0.1135356050117876</v>
      </c>
      <c r="M18" s="14">
        <f>'US OTHER'!E46</f>
        <v>0.1436581537776308</v>
      </c>
      <c r="N18" s="14">
        <f>'US OTHER'!F46</f>
        <v>-3.6320368415181106E-7</v>
      </c>
      <c r="O18" s="14">
        <f>'US OTHER'!G46</f>
        <v>0</v>
      </c>
      <c r="P18" s="14">
        <f>'US OTHER'!H46</f>
        <v>-1</v>
      </c>
      <c r="S18" s="72"/>
      <c r="T18" s="26"/>
      <c r="U18" s="26"/>
      <c r="V18" s="26"/>
      <c r="W18" s="26"/>
      <c r="X18" s="26"/>
    </row>
    <row r="19" spans="2:24" ht="12.6" thickTop="1">
      <c r="B19" s="25"/>
      <c r="C19" s="209"/>
      <c r="D19" s="189"/>
      <c r="E19" s="189"/>
      <c r="F19" s="189"/>
      <c r="G19" s="189"/>
      <c r="H19" s="230"/>
      <c r="I19" s="214"/>
      <c r="J19" s="5" t="s">
        <v>482</v>
      </c>
      <c r="L19" s="14">
        <f>'US OTHER'!D47</f>
        <v>0.26881571436654877</v>
      </c>
      <c r="M19" s="14">
        <f>'US OTHER'!E47</f>
        <v>0.29088620461815812</v>
      </c>
      <c r="N19" s="14">
        <f>'US OTHER'!F47</f>
        <v>3.9412408579873853E-2</v>
      </c>
      <c r="O19" s="14">
        <f>'US OTHER'!G47</f>
        <v>4.4226320821252475E-2</v>
      </c>
      <c r="P19" s="14">
        <f>'US OTHER'!H47</f>
        <v>-0.46973269097347681</v>
      </c>
      <c r="S19" s="72"/>
      <c r="T19" s="26"/>
      <c r="U19" s="26"/>
      <c r="V19" s="26"/>
      <c r="W19" s="26"/>
      <c r="X19" s="26"/>
    </row>
    <row r="20" spans="2:24">
      <c r="H20" s="231"/>
      <c r="I20" s="13"/>
      <c r="J20" s="5" t="s">
        <v>504</v>
      </c>
      <c r="L20" s="425">
        <f>'US OTHER'!D48</f>
        <v>0.10961586988589439</v>
      </c>
      <c r="M20" s="425">
        <f>'US OTHER'!E48</f>
        <v>0.1115189512466168</v>
      </c>
      <c r="N20" s="425">
        <f>'US OTHER'!F48</f>
        <v>0</v>
      </c>
      <c r="O20" s="425">
        <f>'US OTHER'!G48</f>
        <v>0</v>
      </c>
      <c r="P20" s="14" t="str">
        <f>'US OTHER'!H48</f>
        <v>nm</v>
      </c>
      <c r="S20" s="72"/>
      <c r="T20" s="26"/>
      <c r="U20" s="26"/>
      <c r="V20" s="26"/>
      <c r="W20" s="26"/>
      <c r="X20" s="26"/>
    </row>
    <row r="21" spans="2:24" ht="12.6" thickBot="1">
      <c r="B21" s="249" t="s">
        <v>758</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54022</v>
      </c>
      <c r="D23" s="416">
        <v>54607</v>
      </c>
      <c r="E23" s="416">
        <v>55085</v>
      </c>
      <c r="F23" s="416">
        <v>13735</v>
      </c>
      <c r="G23" s="416">
        <v>13766</v>
      </c>
      <c r="H23" s="233">
        <f>IF(D23=0,"nm",IF(G23=0,"nm",(G23/D23)^(1/3)-1))</f>
        <v>-0.36828699789101838</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21616</v>
      </c>
      <c r="D24" s="416">
        <v>21894</v>
      </c>
      <c r="E24" s="416">
        <v>22569</v>
      </c>
      <c r="F24" s="416">
        <v>5763</v>
      </c>
      <c r="G24" s="416">
        <v>5693</v>
      </c>
      <c r="H24" s="233">
        <f>IF(D24=0,"nm",IF(G24=0,"nm",(G24/D24)^(1/3)-1))</f>
        <v>-0.36172864127266646</v>
      </c>
      <c r="I24" s="209"/>
      <c r="J24" s="13"/>
      <c r="K24" s="13"/>
      <c r="L24" s="13"/>
      <c r="M24" s="13"/>
      <c r="N24" s="13"/>
      <c r="O24" s="208"/>
      <c r="S24" s="72"/>
      <c r="T24" s="26"/>
      <c r="U24" s="26"/>
      <c r="V24" s="26"/>
      <c r="W24" s="26" t="s">
        <v>258</v>
      </c>
      <c r="X24" s="26" t="s">
        <v>216</v>
      </c>
    </row>
    <row r="25" spans="2:24">
      <c r="B25" s="5" t="s">
        <v>157</v>
      </c>
      <c r="C25" s="422">
        <v>12240</v>
      </c>
      <c r="D25" s="416">
        <v>10779</v>
      </c>
      <c r="E25" s="416">
        <v>11300</v>
      </c>
      <c r="F25" s="416">
        <v>3364</v>
      </c>
      <c r="G25" s="416">
        <v>2819</v>
      </c>
      <c r="H25" s="233">
        <f>IF(D25=0,"nm",IF(G25=0,"nm",(G25/D25)^(1/3)-1))</f>
        <v>-0.36050247502601085</v>
      </c>
      <c r="I25" s="208"/>
      <c r="J25" s="207" t="s">
        <v>8</v>
      </c>
      <c r="K25" s="207"/>
      <c r="L25" s="252">
        <v>0</v>
      </c>
      <c r="M25" s="252">
        <v>0</v>
      </c>
      <c r="N25" s="252">
        <v>0</v>
      </c>
      <c r="O25" s="252">
        <v>0</v>
      </c>
      <c r="P25" s="233" t="str">
        <f>IF(L25=0,"nm",IF(O25=0,"nm",(O25/L25)^(1/3)-1))</f>
        <v>nm</v>
      </c>
      <c r="S25" s="72"/>
      <c r="T25" s="26"/>
      <c r="U25" s="26"/>
      <c r="V25" s="113" t="s">
        <v>225</v>
      </c>
      <c r="W25" s="242">
        <f>D37/L9</f>
        <v>1.2601429277787837</v>
      </c>
      <c r="X25" s="242">
        <v>1</v>
      </c>
    </row>
    <row r="26" spans="2:24">
      <c r="B26" s="5" t="s">
        <v>487</v>
      </c>
      <c r="C26" s="422">
        <v>7956</v>
      </c>
      <c r="D26" s="416">
        <v>7006.35</v>
      </c>
      <c r="E26" s="416">
        <v>7345</v>
      </c>
      <c r="F26" s="416">
        <v>2186.6</v>
      </c>
      <c r="G26" s="416">
        <v>1832.3500000000001</v>
      </c>
      <c r="H26" s="233">
        <f>IF(D26=0,"nm",IF(G26=0,"nm",(G26/D26)^(1/3)-1))</f>
        <v>-0.36050247502601085</v>
      </c>
      <c r="I26" s="209"/>
      <c r="J26" s="209" t="s">
        <v>9</v>
      </c>
      <c r="K26" s="209"/>
      <c r="L26" s="235">
        <f>D11+L25</f>
        <v>36765.624462</v>
      </c>
      <c r="M26" s="235">
        <f>E11+M25</f>
        <v>35875.047485999996</v>
      </c>
      <c r="N26" s="235">
        <f>F11+N25</f>
        <v>35473.809792</v>
      </c>
      <c r="O26" s="235">
        <f>G11+O25</f>
        <v>34607.292954000004</v>
      </c>
      <c r="P26" s="233">
        <f>IF(L26=0,"nm",IF(O26=0,"nm",(O26/L26)^(1/3)-1))</f>
        <v>-1.9964304454401782E-2</v>
      </c>
      <c r="Q26" s="5"/>
      <c r="S26" s="72"/>
      <c r="T26" s="26"/>
      <c r="U26" s="26"/>
      <c r="V26" s="113" t="s">
        <v>158</v>
      </c>
      <c r="W26" s="242">
        <f t="shared" ref="W26:W33" si="4">D38/L10</f>
        <v>1.0071625426353383</v>
      </c>
      <c r="X26" s="242">
        <v>1</v>
      </c>
    </row>
    <row r="27" spans="2:24">
      <c r="B27" s="5" t="s">
        <v>488</v>
      </c>
      <c r="C27" s="423">
        <v>109507</v>
      </c>
      <c r="D27" s="416">
        <v>111786</v>
      </c>
      <c r="E27" s="416">
        <v>113181</v>
      </c>
      <c r="F27" s="416">
        <v>113495</v>
      </c>
      <c r="G27" s="416">
        <v>114174</v>
      </c>
      <c r="H27" s="233">
        <f>IF(ISERROR((G27/D27)^(1/3)-1),"na",(G27/D27)^(1/3)-1)</f>
        <v>7.070636838284905E-3</v>
      </c>
      <c r="I27" s="209"/>
      <c r="J27" s="208"/>
      <c r="K27" s="208"/>
      <c r="L27" s="208"/>
      <c r="M27" s="208"/>
      <c r="N27" s="208"/>
      <c r="O27" s="208"/>
      <c r="Q27" s="25"/>
      <c r="S27" s="72"/>
      <c r="T27" s="26"/>
      <c r="U27" s="26"/>
      <c r="V27" s="113" t="s">
        <v>159</v>
      </c>
      <c r="W27" s="242">
        <f t="shared" si="4"/>
        <v>1.2158665858160185</v>
      </c>
      <c r="X27" s="242">
        <v>1</v>
      </c>
    </row>
    <row r="28" spans="2:24" ht="12.6" thickBot="1">
      <c r="B28" s="5" t="s">
        <v>492</v>
      </c>
      <c r="C28" s="422">
        <v>36039</v>
      </c>
      <c r="D28" s="416">
        <v>39520</v>
      </c>
      <c r="E28" s="416">
        <v>42913</v>
      </c>
      <c r="F28" s="416">
        <v>43359</v>
      </c>
      <c r="G28" s="416">
        <v>44187</v>
      </c>
      <c r="H28" s="233">
        <f>IF(ISERROR((G28/D28)^(1/3)-1),"na",(G28/D28)^(1/3)-1)</f>
        <v>3.7908798775222463E-2</v>
      </c>
      <c r="I28" s="208"/>
      <c r="J28" s="249" t="s">
        <v>1073</v>
      </c>
      <c r="K28" s="249"/>
      <c r="L28" s="249"/>
      <c r="M28" s="249"/>
      <c r="N28" s="220"/>
      <c r="O28" s="220"/>
      <c r="P28" s="220"/>
      <c r="Q28" s="5"/>
      <c r="S28" s="72"/>
      <c r="T28" s="26"/>
      <c r="U28" s="26"/>
      <c r="V28" s="113" t="s">
        <v>381</v>
      </c>
      <c r="W28" s="242">
        <f t="shared" si="4"/>
        <v>1.1850679197390355</v>
      </c>
      <c r="X28" s="242">
        <v>1</v>
      </c>
    </row>
    <row r="29" spans="2:24" ht="12.6" thickTop="1">
      <c r="B29" s="5" t="s">
        <v>489</v>
      </c>
      <c r="C29" s="422">
        <v>4582</v>
      </c>
      <c r="D29" s="416">
        <v>1901.9397094113083</v>
      </c>
      <c r="E29" s="416">
        <v>2725.5348642319204</v>
      </c>
      <c r="F29" s="416">
        <v>-217.9351879279734</v>
      </c>
      <c r="G29" s="416">
        <v>-698</v>
      </c>
      <c r="H29" s="233">
        <f>IF(D29=0,"nm",IF(G29=0,"nm",(G29/D29)^(1/3)-1))</f>
        <v>-1.7159558229089231</v>
      </c>
      <c r="I29" s="212"/>
      <c r="J29" s="209"/>
      <c r="K29" s="209"/>
      <c r="L29" s="209"/>
      <c r="M29" s="209"/>
      <c r="N29" s="209"/>
      <c r="O29" s="211"/>
      <c r="Q29" s="5"/>
      <c r="S29" s="72"/>
      <c r="T29" s="26"/>
      <c r="U29" s="26"/>
      <c r="V29" s="113" t="s">
        <v>434</v>
      </c>
      <c r="W29" s="242">
        <f t="shared" si="4"/>
        <v>1.0556729908842217</v>
      </c>
      <c r="X29" s="242">
        <v>1</v>
      </c>
    </row>
    <row r="30" spans="2:24">
      <c r="B30" s="5" t="s">
        <v>490</v>
      </c>
      <c r="C30" s="423">
        <v>5055</v>
      </c>
      <c r="D30" s="416">
        <v>4320.9397094113092</v>
      </c>
      <c r="E30" s="416">
        <v>5321.5348642319204</v>
      </c>
      <c r="F30" s="416">
        <v>6.4812072026655621E-2</v>
      </c>
      <c r="G30" s="416">
        <v>0</v>
      </c>
      <c r="H30" s="233" t="str">
        <f>IF(D30=0,"nm",IF(G30=0,"nm",(G30/D30)^(1/3)-1))</f>
        <v>nm</v>
      </c>
      <c r="I30" s="214"/>
      <c r="J30" s="208"/>
      <c r="K30" s="208"/>
      <c r="L30" s="208"/>
      <c r="M30" s="208"/>
      <c r="N30" s="208"/>
      <c r="O30" s="5"/>
      <c r="Q30" s="5"/>
      <c r="S30" s="72"/>
      <c r="T30" s="26"/>
      <c r="U30" s="26"/>
      <c r="V30" s="113" t="s">
        <v>493</v>
      </c>
      <c r="W30" s="242">
        <f t="shared" si="4"/>
        <v>1.0059407052428837</v>
      </c>
      <c r="X30" s="242">
        <v>1</v>
      </c>
    </row>
    <row r="31" spans="2:24">
      <c r="B31" s="5" t="s">
        <v>491</v>
      </c>
      <c r="C31" s="423">
        <v>0</v>
      </c>
      <c r="D31" s="416">
        <v>0</v>
      </c>
      <c r="E31" s="416">
        <v>0</v>
      </c>
      <c r="F31" s="416">
        <v>0</v>
      </c>
      <c r="G31" s="416">
        <v>0</v>
      </c>
      <c r="H31" s="233" t="str">
        <f>IF(D31=0,"nm",IF(G31=0,"nm",(G31/D31)^(1/3)-1))</f>
        <v>nm</v>
      </c>
      <c r="I31" s="214"/>
      <c r="J31" s="212"/>
      <c r="K31" s="212"/>
      <c r="L31" s="212"/>
      <c r="M31" s="212"/>
      <c r="N31" s="212"/>
      <c r="O31" s="5"/>
      <c r="Q31" s="5"/>
      <c r="S31" s="72"/>
      <c r="T31" s="26"/>
      <c r="U31" s="26"/>
      <c r="V31" s="113" t="s">
        <v>390</v>
      </c>
      <c r="W31" s="242">
        <f t="shared" si="4"/>
        <v>5.1963674531743429</v>
      </c>
      <c r="X31" s="242">
        <v>1</v>
      </c>
    </row>
    <row r="32" spans="2:24">
      <c r="B32" s="5" t="s">
        <v>506</v>
      </c>
      <c r="C32" s="424">
        <v>10277</v>
      </c>
      <c r="D32" s="416">
        <v>12038.03530329071</v>
      </c>
      <c r="E32" s="416">
        <v>10273.12297197404</v>
      </c>
      <c r="F32" s="416">
        <v>-6.9720723069692792E-2</v>
      </c>
      <c r="G32" s="416">
        <v>0</v>
      </c>
      <c r="H32" s="233" t="str">
        <f>IF(D32=0,"nm",IF(G32=0,"nm",(G32/D32)^(1/3)-1))</f>
        <v>nm</v>
      </c>
      <c r="I32" s="214"/>
      <c r="J32" s="214"/>
      <c r="K32" s="214"/>
      <c r="L32" s="214"/>
      <c r="M32" s="214"/>
      <c r="N32" s="214"/>
      <c r="O32" s="211"/>
      <c r="Q32" s="5"/>
      <c r="S32" s="72"/>
      <c r="T32" s="26"/>
      <c r="U32" s="26"/>
      <c r="V32" s="113" t="s">
        <v>437</v>
      </c>
      <c r="W32" s="242">
        <f t="shared" si="4"/>
        <v>0.87267310841797197</v>
      </c>
      <c r="X32" s="242">
        <v>1</v>
      </c>
    </row>
    <row r="33" spans="2:24">
      <c r="B33" s="5" t="s">
        <v>3</v>
      </c>
      <c r="C33" s="423">
        <v>0</v>
      </c>
      <c r="D33" s="416">
        <v>0</v>
      </c>
      <c r="E33" s="416">
        <v>0</v>
      </c>
      <c r="F33" s="416" t="e">
        <v>#DIV/0!</v>
      </c>
      <c r="G33" s="416">
        <v>0</v>
      </c>
      <c r="H33" s="233" t="str">
        <f>IF(ISERROR((G33/D33)^(1/3)-1),"na",(G33/D33)^(1/3)-1)</f>
        <v>na</v>
      </c>
      <c r="I33" s="5"/>
      <c r="J33" s="214"/>
      <c r="K33" s="214"/>
      <c r="L33" s="214"/>
      <c r="M33" s="214"/>
      <c r="N33" s="214"/>
      <c r="O33" s="211"/>
      <c r="Q33" s="5"/>
      <c r="S33" s="72"/>
      <c r="T33" s="26"/>
      <c r="U33" s="26"/>
      <c r="V33" s="113" t="s">
        <v>481</v>
      </c>
      <c r="W33" s="242">
        <f t="shared" si="4"/>
        <v>0</v>
      </c>
      <c r="X33" s="242">
        <v>1</v>
      </c>
    </row>
    <row r="34" spans="2:24">
      <c r="D34" s="5"/>
      <c r="E34" s="5"/>
      <c r="F34" s="5"/>
      <c r="G34" s="5"/>
      <c r="I34" s="33"/>
      <c r="J34" s="214"/>
      <c r="K34" s="214"/>
      <c r="L34" s="214"/>
      <c r="M34" s="214"/>
      <c r="N34" s="214"/>
      <c r="O34" s="211"/>
      <c r="Q34" s="5"/>
      <c r="S34" s="72"/>
      <c r="T34" s="26"/>
      <c r="U34" s="26"/>
      <c r="V34" s="113" t="s">
        <v>482</v>
      </c>
      <c r="W34" s="242">
        <f>D47/L19</f>
        <v>0.19244212596803997</v>
      </c>
      <c r="X34" s="242">
        <v>1</v>
      </c>
    </row>
    <row r="35" spans="2:24" ht="12.6" thickBot="1">
      <c r="B35" s="249" t="s">
        <v>540</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2.4508510715109786</v>
      </c>
      <c r="E37" s="406">
        <f t="shared" ref="E37:G41" si="6">E$18/E23</f>
        <v>2.348171870491059</v>
      </c>
      <c r="F37" s="406">
        <f t="shared" si="6"/>
        <v>9.3517881173643982</v>
      </c>
      <c r="G37" s="406">
        <f t="shared" si="6"/>
        <v>9.3282938365538293</v>
      </c>
      <c r="H37" s="13">
        <f t="shared" ref="H37:H44" si="7">H23</f>
        <v>-0.36828699789101838</v>
      </c>
      <c r="I37" s="5"/>
      <c r="J37" s="217"/>
      <c r="K37" s="217"/>
      <c r="L37" s="217"/>
      <c r="M37" s="217"/>
      <c r="N37" s="217"/>
      <c r="O37" s="14"/>
      <c r="Q37" s="5"/>
      <c r="R37" s="5"/>
      <c r="S37" s="26"/>
      <c r="T37" s="26"/>
      <c r="U37" s="26"/>
      <c r="V37" s="26"/>
      <c r="W37" s="26"/>
      <c r="X37" s="26"/>
    </row>
    <row r="38" spans="2:24">
      <c r="B38" s="5" t="s">
        <v>158</v>
      </c>
      <c r="C38" s="207"/>
      <c r="D38" s="406">
        <f>D$18/D24</f>
        <v>6.1127991441490819</v>
      </c>
      <c r="E38" s="406">
        <f t="shared" si="6"/>
        <v>5.7312706582480395</v>
      </c>
      <c r="F38" s="406">
        <f t="shared" si="6"/>
        <v>22.288184937011973</v>
      </c>
      <c r="G38" s="406">
        <f t="shared" si="6"/>
        <v>22.556348665729843</v>
      </c>
      <c r="H38" s="13">
        <f t="shared" si="7"/>
        <v>-0.36172864127266646</v>
      </c>
      <c r="I38" s="217"/>
      <c r="J38" s="13"/>
      <c r="K38" s="13"/>
      <c r="L38" s="13"/>
      <c r="M38" s="13"/>
      <c r="N38" s="13"/>
      <c r="O38" s="5"/>
      <c r="Q38" s="5"/>
      <c r="R38" s="5"/>
      <c r="S38" s="26"/>
      <c r="T38" s="26"/>
      <c r="U38" s="26"/>
      <c r="V38" s="26"/>
      <c r="W38" s="26"/>
      <c r="X38" s="26"/>
    </row>
    <row r="39" spans="2:24">
      <c r="B39" s="5" t="s">
        <v>159</v>
      </c>
      <c r="C39" s="207"/>
      <c r="D39" s="406">
        <f>D$18/D25</f>
        <v>12.416144768716951</v>
      </c>
      <c r="E39" s="406">
        <f t="shared" si="6"/>
        <v>11.44681836159292</v>
      </c>
      <c r="F39" s="406">
        <f t="shared" si="6"/>
        <v>38.18276153151011</v>
      </c>
      <c r="G39" s="406">
        <f t="shared" si="6"/>
        <v>45.55278217594892</v>
      </c>
      <c r="H39" s="13">
        <f t="shared" si="7"/>
        <v>-0.36050247502601085</v>
      </c>
      <c r="I39" s="13"/>
      <c r="J39" s="5"/>
      <c r="K39" s="5"/>
      <c r="L39" s="5"/>
      <c r="M39" s="5"/>
      <c r="N39" s="5"/>
      <c r="O39" s="5"/>
      <c r="Q39" s="5"/>
      <c r="R39" s="5"/>
      <c r="S39" s="26"/>
      <c r="T39" s="26"/>
      <c r="U39" s="26"/>
      <c r="V39" s="26"/>
      <c r="W39" s="26"/>
      <c r="X39" s="26"/>
    </row>
    <row r="40" spans="2:24">
      <c r="B40" s="5" t="s">
        <v>381</v>
      </c>
      <c r="C40" s="207"/>
      <c r="D40" s="406">
        <f>D$18/D26</f>
        <v>19.101761182641461</v>
      </c>
      <c r="E40" s="406">
        <f t="shared" si="6"/>
        <v>17.61048978706603</v>
      </c>
      <c r="F40" s="406">
        <f t="shared" si="6"/>
        <v>58.742710048477093</v>
      </c>
      <c r="G40" s="406">
        <f t="shared" si="6"/>
        <v>70.081203347613723</v>
      </c>
      <c r="H40" s="13">
        <f t="shared" si="7"/>
        <v>-0.36050247502601085</v>
      </c>
      <c r="I40" s="5"/>
      <c r="J40" s="217"/>
      <c r="K40" s="217"/>
      <c r="L40" s="217"/>
      <c r="M40" s="217"/>
      <c r="N40" s="217"/>
      <c r="O40" s="14"/>
      <c r="Q40" s="5"/>
      <c r="R40" s="5"/>
      <c r="S40" s="26"/>
      <c r="T40" s="26"/>
      <c r="U40" s="26"/>
      <c r="V40" s="26"/>
      <c r="W40" s="242"/>
      <c r="X40" s="242"/>
    </row>
    <row r="41" spans="2:24">
      <c r="B41" s="5" t="s">
        <v>434</v>
      </c>
      <c r="C41" s="207"/>
      <c r="D41" s="406">
        <f>D$18/D27</f>
        <v>1.1972306412430895</v>
      </c>
      <c r="E41" s="406">
        <f t="shared" si="6"/>
        <v>1.1428512514114559</v>
      </c>
      <c r="F41" s="406">
        <f t="shared" si="6"/>
        <v>1.1317398104938543</v>
      </c>
      <c r="G41" s="406">
        <f t="shared" si="6"/>
        <v>1.1247157229667</v>
      </c>
      <c r="H41" s="13">
        <f t="shared" si="7"/>
        <v>7.070636838284905E-3</v>
      </c>
      <c r="I41" s="207"/>
      <c r="J41" s="13"/>
      <c r="K41" s="13"/>
      <c r="L41" s="13"/>
      <c r="M41" s="13"/>
      <c r="N41" s="13"/>
      <c r="O41" s="5"/>
      <c r="Q41" s="5"/>
      <c r="R41" s="5"/>
      <c r="S41" s="26"/>
      <c r="T41" s="26"/>
      <c r="U41" s="26"/>
      <c r="V41" s="26"/>
      <c r="W41" s="242"/>
      <c r="X41" s="242"/>
    </row>
    <row r="42" spans="2:24">
      <c r="B42" s="5" t="s">
        <v>493</v>
      </c>
      <c r="C42" s="207"/>
      <c r="D42" s="406">
        <f>D18/D28</f>
        <v>3.3864783517712551</v>
      </c>
      <c r="E42" s="406">
        <f>E18/E28</f>
        <v>3.0142159132663759</v>
      </c>
      <c r="F42" s="406">
        <f>F18/F28</f>
        <v>2.9624024952604997</v>
      </c>
      <c r="G42" s="406">
        <f>G18/G28</f>
        <v>2.9061328660918369</v>
      </c>
      <c r="H42" s="13">
        <f t="shared" si="7"/>
        <v>3.7908798775222463E-2</v>
      </c>
      <c r="I42" s="208"/>
      <c r="J42" s="5"/>
      <c r="K42" s="5"/>
      <c r="L42" s="5"/>
      <c r="M42" s="5"/>
      <c r="N42" s="5"/>
      <c r="O42" s="5"/>
      <c r="Q42" s="5"/>
      <c r="R42" s="5"/>
      <c r="S42" s="26"/>
      <c r="T42" s="26"/>
      <c r="U42" s="26"/>
      <c r="V42" s="26"/>
      <c r="W42" s="242"/>
      <c r="X42" s="242"/>
    </row>
    <row r="43" spans="2:24">
      <c r="B43" s="5" t="s">
        <v>390</v>
      </c>
      <c r="C43" s="207"/>
      <c r="D43" s="406">
        <f>L26/D29</f>
        <v>19.330594066717161</v>
      </c>
      <c r="E43" s="406">
        <f>M26/E29</f>
        <v>13.16257148525227</v>
      </c>
      <c r="F43" s="406">
        <f>N26/F29</f>
        <v>-162.77229083228144</v>
      </c>
      <c r="G43" s="406">
        <f>O26/G29</f>
        <v>-49.580648931232098</v>
      </c>
      <c r="H43" s="13">
        <f t="shared" si="7"/>
        <v>-1.7159558229089231</v>
      </c>
      <c r="I43" s="207"/>
      <c r="J43" s="207"/>
      <c r="K43" s="207"/>
      <c r="L43" s="207"/>
      <c r="M43" s="207"/>
      <c r="N43" s="207"/>
      <c r="O43" s="14"/>
      <c r="Q43" s="5"/>
      <c r="R43" s="5"/>
      <c r="S43" s="26"/>
      <c r="T43" s="26"/>
      <c r="U43" s="26"/>
      <c r="V43" s="26"/>
      <c r="W43" s="242"/>
      <c r="X43" s="242"/>
    </row>
    <row r="44" spans="2:24">
      <c r="B44" s="5" t="s">
        <v>437</v>
      </c>
      <c r="C44" s="53"/>
      <c r="D44" s="406">
        <f>D11/D30</f>
        <v>8.5087103580551933</v>
      </c>
      <c r="E44" s="406">
        <f>E11/E30</f>
        <v>6.7414850040972141</v>
      </c>
      <c r="F44" s="406">
        <f>F11/F30</f>
        <v>547333.3698914994</v>
      </c>
      <c r="G44" s="406" t="e">
        <f>G11/G30</f>
        <v>#DIV/0!</v>
      </c>
      <c r="H44" s="13" t="str">
        <f t="shared" si="7"/>
        <v>nm</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H31</f>
        <v>nm</v>
      </c>
      <c r="I45" s="208"/>
      <c r="J45" s="207"/>
      <c r="K45" s="207"/>
      <c r="L45" s="207"/>
      <c r="M45" s="207"/>
      <c r="N45" s="207"/>
      <c r="O45" s="208"/>
      <c r="Q45" s="5"/>
      <c r="R45" s="5"/>
      <c r="S45" s="26"/>
      <c r="T45" s="26"/>
      <c r="U45" s="26"/>
      <c r="V45" s="26"/>
      <c r="W45" s="26"/>
      <c r="X45" s="26"/>
    </row>
    <row r="46" spans="2:24">
      <c r="B46" s="5" t="s">
        <v>505</v>
      </c>
      <c r="C46" s="207"/>
      <c r="D46" s="208">
        <f>(D31+D32)/D11</f>
        <v>0.32742637938144942</v>
      </c>
      <c r="E46" s="208">
        <f>(E31+E32)/E11</f>
        <v>0.28635844944827071</v>
      </c>
      <c r="F46" s="208">
        <f>(F31+F32)/F11</f>
        <v>-1.9654140189198427E-6</v>
      </c>
      <c r="G46" s="208">
        <f>(G31+G32)/G11</f>
        <v>0</v>
      </c>
      <c r="H46" s="233">
        <f>((G31+G32)/(D31+D32))^(1/3)-1</f>
        <v>-1</v>
      </c>
      <c r="I46" s="207"/>
      <c r="J46" s="207"/>
      <c r="K46" s="207"/>
      <c r="L46" s="207"/>
      <c r="M46" s="207"/>
      <c r="N46" s="207"/>
      <c r="O46" s="14"/>
      <c r="Q46" s="5"/>
      <c r="R46" s="5"/>
      <c r="S46" s="26"/>
      <c r="T46" s="26"/>
      <c r="U46" s="26"/>
      <c r="V46" s="26"/>
      <c r="W46" s="26"/>
      <c r="X46" s="26"/>
    </row>
    <row r="47" spans="2:24">
      <c r="B47" s="5" t="s">
        <v>482</v>
      </c>
      <c r="C47" s="5"/>
      <c r="D47" s="208">
        <f>1/D43</f>
        <v>5.1731467566316032E-2</v>
      </c>
      <c r="E47" s="208">
        <f>1/E43</f>
        <v>7.5972996699043893E-2</v>
      </c>
      <c r="F47" s="208">
        <f>1/F43</f>
        <v>-6.1435517979555113E-3</v>
      </c>
      <c r="G47" s="208">
        <f>1/G43</f>
        <v>-2.0169159169074021E-2</v>
      </c>
      <c r="H47" s="13">
        <f>H29</f>
        <v>-1.7159558229089231</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2">
    <pageSetUpPr fitToPage="1"/>
  </sheetPr>
  <dimension ref="B1:GU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03" s="489" customFormat="1">
      <c r="T1" s="64"/>
      <c r="U1" s="64"/>
      <c r="V1" s="64"/>
      <c r="W1" s="64"/>
      <c r="X1" s="64"/>
      <c r="Y1" s="64"/>
      <c r="Z1" s="64"/>
      <c r="AA1" s="64"/>
    </row>
    <row r="2" spans="2:203" s="115" customFormat="1"/>
    <row r="3" spans="2:203" s="115" customFormat="1">
      <c r="H3" s="119"/>
      <c r="P3" s="119"/>
    </row>
    <row r="4" spans="2:203" s="122" customFormat="1" ht="21">
      <c r="B4" s="100" t="s">
        <v>254</v>
      </c>
      <c r="H4" s="182"/>
      <c r="P4" s="182"/>
    </row>
    <row r="5" spans="2:20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c r="R5" s="128"/>
      <c r="S5" s="128"/>
      <c r="T5" s="128"/>
      <c r="U5" s="128"/>
      <c r="V5" s="128"/>
      <c r="W5" s="128"/>
      <c r="X5" s="128"/>
      <c r="Y5" s="128"/>
    </row>
    <row r="6" spans="2:203">
      <c r="I6" s="5"/>
      <c r="J6" s="5"/>
      <c r="K6" s="5"/>
      <c r="L6" s="5"/>
      <c r="M6" s="5"/>
      <c r="N6" s="5"/>
      <c r="O6" s="33"/>
    </row>
    <row r="7" spans="2:203" ht="12.6" thickBot="1">
      <c r="B7" s="249" t="s">
        <v>223</v>
      </c>
      <c r="C7" s="219"/>
      <c r="D7" s="219" t="str">
        <f>D5</f>
        <v>2025E</v>
      </c>
      <c r="E7" s="219" t="str">
        <f t="shared" ref="E7:H7" si="0">E5</f>
        <v>2026E</v>
      </c>
      <c r="F7" s="219" t="str">
        <f t="shared" si="0"/>
        <v>2027E</v>
      </c>
      <c r="G7" s="219" t="str">
        <f t="shared" si="0"/>
        <v>2028E</v>
      </c>
      <c r="H7" s="219" t="str">
        <f t="shared" si="0"/>
        <v>2025-28</v>
      </c>
      <c r="I7" s="33"/>
      <c r="J7" s="249" t="s">
        <v>134</v>
      </c>
      <c r="K7" s="249"/>
      <c r="L7" s="219" t="str">
        <f>L5</f>
        <v>2025E</v>
      </c>
      <c r="M7" s="219" t="str">
        <f t="shared" ref="M7:P7" si="1">M5</f>
        <v>2026E</v>
      </c>
      <c r="N7" s="219" t="str">
        <f t="shared" si="1"/>
        <v>2027E</v>
      </c>
      <c r="O7" s="219" t="str">
        <f t="shared" si="1"/>
        <v>2028E</v>
      </c>
      <c r="P7" s="219" t="str">
        <f t="shared" si="1"/>
        <v>2025-28</v>
      </c>
    </row>
    <row r="8" spans="2:203" ht="12.6" thickTop="1">
      <c r="B8" s="5"/>
      <c r="C8" s="5"/>
      <c r="D8" s="5"/>
      <c r="E8" s="5"/>
      <c r="F8" s="5"/>
      <c r="G8" s="5"/>
      <c r="H8" s="5"/>
      <c r="I8" s="5"/>
      <c r="J8" s="5"/>
      <c r="K8" s="5"/>
      <c r="L8" s="5"/>
      <c r="M8" s="5"/>
      <c r="N8" s="5"/>
      <c r="S8" s="72"/>
      <c r="T8" s="26"/>
      <c r="U8" s="26"/>
      <c r="V8" s="26"/>
      <c r="W8" s="26"/>
      <c r="X8" s="26"/>
      <c r="Y8" s="26"/>
      <c r="Z8" s="26"/>
      <c r="AA8" s="26"/>
    </row>
    <row r="9" spans="2:203">
      <c r="B9" s="25" t="s">
        <v>96</v>
      </c>
      <c r="C9" s="221">
        <f>Prices!C51</f>
        <v>30.245000000000001</v>
      </c>
      <c r="D9" s="410"/>
      <c r="E9" s="410"/>
      <c r="F9" s="410"/>
      <c r="G9" s="410"/>
      <c r="H9" s="209"/>
      <c r="I9" s="209"/>
      <c r="J9" s="5" t="s">
        <v>225</v>
      </c>
      <c r="L9" s="406">
        <f>'US OTHER'!D37</f>
        <v>1.9448992788707078</v>
      </c>
      <c r="M9" s="406">
        <f>'US OTHER'!E37</f>
        <v>1.7372240544961668</v>
      </c>
      <c r="N9" s="406">
        <f>'US OTHER'!F37</f>
        <v>5.6262110480321352</v>
      </c>
      <c r="O9" s="406">
        <f>'US OTHER'!G37</f>
        <v>5.6032351257231809</v>
      </c>
      <c r="P9" s="14">
        <f>'US OTHER'!H37</f>
        <v>-0.33257921460153206</v>
      </c>
      <c r="S9" s="72"/>
      <c r="T9" s="26"/>
      <c r="U9" s="26"/>
      <c r="V9" s="26"/>
      <c r="W9" s="26"/>
      <c r="X9" s="26"/>
      <c r="Y9" s="26"/>
      <c r="Z9" s="26"/>
      <c r="AA9" s="26"/>
      <c r="GH9" s="221">
        <v>36.57</v>
      </c>
      <c r="GI9" s="226">
        <v>0</v>
      </c>
      <c r="GJ9" s="226">
        <v>0</v>
      </c>
      <c r="GK9" s="226">
        <v>0</v>
      </c>
      <c r="GL9" s="226">
        <v>0</v>
      </c>
      <c r="GM9" s="209"/>
      <c r="GN9" s="209"/>
      <c r="GO9" s="25" t="s">
        <v>225</v>
      </c>
      <c r="GQ9" s="222">
        <v>2.810699549390566</v>
      </c>
      <c r="GR9" s="222">
        <v>2.5929218299862731</v>
      </c>
      <c r="GS9" s="222">
        <v>2.3350913168370666</v>
      </c>
      <c r="GT9" s="222">
        <v>2.2585840923916103</v>
      </c>
      <c r="GU9" s="14">
        <v>4.6820726417848846E-2</v>
      </c>
    </row>
    <row r="10" spans="2:203">
      <c r="B10" s="5" t="s">
        <v>226</v>
      </c>
      <c r="D10" s="408">
        <v>4159.4304410428094</v>
      </c>
      <c r="E10" s="408">
        <v>3940.0803200730975</v>
      </c>
      <c r="F10" s="408">
        <v>3784</v>
      </c>
      <c r="G10" s="408">
        <v>3727</v>
      </c>
      <c r="H10" s="209"/>
      <c r="I10" s="207"/>
      <c r="J10" s="5" t="s">
        <v>158</v>
      </c>
      <c r="L10" s="406">
        <f>'US OTHER'!D38</f>
        <v>6.069327328391652</v>
      </c>
      <c r="M10" s="406">
        <f>'US OTHER'!E38</f>
        <v>5.3106733719878578</v>
      </c>
      <c r="N10" s="406">
        <f>'US OTHER'!F38</f>
        <v>18.343386419290955</v>
      </c>
      <c r="O10" s="406">
        <f>'US OTHER'!G38</f>
        <v>17.551992864337155</v>
      </c>
      <c r="P10" s="14">
        <f>'US OTHER'!H38</f>
        <v>-0.33342091865491441</v>
      </c>
      <c r="S10" s="72"/>
      <c r="T10" s="26"/>
      <c r="U10" s="26"/>
      <c r="V10" s="26"/>
      <c r="W10" s="242"/>
      <c r="X10" s="242"/>
      <c r="Y10" s="242"/>
      <c r="Z10" s="242"/>
      <c r="AA10" s="26"/>
      <c r="GI10" s="223">
        <v>4637.2798813248946</v>
      </c>
      <c r="GJ10" s="223">
        <v>4586.6211527196192</v>
      </c>
      <c r="GK10" s="223">
        <v>4611.3178079864056</v>
      </c>
      <c r="GL10" s="223">
        <v>4611.3178079864056</v>
      </c>
      <c r="GM10" s="209"/>
      <c r="GN10" s="207"/>
      <c r="GO10" s="25" t="s">
        <v>158</v>
      </c>
      <c r="GQ10" s="222">
        <v>8.6854361666532824</v>
      </c>
      <c r="GR10" s="222">
        <v>7.9979948611797189</v>
      </c>
      <c r="GS10" s="222">
        <v>7.1643881514581524</v>
      </c>
      <c r="GT10" s="222">
        <v>6.8965778001375213</v>
      </c>
      <c r="GU10" s="14">
        <v>5.0990823579210254E-2</v>
      </c>
    </row>
    <row r="11" spans="2:203">
      <c r="B11" s="25" t="s">
        <v>227</v>
      </c>
      <c r="C11" s="5"/>
      <c r="D11" s="409">
        <f>(D10*$C$9)</f>
        <v>125801.97368933978</v>
      </c>
      <c r="E11" s="409">
        <f>(E10*$C$9)</f>
        <v>119167.72928061083</v>
      </c>
      <c r="F11" s="409">
        <f>(F10*$C$9)</f>
        <v>114447.08</v>
      </c>
      <c r="G11" s="409">
        <f>(G10*$C$9)</f>
        <v>112723.11500000001</v>
      </c>
      <c r="H11" s="209"/>
      <c r="I11" s="209"/>
      <c r="J11" s="5" t="s">
        <v>159</v>
      </c>
      <c r="L11" s="406">
        <f>'US OTHER'!D39</f>
        <v>10.211765759138748</v>
      </c>
      <c r="M11" s="406">
        <f>'US OTHER'!E39</f>
        <v>8.6799339956505754</v>
      </c>
      <c r="N11" s="406">
        <f>'US OTHER'!F39</f>
        <v>25.992725114565481</v>
      </c>
      <c r="O11" s="406">
        <f>'US OTHER'!G39</f>
        <v>26.185859943211955</v>
      </c>
      <c r="P11" s="14">
        <f>'US OTHER'!H39</f>
        <v>-0.30616164120376743</v>
      </c>
      <c r="S11" s="72"/>
      <c r="T11" s="26"/>
      <c r="U11" s="26"/>
      <c r="V11" s="26"/>
      <c r="W11" s="242"/>
      <c r="X11" s="242"/>
      <c r="Y11" s="242"/>
      <c r="Z11" s="242"/>
      <c r="AA11" s="26"/>
      <c r="GH11" s="5"/>
      <c r="GI11" s="225">
        <v>169585.32526005141</v>
      </c>
      <c r="GJ11" s="225">
        <v>167732.73555495648</v>
      </c>
      <c r="GK11" s="225">
        <v>168635.89223806286</v>
      </c>
      <c r="GL11" s="225">
        <v>168635.89223806286</v>
      </c>
      <c r="GM11" s="209"/>
      <c r="GN11" s="209"/>
      <c r="GO11" s="25" t="s">
        <v>159</v>
      </c>
      <c r="GQ11" s="222">
        <v>8.5252065004301869</v>
      </c>
      <c r="GR11" s="222">
        <v>7.7336513138868801</v>
      </c>
      <c r="GS11" s="222">
        <v>6.8498781989532249</v>
      </c>
      <c r="GT11" s="222">
        <v>6.6056629738361234</v>
      </c>
      <c r="GU11" s="14">
        <v>5.9601159804935078E-2</v>
      </c>
    </row>
    <row r="12" spans="2:203">
      <c r="B12" s="5" t="s">
        <v>22</v>
      </c>
      <c r="C12" s="209"/>
      <c r="D12" s="410">
        <v>87615.441672000001</v>
      </c>
      <c r="E12" s="410">
        <v>88590.751600000003</v>
      </c>
      <c r="F12" s="410">
        <v>87391.653000000006</v>
      </c>
      <c r="G12" s="410">
        <v>88798.307000000001</v>
      </c>
      <c r="H12" s="207"/>
      <c r="I12" s="207"/>
      <c r="J12" s="5" t="s">
        <v>381</v>
      </c>
      <c r="L12" s="406">
        <f>'US OTHER'!D40</f>
        <v>16.118705826454125</v>
      </c>
      <c r="M12" s="406">
        <f>'US OTHER'!E40</f>
        <v>13.452309527569609</v>
      </c>
      <c r="N12" s="406">
        <f>'US OTHER'!F40</f>
        <v>40.614455714863254</v>
      </c>
      <c r="O12" s="406">
        <f>'US OTHER'!G40</f>
        <v>41.106074462355956</v>
      </c>
      <c r="P12" s="14">
        <f>'US OTHER'!H40</f>
        <v>-0.30488761506476691</v>
      </c>
      <c r="S12" s="72"/>
      <c r="T12" s="26"/>
      <c r="U12" s="26"/>
      <c r="V12" s="26"/>
      <c r="W12" s="242"/>
      <c r="X12" s="242"/>
      <c r="Y12" s="242"/>
      <c r="Z12" s="242"/>
      <c r="AA12" s="26"/>
      <c r="GH12" s="209"/>
      <c r="GI12" s="226">
        <v>105917.10555782284</v>
      </c>
      <c r="GJ12" s="226">
        <v>94962.950286532287</v>
      </c>
      <c r="GK12" s="226">
        <v>82578.249035989124</v>
      </c>
      <c r="GL12" s="226">
        <v>82578.249035989124</v>
      </c>
      <c r="GM12" s="207"/>
      <c r="GN12" s="207"/>
      <c r="GO12" s="25" t="s">
        <v>381</v>
      </c>
      <c r="GQ12" s="222">
        <v>13.115702308354136</v>
      </c>
      <c r="GR12" s="222">
        <v>11.897925098287507</v>
      </c>
      <c r="GS12" s="222">
        <v>10.538274152235731</v>
      </c>
      <c r="GT12" s="222">
        <v>10.162558421286343</v>
      </c>
      <c r="GU12" s="14">
        <v>5.96011598049353E-2</v>
      </c>
    </row>
    <row r="13" spans="2:203">
      <c r="B13" s="5" t="s">
        <v>433</v>
      </c>
      <c r="C13" s="216"/>
      <c r="D13" s="410">
        <v>1333.7951000000005</v>
      </c>
      <c r="E13" s="410">
        <v>1333.7951000000005</v>
      </c>
      <c r="F13" s="410">
        <v>1333.7951000000005</v>
      </c>
      <c r="G13" s="410">
        <v>1333.7951000000005</v>
      </c>
      <c r="H13" s="207"/>
      <c r="I13" s="207"/>
      <c r="J13" s="5" t="s">
        <v>434</v>
      </c>
      <c r="L13" s="406">
        <f>'US OTHER'!D41</f>
        <v>1.1340923293304117</v>
      </c>
      <c r="M13" s="406">
        <f>'US OTHER'!E41</f>
        <v>1.005279373520229</v>
      </c>
      <c r="N13" s="406">
        <f>'US OTHER'!F41</f>
        <v>0.95967974913193332</v>
      </c>
      <c r="O13" s="406">
        <f>'US OTHER'!G41</f>
        <v>0.92484866772176888</v>
      </c>
      <c r="P13" s="14">
        <f>'US OTHER'!H41</f>
        <v>1.6497272107954819E-2</v>
      </c>
      <c r="S13" s="72"/>
      <c r="T13" s="26"/>
      <c r="U13" s="26"/>
      <c r="V13" s="26"/>
      <c r="W13" s="26"/>
      <c r="X13" s="26"/>
      <c r="Y13" s="26"/>
      <c r="Z13" s="26"/>
      <c r="AA13" s="26"/>
      <c r="GH13" s="216"/>
      <c r="GI13" s="226">
        <v>1467.1746100000007</v>
      </c>
      <c r="GJ13" s="226">
        <v>1613.8920710000009</v>
      </c>
      <c r="GK13" s="226">
        <v>1775.2812781000011</v>
      </c>
      <c r="GL13" s="226">
        <v>1775.2812781000011</v>
      </c>
      <c r="GM13" s="207"/>
      <c r="GN13" s="207"/>
      <c r="GO13" s="25" t="s">
        <v>434</v>
      </c>
      <c r="GQ13" s="222">
        <v>1.4259036409602526</v>
      </c>
      <c r="GR13" s="222">
        <v>1.4735449492572357</v>
      </c>
      <c r="GS13" s="222">
        <v>1.5264570886732127</v>
      </c>
      <c r="GT13" s="222">
        <v>1.5275176364294605</v>
      </c>
      <c r="GU13" s="14">
        <v>-4.8853148320087691E-2</v>
      </c>
    </row>
    <row r="14" spans="2:203">
      <c r="B14" s="5" t="s">
        <v>436</v>
      </c>
      <c r="C14" s="216"/>
      <c r="D14" s="410">
        <v>9619</v>
      </c>
      <c r="E14" s="410">
        <v>9619</v>
      </c>
      <c r="F14" s="410">
        <v>9619</v>
      </c>
      <c r="G14" s="410">
        <v>9619</v>
      </c>
      <c r="H14" s="207"/>
      <c r="I14" s="207"/>
      <c r="J14" s="5" t="s">
        <v>493</v>
      </c>
      <c r="L14" s="406">
        <f>'US OTHER'!D42</f>
        <v>3.3664790917806555</v>
      </c>
      <c r="M14" s="406">
        <f>'US OTHER'!E42</f>
        <v>2.8543110594235879</v>
      </c>
      <c r="N14" s="406">
        <f>'US OTHER'!F42</f>
        <v>2.6938137505758633</v>
      </c>
      <c r="O14" s="406">
        <f>'US OTHER'!G42</f>
        <v>2.6425352346819628</v>
      </c>
      <c r="P14" s="14">
        <f>'US OTHER'!H42</f>
        <v>2.9513430354334069E-2</v>
      </c>
      <c r="S14" s="72"/>
      <c r="T14" s="26"/>
      <c r="U14" s="26"/>
      <c r="V14" s="26"/>
      <c r="W14" s="26"/>
      <c r="X14" s="26"/>
      <c r="Y14" s="26"/>
      <c r="Z14" s="26"/>
      <c r="AA14" s="26"/>
      <c r="GH14" s="216"/>
      <c r="GI14" s="227">
        <v>6981</v>
      </c>
      <c r="GJ14" s="227">
        <v>6981</v>
      </c>
      <c r="GK14" s="227">
        <v>6981</v>
      </c>
      <c r="GL14" s="227">
        <v>6981</v>
      </c>
      <c r="GM14" s="207"/>
      <c r="GN14" s="207"/>
      <c r="GO14" s="25" t="s">
        <v>493</v>
      </c>
      <c r="GQ14" s="222">
        <v>5.71264133904541</v>
      </c>
      <c r="GR14" s="222">
        <v>5.7329083220638122</v>
      </c>
      <c r="GS14" s="222">
        <v>5.8042748621753013</v>
      </c>
      <c r="GT14" s="222">
        <v>5.9479588828951195</v>
      </c>
      <c r="GU14" s="14">
        <v>-3.9783288709726472E-2</v>
      </c>
    </row>
    <row r="15" spans="2:203">
      <c r="B15" s="5" t="s">
        <v>435</v>
      </c>
      <c r="C15" s="228"/>
      <c r="D15" s="410">
        <v>0</v>
      </c>
      <c r="E15" s="410">
        <v>0</v>
      </c>
      <c r="F15" s="410">
        <v>0</v>
      </c>
      <c r="G15" s="410">
        <v>0</v>
      </c>
      <c r="H15" s="207"/>
      <c r="I15" s="207"/>
      <c r="J15" s="5" t="s">
        <v>390</v>
      </c>
      <c r="L15" s="406">
        <f>'US OTHER'!D43</f>
        <v>3.7200206184242304</v>
      </c>
      <c r="M15" s="406">
        <f>'US OTHER'!E43</f>
        <v>3.437770454988351</v>
      </c>
      <c r="N15" s="406">
        <f>'US OTHER'!F43</f>
        <v>25.372719811664975</v>
      </c>
      <c r="O15" s="406">
        <f>'US OTHER'!G43</f>
        <v>22.610969699280545</v>
      </c>
      <c r="P15" s="14">
        <f>'US OTHER'!H43</f>
        <v>-0.46973269097347681</v>
      </c>
      <c r="S15" s="72"/>
      <c r="T15" s="26"/>
      <c r="U15" s="26"/>
      <c r="V15" s="26"/>
      <c r="W15" s="26"/>
      <c r="X15" s="26"/>
      <c r="Y15" s="26"/>
      <c r="Z15" s="26"/>
      <c r="AA15" s="26"/>
      <c r="GH15" s="228"/>
      <c r="GI15" s="227">
        <v>0</v>
      </c>
      <c r="GJ15" s="227">
        <v>0</v>
      </c>
      <c r="GK15" s="227">
        <v>0</v>
      </c>
      <c r="GL15" s="227">
        <v>0</v>
      </c>
      <c r="GM15" s="207"/>
      <c r="GN15" s="207"/>
      <c r="GO15" s="25" t="s">
        <v>390</v>
      </c>
      <c r="GQ15" s="222">
        <v>6.6417584397994434</v>
      </c>
      <c r="GR15" s="222">
        <v>6.188915596015069</v>
      </c>
      <c r="GS15" s="222">
        <v>5.5834146991484852</v>
      </c>
      <c r="GT15" s="222">
        <v>5.2633839541627951</v>
      </c>
      <c r="GU15" s="14">
        <v>4.6427635217388463E-2</v>
      </c>
    </row>
    <row r="16" spans="2:203">
      <c r="B16" s="5" t="s">
        <v>438</v>
      </c>
      <c r="C16" s="216"/>
      <c r="D16" s="410">
        <v>38433.292988797475</v>
      </c>
      <c r="E16" s="410">
        <v>43462.775931233882</v>
      </c>
      <c r="F16" s="410">
        <v>43462.775931233882</v>
      </c>
      <c r="G16" s="410">
        <v>43462.775931233882</v>
      </c>
      <c r="H16" s="207"/>
      <c r="I16" s="207"/>
      <c r="J16" s="5" t="s">
        <v>437</v>
      </c>
      <c r="L16" s="406">
        <f>'US OTHER'!D44</f>
        <v>9.7501690793248272</v>
      </c>
      <c r="M16" s="406">
        <f>'US OTHER'!E44</f>
        <v>8.598979993169177</v>
      </c>
      <c r="N16" s="406">
        <f>'US OTHER'!F44</f>
        <v>513.96005321223572</v>
      </c>
      <c r="O16" s="406">
        <f>'US OTHER'!G44</f>
        <v>237.75826996986964</v>
      </c>
      <c r="P16" s="14">
        <f>'US OTHER'!H44</f>
        <v>-0.66392395881441313</v>
      </c>
      <c r="S16" s="72"/>
      <c r="T16" s="26"/>
      <c r="U16" s="26"/>
      <c r="V16" s="26"/>
      <c r="W16" s="26"/>
      <c r="X16" s="26"/>
      <c r="Y16" s="26"/>
      <c r="Z16" s="26"/>
      <c r="AA16" s="26"/>
      <c r="GH16" s="216"/>
      <c r="GI16" s="226">
        <v>4094.6446979492916</v>
      </c>
      <c r="GJ16" s="226">
        <v>4478.068799068511</v>
      </c>
      <c r="GK16" s="226">
        <v>4836.3388595905371</v>
      </c>
      <c r="GL16" s="226">
        <v>4836.3388595905371</v>
      </c>
      <c r="GM16" s="207"/>
      <c r="GN16" s="207"/>
      <c r="GO16" s="25" t="s">
        <v>437</v>
      </c>
      <c r="GQ16" s="222">
        <v>20.956479578778474</v>
      </c>
      <c r="GR16" s="222">
        <v>17.947755537307142</v>
      </c>
      <c r="GS16" s="222">
        <v>14.430761874455737</v>
      </c>
      <c r="GT16" s="222">
        <v>12.990189963688129</v>
      </c>
      <c r="GU16" s="14">
        <v>0.13215376917788624</v>
      </c>
    </row>
    <row r="17" spans="2:203">
      <c r="B17" s="5" t="s">
        <v>4</v>
      </c>
      <c r="C17" s="216"/>
      <c r="D17" s="410">
        <v>0</v>
      </c>
      <c r="E17" s="410">
        <v>0</v>
      </c>
      <c r="F17" s="410">
        <v>0</v>
      </c>
      <c r="G17" s="410">
        <v>0</v>
      </c>
      <c r="H17" s="207"/>
      <c r="I17" s="207"/>
      <c r="J17" s="5" t="s">
        <v>481</v>
      </c>
      <c r="L17" s="14">
        <f>'US OTHER'!D45</f>
        <v>2.3414031600891949E-2</v>
      </c>
      <c r="M17" s="14">
        <f>'US OTHER'!E45</f>
        <v>2.5520788230292895E-2</v>
      </c>
      <c r="N17" s="14">
        <f>'US OTHER'!F45</f>
        <v>0</v>
      </c>
      <c r="O17" s="14">
        <f>'US OTHER'!G45</f>
        <v>0</v>
      </c>
      <c r="P17" s="14" t="str">
        <f>'US OTHER'!H45</f>
        <v>nm</v>
      </c>
      <c r="S17" s="72"/>
      <c r="T17" s="26"/>
      <c r="U17" s="26"/>
      <c r="V17" s="26"/>
      <c r="W17" s="26"/>
      <c r="X17" s="26"/>
      <c r="Y17" s="26"/>
      <c r="Z17" s="26"/>
      <c r="AA17" s="26"/>
      <c r="GH17" s="216"/>
      <c r="GI17" s="226">
        <v>0</v>
      </c>
      <c r="GJ17" s="226">
        <v>0</v>
      </c>
      <c r="GK17" s="226">
        <v>0</v>
      </c>
      <c r="GL17" s="226">
        <v>0</v>
      </c>
      <c r="GM17" s="207"/>
      <c r="GN17" s="207"/>
      <c r="GO17" s="25" t="s">
        <v>481</v>
      </c>
      <c r="GQ17" s="211">
        <v>1.2338621146093347E-2</v>
      </c>
      <c r="GR17" s="211">
        <v>1.4176347265248707E-2</v>
      </c>
      <c r="GS17" s="211">
        <v>1.5980018529099502E-2</v>
      </c>
      <c r="GT17" s="211">
        <v>1.6745915344338228E-2</v>
      </c>
      <c r="GU17" s="14">
        <v>6.8772396344291664E-2</v>
      </c>
    </row>
    <row r="18" spans="2:203" ht="12.6" thickBot="1">
      <c r="B18" s="25" t="s">
        <v>484</v>
      </c>
      <c r="C18" s="209"/>
      <c r="D18" s="411">
        <f>D11+D12+D13-D14+D15-D16-D17</f>
        <v>166698.91747254229</v>
      </c>
      <c r="E18" s="411">
        <f>E11+E12+E13-E14+E15-E16-E17</f>
        <v>156010.50004937692</v>
      </c>
      <c r="F18" s="411">
        <f>F11+F12+F13-F14+F15-F16-F17</f>
        <v>150090.75216876611</v>
      </c>
      <c r="G18" s="411">
        <f>G11+G12+G13-G14+G15-G16-G17</f>
        <v>149773.44116876612</v>
      </c>
      <c r="H18" s="230">
        <f>IF(D18=0,"nm",IF(G18=0,"nm",(G18/D18)^(1/3)-1))</f>
        <v>-3.5059185766527445E-2</v>
      </c>
      <c r="I18" s="214"/>
      <c r="J18" s="5" t="s">
        <v>33</v>
      </c>
      <c r="L18" s="14">
        <f>'US OTHER'!D46</f>
        <v>0.1135356050117876</v>
      </c>
      <c r="M18" s="14">
        <f>'US OTHER'!E46</f>
        <v>0.1436581537776308</v>
      </c>
      <c r="N18" s="14">
        <f>'US OTHER'!F46</f>
        <v>-3.6320368415181106E-7</v>
      </c>
      <c r="O18" s="14">
        <f>'US OTHER'!G46</f>
        <v>0</v>
      </c>
      <c r="P18" s="14">
        <f>'US OTHER'!H46</f>
        <v>-1</v>
      </c>
      <c r="S18" s="72"/>
      <c r="T18" s="26"/>
      <c r="U18" s="26"/>
      <c r="V18" s="26"/>
      <c r="W18" s="26"/>
      <c r="X18" s="26"/>
      <c r="Y18" s="26"/>
      <c r="Z18" s="26"/>
      <c r="AA18" s="26"/>
      <c r="GH18" s="209"/>
      <c r="GI18" s="229">
        <v>265893.96072992496</v>
      </c>
      <c r="GJ18" s="229">
        <v>252850.50911342027</v>
      </c>
      <c r="GK18" s="229">
        <v>241172.08369256146</v>
      </c>
      <c r="GL18" s="229">
        <v>241172.08369256146</v>
      </c>
      <c r="GM18" s="230">
        <v>-3.2005579345431912E-2</v>
      </c>
      <c r="GN18" s="214"/>
      <c r="GO18" s="25" t="s">
        <v>33</v>
      </c>
      <c r="GQ18" s="211">
        <v>5.4529983489231257E-2</v>
      </c>
      <c r="GR18" s="211">
        <v>0.10704024988856996</v>
      </c>
      <c r="GS18" s="211">
        <v>0.12187037086065715</v>
      </c>
      <c r="GT18" s="211">
        <v>0.13958362299267688</v>
      </c>
      <c r="GU18" s="14">
        <v>0.32049727117842752</v>
      </c>
    </row>
    <row r="19" spans="2:203" ht="12.6" thickTop="1">
      <c r="B19" s="25"/>
      <c r="C19" s="209"/>
      <c r="D19" s="189"/>
      <c r="E19" s="189"/>
      <c r="F19" s="189"/>
      <c r="G19" s="189"/>
      <c r="H19" s="230"/>
      <c r="I19" s="214"/>
      <c r="J19" s="5" t="s">
        <v>482</v>
      </c>
      <c r="L19" s="14">
        <f>'US OTHER'!D47</f>
        <v>0.26881571436654877</v>
      </c>
      <c r="M19" s="14">
        <f>'US OTHER'!E47</f>
        <v>0.29088620461815812</v>
      </c>
      <c r="N19" s="14">
        <f>'US OTHER'!F47</f>
        <v>3.9412408579873853E-2</v>
      </c>
      <c r="O19" s="14">
        <f>'US OTHER'!G47</f>
        <v>4.4226320821252475E-2</v>
      </c>
      <c r="P19" s="14">
        <f>'US OTHER'!H47</f>
        <v>-0.46973269097347681</v>
      </c>
      <c r="S19" s="72"/>
      <c r="T19" s="26"/>
      <c r="U19" s="26"/>
      <c r="V19" s="26"/>
      <c r="W19" s="26"/>
      <c r="X19" s="26"/>
      <c r="Y19" s="26"/>
      <c r="Z19" s="26"/>
      <c r="AA19" s="26"/>
      <c r="GH19" s="209"/>
      <c r="GI19" s="189"/>
      <c r="GJ19" s="189"/>
      <c r="GK19" s="189"/>
      <c r="GL19" s="189"/>
      <c r="GM19" s="230"/>
      <c r="GN19" s="214"/>
      <c r="GO19" s="25" t="s">
        <v>482</v>
      </c>
      <c r="GQ19" s="211">
        <v>0.15056253687392407</v>
      </c>
      <c r="GR19" s="211">
        <v>0.16157919501178558</v>
      </c>
      <c r="GS19" s="211">
        <v>0.17910186756368068</v>
      </c>
      <c r="GT19" s="211">
        <v>0.18999183960522259</v>
      </c>
      <c r="GU19" s="14">
        <v>4.6427635217388463E-2</v>
      </c>
    </row>
    <row r="20" spans="2:203">
      <c r="H20" s="231"/>
      <c r="I20" s="13"/>
      <c r="J20" s="5" t="s">
        <v>504</v>
      </c>
      <c r="L20" s="425">
        <f>'US OTHER'!D48</f>
        <v>0.10961586988589439</v>
      </c>
      <c r="M20" s="425">
        <f>'US OTHER'!E48</f>
        <v>0.1115189512466168</v>
      </c>
      <c r="N20" s="425">
        <f>'US OTHER'!F48</f>
        <v>0</v>
      </c>
      <c r="O20" s="425">
        <f>'US OTHER'!G48</f>
        <v>0</v>
      </c>
      <c r="P20" s="14" t="str">
        <f>'US OTHER'!H48</f>
        <v>nm</v>
      </c>
      <c r="S20" s="72"/>
      <c r="T20" s="26"/>
      <c r="U20" s="26"/>
      <c r="V20" s="26"/>
      <c r="W20" s="26"/>
      <c r="X20" s="26"/>
      <c r="Y20" s="26"/>
      <c r="Z20" s="26"/>
      <c r="AA20" s="26"/>
      <c r="GM20" s="231" t="s">
        <v>380</v>
      </c>
      <c r="GN20" s="13"/>
      <c r="GO20" s="25" t="s">
        <v>504</v>
      </c>
      <c r="GQ20" s="232">
        <v>8.6507538909175646E-2</v>
      </c>
      <c r="GR20" s="232">
        <v>9.2427506818955535E-2</v>
      </c>
      <c r="GS20" s="232">
        <v>9.3644740053382206E-2</v>
      </c>
      <c r="GT20" s="232">
        <v>9.2168398441187391E-2</v>
      </c>
      <c r="GU20" s="14" t="s">
        <v>507</v>
      </c>
    </row>
    <row r="21" spans="2:203" ht="12.6" thickBot="1">
      <c r="B21" s="249" t="s">
        <v>758</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c r="Y21" s="26"/>
      <c r="Z21" s="26"/>
      <c r="AA21" s="26"/>
      <c r="GH21" s="219"/>
      <c r="GI21" s="219" t="s">
        <v>704</v>
      </c>
      <c r="GJ21" s="219" t="s">
        <v>725</v>
      </c>
      <c r="GK21" s="219" t="s">
        <v>804</v>
      </c>
      <c r="GL21" s="219" t="s">
        <v>819</v>
      </c>
      <c r="GM21" s="219" t="s">
        <v>820</v>
      </c>
      <c r="GN21" s="33"/>
      <c r="GO21" s="25"/>
      <c r="GQ21" s="211"/>
      <c r="GR21" s="211"/>
      <c r="GS21" s="211"/>
      <c r="GT21" s="211"/>
      <c r="GU21" s="14"/>
    </row>
    <row r="22" spans="2:203" ht="12.6" thickTop="1">
      <c r="B22" s="5"/>
      <c r="C22" s="216"/>
      <c r="D22" s="13"/>
      <c r="E22" s="13"/>
      <c r="F22" s="13"/>
      <c r="G22" s="13"/>
      <c r="H22" s="13"/>
      <c r="I22" s="13"/>
      <c r="P22" s="231"/>
      <c r="S22" s="72"/>
      <c r="T22" s="26"/>
      <c r="U22" s="26"/>
      <c r="V22" s="26"/>
      <c r="W22" s="26"/>
      <c r="X22" s="26"/>
      <c r="Y22" s="26"/>
      <c r="Z22" s="26"/>
      <c r="AA22" s="26"/>
      <c r="GH22" s="216"/>
      <c r="GI22" s="13"/>
      <c r="GJ22" s="13"/>
      <c r="GK22" s="13"/>
      <c r="GL22" s="13"/>
      <c r="GM22" s="13"/>
      <c r="GN22" s="13"/>
      <c r="GU22" s="231" t="s">
        <v>380</v>
      </c>
    </row>
    <row r="23" spans="2:203" ht="12.6" thickBot="1">
      <c r="B23" s="5" t="s">
        <v>485</v>
      </c>
      <c r="C23" s="422">
        <v>121480.81616615746</v>
      </c>
      <c r="D23" s="410">
        <v>121574.39899999999</v>
      </c>
      <c r="E23" s="410">
        <v>123732.8</v>
      </c>
      <c r="F23" s="410">
        <v>29886</v>
      </c>
      <c r="G23" s="410">
        <v>30312.600000000002</v>
      </c>
      <c r="H23" s="233">
        <f>IF(D23=0,"nm",IF(G23=0,"nm",(G23/D23)^(1/3)-1))</f>
        <v>-0.37059959343060145</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c r="Y23" s="26"/>
      <c r="Z23" s="26"/>
      <c r="AA23" s="26"/>
      <c r="GH23" s="207">
        <v>102972</v>
      </c>
      <c r="GI23" s="226">
        <v>109418.0905710356</v>
      </c>
      <c r="GJ23" s="226">
        <v>113134.90074303649</v>
      </c>
      <c r="GK23" s="226">
        <v>121174.73651722138</v>
      </c>
      <c r="GL23" s="226">
        <v>121174.73651722138</v>
      </c>
      <c r="GM23" s="233">
        <v>3.4604391383373123E-2</v>
      </c>
      <c r="GN23" s="207"/>
      <c r="GO23" s="249" t="s">
        <v>7</v>
      </c>
      <c r="GP23" s="249"/>
      <c r="GQ23" s="219" t="s">
        <v>704</v>
      </c>
      <c r="GR23" s="219" t="s">
        <v>725</v>
      </c>
      <c r="GS23" s="219" t="s">
        <v>804</v>
      </c>
      <c r="GT23" s="219" t="s">
        <v>819</v>
      </c>
      <c r="GU23" s="219" t="s">
        <v>820</v>
      </c>
    </row>
    <row r="24" spans="2:203" ht="12.6" thickTop="1">
      <c r="B24" s="5" t="s">
        <v>397</v>
      </c>
      <c r="C24" s="423">
        <v>36513.816166157456</v>
      </c>
      <c r="D24" s="410">
        <v>37635.499000000003</v>
      </c>
      <c r="E24" s="410">
        <v>38070.800000000003</v>
      </c>
      <c r="F24" s="410">
        <v>9531</v>
      </c>
      <c r="G24" s="410">
        <v>10283</v>
      </c>
      <c r="H24" s="233">
        <f>IF(D24=0,"nm",IF(G24=0,"nm",(G24/D24)^(1/3)-1))</f>
        <v>-0.35110556083741551</v>
      </c>
      <c r="I24" s="209"/>
      <c r="J24" s="13"/>
      <c r="K24" s="13"/>
      <c r="L24" s="13"/>
      <c r="M24" s="13"/>
      <c r="N24" s="13"/>
      <c r="O24" s="208"/>
      <c r="S24" s="72"/>
      <c r="T24" s="26"/>
      <c r="U24" s="26"/>
      <c r="V24" s="26"/>
      <c r="W24" s="26" t="s">
        <v>44</v>
      </c>
      <c r="X24" s="26" t="s">
        <v>216</v>
      </c>
      <c r="Y24" s="26"/>
      <c r="Z24" s="26"/>
      <c r="AA24" s="26"/>
      <c r="GH24" s="209">
        <v>30883</v>
      </c>
      <c r="GI24" s="226">
        <v>32466.132994046478</v>
      </c>
      <c r="GJ24" s="226">
        <v>34064.008309916928</v>
      </c>
      <c r="GK24" s="226">
        <v>36929.748832970632</v>
      </c>
      <c r="GL24" s="226">
        <v>36929.748832970632</v>
      </c>
      <c r="GM24" s="233">
        <v>4.3875240756632961E-2</v>
      </c>
      <c r="GN24" s="209"/>
      <c r="GO24" s="13"/>
      <c r="GP24" s="13"/>
      <c r="GQ24" s="13"/>
      <c r="GR24" s="13"/>
      <c r="GS24" s="13"/>
      <c r="GT24" s="208"/>
    </row>
    <row r="25" spans="2:203">
      <c r="B25" s="5" t="s">
        <v>157</v>
      </c>
      <c r="C25" s="422">
        <v>25888.816166157456</v>
      </c>
      <c r="D25" s="410">
        <v>25395.199000000004</v>
      </c>
      <c r="E25" s="410">
        <v>25887.600000000002</v>
      </c>
      <c r="F25" s="410">
        <v>7279</v>
      </c>
      <c r="G25" s="410">
        <v>7605</v>
      </c>
      <c r="H25" s="233">
        <f>IF(D25=0,"nm",IF(G25=0,"nm",(G25/D25)^(1/3)-1))</f>
        <v>-0.33096444351986132</v>
      </c>
      <c r="I25" s="208"/>
      <c r="J25" s="207" t="s">
        <v>8</v>
      </c>
      <c r="K25" s="207"/>
      <c r="L25" s="252">
        <v>0</v>
      </c>
      <c r="M25" s="252">
        <v>0</v>
      </c>
      <c r="N25" s="252">
        <v>0</v>
      </c>
      <c r="O25" s="252">
        <v>0</v>
      </c>
      <c r="P25" s="233" t="str">
        <f>IF(L25=0,"nm",IF(O25=0,"nm",(O25/L25)^(1/3)-1))</f>
        <v>nm</v>
      </c>
      <c r="S25" s="72"/>
      <c r="T25" s="26"/>
      <c r="U25" s="26"/>
      <c r="V25" s="113" t="s">
        <v>225</v>
      </c>
      <c r="W25" s="242">
        <f>D37/L9</f>
        <v>0.70500716856474221</v>
      </c>
      <c r="X25" s="242">
        <v>1</v>
      </c>
      <c r="Y25" s="26"/>
      <c r="Z25" s="26"/>
      <c r="AA25" s="26"/>
      <c r="GH25" s="207">
        <v>41912.926041626764</v>
      </c>
      <c r="GI25" s="226">
        <v>43516.251133383463</v>
      </c>
      <c r="GJ25" s="226">
        <v>45197.346059370386</v>
      </c>
      <c r="GK25" s="226">
        <v>48131.385235806287</v>
      </c>
      <c r="GL25" s="226">
        <v>48131.385235806287</v>
      </c>
      <c r="GM25" s="233">
        <v>3.4170857857915404E-2</v>
      </c>
      <c r="GN25" s="208"/>
      <c r="GO25" s="207" t="s">
        <v>8</v>
      </c>
      <c r="GP25" s="207"/>
      <c r="GQ25" s="234">
        <v>0</v>
      </c>
      <c r="GR25" s="234">
        <v>0</v>
      </c>
      <c r="GS25" s="234">
        <v>0</v>
      </c>
      <c r="GT25" s="234">
        <v>0</v>
      </c>
      <c r="GU25" s="233" t="s">
        <v>507</v>
      </c>
    </row>
    <row r="26" spans="2:203">
      <c r="B26" s="5" t="s">
        <v>487</v>
      </c>
      <c r="C26" s="422">
        <v>16827.730508002347</v>
      </c>
      <c r="D26" s="410">
        <v>16506.879350000003</v>
      </c>
      <c r="E26" s="410">
        <v>16826.940000000002</v>
      </c>
      <c r="F26" s="410">
        <v>4731.3500000000004</v>
      </c>
      <c r="G26" s="410">
        <v>4943.25</v>
      </c>
      <c r="H26" s="233">
        <f>IF(D26=0,"nm",IF(G26=0,"nm",(G26/D26)^(1/3)-1))</f>
        <v>-0.33096444351986132</v>
      </c>
      <c r="I26" s="209"/>
      <c r="J26" s="209" t="s">
        <v>9</v>
      </c>
      <c r="K26" s="209"/>
      <c r="L26" s="235">
        <f>D11+L25</f>
        <v>125801.97368933978</v>
      </c>
      <c r="M26" s="235">
        <f>E11+M25</f>
        <v>119167.72928061083</v>
      </c>
      <c r="N26" s="235">
        <f>F11+N25</f>
        <v>114447.08</v>
      </c>
      <c r="O26" s="235">
        <f>G11+O25</f>
        <v>112723.11500000001</v>
      </c>
      <c r="P26" s="233">
        <f>IF(L26=0,"nm",IF(O26=0,"nm",(O26/L26)^(1/3)-1))</f>
        <v>-3.593013255696953E-2</v>
      </c>
      <c r="Q26" s="5"/>
      <c r="S26" s="72"/>
      <c r="T26" s="26"/>
      <c r="U26" s="26"/>
      <c r="V26" s="113" t="s">
        <v>158</v>
      </c>
      <c r="W26" s="242">
        <f t="shared" ref="W26:W33" si="4">D38/L10</f>
        <v>0.72978434131041514</v>
      </c>
      <c r="X26" s="242">
        <v>1</v>
      </c>
      <c r="Y26" s="26"/>
      <c r="Z26" s="26"/>
      <c r="AA26" s="26"/>
      <c r="GH26" s="207">
        <v>27243.401927057399</v>
      </c>
      <c r="GI26" s="226">
        <v>28285.56323669925</v>
      </c>
      <c r="GJ26" s="226">
        <v>29378.274938590752</v>
      </c>
      <c r="GK26" s="226">
        <v>31285.400403274089</v>
      </c>
      <c r="GL26" s="226">
        <v>31285.400403274089</v>
      </c>
      <c r="GM26" s="233">
        <v>3.4170857857915404E-2</v>
      </c>
      <c r="GN26" s="209"/>
      <c r="GO26" s="209" t="s">
        <v>9</v>
      </c>
      <c r="GP26" s="209"/>
      <c r="GQ26" s="235">
        <v>169585.32526005141</v>
      </c>
      <c r="GR26" s="235">
        <v>167732.73555495648</v>
      </c>
      <c r="GS26" s="235">
        <v>168635.89223806286</v>
      </c>
      <c r="GT26" s="235">
        <v>168635.89223806286</v>
      </c>
      <c r="GU26" s="233">
        <v>-1.8696790150106724E-3</v>
      </c>
    </row>
    <row r="27" spans="2:203">
      <c r="B27" s="5" t="s">
        <v>488</v>
      </c>
      <c r="C27" s="423">
        <v>168494.36865928859</v>
      </c>
      <c r="D27" s="410">
        <v>170841.44167199999</v>
      </c>
      <c r="E27" s="410">
        <v>174627.75160000002</v>
      </c>
      <c r="F27" s="410">
        <v>174447.65299999999</v>
      </c>
      <c r="G27" s="410">
        <v>186025.307</v>
      </c>
      <c r="H27" s="233">
        <f>IF(ISERROR((G27/D27)^(1/3)-1),"na",(G27/D27)^(1/3)-1)</f>
        <v>2.8788894311463142E-2</v>
      </c>
      <c r="I27" s="209"/>
      <c r="J27" s="208"/>
      <c r="K27" s="208"/>
      <c r="L27" s="208"/>
      <c r="M27" s="208"/>
      <c r="N27" s="208"/>
      <c r="O27" s="208"/>
      <c r="Q27" s="25"/>
      <c r="S27" s="72"/>
      <c r="T27" s="26"/>
      <c r="U27" s="26"/>
      <c r="V27" s="113" t="s">
        <v>159</v>
      </c>
      <c r="W27" s="242">
        <f t="shared" si="4"/>
        <v>0.64280658183403694</v>
      </c>
      <c r="X27" s="242">
        <v>1</v>
      </c>
      <c r="Y27" s="26"/>
      <c r="Z27" s="26"/>
      <c r="AA27" s="26"/>
      <c r="GH27" s="209">
        <v>131312</v>
      </c>
      <c r="GI27" s="226">
        <v>178868.47546388605</v>
      </c>
      <c r="GJ27" s="226">
        <v>159502.12582498969</v>
      </c>
      <c r="GK27" s="226">
        <v>143103.06369519717</v>
      </c>
      <c r="GL27" s="226">
        <v>143103.06369519717</v>
      </c>
      <c r="GM27" s="233">
        <v>-7.1664321120367913E-2</v>
      </c>
      <c r="GN27" s="209"/>
      <c r="GO27" s="208"/>
      <c r="GP27" s="208"/>
      <c r="GQ27" s="208"/>
      <c r="GR27" s="208"/>
      <c r="GS27" s="208"/>
      <c r="GT27" s="208"/>
    </row>
    <row r="28" spans="2:203" ht="12.6" thickBot="1">
      <c r="B28" s="5" t="s">
        <v>492</v>
      </c>
      <c r="C28" s="422">
        <v>55485</v>
      </c>
      <c r="D28" s="410">
        <v>59686</v>
      </c>
      <c r="E28" s="410">
        <v>62548</v>
      </c>
      <c r="F28" s="410">
        <v>63292</v>
      </c>
      <c r="G28" s="410">
        <v>64025</v>
      </c>
      <c r="H28" s="233">
        <f>IF(ISERROR((G28/D28)^(1/3)-1),"na",(G28/D28)^(1/3)-1)</f>
        <v>2.3667788155108394E-2</v>
      </c>
      <c r="I28" s="208"/>
      <c r="J28" s="249" t="s">
        <v>1073</v>
      </c>
      <c r="K28" s="249"/>
      <c r="L28" s="249"/>
      <c r="M28" s="249"/>
      <c r="N28" s="220"/>
      <c r="O28" s="220"/>
      <c r="P28" s="220"/>
      <c r="Q28" s="5"/>
      <c r="S28" s="72"/>
      <c r="T28" s="26"/>
      <c r="U28" s="26"/>
      <c r="V28" s="113" t="s">
        <v>381</v>
      </c>
      <c r="W28" s="242">
        <f t="shared" si="4"/>
        <v>0.62652388643229906</v>
      </c>
      <c r="X28" s="242">
        <v>1</v>
      </c>
      <c r="Y28" s="26"/>
      <c r="Z28" s="26"/>
      <c r="AA28" s="26"/>
      <c r="GH28" s="207">
        <v>38470</v>
      </c>
      <c r="GI28" s="226">
        <v>40018.188800011725</v>
      </c>
      <c r="GJ28" s="226">
        <v>39280.483895546502</v>
      </c>
      <c r="GK28" s="226">
        <v>38716.160007117942</v>
      </c>
      <c r="GL28" s="226">
        <v>38716.160007117942</v>
      </c>
      <c r="GM28" s="233">
        <v>-1.0965102374813962E-2</v>
      </c>
      <c r="GN28" s="208"/>
      <c r="GO28" s="249" t="s">
        <v>821</v>
      </c>
      <c r="GP28" s="249"/>
      <c r="GQ28" s="249"/>
      <c r="GR28" s="249"/>
      <c r="GS28" s="220"/>
      <c r="GT28" s="220"/>
      <c r="GU28" s="220"/>
    </row>
    <row r="29" spans="2:203" ht="12.6" thickTop="1">
      <c r="B29" s="5" t="s">
        <v>489</v>
      </c>
      <c r="C29" s="422">
        <v>38396.321000000004</v>
      </c>
      <c r="D29" s="410">
        <v>40191.200115530584</v>
      </c>
      <c r="E29" s="410">
        <v>41814.591979492361</v>
      </c>
      <c r="F29" s="410">
        <v>5312.0668514336085</v>
      </c>
      <c r="G29" s="410">
        <v>6022</v>
      </c>
      <c r="H29" s="233">
        <f>IF(D29=0,"nm",IF(G29=0,"nm",(G29/D29)^(1/3)-1))</f>
        <v>-0.46886703259830009</v>
      </c>
      <c r="I29" s="212"/>
      <c r="J29" s="209"/>
      <c r="K29" s="209"/>
      <c r="L29" s="209"/>
      <c r="M29" s="209"/>
      <c r="N29" s="209"/>
      <c r="O29" s="211"/>
      <c r="Q29" s="5"/>
      <c r="S29" s="72"/>
      <c r="T29" s="26"/>
      <c r="U29" s="26"/>
      <c r="V29" s="113" t="s">
        <v>434</v>
      </c>
      <c r="W29" s="242">
        <f t="shared" si="4"/>
        <v>0.86038164927516336</v>
      </c>
      <c r="X29" s="242">
        <v>1</v>
      </c>
      <c r="Y29" s="26"/>
      <c r="Z29" s="26"/>
      <c r="AA29" s="26"/>
      <c r="GH29" s="207">
        <v>32481.926041626764</v>
      </c>
      <c r="GI29" s="226">
        <v>34957.174803338981</v>
      </c>
      <c r="GJ29" s="226">
        <v>35718.770958301939</v>
      </c>
      <c r="GK29" s="226">
        <v>37496.560036280804</v>
      </c>
      <c r="GL29" s="226">
        <v>37496.560036280804</v>
      </c>
      <c r="GM29" s="233">
        <v>2.3650493806531614E-2</v>
      </c>
      <c r="GN29" s="212"/>
      <c r="GO29" s="209"/>
      <c r="GP29" s="209"/>
      <c r="GQ29" s="209"/>
      <c r="GR29" s="209"/>
      <c r="GS29" s="209"/>
      <c r="GT29" s="211"/>
    </row>
    <row r="30" spans="2:203">
      <c r="B30" s="5" t="s">
        <v>490</v>
      </c>
      <c r="C30" s="423">
        <v>16146.321000000004</v>
      </c>
      <c r="D30" s="410">
        <v>15875.900115530585</v>
      </c>
      <c r="E30" s="410">
        <v>17577.39197949236</v>
      </c>
      <c r="F30" s="410">
        <v>6.6851433607976407E-2</v>
      </c>
      <c r="G30" s="410">
        <v>0</v>
      </c>
      <c r="H30" s="233" t="str">
        <f>IF(D30=0,"nm",IF(G30=0,"nm",(G30/D30)^(1/3)-1))</f>
        <v>nm</v>
      </c>
      <c r="I30" s="214"/>
      <c r="J30" s="208"/>
      <c r="K30" s="208"/>
      <c r="L30" s="208"/>
      <c r="M30" s="208"/>
      <c r="N30" s="208"/>
      <c r="O30" s="5"/>
      <c r="Q30" s="5"/>
      <c r="S30" s="72"/>
      <c r="T30" s="26"/>
      <c r="U30" s="26"/>
      <c r="V30" s="113" t="s">
        <v>493</v>
      </c>
      <c r="W30" s="242">
        <f t="shared" si="4"/>
        <v>0.82962987658024401</v>
      </c>
      <c r="X30" s="242">
        <v>1</v>
      </c>
      <c r="Y30" s="26"/>
      <c r="Z30" s="26"/>
      <c r="AA30" s="26"/>
      <c r="GH30" s="209">
        <v>9874</v>
      </c>
      <c r="GI30" s="226">
        <v>11698.014604012491</v>
      </c>
      <c r="GJ30" s="226">
        <v>12533.949528782377</v>
      </c>
      <c r="GK30" s="226">
        <v>14314.940699934117</v>
      </c>
      <c r="GL30" s="226">
        <v>14314.940699934117</v>
      </c>
      <c r="GM30" s="233">
        <v>6.9610845860523574E-2</v>
      </c>
      <c r="GN30" s="214"/>
      <c r="GO30" s="208"/>
      <c r="GP30" s="208"/>
      <c r="GQ30" s="208"/>
      <c r="GR30" s="208"/>
      <c r="GS30" s="208"/>
      <c r="GT30" s="5"/>
    </row>
    <row r="31" spans="2:203">
      <c r="B31" s="5" t="s">
        <v>491</v>
      </c>
      <c r="C31" s="423">
        <v>4741</v>
      </c>
      <c r="D31" s="410">
        <v>4790.2929887974715</v>
      </c>
      <c r="E31" s="410">
        <v>5029.4829424364088</v>
      </c>
      <c r="F31" s="410">
        <v>0</v>
      </c>
      <c r="G31" s="410">
        <v>0</v>
      </c>
      <c r="H31" s="233" t="str">
        <f>IF(D31=0,"nm",IF(G31=0,"nm",(G31/D31)^(1/3)-1))</f>
        <v>nm</v>
      </c>
      <c r="I31" s="214"/>
      <c r="J31" s="212"/>
      <c r="K31" s="212"/>
      <c r="L31" s="212"/>
      <c r="M31" s="212"/>
      <c r="N31" s="212"/>
      <c r="O31" s="5"/>
      <c r="Q31" s="5"/>
      <c r="S31" s="72"/>
      <c r="T31" s="26"/>
      <c r="U31" s="26"/>
      <c r="V31" s="113" t="s">
        <v>390</v>
      </c>
      <c r="W31" s="242">
        <f t="shared" si="4"/>
        <v>0.84141671134010143</v>
      </c>
      <c r="X31" s="242">
        <v>1</v>
      </c>
      <c r="Y31" s="26"/>
      <c r="Z31" s="26"/>
      <c r="AA31" s="26"/>
      <c r="GH31" s="209">
        <v>2883</v>
      </c>
      <c r="GI31" s="226">
        <v>3358.6446979492916</v>
      </c>
      <c r="GJ31" s="226">
        <v>3742.0687990685115</v>
      </c>
      <c r="GK31" s="226">
        <v>4100.3388595905371</v>
      </c>
      <c r="GL31" s="226">
        <v>4100.3388595905371</v>
      </c>
      <c r="GM31" s="233">
        <v>6.8772396344291664E-2</v>
      </c>
      <c r="GN31" s="214"/>
      <c r="GO31" s="212"/>
      <c r="GP31" s="212"/>
      <c r="GQ31" s="212"/>
      <c r="GR31" s="212"/>
      <c r="GS31" s="212"/>
      <c r="GT31" s="5"/>
    </row>
    <row r="32" spans="2:203">
      <c r="B32" s="5" t="s">
        <v>506</v>
      </c>
      <c r="C32" s="424">
        <v>13328</v>
      </c>
      <c r="D32" s="410">
        <v>6400</v>
      </c>
      <c r="E32" s="410">
        <v>13008.676145007683</v>
      </c>
      <c r="F32" s="410">
        <v>0</v>
      </c>
      <c r="G32" s="410">
        <v>0</v>
      </c>
      <c r="H32" s="233" t="str">
        <f>IF(D32=0,"nm",IF(G32=0,"nm",(G32/D32)^(1/3)-1))</f>
        <v>nm</v>
      </c>
      <c r="I32" s="214"/>
      <c r="J32" s="214"/>
      <c r="K32" s="214"/>
      <c r="L32" s="214"/>
      <c r="M32" s="214"/>
      <c r="N32" s="214"/>
      <c r="O32" s="211"/>
      <c r="Q32" s="5"/>
      <c r="S32" s="72"/>
      <c r="T32" s="26"/>
      <c r="U32" s="26"/>
      <c r="V32" s="113" t="s">
        <v>437</v>
      </c>
      <c r="W32" s="242">
        <f t="shared" si="4"/>
        <v>0.81271251956099366</v>
      </c>
      <c r="X32" s="242">
        <v>1</v>
      </c>
      <c r="Y32" s="26"/>
      <c r="Z32" s="26"/>
      <c r="AA32" s="26"/>
      <c r="GH32" s="224">
        <v>5435</v>
      </c>
      <c r="GI32" s="226">
        <v>5551</v>
      </c>
      <c r="GJ32" s="226">
        <v>17076.075097319681</v>
      </c>
      <c r="GK32" s="226">
        <v>14100.962719592939</v>
      </c>
      <c r="GL32" s="226">
        <v>14100.962719592939</v>
      </c>
      <c r="GM32" s="233">
        <v>0.36445488029316753</v>
      </c>
      <c r="GN32" s="214"/>
      <c r="GO32" s="214"/>
      <c r="GP32" s="214"/>
      <c r="GQ32" s="214"/>
      <c r="GR32" s="214"/>
      <c r="GS32" s="214"/>
      <c r="GT32" s="211"/>
    </row>
    <row r="33" spans="2:195">
      <c r="B33" s="5" t="s">
        <v>3</v>
      </c>
      <c r="C33" s="423">
        <v>-4214.8</v>
      </c>
      <c r="D33" s="410">
        <v>-3883.3662179794619</v>
      </c>
      <c r="E33" s="410">
        <v>-3869.4491849663391</v>
      </c>
      <c r="F33" s="410">
        <v>2.3549270661001209E-2</v>
      </c>
      <c r="G33" s="410">
        <v>0</v>
      </c>
      <c r="H33" s="233">
        <f>IF(ISERROR((G33/D33)^(1/3)-1),"na",(G33/D33)^(1/3)-1)</f>
        <v>-1</v>
      </c>
      <c r="I33" s="5"/>
      <c r="J33" s="214"/>
      <c r="K33" s="214"/>
      <c r="L33" s="214"/>
      <c r="M33" s="214"/>
      <c r="N33" s="214"/>
      <c r="O33" s="211"/>
      <c r="Q33" s="5"/>
      <c r="S33" s="72"/>
      <c r="T33" s="26"/>
      <c r="U33" s="26"/>
      <c r="V33" s="113" t="s">
        <v>481</v>
      </c>
      <c r="W33" s="242">
        <f t="shared" si="4"/>
        <v>1.6262916121897251</v>
      </c>
      <c r="X33" s="242">
        <v>1</v>
      </c>
      <c r="Y33" s="26"/>
      <c r="Z33" s="26"/>
      <c r="AA33" s="26"/>
      <c r="GH33" s="209">
        <v>-2833</v>
      </c>
      <c r="GI33" s="226">
        <v>-3400.7633169955443</v>
      </c>
      <c r="GJ33" s="226">
        <v>-3432.7809934557358</v>
      </c>
      <c r="GK33" s="226">
        <v>-3507.6607421146809</v>
      </c>
      <c r="GL33" s="226">
        <v>-3507.6607421146809</v>
      </c>
      <c r="GM33" s="233">
        <v>1.036988125815852E-2</v>
      </c>
    </row>
    <row r="34" spans="2:195">
      <c r="D34" s="5"/>
      <c r="E34" s="5"/>
      <c r="F34" s="5"/>
      <c r="G34" s="5"/>
      <c r="I34" s="33"/>
      <c r="J34" s="214"/>
      <c r="K34" s="214"/>
      <c r="L34" s="214"/>
      <c r="M34" s="214"/>
      <c r="N34" s="214"/>
      <c r="O34" s="211"/>
      <c r="Q34" s="5"/>
      <c r="S34" s="72"/>
      <c r="T34" s="26"/>
      <c r="U34" s="26"/>
      <c r="V34" s="113" t="s">
        <v>482</v>
      </c>
      <c r="W34" s="242">
        <f>D47/L19</f>
        <v>1.1884717602141837</v>
      </c>
      <c r="X34" s="242">
        <v>1</v>
      </c>
      <c r="Y34" s="242"/>
      <c r="Z34" s="242"/>
      <c r="AA34" s="26"/>
    </row>
    <row r="35" spans="2:195" ht="12.6" thickBot="1">
      <c r="B35" s="249" t="s">
        <v>539</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c r="Y35" s="242"/>
      <c r="Z35" s="242"/>
      <c r="AA35" s="26"/>
    </row>
    <row r="36" spans="2:195" ht="12.6" thickTop="1">
      <c r="B36" s="25"/>
      <c r="C36" s="209"/>
      <c r="D36" s="214"/>
      <c r="E36" s="214"/>
      <c r="F36" s="214"/>
      <c r="G36" s="214"/>
      <c r="H36" s="214"/>
      <c r="I36" s="13"/>
      <c r="J36" s="33"/>
      <c r="K36" s="33"/>
      <c r="L36" s="33"/>
      <c r="M36" s="33"/>
      <c r="N36" s="33"/>
      <c r="O36" s="33"/>
      <c r="Q36" s="5"/>
      <c r="S36" s="72"/>
      <c r="T36" s="26"/>
      <c r="U36" s="26"/>
      <c r="V36" s="26"/>
      <c r="W36" s="26"/>
      <c r="X36" s="26"/>
      <c r="Y36" s="242"/>
      <c r="Z36" s="242"/>
      <c r="AA36" s="26"/>
    </row>
    <row r="37" spans="2:195">
      <c r="B37" s="5" t="s">
        <v>225</v>
      </c>
      <c r="C37" s="207"/>
      <c r="D37" s="406">
        <f>D$18/D23</f>
        <v>1.3711679337402467</v>
      </c>
      <c r="E37" s="406">
        <f t="shared" ref="E37:G41" si="6">E$18/E23</f>
        <v>1.2608661571497364</v>
      </c>
      <c r="F37" s="406">
        <f t="shared" si="6"/>
        <v>5.0221090868221276</v>
      </c>
      <c r="G37" s="406">
        <f t="shared" si="6"/>
        <v>4.940963202389967</v>
      </c>
      <c r="H37" s="13">
        <f>H23</f>
        <v>-0.37059959343060145</v>
      </c>
      <c r="I37" s="5"/>
      <c r="J37" s="217"/>
      <c r="K37" s="217"/>
      <c r="L37" s="217"/>
      <c r="M37" s="217"/>
      <c r="N37" s="217"/>
      <c r="O37" s="14"/>
      <c r="Q37" s="5"/>
      <c r="R37" s="5"/>
      <c r="S37" s="26"/>
      <c r="T37" s="26"/>
      <c r="U37" s="26"/>
      <c r="V37" s="26"/>
      <c r="W37" s="26"/>
      <c r="X37" s="26"/>
      <c r="Y37" s="26"/>
      <c r="Z37" s="26"/>
      <c r="AA37" s="26"/>
    </row>
    <row r="38" spans="2:195">
      <c r="B38" s="5" t="s">
        <v>158</v>
      </c>
      <c r="C38" s="207"/>
      <c r="D38" s="406">
        <f>D$18/D24</f>
        <v>4.4293000465476036</v>
      </c>
      <c r="E38" s="406">
        <f t="shared" si="6"/>
        <v>4.0979044319892646</v>
      </c>
      <c r="F38" s="406">
        <f>F$18/F24</f>
        <v>15.747639509890474</v>
      </c>
      <c r="G38" s="406">
        <f t="shared" si="6"/>
        <v>14.565150361642139</v>
      </c>
      <c r="H38" s="13">
        <f t="shared" ref="H38:H45" si="7">H24</f>
        <v>-0.35110556083741551</v>
      </c>
      <c r="I38" s="217"/>
      <c r="J38" s="13"/>
      <c r="K38" s="13"/>
      <c r="L38" s="13"/>
      <c r="M38" s="13"/>
      <c r="N38" s="13"/>
      <c r="O38" s="5"/>
      <c r="Q38" s="5"/>
      <c r="R38" s="5"/>
      <c r="S38" s="26"/>
      <c r="T38" s="26"/>
      <c r="U38" s="26"/>
      <c r="V38" s="26"/>
      <c r="W38" s="26"/>
      <c r="X38" s="26"/>
      <c r="Y38" s="26"/>
      <c r="Z38" s="26"/>
      <c r="AA38" s="26"/>
    </row>
    <row r="39" spans="2:195">
      <c r="B39" s="5" t="s">
        <v>159</v>
      </c>
      <c r="C39" s="207"/>
      <c r="D39" s="406">
        <f>D$18/D25</f>
        <v>6.5641902421218381</v>
      </c>
      <c r="E39" s="406">
        <f t="shared" si="6"/>
        <v>6.026456683870923</v>
      </c>
      <c r="F39" s="406">
        <f t="shared" si="6"/>
        <v>20.619693937184518</v>
      </c>
      <c r="G39" s="406">
        <f t="shared" si="6"/>
        <v>19.694075104374242</v>
      </c>
      <c r="H39" s="13">
        <f t="shared" si="7"/>
        <v>-0.33096444351986132</v>
      </c>
      <c r="I39" s="13"/>
      <c r="J39" s="5"/>
      <c r="K39" s="5"/>
      <c r="L39" s="5"/>
      <c r="M39" s="5"/>
      <c r="N39" s="5"/>
      <c r="O39" s="5"/>
      <c r="Q39" s="5"/>
      <c r="R39" s="5"/>
      <c r="S39" s="26"/>
      <c r="T39" s="26"/>
      <c r="U39" s="26"/>
      <c r="V39" s="26"/>
      <c r="W39" s="26"/>
      <c r="X39" s="26"/>
      <c r="Y39" s="26"/>
      <c r="Z39" s="26"/>
      <c r="AA39" s="26"/>
    </row>
    <row r="40" spans="2:195">
      <c r="B40" s="5" t="s">
        <v>381</v>
      </c>
      <c r="C40" s="207"/>
      <c r="D40" s="406">
        <f>D$18/D26</f>
        <v>10.098754218648981</v>
      </c>
      <c r="E40" s="406">
        <f>E$18/E26</f>
        <v>9.2714718213398815</v>
      </c>
      <c r="F40" s="406">
        <f t="shared" si="6"/>
        <v>31.722606057206949</v>
      </c>
      <c r="G40" s="406">
        <f>G$18/G26</f>
        <v>30.298577083652681</v>
      </c>
      <c r="H40" s="13">
        <f t="shared" si="7"/>
        <v>-0.33096444351986132</v>
      </c>
      <c r="I40" s="5"/>
      <c r="J40" s="217"/>
      <c r="K40" s="217"/>
      <c r="L40" s="217"/>
      <c r="M40" s="217"/>
      <c r="N40" s="217"/>
      <c r="O40" s="14"/>
      <c r="Q40" s="5"/>
      <c r="R40" s="5"/>
      <c r="S40" s="26"/>
      <c r="T40" s="26"/>
      <c r="U40" s="26"/>
      <c r="V40" s="26"/>
      <c r="W40" s="242"/>
      <c r="X40" s="242"/>
      <c r="Y40" s="26"/>
      <c r="Z40" s="26"/>
      <c r="AA40" s="26"/>
    </row>
    <row r="41" spans="2:195">
      <c r="B41" s="5" t="s">
        <v>434</v>
      </c>
      <c r="C41" s="207"/>
      <c r="D41" s="406">
        <f>D$18/D27</f>
        <v>0.97575222873961132</v>
      </c>
      <c r="E41" s="406">
        <f t="shared" si="6"/>
        <v>0.89338892942246928</v>
      </c>
      <c r="F41" s="406">
        <f t="shared" si="6"/>
        <v>0.86037702191823762</v>
      </c>
      <c r="G41" s="406">
        <f t="shared" si="6"/>
        <v>0.80512401019053881</v>
      </c>
      <c r="H41" s="13">
        <f t="shared" si="7"/>
        <v>2.8788894311463142E-2</v>
      </c>
      <c r="I41" s="207"/>
      <c r="J41" s="13"/>
      <c r="K41" s="13"/>
      <c r="L41" s="13"/>
      <c r="M41" s="13"/>
      <c r="N41" s="13"/>
      <c r="O41" s="5"/>
      <c r="Q41" s="5"/>
      <c r="R41" s="5"/>
      <c r="S41" s="26"/>
      <c r="T41" s="26"/>
      <c r="U41" s="26"/>
      <c r="V41" s="26"/>
      <c r="W41" s="242"/>
      <c r="X41" s="242"/>
      <c r="Y41" s="242"/>
      <c r="Z41" s="242"/>
      <c r="AA41" s="26"/>
    </row>
    <row r="42" spans="2:195">
      <c r="B42" s="5" t="s">
        <v>493</v>
      </c>
      <c r="C42" s="207"/>
      <c r="D42" s="406">
        <f>D18/D28</f>
        <v>2.7929316334239571</v>
      </c>
      <c r="E42" s="406">
        <f>E18/E28</f>
        <v>2.4942524149353602</v>
      </c>
      <c r="F42" s="406">
        <f>F18/F28</f>
        <v>2.3714016332042931</v>
      </c>
      <c r="G42" s="406">
        <f>G18/G28</f>
        <v>2.3392962306718643</v>
      </c>
      <c r="H42" s="13">
        <f t="shared" si="7"/>
        <v>2.3667788155108394E-2</v>
      </c>
      <c r="I42" s="208"/>
      <c r="J42" s="5"/>
      <c r="K42" s="5"/>
      <c r="L42" s="5"/>
      <c r="M42" s="5"/>
      <c r="N42" s="5"/>
      <c r="O42" s="5"/>
      <c r="Q42" s="5"/>
      <c r="R42" s="5"/>
      <c r="S42" s="26"/>
      <c r="T42" s="26"/>
      <c r="U42" s="26"/>
      <c r="V42" s="26"/>
      <c r="W42" s="242"/>
      <c r="X42" s="242"/>
      <c r="Y42" s="242"/>
      <c r="Z42" s="242"/>
      <c r="AA42" s="26"/>
    </row>
    <row r="43" spans="2:195">
      <c r="B43" s="5" t="s">
        <v>390</v>
      </c>
      <c r="C43" s="207"/>
      <c r="D43" s="406">
        <f>L26/D29</f>
        <v>3.1300875148718861</v>
      </c>
      <c r="E43" s="406">
        <f>M26/E29</f>
        <v>2.8499077388834908</v>
      </c>
      <c r="F43" s="406">
        <f>N26/F29</f>
        <v>21.544736389963408</v>
      </c>
      <c r="G43" s="406">
        <f>O26/G29</f>
        <v>18.718551145798738</v>
      </c>
      <c r="H43" s="13">
        <f t="shared" si="7"/>
        <v>-0.46886703259830009</v>
      </c>
      <c r="I43" s="207"/>
      <c r="J43" s="207"/>
      <c r="K43" s="207"/>
      <c r="L43" s="207"/>
      <c r="M43" s="207"/>
      <c r="N43" s="207"/>
      <c r="O43" s="14"/>
      <c r="Q43" s="5"/>
      <c r="R43" s="5"/>
      <c r="S43" s="26"/>
      <c r="T43" s="26"/>
      <c r="U43" s="26"/>
      <c r="V43" s="26"/>
      <c r="W43" s="242"/>
      <c r="X43" s="242"/>
      <c r="Y43" s="242"/>
      <c r="Z43" s="242"/>
      <c r="AA43" s="26"/>
    </row>
    <row r="44" spans="2:195">
      <c r="B44" s="5" t="s">
        <v>437</v>
      </c>
      <c r="C44" s="53"/>
      <c r="D44" s="406">
        <f>D11/D30</f>
        <v>7.9240844786037741</v>
      </c>
      <c r="E44" s="406">
        <f>E11/E30</f>
        <v>6.7796024245032749</v>
      </c>
      <c r="F44" s="406">
        <f>F11/F30</f>
        <v>1711961.4916731524</v>
      </c>
      <c r="G44" s="406" t="e">
        <f>G11/G30</f>
        <v>#DIV/0!</v>
      </c>
      <c r="H44" s="13" t="str">
        <f t="shared" si="7"/>
        <v>nm</v>
      </c>
      <c r="I44" s="207"/>
      <c r="J44" s="208"/>
      <c r="K44" s="208"/>
      <c r="L44" s="208"/>
      <c r="M44" s="208"/>
      <c r="N44" s="208"/>
      <c r="O44" s="208"/>
      <c r="Q44" s="5"/>
      <c r="R44" s="5"/>
      <c r="S44" s="26"/>
      <c r="T44" s="26"/>
      <c r="U44" s="26"/>
      <c r="V44" s="26"/>
      <c r="W44" s="255"/>
      <c r="X44" s="255"/>
      <c r="Y44" s="242"/>
      <c r="Z44" s="242"/>
      <c r="AA44" s="26"/>
    </row>
    <row r="45" spans="2:195">
      <c r="B45" s="5" t="s">
        <v>481</v>
      </c>
      <c r="C45" s="207"/>
      <c r="D45" s="208">
        <f>D31/D11</f>
        <v>3.807804320007574E-2</v>
      </c>
      <c r="E45" s="208">
        <f>E31/E11</f>
        <v>4.2205074920855526E-2</v>
      </c>
      <c r="F45" s="208">
        <f>F31/F11</f>
        <v>0</v>
      </c>
      <c r="G45" s="208">
        <f>G31/G11</f>
        <v>0</v>
      </c>
      <c r="H45" s="13" t="str">
        <f t="shared" si="7"/>
        <v>nm</v>
      </c>
      <c r="I45" s="208"/>
      <c r="J45" s="207"/>
      <c r="K45" s="207"/>
      <c r="L45" s="207"/>
      <c r="M45" s="207"/>
      <c r="N45" s="207"/>
      <c r="O45" s="208"/>
      <c r="Q45" s="5"/>
      <c r="R45" s="5"/>
      <c r="S45" s="26"/>
      <c r="T45" s="26"/>
      <c r="U45" s="26"/>
      <c r="V45" s="26"/>
      <c r="W45" s="26"/>
      <c r="X45" s="26"/>
      <c r="Y45" s="255"/>
      <c r="Z45" s="255"/>
      <c r="AA45" s="26"/>
    </row>
    <row r="46" spans="2:195">
      <c r="B46" s="5" t="s">
        <v>505</v>
      </c>
      <c r="C46" s="207"/>
      <c r="D46" s="208">
        <f>(D31+D32)/D11</f>
        <v>8.8951648854343174E-2</v>
      </c>
      <c r="E46" s="208">
        <f>(E31+E32)/E11</f>
        <v>0.15136781741446664</v>
      </c>
      <c r="F46" s="208">
        <f>(F31+F32)/F11</f>
        <v>0</v>
      </c>
      <c r="G46" s="208">
        <f>(G31+G32)/G11</f>
        <v>0</v>
      </c>
      <c r="H46" s="233">
        <f>((G31+G32)/(D31+D32))^(1/3)-1</f>
        <v>-1</v>
      </c>
      <c r="I46" s="207"/>
      <c r="J46" s="207"/>
      <c r="K46" s="207"/>
      <c r="L46" s="207"/>
      <c r="M46" s="207"/>
      <c r="N46" s="207"/>
      <c r="O46" s="14"/>
      <c r="Q46" s="5"/>
      <c r="R46" s="5"/>
      <c r="S46" s="26"/>
      <c r="T46" s="26"/>
      <c r="U46" s="26"/>
      <c r="V46" s="26"/>
      <c r="W46" s="26"/>
      <c r="X46" s="26"/>
      <c r="Y46" s="26"/>
      <c r="Z46" s="26"/>
      <c r="AA46" s="256"/>
    </row>
    <row r="47" spans="2:195">
      <c r="B47" s="5" t="s">
        <v>482</v>
      </c>
      <c r="C47" s="5"/>
      <c r="D47" s="208">
        <f>1/D43</f>
        <v>0.31947988522644544</v>
      </c>
      <c r="E47" s="208">
        <f>1/E43</f>
        <v>0.35088855205950292</v>
      </c>
      <c r="F47" s="208">
        <f>1/F43</f>
        <v>4.6415049221296065E-2</v>
      </c>
      <c r="G47" s="208">
        <f>1/G43</f>
        <v>5.3422938143609676E-2</v>
      </c>
      <c r="H47" s="13">
        <f>H29</f>
        <v>-0.46886703259830009</v>
      </c>
      <c r="I47" s="13"/>
      <c r="J47" s="208"/>
      <c r="K47" s="208"/>
      <c r="L47" s="208"/>
      <c r="M47" s="208"/>
      <c r="N47" s="208"/>
      <c r="O47" s="208"/>
      <c r="Q47" s="5"/>
      <c r="R47" s="5"/>
      <c r="S47" s="26"/>
      <c r="T47" s="26"/>
      <c r="U47" s="26"/>
      <c r="V47" s="26"/>
      <c r="W47" s="26"/>
      <c r="X47" s="26"/>
      <c r="Y47" s="26"/>
      <c r="Z47" s="26"/>
      <c r="AA47" s="256"/>
    </row>
    <row r="48" spans="2:195">
      <c r="B48" s="5" t="s">
        <v>518</v>
      </c>
      <c r="C48" s="5"/>
      <c r="D48" s="248">
        <f>D31/D29</f>
        <v>0.11918760761130938</v>
      </c>
      <c r="E48" s="248">
        <f>E31/E29</f>
        <v>0.12028056963710371</v>
      </c>
      <c r="F48" s="248">
        <f>F31/F29</f>
        <v>0</v>
      </c>
      <c r="G48" s="248">
        <f>G31/G29</f>
        <v>0</v>
      </c>
      <c r="H48" s="233" t="s">
        <v>507</v>
      </c>
      <c r="I48" s="207"/>
      <c r="J48" s="207"/>
      <c r="K48" s="207"/>
      <c r="L48" s="207"/>
      <c r="M48" s="207"/>
      <c r="N48" s="207"/>
      <c r="O48" s="208"/>
      <c r="Q48" s="5"/>
      <c r="R48" s="5"/>
      <c r="S48" s="26"/>
      <c r="T48" s="26"/>
      <c r="U48" s="26"/>
      <c r="V48" s="26"/>
      <c r="W48" s="26"/>
      <c r="X48" s="26"/>
      <c r="Y48" s="26"/>
      <c r="Z48" s="26"/>
      <c r="AA48" s="256"/>
    </row>
  </sheetData>
  <phoneticPr fontId="7" type="noConversion"/>
  <pageMargins left="0.75" right="0.75" top="1" bottom="1" header="0.5" footer="0.5"/>
  <pageSetup scale="7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9">
    <pageSetUpPr fitToPage="1"/>
  </sheetPr>
  <dimension ref="A1:AA48"/>
  <sheetViews>
    <sheetView showGridLines="0" zoomScale="80" zoomScaleNormal="80" zoomScaleSheetLayoutView="80" workbookViewId="0"/>
  </sheetViews>
  <sheetFormatPr defaultColWidth="8.886718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8.886718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705</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714</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747</v>
      </c>
      <c r="C9" s="221">
        <f>Prices!C40</f>
        <v>28.4</v>
      </c>
      <c r="D9" s="412">
        <v>0</v>
      </c>
      <c r="E9" s="413">
        <v>0</v>
      </c>
      <c r="F9" s="413">
        <v>0</v>
      </c>
      <c r="G9" s="413">
        <v>0</v>
      </c>
      <c r="H9" s="209"/>
      <c r="I9" s="209"/>
      <c r="J9" s="5" t="s">
        <v>225</v>
      </c>
      <c r="L9" s="406">
        <f>'W.EUR TOWERS'!D37</f>
        <v>9.6515924426168933</v>
      </c>
      <c r="M9" s="406">
        <f>'W.EUR TOWERS'!E37</f>
        <v>9.2640818769375191</v>
      </c>
      <c r="N9" s="406">
        <f>'W.EUR TOWERS'!F37</f>
        <v>8.6688601490096513</v>
      </c>
      <c r="O9" s="406">
        <f>'W.EUR TOWERS'!G37</f>
        <v>8.1277389588493261</v>
      </c>
      <c r="P9" s="240">
        <f>'W.EUR TOWERS'!H37</f>
        <v>3.2601099234879305E-2</v>
      </c>
    </row>
    <row r="10" spans="2:27">
      <c r="B10" s="5" t="s">
        <v>226</v>
      </c>
      <c r="C10" s="5"/>
      <c r="D10" s="408">
        <v>673.83997099999999</v>
      </c>
      <c r="E10" s="408">
        <v>663.12568528571433</v>
      </c>
      <c r="F10" s="408">
        <v>652.92160365306131</v>
      </c>
      <c r="G10" s="408">
        <v>643.20343066958219</v>
      </c>
      <c r="H10" s="207"/>
      <c r="I10" s="207"/>
      <c r="J10" s="5" t="s">
        <v>158</v>
      </c>
      <c r="L10" s="406">
        <f>'W.EUR TOWERS'!D38</f>
        <v>15.890717938973459</v>
      </c>
      <c r="M10" s="406">
        <f>'W.EUR TOWERS'!E38</f>
        <v>15.265224328430731</v>
      </c>
      <c r="N10" s="406">
        <f>'W.EUR TOWERS'!F38</f>
        <v>14.039548031395084</v>
      </c>
      <c r="O10" s="406">
        <f>'W.EUR TOWERS'!G38</f>
        <v>13.115976549035533</v>
      </c>
      <c r="P10" s="240">
        <f>'W.EUR TOWERS'!H38</f>
        <v>3.9530260874000689E-2</v>
      </c>
    </row>
    <row r="11" spans="2:27">
      <c r="B11" s="25" t="s">
        <v>227</v>
      </c>
      <c r="C11" s="5"/>
      <c r="D11" s="409">
        <f>$C$9*D10</f>
        <v>19137.055176399997</v>
      </c>
      <c r="E11" s="409">
        <f>$C$9*E10</f>
        <v>18832.769462114287</v>
      </c>
      <c r="F11" s="409">
        <f>$C$9*F10</f>
        <v>18542.973543746939</v>
      </c>
      <c r="G11" s="409">
        <f>$C$9*G10</f>
        <v>18266.977431016134</v>
      </c>
      <c r="H11" s="209"/>
      <c r="I11" s="209"/>
      <c r="J11" s="5" t="s">
        <v>159</v>
      </c>
      <c r="L11" s="406">
        <f>'W.EUR TOWERS'!D39</f>
        <v>39.961837084593569</v>
      </c>
      <c r="M11" s="406">
        <f>'W.EUR TOWERS'!E39</f>
        <v>28.349712215026148</v>
      </c>
      <c r="N11" s="406">
        <f>'W.EUR TOWERS'!F39</f>
        <v>21.456842350279452</v>
      </c>
      <c r="O11" s="406">
        <f>'W.EUR TOWERS'!G39</f>
        <v>17.363267470658663</v>
      </c>
      <c r="P11" s="240">
        <f>'W.EUR TOWERS'!H39</f>
        <v>0.28744149801120633</v>
      </c>
    </row>
    <row r="12" spans="2:27">
      <c r="B12" s="5" t="s">
        <v>22</v>
      </c>
      <c r="C12" s="209"/>
      <c r="D12" s="410">
        <v>17837.321559999997</v>
      </c>
      <c r="E12" s="410">
        <v>17946.170717038138</v>
      </c>
      <c r="F12" s="410">
        <v>18074.254939740902</v>
      </c>
      <c r="G12" s="410">
        <v>17716.512248810086</v>
      </c>
      <c r="H12" s="207"/>
      <c r="I12" s="207"/>
      <c r="J12" s="5" t="s">
        <v>381</v>
      </c>
      <c r="L12" s="406">
        <f>'W.EUR TOWERS'!D40</f>
        <v>53.980584992150021</v>
      </c>
      <c r="M12" s="406">
        <f>'W.EUR TOWERS'!E40</f>
        <v>38.152489094691539</v>
      </c>
      <c r="N12" s="406">
        <f>'W.EUR TOWERS'!F40</f>
        <v>28.75966798467476</v>
      </c>
      <c r="O12" s="406">
        <f>'W.EUR TOWERS'!G40</f>
        <v>23.224686799033947</v>
      </c>
      <c r="P12" s="240">
        <f>'W.EUR TOWERS'!H40</f>
        <v>0.29167151022956883</v>
      </c>
    </row>
    <row r="13" spans="2:27">
      <c r="B13" s="5" t="s">
        <v>433</v>
      </c>
      <c r="C13" s="216"/>
      <c r="D13" s="410">
        <v>207.43230043348169</v>
      </c>
      <c r="E13" s="410">
        <v>490.8782384594906</v>
      </c>
      <c r="F13" s="410">
        <v>366.67853328586682</v>
      </c>
      <c r="G13" s="410">
        <v>188.67924528301887</v>
      </c>
      <c r="H13" s="207"/>
      <c r="I13" s="207"/>
      <c r="J13" s="5" t="s">
        <v>434</v>
      </c>
      <c r="L13" s="406">
        <f>'W.EUR TOWERS'!D41</f>
        <v>1.276219015729023</v>
      </c>
      <c r="M13" s="406">
        <f>'W.EUR TOWERS'!E41</f>
        <v>1.2848104441199599</v>
      </c>
      <c r="N13" s="406">
        <f>'W.EUR TOWERS'!F41</f>
        <v>1.2752269413285597</v>
      </c>
      <c r="O13" s="406">
        <f>'W.EUR TOWERS'!G41</f>
        <v>1.2664618132586791</v>
      </c>
      <c r="P13" s="240">
        <f>'W.EUR TOWERS'!H41</f>
        <v>-2.2386452970280968E-2</v>
      </c>
    </row>
    <row r="14" spans="2:27">
      <c r="B14" s="5" t="s">
        <v>436</v>
      </c>
      <c r="C14" s="216"/>
      <c r="D14" s="410">
        <v>0</v>
      </c>
      <c r="E14" s="410">
        <v>0</v>
      </c>
      <c r="F14" s="410">
        <v>0</v>
      </c>
      <c r="G14" s="410">
        <v>0</v>
      </c>
      <c r="H14" s="207"/>
      <c r="I14" s="207"/>
      <c r="J14" s="5" t="s">
        <v>493</v>
      </c>
      <c r="L14" s="406">
        <f>'W.EUR TOWERS'!D42</f>
        <v>34.149195195320424</v>
      </c>
      <c r="M14" s="406">
        <f>'W.EUR TOWERS'!E42</f>
        <v>32.347085305741714</v>
      </c>
      <c r="N14" s="406">
        <f>'W.EUR TOWERS'!F42</f>
        <v>30.508851183560388</v>
      </c>
      <c r="O14" s="406">
        <f>'W.EUR TOWERS'!G42</f>
        <v>28.706907332906475</v>
      </c>
      <c r="P14" s="240">
        <f>'W.EUR TOWERS'!H42</f>
        <v>3.3207449798022148E-2</v>
      </c>
    </row>
    <row r="15" spans="2:27">
      <c r="B15" s="5" t="s">
        <v>435</v>
      </c>
      <c r="C15" s="228"/>
      <c r="D15" s="410">
        <v>1241.7658536585366</v>
      </c>
      <c r="E15" s="410">
        <v>1241.7658536585366</v>
      </c>
      <c r="F15" s="410">
        <v>1241.7658536585366</v>
      </c>
      <c r="G15" s="410">
        <v>1241.7658536585366</v>
      </c>
      <c r="H15" s="209"/>
      <c r="I15" s="207"/>
      <c r="J15" s="5" t="s">
        <v>390</v>
      </c>
      <c r="L15" s="406">
        <f>'W.EUR TOWERS'!D43</f>
        <v>42.118917510231931</v>
      </c>
      <c r="M15" s="406">
        <f>'W.EUR TOWERS'!E43</f>
        <v>26.887459137927952</v>
      </c>
      <c r="N15" s="406">
        <f>'W.EUR TOWERS'!F43</f>
        <v>18.475937899070573</v>
      </c>
      <c r="O15" s="406">
        <f>'W.EUR TOWERS'!G43</f>
        <v>15.216154585354261</v>
      </c>
      <c r="P15" s="240">
        <f>'W.EUR TOWERS'!H43</f>
        <v>0.38611601408518781</v>
      </c>
    </row>
    <row r="16" spans="2:27">
      <c r="B16" s="5" t="s">
        <v>438</v>
      </c>
      <c r="C16" s="216"/>
      <c r="D16" s="410">
        <v>0</v>
      </c>
      <c r="E16" s="410">
        <v>500</v>
      </c>
      <c r="F16" s="410">
        <v>1037.5</v>
      </c>
      <c r="G16" s="410">
        <v>1615.3125</v>
      </c>
      <c r="H16" s="207"/>
      <c r="I16" s="207"/>
      <c r="J16" s="5" t="s">
        <v>437</v>
      </c>
      <c r="L16" s="406">
        <f>'W.EUR TOWERS'!D44</f>
        <v>18049.224758198343</v>
      </c>
      <c r="M16" s="406">
        <f>'W.EUR TOWERS'!E44</f>
        <v>85.561636521055618</v>
      </c>
      <c r="N16" s="406">
        <f>'W.EUR TOWERS'!F44</f>
        <v>57.630706218143303</v>
      </c>
      <c r="O16" s="406">
        <f>'W.EUR TOWERS'!G44</f>
        <v>50.355447861146388</v>
      </c>
      <c r="P16" s="240">
        <f>'W.EUR TOWERS'!H44</f>
        <v>6.0126072227694722</v>
      </c>
    </row>
    <row r="17" spans="2:24">
      <c r="B17" s="5" t="s">
        <v>4</v>
      </c>
      <c r="C17" s="216"/>
      <c r="D17" s="410">
        <v>0</v>
      </c>
      <c r="E17" s="410">
        <v>0</v>
      </c>
      <c r="F17" s="410">
        <v>0</v>
      </c>
      <c r="G17" s="410">
        <v>0</v>
      </c>
      <c r="H17" s="207"/>
      <c r="I17" s="207"/>
      <c r="J17" s="5" t="s">
        <v>481</v>
      </c>
      <c r="L17" s="208">
        <f>'W.EUR TOWERS'!D45</f>
        <v>2.9159778054119814E-2</v>
      </c>
      <c r="M17" s="208">
        <f>'W.EUR TOWERS'!E45</f>
        <v>3.993705140289424E-2</v>
      </c>
      <c r="N17" s="208">
        <f>'W.EUR TOWERS'!F45</f>
        <v>4.1954792687509644E-2</v>
      </c>
      <c r="O17" s="208">
        <f>'W.EUR TOWERS'!G45</f>
        <v>4.4113210661324218E-2</v>
      </c>
      <c r="P17" s="240">
        <f>'W.EUR TOWERS'!H45</f>
        <v>0.13327933404207037</v>
      </c>
      <c r="S17" s="72"/>
      <c r="T17" s="26"/>
      <c r="U17" s="26"/>
      <c r="V17" s="26"/>
      <c r="W17" s="26"/>
      <c r="X17" s="26"/>
    </row>
    <row r="18" spans="2:24" ht="12.6" thickBot="1">
      <c r="B18" s="25" t="s">
        <v>484</v>
      </c>
      <c r="C18" s="209"/>
      <c r="D18" s="411">
        <f>D11+D12+D13-D14+D15-D16-D17</f>
        <v>38423.574890492011</v>
      </c>
      <c r="E18" s="411">
        <f t="shared" ref="E18:G18" si="2">E11+E12+E13-E14+E15-E16-E17</f>
        <v>38011.584271270454</v>
      </c>
      <c r="F18" s="411">
        <f t="shared" si="2"/>
        <v>37188.172870432238</v>
      </c>
      <c r="G18" s="411">
        <f t="shared" si="2"/>
        <v>35798.622278767776</v>
      </c>
      <c r="H18" s="230">
        <f>IF(D18=0,"nm",IF(G18=0,"nm",(G18/D18)^(1/3)-1))</f>
        <v>-2.3311258758749065E-2</v>
      </c>
      <c r="I18" s="214"/>
      <c r="J18" s="5" t="s">
        <v>33</v>
      </c>
      <c r="L18" s="208">
        <f>'W.EUR TOWERS'!D46</f>
        <v>2.9159778054119814E-2</v>
      </c>
      <c r="M18" s="208">
        <f>'W.EUR TOWERS'!E46</f>
        <v>3.993705140289424E-2</v>
      </c>
      <c r="N18" s="208">
        <f>'W.EUR TOWERS'!F46</f>
        <v>4.1954792687509644E-2</v>
      </c>
      <c r="O18" s="208">
        <f>'W.EUR TOWERS'!G46</f>
        <v>4.4113210661324218E-2</v>
      </c>
      <c r="P18" s="240">
        <f>'W.EUR TOWERS'!H46</f>
        <v>0.13327933404207037</v>
      </c>
      <c r="S18" s="72"/>
      <c r="T18" s="26"/>
      <c r="U18" s="26"/>
      <c r="V18" s="26"/>
      <c r="W18" s="26"/>
      <c r="X18" s="26"/>
    </row>
    <row r="19" spans="2:24" ht="12.6" thickTop="1">
      <c r="B19" s="25"/>
      <c r="C19" s="209"/>
      <c r="D19" s="189"/>
      <c r="E19" s="189"/>
      <c r="F19" s="189"/>
      <c r="G19" s="189"/>
      <c r="H19" s="230"/>
      <c r="I19" s="214"/>
      <c r="J19" s="5" t="s">
        <v>482</v>
      </c>
      <c r="L19" s="208">
        <f>'W.EUR TOWERS'!D47</f>
        <v>2.3742300588733563E-2</v>
      </c>
      <c r="M19" s="208">
        <f>'W.EUR TOWERS'!E47</f>
        <v>3.719206024154887E-2</v>
      </c>
      <c r="N19" s="208">
        <f>'W.EUR TOWERS'!F47</f>
        <v>5.4124451243706809E-2</v>
      </c>
      <c r="O19" s="208">
        <f>'W.EUR TOWERS'!G47</f>
        <v>6.5719626755271834E-2</v>
      </c>
      <c r="P19" s="240">
        <f>'W.EUR TOWERS'!H47</f>
        <v>0.38611601408518781</v>
      </c>
      <c r="S19" s="72"/>
      <c r="T19" s="26"/>
      <c r="U19" s="26"/>
      <c r="V19" s="26"/>
      <c r="W19" s="26"/>
      <c r="X19" s="26"/>
    </row>
    <row r="20" spans="2:24">
      <c r="H20" s="231"/>
      <c r="I20" s="13"/>
      <c r="J20" s="5" t="s">
        <v>504</v>
      </c>
      <c r="L20" s="248">
        <f>'W.EUR TOWERS'!D48</f>
        <v>1.2281782864781439</v>
      </c>
      <c r="M20" s="248">
        <f>'W.EUR TOWERS'!E48</f>
        <v>1.0738058376846471</v>
      </c>
      <c r="N20" s="248">
        <f>'W.EUR TOWERS'!F48</f>
        <v>0.77515414426280826</v>
      </c>
      <c r="O20" s="248">
        <f>'W.EUR TOWERS'!G48</f>
        <v>0.67123343267900692</v>
      </c>
      <c r="P20" s="240" t="str">
        <f>'W.EUR TOWERS'!H48</f>
        <v>nm</v>
      </c>
      <c r="S20" s="72"/>
      <c r="T20" s="26"/>
      <c r="U20" s="26"/>
      <c r="V20" s="26"/>
      <c r="W20" s="26"/>
      <c r="X20" s="26"/>
    </row>
    <row r="21" spans="2:24" ht="12.6" thickBot="1">
      <c r="B21" s="249" t="s">
        <v>762</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4357.1460000000006</v>
      </c>
      <c r="D23" s="416">
        <v>3995.1261820917885</v>
      </c>
      <c r="E23" s="416">
        <v>4145.1716035905956</v>
      </c>
      <c r="F23" s="416">
        <v>4348.7411519198258</v>
      </c>
      <c r="G23" s="416">
        <v>4471.4059286845613</v>
      </c>
      <c r="H23" s="233">
        <f t="shared" ref="H23:H32" si="4">IF(D23=0,"nm",IF(G23=0,"nm",(G23/D23)^(1/3)-1))</f>
        <v>3.825619847333539E-2</v>
      </c>
      <c r="I23" s="207"/>
      <c r="J23" s="249" t="s">
        <v>7</v>
      </c>
      <c r="K23" s="249"/>
      <c r="L23" s="219" t="str">
        <f>L$5</f>
        <v>2025E</v>
      </c>
      <c r="M23" s="219" t="str">
        <f t="shared" ref="M23:P23" si="5">M$5</f>
        <v>2026E</v>
      </c>
      <c r="N23" s="219" t="str">
        <f t="shared" si="5"/>
        <v>2027E</v>
      </c>
      <c r="O23" s="219" t="str">
        <f t="shared" si="5"/>
        <v>2028E</v>
      </c>
      <c r="P23" s="219" t="str">
        <f t="shared" si="5"/>
        <v>2025-28</v>
      </c>
      <c r="S23" s="72"/>
      <c r="T23" s="26"/>
      <c r="U23" s="26"/>
      <c r="V23" s="26"/>
      <c r="W23" s="26"/>
      <c r="X23" s="26"/>
    </row>
    <row r="24" spans="2:24" ht="12.6" thickTop="1">
      <c r="B24" s="5" t="s">
        <v>397</v>
      </c>
      <c r="C24" s="423">
        <v>2221.1950000000015</v>
      </c>
      <c r="D24" s="416">
        <v>2294.8741898320459</v>
      </c>
      <c r="E24" s="416">
        <v>2393.5118160603593</v>
      </c>
      <c r="F24" s="416">
        <v>2563.5407147887136</v>
      </c>
      <c r="G24" s="416">
        <v>2638.762723771144</v>
      </c>
      <c r="H24" s="233">
        <f t="shared" si="4"/>
        <v>4.7644216058568167E-2</v>
      </c>
      <c r="I24" s="209"/>
      <c r="J24" s="13"/>
      <c r="K24" s="13"/>
      <c r="L24" s="13"/>
      <c r="M24" s="13"/>
      <c r="N24" s="13"/>
      <c r="O24" s="208"/>
      <c r="S24" s="72"/>
      <c r="T24" s="26"/>
      <c r="U24" s="26"/>
      <c r="V24" s="26"/>
      <c r="W24" s="26" t="s">
        <v>705</v>
      </c>
      <c r="X24" s="26" t="s">
        <v>712</v>
      </c>
    </row>
    <row r="25" spans="2:24">
      <c r="B25" s="5" t="s">
        <v>157</v>
      </c>
      <c r="C25" s="422">
        <v>709.75500000000147</v>
      </c>
      <c r="D25" s="416">
        <v>725.34518983204589</v>
      </c>
      <c r="E25" s="416">
        <v>1117.7524576285282</v>
      </c>
      <c r="F25" s="416">
        <v>1584.2238516155089</v>
      </c>
      <c r="G25" s="416">
        <v>1957.5500999345415</v>
      </c>
      <c r="H25" s="233">
        <f t="shared" si="4"/>
        <v>0.39226760068555899</v>
      </c>
      <c r="I25" s="208"/>
      <c r="J25" s="207" t="s">
        <v>8</v>
      </c>
      <c r="K25" s="207"/>
      <c r="L25" s="252">
        <v>0</v>
      </c>
      <c r="M25" s="252">
        <v>0</v>
      </c>
      <c r="N25" s="252">
        <v>0</v>
      </c>
      <c r="O25" s="252">
        <v>0</v>
      </c>
      <c r="P25" s="233" t="str">
        <f>IF(L25=0,"nm",IF(O25=0,"nm",(O25/L25)^(1/3)-1))</f>
        <v>nm</v>
      </c>
      <c r="S25" s="72"/>
      <c r="T25" s="26"/>
      <c r="U25" s="26"/>
      <c r="V25" s="113" t="s">
        <v>225</v>
      </c>
      <c r="W25" s="242">
        <f>D37/L9</f>
        <v>0.99647932738819511</v>
      </c>
      <c r="X25" s="242">
        <v>1</v>
      </c>
    </row>
    <row r="26" spans="2:24">
      <c r="B26" s="5" t="s">
        <v>487</v>
      </c>
      <c r="C26" s="422">
        <v>538.97058375679046</v>
      </c>
      <c r="D26" s="416">
        <v>549.61607083231286</v>
      </c>
      <c r="E26" s="416">
        <v>846.95886599359085</v>
      </c>
      <c r="F26" s="416">
        <v>1200.954189861224</v>
      </c>
      <c r="G26" s="416">
        <v>1484.9268277490446</v>
      </c>
      <c r="H26" s="233">
        <f t="shared" si="4"/>
        <v>0.39277793168702235</v>
      </c>
      <c r="I26" s="209"/>
      <c r="J26" s="209" t="s">
        <v>9</v>
      </c>
      <c r="K26" s="209"/>
      <c r="L26" s="235">
        <f>D11+L25</f>
        <v>19137.055176399997</v>
      </c>
      <c r="M26" s="235">
        <f>E11+M25</f>
        <v>18832.769462114287</v>
      </c>
      <c r="N26" s="235">
        <f>F11+N25</f>
        <v>18542.973543746939</v>
      </c>
      <c r="O26" s="235">
        <f>G11+O25</f>
        <v>18266.977431016134</v>
      </c>
      <c r="P26" s="233">
        <f>IF(L26=0,"nm",IF(O26=0,"nm",(O26/L26)^(1/3)-1))</f>
        <v>-1.5390864311426666E-2</v>
      </c>
      <c r="Q26" s="5"/>
      <c r="S26" s="72"/>
      <c r="T26" s="26"/>
      <c r="U26" s="26"/>
      <c r="V26" s="113" t="s">
        <v>158</v>
      </c>
      <c r="W26" s="242">
        <f t="shared" ref="W26:W28" si="6">D38/L10</f>
        <v>1.0536475659570745</v>
      </c>
      <c r="X26" s="242">
        <v>1</v>
      </c>
    </row>
    <row r="27" spans="2:24">
      <c r="B27" s="5" t="s">
        <v>488</v>
      </c>
      <c r="C27" s="423">
        <v>32001.097999999998</v>
      </c>
      <c r="D27" s="416">
        <v>30701.430559999997</v>
      </c>
      <c r="E27" s="416">
        <v>29934.793686191857</v>
      </c>
      <c r="F27" s="416">
        <v>29307.796040409423</v>
      </c>
      <c r="G27" s="416">
        <v>28180.049251149041</v>
      </c>
      <c r="H27" s="233">
        <f t="shared" si="4"/>
        <v>-2.8160876591399098E-2</v>
      </c>
      <c r="I27" s="209"/>
      <c r="J27" s="208"/>
      <c r="K27" s="208"/>
      <c r="L27" s="208"/>
      <c r="M27" s="208"/>
      <c r="N27" s="208"/>
      <c r="O27" s="208"/>
      <c r="Q27" s="25"/>
      <c r="S27" s="72"/>
      <c r="T27" s="26"/>
      <c r="U27" s="26"/>
      <c r="V27" s="113" t="s">
        <v>159</v>
      </c>
      <c r="W27" s="242">
        <f t="shared" si="6"/>
        <v>1.3255850224568988</v>
      </c>
      <c r="X27" s="242">
        <v>1</v>
      </c>
    </row>
    <row r="28" spans="2:24">
      <c r="B28" s="5" t="s">
        <v>492</v>
      </c>
      <c r="C28" s="422">
        <v>0</v>
      </c>
      <c r="D28" s="416">
        <v>0</v>
      </c>
      <c r="E28" s="416">
        <v>0</v>
      </c>
      <c r="F28" s="416">
        <v>0</v>
      </c>
      <c r="G28" s="416">
        <v>0</v>
      </c>
      <c r="H28" s="233" t="str">
        <f t="shared" si="4"/>
        <v>nm</v>
      </c>
      <c r="I28" s="208"/>
      <c r="Q28" s="5"/>
      <c r="S28" s="72"/>
      <c r="T28" s="26"/>
      <c r="U28" s="26"/>
      <c r="V28" s="113" t="s">
        <v>381</v>
      </c>
      <c r="W28" s="242">
        <f t="shared" si="6"/>
        <v>1.2950924123110048</v>
      </c>
      <c r="X28" s="242">
        <v>1</v>
      </c>
    </row>
    <row r="29" spans="2:24" ht="12.6" thickBot="1">
      <c r="B29" s="5" t="s">
        <v>489</v>
      </c>
      <c r="C29" s="422">
        <v>266.4330000000009</v>
      </c>
      <c r="D29" s="416">
        <v>326.89518983204539</v>
      </c>
      <c r="E29" s="416">
        <v>590.15084296186137</v>
      </c>
      <c r="F29" s="416">
        <v>1003.0681767784275</v>
      </c>
      <c r="G29" s="416">
        <v>1263.5551909308158</v>
      </c>
      <c r="H29" s="233">
        <f t="shared" si="4"/>
        <v>0.56938162013299221</v>
      </c>
      <c r="I29" s="212"/>
      <c r="J29" s="249" t="s">
        <v>1074</v>
      </c>
      <c r="K29" s="249"/>
      <c r="L29" s="219" t="str">
        <f>L$5</f>
        <v>2025E</v>
      </c>
      <c r="M29" s="219" t="str">
        <f t="shared" ref="M29:P29" si="7">M$5</f>
        <v>2026E</v>
      </c>
      <c r="N29" s="219" t="str">
        <f t="shared" si="7"/>
        <v>2027E</v>
      </c>
      <c r="O29" s="219" t="str">
        <f t="shared" si="7"/>
        <v>2028E</v>
      </c>
      <c r="P29" s="219" t="str">
        <f t="shared" si="7"/>
        <v>2025-28</v>
      </c>
      <c r="Q29" s="5"/>
      <c r="S29" s="72"/>
      <c r="T29" s="26"/>
      <c r="U29" s="26"/>
      <c r="V29" s="113" t="s">
        <v>390</v>
      </c>
      <c r="W29" s="242">
        <f>D43/L15</f>
        <v>1.3899186360457356</v>
      </c>
      <c r="X29" s="242">
        <v>1</v>
      </c>
    </row>
    <row r="30" spans="2:24" ht="12.6" thickTop="1">
      <c r="B30" s="5" t="s">
        <v>490</v>
      </c>
      <c r="C30" s="423">
        <v>-28.04299999999872</v>
      </c>
      <c r="D30" s="416">
        <v>-360.77581016795426</v>
      </c>
      <c r="E30" s="416">
        <v>-62.136030846280036</v>
      </c>
      <c r="F30" s="416">
        <v>101.97563151480171</v>
      </c>
      <c r="G30" s="416">
        <v>133.63377667043517</v>
      </c>
      <c r="H30" s="233">
        <f t="shared" si="4"/>
        <v>-1.7181683757545145</v>
      </c>
      <c r="I30" s="214"/>
      <c r="J30" s="208"/>
      <c r="K30" s="208"/>
      <c r="L30" s="208"/>
      <c r="M30" s="208"/>
      <c r="N30" s="208"/>
      <c r="O30" s="5"/>
      <c r="Q30" s="5"/>
      <c r="S30" s="72"/>
      <c r="T30" s="26"/>
      <c r="U30" s="26"/>
      <c r="V30" s="113" t="s">
        <v>437</v>
      </c>
      <c r="W30" s="242">
        <f>D44/L16</f>
        <v>-2.9388616750366733E-3</v>
      </c>
      <c r="X30" s="242">
        <v>1</v>
      </c>
    </row>
    <row r="31" spans="2:24">
      <c r="B31" s="5" t="s">
        <v>491</v>
      </c>
      <c r="C31" s="423">
        <v>44.697946606249999</v>
      </c>
      <c r="D31" s="416">
        <v>249.99462924099998</v>
      </c>
      <c r="E31" s="416">
        <v>518.75</v>
      </c>
      <c r="F31" s="416">
        <v>557.65625</v>
      </c>
      <c r="G31" s="416">
        <v>599.48046875</v>
      </c>
      <c r="H31" s="233">
        <f t="shared" si="4"/>
        <v>0.33848893875927843</v>
      </c>
      <c r="I31" s="214"/>
      <c r="J31" s="5" t="s">
        <v>613</v>
      </c>
      <c r="K31" s="207"/>
      <c r="L31" s="253">
        <v>111917.625</v>
      </c>
      <c r="M31" s="253">
        <v>115161.92857142857</v>
      </c>
      <c r="N31" s="253">
        <v>118861.23214285716</v>
      </c>
      <c r="O31" s="253">
        <v>122343.10714285714</v>
      </c>
      <c r="Q31" s="5"/>
      <c r="S31" s="72"/>
      <c r="T31" s="26"/>
      <c r="U31" s="26"/>
      <c r="V31" s="113" t="s">
        <v>481</v>
      </c>
      <c r="W31" s="242">
        <f>D45/L17</f>
        <v>0.44799313141015124</v>
      </c>
      <c r="X31" s="242">
        <v>1</v>
      </c>
    </row>
    <row r="32" spans="2:24">
      <c r="B32" s="5" t="s">
        <v>506</v>
      </c>
      <c r="C32" s="424">
        <v>0</v>
      </c>
      <c r="D32" s="416">
        <v>0</v>
      </c>
      <c r="E32" s="416">
        <v>0</v>
      </c>
      <c r="F32" s="416">
        <v>0</v>
      </c>
      <c r="G32" s="416">
        <v>0</v>
      </c>
      <c r="H32" s="233" t="str">
        <f t="shared" si="4"/>
        <v>nm</v>
      </c>
      <c r="I32" s="214"/>
      <c r="J32" s="5" t="s">
        <v>1072</v>
      </c>
      <c r="K32" s="214"/>
      <c r="L32" s="253">
        <v>154873.67300000001</v>
      </c>
      <c r="M32" s="253">
        <v>162156.09714642854</v>
      </c>
      <c r="N32" s="253">
        <v>169868.98792751785</v>
      </c>
      <c r="O32" s="253">
        <v>177020.9377491482</v>
      </c>
      <c r="Q32" s="5"/>
      <c r="S32" s="72"/>
      <c r="T32" s="26"/>
      <c r="U32" s="26"/>
      <c r="V32" s="113" t="s">
        <v>482</v>
      </c>
      <c r="W32" s="242">
        <f>D47/L19</f>
        <v>0.71946657456508467</v>
      </c>
      <c r="X32" s="242">
        <v>1</v>
      </c>
    </row>
    <row r="33" spans="1:17">
      <c r="B33" s="5" t="s">
        <v>3</v>
      </c>
      <c r="C33" s="423">
        <v>-560.76100000000008</v>
      </c>
      <c r="D33" s="416">
        <v>-587.11800000000005</v>
      </c>
      <c r="E33" s="416">
        <v>-548.45161466666661</v>
      </c>
      <c r="F33" s="416">
        <v>-540.79817483708121</v>
      </c>
      <c r="G33" s="416">
        <v>-563.5212626340807</v>
      </c>
      <c r="H33" s="233">
        <f>IF(D33=0,"nm",IF(G33=0,"nm",(G33/D33)^(1/3)-1))</f>
        <v>-1.3580526447333763E-2</v>
      </c>
      <c r="I33" s="5"/>
      <c r="J33" s="214"/>
      <c r="K33" s="214"/>
      <c r="L33" s="214"/>
      <c r="M33" s="214"/>
      <c r="N33" s="214"/>
      <c r="O33" s="211"/>
      <c r="Q33" s="5"/>
    </row>
    <row r="34" spans="1:17">
      <c r="H34" s="231"/>
      <c r="I34" s="33"/>
      <c r="J34" s="214"/>
      <c r="K34" s="214"/>
      <c r="L34" s="214"/>
      <c r="M34" s="214"/>
      <c r="N34" s="214"/>
      <c r="O34" s="211"/>
      <c r="Q34" s="5"/>
    </row>
    <row r="35" spans="1:17" ht="12.6" thickBot="1">
      <c r="B35" s="249" t="s">
        <v>707</v>
      </c>
      <c r="C35" s="219"/>
      <c r="D35" s="219" t="str">
        <f>D5</f>
        <v>2025E</v>
      </c>
      <c r="E35" s="219" t="str">
        <f t="shared" ref="E35:H35" si="8">E5</f>
        <v>2026E</v>
      </c>
      <c r="F35" s="219" t="str">
        <f t="shared" si="8"/>
        <v>2027E</v>
      </c>
      <c r="G35" s="219" t="str">
        <f t="shared" si="8"/>
        <v>2028E</v>
      </c>
      <c r="H35" s="219" t="str">
        <f t="shared" si="8"/>
        <v>2025-28</v>
      </c>
      <c r="I35" s="214"/>
      <c r="J35" s="249" t="s">
        <v>1073</v>
      </c>
      <c r="K35" s="249"/>
      <c r="L35" s="249"/>
      <c r="M35" s="249"/>
      <c r="N35" s="220"/>
      <c r="O35" s="220"/>
      <c r="P35" s="220"/>
      <c r="Q35" s="5"/>
    </row>
    <row r="36" spans="1:17" ht="12.6" thickTop="1">
      <c r="B36" s="25"/>
      <c r="C36" s="209"/>
      <c r="D36" s="214"/>
      <c r="E36" s="214"/>
      <c r="F36" s="214"/>
      <c r="G36" s="214"/>
      <c r="H36" s="214"/>
      <c r="I36" s="13"/>
      <c r="J36" s="33"/>
      <c r="K36" s="33"/>
      <c r="L36" s="33"/>
      <c r="M36" s="33"/>
      <c r="N36" s="33"/>
      <c r="O36" s="33"/>
      <c r="Q36" s="5"/>
    </row>
    <row r="37" spans="1:17">
      <c r="A37" s="5"/>
      <c r="B37" s="5" t="s">
        <v>225</v>
      </c>
      <c r="C37" s="207"/>
      <c r="D37" s="406">
        <f>D$18/D23</f>
        <v>9.6176123454438684</v>
      </c>
      <c r="E37" s="406">
        <f t="shared" ref="E37:G40" si="9">E$18/E23</f>
        <v>9.1700870087849626</v>
      </c>
      <c r="F37" s="406">
        <f t="shared" si="9"/>
        <v>8.5514799734665488</v>
      </c>
      <c r="G37" s="406">
        <f t="shared" si="9"/>
        <v>8.0061222017700686</v>
      </c>
      <c r="H37" s="13">
        <f t="shared" ref="H37:H40" si="10">H23</f>
        <v>3.825619847333539E-2</v>
      </c>
      <c r="I37" s="5"/>
      <c r="Q37" s="5"/>
    </row>
    <row r="38" spans="1:17">
      <c r="A38" s="5"/>
      <c r="B38" s="5" t="s">
        <v>158</v>
      </c>
      <c r="C38" s="207"/>
      <c r="D38" s="406">
        <f>D$18/D24</f>
        <v>16.743216277709806</v>
      </c>
      <c r="E38" s="406">
        <f>E$18/E24</f>
        <v>15.881093218848719</v>
      </c>
      <c r="F38" s="406">
        <f t="shared" si="9"/>
        <v>14.506566116113852</v>
      </c>
      <c r="G38" s="406">
        <f t="shared" si="9"/>
        <v>13.566442316422739</v>
      </c>
      <c r="H38" s="13">
        <f t="shared" si="10"/>
        <v>4.7644216058568167E-2</v>
      </c>
      <c r="I38" s="217"/>
      <c r="J38" s="13"/>
      <c r="K38" s="13"/>
      <c r="L38" s="13"/>
      <c r="M38" s="13"/>
      <c r="N38" s="13"/>
      <c r="O38" s="5"/>
      <c r="Q38" s="5"/>
    </row>
    <row r="39" spans="1:17">
      <c r="A39" s="5"/>
      <c r="B39" s="5" t="s">
        <v>159</v>
      </c>
      <c r="C39" s="207"/>
      <c r="D39" s="406">
        <f>D$18/D25</f>
        <v>52.972812709199893</v>
      </c>
      <c r="E39" s="406">
        <f t="shared" si="9"/>
        <v>34.007157856684536</v>
      </c>
      <c r="F39" s="406">
        <f t="shared" si="9"/>
        <v>23.474064496952042</v>
      </c>
      <c r="G39" s="406">
        <f t="shared" si="9"/>
        <v>18.287461598027477</v>
      </c>
      <c r="H39" s="13">
        <f t="shared" si="10"/>
        <v>0.39226760068555899</v>
      </c>
      <c r="I39" s="13"/>
      <c r="J39" s="5"/>
      <c r="K39" s="5"/>
      <c r="L39" s="5"/>
      <c r="M39" s="5"/>
      <c r="N39" s="5"/>
      <c r="O39" s="5"/>
      <c r="Q39" s="5"/>
    </row>
    <row r="40" spans="1:17">
      <c r="A40" s="5"/>
      <c r="B40" s="5" t="s">
        <v>381</v>
      </c>
      <c r="C40" s="207"/>
      <c r="D40" s="406">
        <f>D$18/D26</f>
        <v>69.909846035442797</v>
      </c>
      <c r="E40" s="406">
        <f t="shared" si="9"/>
        <v>44.880083080159999</v>
      </c>
      <c r="F40" s="406">
        <f t="shared" si="9"/>
        <v>30.96552156975239</v>
      </c>
      <c r="G40" s="406">
        <f t="shared" si="9"/>
        <v>24.108004253000008</v>
      </c>
      <c r="H40" s="13">
        <f t="shared" si="10"/>
        <v>0.39277793168702235</v>
      </c>
      <c r="I40" s="5"/>
      <c r="J40" s="217"/>
      <c r="K40" s="217"/>
      <c r="L40" s="217"/>
      <c r="M40" s="217"/>
      <c r="N40" s="217"/>
      <c r="O40" s="14"/>
      <c r="Q40" s="5"/>
    </row>
    <row r="41" spans="1:17">
      <c r="A41" s="5"/>
      <c r="B41" s="5" t="s">
        <v>723</v>
      </c>
      <c r="D41" s="406">
        <f>D18/D27</f>
        <v>1.2515239254210184</v>
      </c>
      <c r="E41" s="406">
        <f>E18/E27</f>
        <v>1.2698128027788684</v>
      </c>
      <c r="F41" s="406">
        <f>F18/F27</f>
        <v>1.2688832970980621</v>
      </c>
      <c r="G41" s="406">
        <f>G18/G27</f>
        <v>1.2703534319517944</v>
      </c>
      <c r="H41" s="13">
        <f>H27</f>
        <v>-2.8160876591399098E-2</v>
      </c>
      <c r="I41" s="207"/>
      <c r="J41" s="13"/>
      <c r="K41" s="13"/>
      <c r="L41" s="13"/>
      <c r="M41" s="13"/>
      <c r="N41" s="13"/>
      <c r="O41" s="5"/>
      <c r="Q41" s="5"/>
    </row>
    <row r="42" spans="1:17">
      <c r="A42" s="5"/>
      <c r="B42" s="5" t="s">
        <v>493</v>
      </c>
      <c r="D42" s="406" t="str">
        <f>IFERROR(D18/D28,"na")</f>
        <v>na</v>
      </c>
      <c r="E42" s="406" t="str">
        <f>IFERROR(E18/E28,"na")</f>
        <v>na</v>
      </c>
      <c r="F42" s="406" t="str">
        <f>IFERROR(F18/F28,"na")</f>
        <v>na</v>
      </c>
      <c r="G42" s="406" t="str">
        <f>IFERROR(G18/G28,"na")</f>
        <v>na</v>
      </c>
      <c r="H42" s="13" t="str">
        <f>H28</f>
        <v>nm</v>
      </c>
      <c r="I42" s="208"/>
      <c r="J42" s="5"/>
      <c r="K42" s="5"/>
      <c r="L42" s="5"/>
      <c r="M42" s="5"/>
      <c r="N42" s="5"/>
      <c r="O42" s="5"/>
      <c r="Q42" s="5"/>
    </row>
    <row r="43" spans="1:17">
      <c r="A43" s="5"/>
      <c r="B43" s="5" t="s">
        <v>390</v>
      </c>
      <c r="C43" s="207"/>
      <c r="D43" s="406">
        <f>L26/D29</f>
        <v>58.541868377544418</v>
      </c>
      <c r="E43" s="406">
        <f>M26/E29</f>
        <v>31.911789480120017</v>
      </c>
      <c r="F43" s="406">
        <f>N26/F29</f>
        <v>18.486254447132147</v>
      </c>
      <c r="G43" s="406">
        <f>O26/G29</f>
        <v>14.456810088018004</v>
      </c>
      <c r="H43" s="13">
        <f>H29</f>
        <v>0.56938162013299221</v>
      </c>
      <c r="I43" s="207"/>
      <c r="J43" s="207"/>
      <c r="K43" s="207"/>
      <c r="L43" s="207"/>
      <c r="M43" s="207"/>
      <c r="N43" s="207"/>
      <c r="O43" s="14"/>
      <c r="Q43" s="5"/>
    </row>
    <row r="44" spans="1:17">
      <c r="A44" s="5"/>
      <c r="B44" s="5" t="s">
        <v>437</v>
      </c>
      <c r="C44" s="53"/>
      <c r="D44" s="406">
        <f>D11/D30</f>
        <v>-53.044174905992179</v>
      </c>
      <c r="E44" s="406">
        <f>E11/E30</f>
        <v>-303.089354205858</v>
      </c>
      <c r="F44" s="406">
        <f>F11/F30</f>
        <v>181.83730042461602</v>
      </c>
      <c r="G44" s="406">
        <f>G11/G30</f>
        <v>136.69431401363275</v>
      </c>
      <c r="H44" s="13">
        <f>H30</f>
        <v>-1.7181683757545145</v>
      </c>
      <c r="I44" s="207"/>
      <c r="J44" s="208"/>
      <c r="K44" s="208"/>
      <c r="L44" s="208"/>
      <c r="M44" s="208"/>
      <c r="N44" s="208"/>
      <c r="O44" s="208"/>
      <c r="Q44" s="5"/>
    </row>
    <row r="45" spans="1:17">
      <c r="A45" s="5"/>
      <c r="B45" s="5" t="s">
        <v>481</v>
      </c>
      <c r="C45" s="207"/>
      <c r="D45" s="208">
        <f>D31/D11</f>
        <v>1.3063380281690141E-2</v>
      </c>
      <c r="E45" s="208">
        <f>E31/E11</f>
        <v>2.7545072488863877E-2</v>
      </c>
      <c r="F45" s="208">
        <f>F31/F11</f>
        <v>3.0073723002643923E-2</v>
      </c>
      <c r="G45" s="208">
        <f>G31/G11</f>
        <v>3.2817715520473648E-2</v>
      </c>
      <c r="H45" s="13">
        <f>H31</f>
        <v>0.33848893875927843</v>
      </c>
      <c r="I45" s="208"/>
      <c r="J45" s="207"/>
      <c r="K45" s="207"/>
      <c r="L45" s="207"/>
      <c r="M45" s="207"/>
      <c r="N45" s="207"/>
      <c r="O45" s="208"/>
      <c r="Q45" s="5"/>
    </row>
    <row r="46" spans="1:17">
      <c r="A46" s="5"/>
      <c r="B46" s="5" t="s">
        <v>505</v>
      </c>
      <c r="C46" s="207"/>
      <c r="D46" s="208">
        <f>(D31+D32)/D11</f>
        <v>1.3063380281690141E-2</v>
      </c>
      <c r="E46" s="208">
        <f>(E31+E32)/E11</f>
        <v>2.7545072488863877E-2</v>
      </c>
      <c r="F46" s="208">
        <f>(F31+F32)/F11</f>
        <v>3.0073723002643923E-2</v>
      </c>
      <c r="G46" s="208">
        <f>(G31+G32)/G11</f>
        <v>3.2817715520473648E-2</v>
      </c>
      <c r="H46" s="233">
        <f>((G31+G32)/(D31+D32))^(1/3)-1</f>
        <v>0.33848893875927843</v>
      </c>
      <c r="I46" s="207"/>
      <c r="J46" s="207"/>
      <c r="K46" s="207"/>
      <c r="L46" s="207"/>
      <c r="M46" s="207"/>
      <c r="N46" s="207"/>
      <c r="O46" s="14"/>
      <c r="Q46" s="5"/>
    </row>
    <row r="47" spans="1:17">
      <c r="A47" s="5"/>
      <c r="B47" s="5" t="s">
        <v>482</v>
      </c>
      <c r="C47" s="5"/>
      <c r="D47" s="208">
        <f>1/D43</f>
        <v>1.7081791676870729E-2</v>
      </c>
      <c r="E47" s="208">
        <f>1/E43</f>
        <v>3.1336381202406928E-2</v>
      </c>
      <c r="F47" s="208">
        <f>1/F43</f>
        <v>5.4094246233591915E-2</v>
      </c>
      <c r="G47" s="208">
        <f>1/G43</f>
        <v>6.9171552639320705E-2</v>
      </c>
      <c r="H47" s="13">
        <f>H29</f>
        <v>0.56938162013299221</v>
      </c>
      <c r="I47" s="13"/>
      <c r="J47" s="208"/>
      <c r="K47" s="208"/>
      <c r="L47" s="208"/>
      <c r="M47" s="208"/>
      <c r="N47" s="208"/>
      <c r="O47" s="208"/>
      <c r="Q47" s="5"/>
    </row>
    <row r="48" spans="1:17">
      <c r="A48" s="5"/>
      <c r="B48" s="5" t="s">
        <v>518</v>
      </c>
      <c r="C48" s="5"/>
      <c r="D48" s="248">
        <f>D31/D29</f>
        <v>0.76475468901651344</v>
      </c>
      <c r="E48" s="248">
        <f>E31/E29</f>
        <v>0.87901255447926951</v>
      </c>
      <c r="F48" s="248">
        <f>F31/F29</f>
        <v>0.55595049559944654</v>
      </c>
      <c r="G48" s="248">
        <f>G31/G29</f>
        <v>0.47443948080208848</v>
      </c>
      <c r="H48" s="13" t="str">
        <f>H32</f>
        <v>nm</v>
      </c>
      <c r="I48" s="207"/>
      <c r="J48" s="207"/>
      <c r="K48" s="207"/>
      <c r="L48" s="207"/>
      <c r="M48" s="207"/>
      <c r="N48" s="207"/>
      <c r="O48" s="208"/>
      <c r="Q48" s="5"/>
    </row>
  </sheetData>
  <pageMargins left="0.75" right="0.75" top="1" bottom="1" header="0.5" footer="0.5"/>
  <pageSetup scale="7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0">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489" customFormat="1">
      <c r="T2" s="64"/>
      <c r="U2" s="64"/>
      <c r="V2" s="64"/>
      <c r="W2" s="64"/>
      <c r="X2" s="64"/>
      <c r="Y2" s="64"/>
      <c r="Z2" s="64"/>
      <c r="AA2" s="64"/>
    </row>
    <row r="3" spans="2:27" s="489" customFormat="1">
      <c r="T3" s="64"/>
      <c r="U3" s="64"/>
      <c r="V3" s="64"/>
      <c r="W3" s="64"/>
      <c r="X3" s="64"/>
      <c r="Y3" s="64"/>
      <c r="Z3" s="64"/>
      <c r="AA3" s="64"/>
    </row>
    <row r="4" spans="2:27" s="122" customFormat="1" ht="21">
      <c r="B4" s="100" t="s">
        <v>88</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451</v>
      </c>
      <c r="C9" s="241">
        <f>Prices!C77</f>
        <v>83.9</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7">
      <c r="B10" s="5" t="s">
        <v>226</v>
      </c>
      <c r="C10" s="5"/>
      <c r="D10" s="408">
        <v>21.408818754999999</v>
      </c>
      <c r="E10" s="408">
        <v>21.408818754999999</v>
      </c>
      <c r="F10" s="408">
        <v>21.408818754999999</v>
      </c>
      <c r="G10" s="408">
        <v>21.408818754999999</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7">
      <c r="B11" s="25" t="s">
        <v>392</v>
      </c>
      <c r="C11" s="5"/>
      <c r="D11" s="409">
        <f>($C$9/(Prices!$C$147/Prices!$C$155))*D10</f>
        <v>1566.7717038738308</v>
      </c>
      <c r="E11" s="409">
        <f>($C$9/(Prices!$C$147/Prices!$C$155))*E10</f>
        <v>1566.7717038738308</v>
      </c>
      <c r="F11" s="409">
        <f>($C$9/(Prices!$C$147/Prices!$C$155))*F10</f>
        <v>1566.7717038738308</v>
      </c>
      <c r="G11" s="409">
        <f>($C$9/(Prices!$C$147/Prices!$C$155))*G10</f>
        <v>1566.7717038738308</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7">
      <c r="B12" s="5" t="s">
        <v>22</v>
      </c>
      <c r="C12" s="209"/>
      <c r="D12" s="410">
        <v>-201.09505720255828</v>
      </c>
      <c r="E12" s="410">
        <v>-254.92689614806883</v>
      </c>
      <c r="F12" s="410">
        <v>-237.24684670765132</v>
      </c>
      <c r="G12" s="410">
        <v>-291.7130055245201</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7">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7">
      <c r="B14" s="5" t="s">
        <v>436</v>
      </c>
      <c r="C14" s="216"/>
      <c r="D14" s="410">
        <v>125.22319174195938</v>
      </c>
      <c r="E14" s="410">
        <v>125.22319174195938</v>
      </c>
      <c r="F14" s="410">
        <v>125.22319174195938</v>
      </c>
      <c r="G14" s="410">
        <v>125.22319174195938</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7">
      <c r="B15" s="5" t="s">
        <v>435</v>
      </c>
      <c r="C15" s="228"/>
      <c r="D15" s="410">
        <v>0</v>
      </c>
      <c r="E15" s="410">
        <f>D15</f>
        <v>0</v>
      </c>
      <c r="F15" s="410">
        <f>E15</f>
        <v>0</v>
      </c>
      <c r="G15" s="410">
        <f>F15</f>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7">
      <c r="B16" s="5" t="s">
        <v>438</v>
      </c>
      <c r="C16" s="216"/>
      <c r="D16" s="410">
        <v>0</v>
      </c>
      <c r="E16" s="410">
        <v>108.43388196692575</v>
      </c>
      <c r="F16" s="410">
        <v>225.93752176037646</v>
      </c>
      <c r="G16" s="410">
        <v>349.11686211557708</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1240.453454929313</v>
      </c>
      <c r="E18" s="411">
        <f>E11+E12+E13-E14+E15-E16-E17</f>
        <v>1078.1877340168767</v>
      </c>
      <c r="F18" s="411">
        <f>F11+F12+F13-F14+F15-F16-F17</f>
        <v>978.36414366384361</v>
      </c>
      <c r="G18" s="411">
        <f>G11+G12+G13-G14+G15-G16-G17</f>
        <v>800.71864449177428</v>
      </c>
      <c r="H18" s="230">
        <f>IF(D18=0,"nm",IF(G18=0,"nm",(G18/D18)^(1/3)-1))</f>
        <v>-0.13576240207749368</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763</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1040.759</v>
      </c>
      <c r="D23" s="416">
        <v>1043.3372190640575</v>
      </c>
      <c r="E23" s="416">
        <v>1061.3451633057159</v>
      </c>
      <c r="F23" s="416">
        <v>1083.0527377747951</v>
      </c>
      <c r="G23" s="416">
        <v>1107.6525154006301</v>
      </c>
      <c r="H23" s="233">
        <f t="shared" ref="H23:H32" si="3">IF(D23=0,"nm",IF(G23=0,"nm",(G23/D23)^(1/3)-1))</f>
        <v>2.0139614496065716E-2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333.69099999999997</v>
      </c>
      <c r="D24" s="416">
        <v>337.33288682734047</v>
      </c>
      <c r="E24" s="416">
        <v>344.23407061957124</v>
      </c>
      <c r="F24" s="416">
        <v>352.10394403269936</v>
      </c>
      <c r="G24" s="416">
        <v>361.80574833231628</v>
      </c>
      <c r="H24" s="233">
        <f t="shared" si="3"/>
        <v>2.3620386060051457E-2</v>
      </c>
      <c r="I24" s="209"/>
      <c r="J24" s="13"/>
      <c r="K24" s="13"/>
      <c r="L24" s="13"/>
      <c r="M24" s="13"/>
      <c r="N24" s="13"/>
      <c r="O24" s="208"/>
      <c r="S24" s="72"/>
      <c r="T24" s="26"/>
      <c r="U24" s="26"/>
      <c r="V24" s="26"/>
      <c r="W24" s="26" t="s">
        <v>394</v>
      </c>
      <c r="X24" s="26" t="s">
        <v>209</v>
      </c>
    </row>
    <row r="25" spans="2:24">
      <c r="B25" s="5" t="s">
        <v>157</v>
      </c>
      <c r="C25" s="422">
        <v>174.66099999999997</v>
      </c>
      <c r="D25" s="416">
        <v>196.73267615837241</v>
      </c>
      <c r="E25" s="416">
        <v>206.69282357329959</v>
      </c>
      <c r="F25" s="416">
        <v>217.33445562197596</v>
      </c>
      <c r="G25" s="416">
        <v>229.67791978223752</v>
      </c>
      <c r="H25" s="233">
        <f t="shared" si="3"/>
        <v>5.2965759064201645E-2</v>
      </c>
      <c r="I25" s="208"/>
      <c r="J25" s="207" t="s">
        <v>8</v>
      </c>
      <c r="K25" s="207"/>
      <c r="L25" s="252">
        <v>0</v>
      </c>
      <c r="M25" s="252">
        <v>0</v>
      </c>
      <c r="N25" s="252">
        <v>0</v>
      </c>
      <c r="O25" s="252">
        <v>0</v>
      </c>
      <c r="P25" s="233" t="str">
        <f>IF(L25=0,"nm",IF(O25=0,"nm",(O25/L25)^(1/3)-1))</f>
        <v>nm</v>
      </c>
      <c r="S25" s="72"/>
      <c r="T25" s="26"/>
      <c r="U25" s="26"/>
      <c r="V25" s="113" t="s">
        <v>225</v>
      </c>
      <c r="W25" s="242">
        <f>D37/L9</f>
        <v>0.5731723255145269</v>
      </c>
      <c r="X25" s="242">
        <v>1</v>
      </c>
    </row>
    <row r="26" spans="2:24">
      <c r="B26" s="5" t="s">
        <v>487</v>
      </c>
      <c r="C26" s="422">
        <v>135.63106293549487</v>
      </c>
      <c r="D26" s="416">
        <v>152.7705783289031</v>
      </c>
      <c r="E26" s="416">
        <v>160.50502036737075</v>
      </c>
      <c r="F26" s="416">
        <v>168.76866174197872</v>
      </c>
      <c r="G26" s="416">
        <v>178.35384197318351</v>
      </c>
      <c r="H26" s="233">
        <f t="shared" si="3"/>
        <v>5.2965759064201645E-2</v>
      </c>
      <c r="I26" s="209"/>
      <c r="J26" s="209" t="s">
        <v>9</v>
      </c>
      <c r="K26" s="209"/>
      <c r="L26" s="235">
        <f>D11+L25</f>
        <v>1566.7717038738308</v>
      </c>
      <c r="M26" s="235">
        <f>E11+M25</f>
        <v>1566.7717038738308</v>
      </c>
      <c r="N26" s="235">
        <f>F11+N25</f>
        <v>1566.7717038738308</v>
      </c>
      <c r="O26" s="235">
        <f>G11+O25</f>
        <v>1566.7717038738308</v>
      </c>
      <c r="P26" s="233">
        <f>IF(L26=0,"nm",IF(O26=0,"nm",(O26/L26)^(1/3)-1))</f>
        <v>0</v>
      </c>
      <c r="Q26" s="5"/>
      <c r="S26" s="72"/>
      <c r="T26" s="26"/>
      <c r="U26" s="26"/>
      <c r="V26" s="113" t="s">
        <v>158</v>
      </c>
      <c r="W26" s="242">
        <f t="shared" ref="W26:W33" si="5">D38/L10</f>
        <v>0.59199118413762242</v>
      </c>
      <c r="X26" s="242">
        <v>1</v>
      </c>
    </row>
    <row r="27" spans="2:24">
      <c r="B27" s="5" t="s">
        <v>488</v>
      </c>
      <c r="C27" s="423">
        <v>1247.213</v>
      </c>
      <c r="D27" s="416">
        <v>1242.4360503317125</v>
      </c>
      <c r="E27" s="416">
        <v>1233.5143070256217</v>
      </c>
      <c r="F27" s="416">
        <v>1296.1667873840511</v>
      </c>
      <c r="G27" s="416">
        <v>1290.9902499618202</v>
      </c>
      <c r="H27" s="233">
        <f t="shared" si="3"/>
        <v>1.2860510929093127E-2</v>
      </c>
      <c r="I27" s="209"/>
      <c r="J27" s="208"/>
      <c r="K27" s="208"/>
      <c r="L27" s="208"/>
      <c r="M27" s="208"/>
      <c r="N27" s="208"/>
      <c r="O27" s="208"/>
      <c r="Q27" s="25"/>
      <c r="S27" s="72"/>
      <c r="T27" s="26"/>
      <c r="U27" s="26"/>
      <c r="V27" s="113" t="s">
        <v>159</v>
      </c>
      <c r="W27" s="242">
        <f t="shared" si="5"/>
        <v>0.60955928393078795</v>
      </c>
      <c r="X27" s="242">
        <v>1</v>
      </c>
    </row>
    <row r="28" spans="2:24" ht="12.6" thickBot="1">
      <c r="B28" s="5" t="s">
        <v>492</v>
      </c>
      <c r="C28" s="422">
        <v>684.03999999999974</v>
      </c>
      <c r="D28" s="416">
        <v>639.6825721911257</v>
      </c>
      <c r="E28" s="416">
        <v>597.28388778757392</v>
      </c>
      <c r="F28" s="416">
        <v>557.26551196540515</v>
      </c>
      <c r="G28" s="416">
        <v>519.75337157045999</v>
      </c>
      <c r="H28" s="233">
        <f t="shared" si="3"/>
        <v>-6.6865459268141691E-2</v>
      </c>
      <c r="I28" s="208"/>
      <c r="J28" s="249" t="s">
        <v>1073</v>
      </c>
      <c r="K28" s="249"/>
      <c r="L28" s="249"/>
      <c r="M28" s="249"/>
      <c r="N28" s="220"/>
      <c r="O28" s="220"/>
      <c r="P28" s="220"/>
      <c r="Q28" s="5"/>
      <c r="S28" s="72"/>
      <c r="T28" s="26"/>
      <c r="U28" s="26"/>
      <c r="V28" s="113" t="s">
        <v>381</v>
      </c>
      <c r="W28" s="242">
        <f t="shared" si="5"/>
        <v>0.59923959606394861</v>
      </c>
      <c r="X28" s="242">
        <v>1</v>
      </c>
    </row>
    <row r="29" spans="2:24" ht="12.6" thickTop="1">
      <c r="B29" s="5" t="s">
        <v>489</v>
      </c>
      <c r="C29" s="422">
        <v>126.17448870790247</v>
      </c>
      <c r="D29" s="416">
        <v>130.51754175402576</v>
      </c>
      <c r="E29" s="416">
        <v>142.21106638112465</v>
      </c>
      <c r="F29" s="416">
        <v>148.75925956889998</v>
      </c>
      <c r="G29" s="416">
        <v>155.52382894931608</v>
      </c>
      <c r="H29" s="233">
        <f t="shared" si="3"/>
        <v>6.0171238823583106E-2</v>
      </c>
      <c r="I29" s="212"/>
      <c r="J29" s="209"/>
      <c r="K29" s="209"/>
      <c r="L29" s="209"/>
      <c r="M29" s="209"/>
      <c r="N29" s="209"/>
      <c r="O29" s="211"/>
      <c r="Q29" s="5"/>
      <c r="S29" s="72"/>
      <c r="T29" s="26"/>
      <c r="U29" s="26"/>
      <c r="V29" s="113" t="s">
        <v>434</v>
      </c>
      <c r="W29" s="242">
        <f t="shared" si="5"/>
        <v>0.57796286079137527</v>
      </c>
      <c r="X29" s="242">
        <v>1</v>
      </c>
    </row>
    <row r="30" spans="2:24">
      <c r="B30" s="5" t="s">
        <v>490</v>
      </c>
      <c r="C30" s="423">
        <v>138.37299999999999</v>
      </c>
      <c r="D30" s="416">
        <v>144.95244061119413</v>
      </c>
      <c r="E30" s="416">
        <v>153.00561882709601</v>
      </c>
      <c r="F30" s="416">
        <v>162.11756165358256</v>
      </c>
      <c r="G30" s="416">
        <v>172.08840303297822</v>
      </c>
      <c r="H30" s="233">
        <f t="shared" si="3"/>
        <v>5.886848855836968E-2</v>
      </c>
      <c r="I30" s="214"/>
      <c r="J30" s="208"/>
      <c r="K30" s="208"/>
      <c r="L30" s="208"/>
      <c r="M30" s="208"/>
      <c r="N30" s="208"/>
      <c r="O30" s="5"/>
      <c r="Q30" s="5"/>
      <c r="S30" s="72"/>
      <c r="T30" s="26"/>
      <c r="U30" s="26"/>
      <c r="V30" s="113" t="s">
        <v>493</v>
      </c>
      <c r="W30" s="242">
        <f t="shared" si="5"/>
        <v>0.59461170162768728</v>
      </c>
      <c r="X30" s="242">
        <v>1</v>
      </c>
    </row>
    <row r="31" spans="2:24">
      <c r="B31" s="5" t="s">
        <v>491</v>
      </c>
      <c r="C31" s="423">
        <v>102.2392743226094</v>
      </c>
      <c r="D31" s="416">
        <v>107.86315513051724</v>
      </c>
      <c r="E31" s="416">
        <v>116.97508532775048</v>
      </c>
      <c r="F31" s="416">
        <v>123.94130197914245</v>
      </c>
      <c r="G31" s="416">
        <v>131.56415942768027</v>
      </c>
      <c r="H31" s="233">
        <f t="shared" si="3"/>
        <v>6.8451529708471792E-2</v>
      </c>
      <c r="I31" s="214"/>
      <c r="J31" s="212"/>
      <c r="K31" s="212"/>
      <c r="L31" s="212"/>
      <c r="M31" s="212"/>
      <c r="N31" s="212"/>
      <c r="O31" s="5"/>
      <c r="Q31" s="5"/>
      <c r="S31" s="72"/>
      <c r="T31" s="26"/>
      <c r="U31" s="26"/>
      <c r="V31" s="113" t="s">
        <v>390</v>
      </c>
      <c r="W31" s="242">
        <f t="shared" si="5"/>
        <v>0.74610223804383891</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0.62640446764115909</v>
      </c>
      <c r="X32" s="242">
        <v>1</v>
      </c>
    </row>
    <row r="33" spans="2:24">
      <c r="B33" s="5" t="s">
        <v>3</v>
      </c>
      <c r="C33" s="423">
        <v>19.731999999999999</v>
      </c>
      <c r="D33" s="416">
        <v>18.347078013952483</v>
      </c>
      <c r="E33" s="416">
        <v>15.79240895891056</v>
      </c>
      <c r="F33" s="416">
        <v>13.48134686838838</v>
      </c>
      <c r="G33" s="416">
        <v>10.429624797844713</v>
      </c>
      <c r="H33" s="233">
        <f>IF(D33=0,"nm",IF(G33=0,"nm",(G33/D33)^(1/3)-1))</f>
        <v>-0.17161175826412611</v>
      </c>
      <c r="I33" s="5"/>
      <c r="J33" s="214"/>
      <c r="K33" s="214"/>
      <c r="L33" s="214"/>
      <c r="M33" s="214"/>
      <c r="N33" s="214"/>
      <c r="O33" s="211"/>
      <c r="Q33" s="5"/>
      <c r="S33" s="72"/>
      <c r="T33" s="26"/>
      <c r="U33" s="26"/>
      <c r="V33" s="113" t="s">
        <v>481</v>
      </c>
      <c r="W33" s="242">
        <f t="shared" si="5"/>
        <v>1.6136278499628613</v>
      </c>
      <c r="X33" s="242">
        <v>1</v>
      </c>
    </row>
    <row r="34" spans="2:24">
      <c r="B34" s="5" t="s">
        <v>217</v>
      </c>
      <c r="C34" s="209">
        <v>0</v>
      </c>
      <c r="D34" s="253">
        <v>0</v>
      </c>
      <c r="E34" s="253">
        <v>0</v>
      </c>
      <c r="F34" s="253">
        <v>0</v>
      </c>
      <c r="G34" s="253">
        <v>0</v>
      </c>
      <c r="H34" s="233"/>
      <c r="I34" s="33"/>
      <c r="J34" s="214"/>
      <c r="K34" s="214"/>
      <c r="L34" s="214"/>
      <c r="M34" s="214"/>
      <c r="N34" s="214"/>
      <c r="O34" s="211"/>
      <c r="Q34" s="5"/>
      <c r="S34" s="72"/>
      <c r="T34" s="26"/>
      <c r="U34" s="26"/>
      <c r="V34" s="113" t="s">
        <v>482</v>
      </c>
      <c r="W34" s="242">
        <f>D47/L19</f>
        <v>1.3402988880208169</v>
      </c>
      <c r="X34" s="242">
        <v>1</v>
      </c>
    </row>
    <row r="35" spans="2:24" ht="12.6" thickBot="1">
      <c r="B35" s="249" t="s">
        <v>250</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1.188928595916555</v>
      </c>
      <c r="E37" s="406">
        <f t="shared" ref="E37:G41" si="7">E$18/E23</f>
        <v>1.0158690794413214</v>
      </c>
      <c r="F37" s="406">
        <f t="shared" si="7"/>
        <v>0.90333933846467973</v>
      </c>
      <c r="G37" s="406">
        <f t="shared" si="7"/>
        <v>0.722896967558603</v>
      </c>
      <c r="H37" s="13">
        <f t="shared" ref="H37:H45" si="8">H23</f>
        <v>2.0139614496065716E-2</v>
      </c>
      <c r="I37" s="5"/>
      <c r="J37" s="217"/>
      <c r="K37" s="217"/>
      <c r="L37" s="217"/>
      <c r="M37" s="217"/>
      <c r="N37" s="217"/>
      <c r="O37" s="14"/>
      <c r="Q37" s="5"/>
      <c r="R37" s="5"/>
      <c r="S37" s="26"/>
      <c r="T37" s="26"/>
      <c r="U37" s="26"/>
      <c r="V37" s="26"/>
      <c r="W37" s="26"/>
      <c r="X37" s="26"/>
    </row>
    <row r="38" spans="2:24">
      <c r="B38" s="5" t="s">
        <v>158</v>
      </c>
      <c r="C38" s="207"/>
      <c r="D38" s="406">
        <f>D$18/D24</f>
        <v>3.6772384293625757</v>
      </c>
      <c r="E38" s="406">
        <f t="shared" si="7"/>
        <v>3.1321354451530485</v>
      </c>
      <c r="F38" s="406">
        <f t="shared" si="7"/>
        <v>2.7786230749320557</v>
      </c>
      <c r="G38" s="406">
        <f t="shared" si="7"/>
        <v>2.2131175311131854</v>
      </c>
      <c r="H38" s="13">
        <f t="shared" si="8"/>
        <v>2.3620386060051457E-2</v>
      </c>
      <c r="I38" s="217"/>
      <c r="J38" s="13"/>
      <c r="K38" s="13"/>
      <c r="L38" s="13"/>
      <c r="M38" s="13"/>
      <c r="N38" s="13"/>
      <c r="O38" s="5"/>
      <c r="Q38" s="5"/>
      <c r="R38" s="5"/>
      <c r="S38" s="26"/>
      <c r="T38" s="26"/>
      <c r="U38" s="26"/>
      <c r="V38" s="26"/>
      <c r="W38" s="26"/>
      <c r="X38" s="26"/>
    </row>
    <row r="39" spans="2:24">
      <c r="B39" s="5" t="s">
        <v>159</v>
      </c>
      <c r="C39" s="207"/>
      <c r="D39" s="406">
        <f>D$18/D25</f>
        <v>6.3052741372294019</v>
      </c>
      <c r="E39" s="406">
        <f t="shared" si="7"/>
        <v>5.216377208348109</v>
      </c>
      <c r="F39" s="406">
        <f t="shared" si="7"/>
        <v>4.5016522615520129</v>
      </c>
      <c r="G39" s="406">
        <f t="shared" si="7"/>
        <v>3.4862674011108794</v>
      </c>
      <c r="H39" s="13">
        <f t="shared" si="8"/>
        <v>5.2965759064201645E-2</v>
      </c>
      <c r="I39" s="13"/>
      <c r="J39" s="5"/>
      <c r="K39" s="5"/>
      <c r="L39" s="5"/>
      <c r="M39" s="5"/>
      <c r="N39" s="5"/>
      <c r="O39" s="5"/>
      <c r="Q39" s="5"/>
      <c r="R39" s="5"/>
      <c r="S39" s="26"/>
      <c r="T39" s="26"/>
      <c r="U39" s="26"/>
      <c r="V39" s="26"/>
      <c r="W39" s="26"/>
      <c r="X39" s="26"/>
    </row>
    <row r="40" spans="2:24">
      <c r="B40" s="5" t="s">
        <v>381</v>
      </c>
      <c r="C40" s="207"/>
      <c r="D40" s="406">
        <f>D$18/D26</f>
        <v>8.1197143356930539</v>
      </c>
      <c r="E40" s="406">
        <f t="shared" si="7"/>
        <v>6.7174704663385265</v>
      </c>
      <c r="F40" s="406">
        <f t="shared" si="7"/>
        <v>5.7970723567128335</v>
      </c>
      <c r="G40" s="406">
        <f t="shared" si="7"/>
        <v>4.4894947909906353</v>
      </c>
      <c r="H40" s="13">
        <f t="shared" si="8"/>
        <v>5.2965759064201645E-2</v>
      </c>
      <c r="I40" s="5"/>
      <c r="J40" s="217"/>
      <c r="K40" s="217"/>
      <c r="L40" s="217"/>
      <c r="M40" s="217"/>
      <c r="N40" s="217"/>
      <c r="O40" s="14"/>
      <c r="Q40" s="5"/>
      <c r="R40" s="5"/>
      <c r="S40" s="26"/>
      <c r="T40" s="26"/>
      <c r="U40" s="26"/>
      <c r="V40" s="26"/>
      <c r="W40" s="242"/>
      <c r="X40" s="242"/>
    </row>
    <row r="41" spans="2:24">
      <c r="B41" s="5" t="s">
        <v>434</v>
      </c>
      <c r="C41" s="207"/>
      <c r="D41" s="406">
        <f>D$18/D27</f>
        <v>0.99840426764671697</v>
      </c>
      <c r="E41" s="406">
        <f t="shared" si="7"/>
        <v>0.87407801261479923</v>
      </c>
      <c r="F41" s="406">
        <f t="shared" si="7"/>
        <v>0.7548134647381276</v>
      </c>
      <c r="G41" s="406">
        <f t="shared" si="7"/>
        <v>0.620236012251413</v>
      </c>
      <c r="H41" s="13">
        <f t="shared" si="8"/>
        <v>1.2860510929093127E-2</v>
      </c>
      <c r="I41" s="207"/>
      <c r="J41" s="13"/>
      <c r="K41" s="13"/>
      <c r="L41" s="13"/>
      <c r="M41" s="13"/>
      <c r="N41" s="13"/>
      <c r="O41" s="5"/>
      <c r="Q41" s="5"/>
      <c r="R41" s="5"/>
      <c r="S41" s="26"/>
      <c r="T41" s="26"/>
      <c r="U41" s="26"/>
      <c r="V41" s="26"/>
      <c r="W41" s="242"/>
      <c r="X41" s="242"/>
    </row>
    <row r="42" spans="2:24">
      <c r="B42" s="5" t="s">
        <v>493</v>
      </c>
      <c r="C42" s="207"/>
      <c r="D42" s="406">
        <f>D18/D28</f>
        <v>1.9391703148646791</v>
      </c>
      <c r="E42" s="406">
        <f>E18/E28</f>
        <v>1.8051512121156328</v>
      </c>
      <c r="F42" s="406">
        <f>F18/F28</f>
        <v>1.7556517004134649</v>
      </c>
      <c r="G42" s="406">
        <f>G18/G28</f>
        <v>1.5405742190230802</v>
      </c>
      <c r="H42" s="13">
        <f t="shared" si="8"/>
        <v>-6.6865459268141691E-2</v>
      </c>
      <c r="I42" s="208"/>
      <c r="J42" s="5"/>
      <c r="K42" s="5"/>
      <c r="L42" s="5"/>
      <c r="M42" s="5"/>
      <c r="N42" s="5"/>
      <c r="O42" s="5"/>
      <c r="Q42" s="5"/>
      <c r="R42" s="5"/>
      <c r="S42" s="26"/>
      <c r="T42" s="26"/>
      <c r="U42" s="26"/>
      <c r="V42" s="26"/>
      <c r="W42" s="242"/>
      <c r="X42" s="242"/>
    </row>
    <row r="43" spans="2:24">
      <c r="B43" s="5" t="s">
        <v>390</v>
      </c>
      <c r="C43" s="207"/>
      <c r="D43" s="406">
        <f>L26/D29</f>
        <v>12.004299826812394</v>
      </c>
      <c r="E43" s="406">
        <f>M26/E29</f>
        <v>11.017227728782327</v>
      </c>
      <c r="F43" s="406">
        <f>N26/F29</f>
        <v>10.532263392640496</v>
      </c>
      <c r="G43" s="406">
        <f>O26/G29</f>
        <v>10.074158503289091</v>
      </c>
      <c r="H43" s="13">
        <f t="shared" si="8"/>
        <v>6.0171238823583106E-2</v>
      </c>
      <c r="I43" s="207"/>
      <c r="J43" s="207"/>
      <c r="K43" s="207"/>
      <c r="L43" s="207"/>
      <c r="M43" s="207"/>
      <c r="N43" s="207"/>
      <c r="O43" s="14"/>
      <c r="Q43" s="5"/>
      <c r="R43" s="5"/>
      <c r="S43" s="26"/>
      <c r="T43" s="26"/>
      <c r="U43" s="26"/>
      <c r="V43" s="26"/>
      <c r="W43" s="242"/>
      <c r="X43" s="242"/>
    </row>
    <row r="44" spans="2:24">
      <c r="B44" s="5" t="s">
        <v>437</v>
      </c>
      <c r="C44" s="53"/>
      <c r="D44" s="406">
        <f>D11/D30</f>
        <v>10.808867358614416</v>
      </c>
      <c r="E44" s="406">
        <f>E11/E30</f>
        <v>10.23996187776843</v>
      </c>
      <c r="F44" s="406">
        <f>F11/F30</f>
        <v>9.6644169076620674</v>
      </c>
      <c r="G44" s="406">
        <f>G11/G30</f>
        <v>9.1044583845291545</v>
      </c>
      <c r="H44" s="13">
        <f t="shared" si="8"/>
        <v>5.886848855836968E-2</v>
      </c>
      <c r="I44" s="207"/>
      <c r="J44" s="208"/>
      <c r="K44" s="208"/>
      <c r="L44" s="208"/>
      <c r="M44" s="208"/>
      <c r="N44" s="208"/>
      <c r="O44" s="208"/>
      <c r="Q44" s="5"/>
      <c r="R44" s="5"/>
      <c r="S44" s="26"/>
      <c r="T44" s="26"/>
      <c r="U44" s="26"/>
      <c r="V44" s="26"/>
      <c r="W44" s="255"/>
      <c r="X44" s="255"/>
    </row>
    <row r="45" spans="2:24">
      <c r="B45" s="5" t="s">
        <v>481</v>
      </c>
      <c r="C45" s="207"/>
      <c r="D45" s="208">
        <f>D31/D11</f>
        <v>6.8844206762112461E-2</v>
      </c>
      <c r="E45" s="208">
        <f>E31/E11</f>
        <v>7.4659942503767771E-2</v>
      </c>
      <c r="F45" s="208">
        <f>F31/F11</f>
        <v>7.9106165673466372E-2</v>
      </c>
      <c r="G45" s="208">
        <f>G31/G11</f>
        <v>8.3971493168014791E-2</v>
      </c>
      <c r="H45" s="13">
        <f t="shared" si="8"/>
        <v>6.8451529708471792E-2</v>
      </c>
      <c r="I45" s="208"/>
      <c r="J45" s="207"/>
      <c r="K45" s="207"/>
      <c r="L45" s="207"/>
      <c r="M45" s="207"/>
      <c r="N45" s="207"/>
      <c r="O45" s="208"/>
      <c r="Q45" s="5"/>
      <c r="R45" s="5"/>
      <c r="S45" s="26"/>
      <c r="T45" s="26"/>
      <c r="U45" s="26"/>
      <c r="V45" s="26"/>
      <c r="W45" s="26"/>
      <c r="X45" s="26"/>
    </row>
    <row r="46" spans="2:24">
      <c r="B46" s="5" t="s">
        <v>505</v>
      </c>
      <c r="C46" s="207"/>
      <c r="D46" s="208">
        <f>(D31+D32)/D11</f>
        <v>6.8844206762112461E-2</v>
      </c>
      <c r="E46" s="208">
        <f>(E31+E32)/E11</f>
        <v>7.4659942503767771E-2</v>
      </c>
      <c r="F46" s="208">
        <f>(F31+F32)/F11</f>
        <v>7.9106165673466372E-2</v>
      </c>
      <c r="G46" s="208">
        <f>(G31+G32)/G11</f>
        <v>8.3971493168014791E-2</v>
      </c>
      <c r="H46" s="233">
        <f>((G31+G32)/(D31+D32))^(1/3)-1</f>
        <v>6.8451529708471792E-2</v>
      </c>
      <c r="I46" s="207"/>
      <c r="J46" s="207"/>
      <c r="K46" s="207"/>
      <c r="L46" s="207"/>
      <c r="M46" s="207"/>
      <c r="N46" s="207"/>
      <c r="O46" s="14"/>
      <c r="Q46" s="5"/>
      <c r="R46" s="5"/>
      <c r="S46" s="26"/>
      <c r="T46" s="26"/>
      <c r="U46" s="26"/>
      <c r="V46" s="26"/>
      <c r="W46" s="26"/>
      <c r="X46" s="26"/>
    </row>
    <row r="47" spans="2:24">
      <c r="B47" s="5" t="s">
        <v>482</v>
      </c>
      <c r="C47" s="5"/>
      <c r="D47" s="208">
        <f>1/D43</f>
        <v>8.3303484120451091E-2</v>
      </c>
      <c r="E47" s="208">
        <f>1/E43</f>
        <v>9.0766935622789785E-2</v>
      </c>
      <c r="F47" s="208">
        <f>1/F43</f>
        <v>9.4946353193061814E-2</v>
      </c>
      <c r="G47" s="208">
        <f>1/G43</f>
        <v>9.9263873967588664E-2</v>
      </c>
      <c r="H47" s="13">
        <f>H29</f>
        <v>6.0171238823583106E-2</v>
      </c>
      <c r="I47" s="13"/>
      <c r="J47" s="208"/>
      <c r="K47" s="208"/>
      <c r="L47" s="208"/>
      <c r="M47" s="208"/>
      <c r="N47" s="208"/>
      <c r="O47" s="208"/>
      <c r="Q47" s="5"/>
      <c r="R47" s="5"/>
      <c r="S47" s="26"/>
      <c r="T47" s="26"/>
      <c r="U47" s="26"/>
      <c r="V47" s="26"/>
      <c r="W47" s="26"/>
      <c r="X47" s="26"/>
    </row>
    <row r="48" spans="2:24">
      <c r="B48" s="5" t="s">
        <v>518</v>
      </c>
      <c r="C48" s="5"/>
      <c r="D48" s="248">
        <f>D31/D29</f>
        <v>0.82642649931146328</v>
      </c>
      <c r="E48" s="248">
        <f>E31/E29</f>
        <v>0.82254558878180462</v>
      </c>
      <c r="F48" s="248">
        <f>F31/F29</f>
        <v>0.83316697285480412</v>
      </c>
      <c r="G48" s="248">
        <f>G31/G29</f>
        <v>0.84594213193243795</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46"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4">
    <pageSetUpPr fitToPage="1"/>
  </sheetPr>
  <dimension ref="B1:AC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29" width="9.109375" style="5"/>
    <col min="30" max="16384" width="9.109375" style="23"/>
  </cols>
  <sheetData>
    <row r="1" spans="2:29" s="489" customFormat="1">
      <c r="T1" s="64"/>
      <c r="U1" s="64"/>
      <c r="V1" s="64"/>
      <c r="W1" s="64"/>
      <c r="X1" s="64"/>
      <c r="Y1" s="64"/>
      <c r="Z1" s="64"/>
      <c r="AA1" s="64"/>
      <c r="AB1" s="64"/>
      <c r="AC1" s="64"/>
    </row>
    <row r="2" spans="2:29" s="489" customFormat="1">
      <c r="T2" s="64"/>
      <c r="U2" s="64"/>
      <c r="V2" s="64"/>
      <c r="W2" s="64"/>
      <c r="X2" s="64"/>
      <c r="Y2" s="64"/>
      <c r="Z2" s="64"/>
      <c r="AA2" s="64"/>
      <c r="AB2" s="64"/>
      <c r="AC2" s="64"/>
    </row>
    <row r="3" spans="2:29" s="489" customFormat="1">
      <c r="T3" s="64"/>
      <c r="U3" s="64"/>
      <c r="V3" s="64"/>
      <c r="W3" s="64"/>
      <c r="X3" s="64"/>
      <c r="Y3" s="64"/>
      <c r="Z3" s="64"/>
      <c r="AA3" s="64"/>
      <c r="AB3" s="64"/>
      <c r="AC3" s="64"/>
    </row>
    <row r="4" spans="2:29" s="122" customFormat="1" ht="21">
      <c r="B4" s="100" t="s">
        <v>140</v>
      </c>
      <c r="H4" s="182"/>
      <c r="P4" s="182"/>
    </row>
    <row r="5" spans="2:29"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29">
      <c r="I6" s="5"/>
      <c r="J6" s="5"/>
      <c r="K6" s="5"/>
      <c r="L6" s="5"/>
      <c r="M6" s="5"/>
      <c r="N6" s="5"/>
      <c r="O6" s="33"/>
    </row>
    <row r="7" spans="2:29" ht="12.6" thickBot="1">
      <c r="B7" s="249" t="s">
        <v>223</v>
      </c>
      <c r="C7" s="219"/>
      <c r="D7" s="219" t="str">
        <f>D5</f>
        <v>2025E</v>
      </c>
      <c r="E7" s="219" t="str">
        <f t="shared" ref="E7:H7" si="0">E5</f>
        <v>2026E</v>
      </c>
      <c r="F7" s="219" t="str">
        <f t="shared" si="0"/>
        <v>2027E</v>
      </c>
      <c r="G7" s="219" t="str">
        <f t="shared" si="0"/>
        <v>2028E</v>
      </c>
      <c r="H7" s="219" t="str">
        <f t="shared" si="0"/>
        <v>2025-28</v>
      </c>
      <c r="I7" s="33"/>
      <c r="J7" s="249" t="s">
        <v>64</v>
      </c>
      <c r="K7" s="249"/>
      <c r="L7" s="219" t="str">
        <f>L5</f>
        <v>2025E</v>
      </c>
      <c r="M7" s="219" t="str">
        <f t="shared" ref="M7:P7" si="1">M5</f>
        <v>2026E</v>
      </c>
      <c r="N7" s="219" t="str">
        <f t="shared" si="1"/>
        <v>2027E</v>
      </c>
      <c r="O7" s="219" t="str">
        <f t="shared" si="1"/>
        <v>2028E</v>
      </c>
      <c r="P7" s="219" t="str">
        <f t="shared" si="1"/>
        <v>2025-28</v>
      </c>
    </row>
    <row r="8" spans="2:29" ht="12.6" thickTop="1">
      <c r="B8" s="5"/>
      <c r="C8" s="5"/>
      <c r="D8" s="5"/>
      <c r="E8" s="5"/>
      <c r="F8" s="5"/>
      <c r="G8" s="5"/>
      <c r="H8" s="5"/>
      <c r="I8" s="5"/>
      <c r="J8" s="5"/>
      <c r="K8" s="5"/>
      <c r="L8" s="5"/>
      <c r="M8" s="5"/>
      <c r="N8" s="5"/>
    </row>
    <row r="9" spans="2:29">
      <c r="B9" s="25" t="s">
        <v>451</v>
      </c>
      <c r="C9" s="241">
        <f>Prices!C69</f>
        <v>5.01</v>
      </c>
      <c r="D9" s="412">
        <v>0</v>
      </c>
      <c r="E9" s="413">
        <v>0</v>
      </c>
      <c r="F9" s="413">
        <v>0</v>
      </c>
      <c r="G9" s="413">
        <v>0</v>
      </c>
      <c r="H9" s="209"/>
      <c r="I9" s="209"/>
      <c r="J9" s="5" t="s">
        <v>225</v>
      </c>
      <c r="L9" s="406">
        <f>'AGG ASIA INCUMB'!D37</f>
        <v>1.1353891943134662</v>
      </c>
      <c r="M9" s="406">
        <f>'AGG ASIA INCUMB'!E37</f>
        <v>1.0420024027378185</v>
      </c>
      <c r="N9" s="406">
        <f>'AGG ASIA INCUMB'!F37</f>
        <v>0.97362964111173989</v>
      </c>
      <c r="O9" s="406">
        <f>'AGG ASIA INCUMB'!G37</f>
        <v>0.87129606684247685</v>
      </c>
      <c r="P9" s="240">
        <f>'AGG ASIA INCUMB'!H37</f>
        <v>3.1397168133001196E-2</v>
      </c>
    </row>
    <row r="10" spans="2:29">
      <c r="B10" s="5" t="s">
        <v>226</v>
      </c>
      <c r="C10" s="5"/>
      <c r="D10" s="408">
        <v>91507</v>
      </c>
      <c r="E10" s="408">
        <v>91507</v>
      </c>
      <c r="F10" s="408">
        <v>91507</v>
      </c>
      <c r="G10" s="408">
        <v>91507</v>
      </c>
      <c r="H10" s="207"/>
      <c r="I10" s="207"/>
      <c r="J10" s="5" t="s">
        <v>158</v>
      </c>
      <c r="L10" s="406">
        <f>'AGG ASIA INCUMB'!D38</f>
        <v>4.3103578846804975</v>
      </c>
      <c r="M10" s="406">
        <f>'AGG ASIA INCUMB'!E38</f>
        <v>3.9128368380348117</v>
      </c>
      <c r="N10" s="406">
        <f>'AGG ASIA INCUMB'!F38</f>
        <v>3.6397486062260676</v>
      </c>
      <c r="O10" s="406">
        <f>'AGG ASIA INCUMB'!G38</f>
        <v>3.2391229175829546</v>
      </c>
      <c r="P10" s="240">
        <f>'AGG ASIA INCUMB'!H38</f>
        <v>3.8631685739933808E-2</v>
      </c>
    </row>
    <row r="11" spans="2:29">
      <c r="B11" s="25" t="s">
        <v>351</v>
      </c>
      <c r="C11" s="5"/>
      <c r="D11" s="409">
        <f>($C$9/(Prices!$C$147/Prices!$C$155))*D10</f>
        <v>399892.35045413492</v>
      </c>
      <c r="E11" s="409">
        <f>($C$9/(Prices!$C$147/Prices!$C$155))*E10</f>
        <v>399892.35045413492</v>
      </c>
      <c r="F11" s="409">
        <f>($C$9/(Prices!$C$147/Prices!$C$155))*F10</f>
        <v>399892.35045413492</v>
      </c>
      <c r="G11" s="409">
        <f>($C$9/(Prices!$C$147/Prices!$C$155))*G10</f>
        <v>399892.35045413492</v>
      </c>
      <c r="H11" s="209"/>
      <c r="I11" s="209"/>
      <c r="J11" s="5" t="s">
        <v>159</v>
      </c>
      <c r="L11" s="406">
        <f>'AGG ASIA INCUMB'!D39</f>
        <v>10.190705463747499</v>
      </c>
      <c r="M11" s="406">
        <f>'AGG ASIA INCUMB'!E39</f>
        <v>8.5583839118103686</v>
      </c>
      <c r="N11" s="406">
        <f>'AGG ASIA INCUMB'!F39</f>
        <v>7.5238379752898625</v>
      </c>
      <c r="O11" s="406">
        <f>'AGG ASIA INCUMB'!G39</f>
        <v>6.4065644587599344</v>
      </c>
      <c r="P11" s="240">
        <f>'AGG ASIA INCUMB'!H39</f>
        <v>0.10228174933351819</v>
      </c>
    </row>
    <row r="12" spans="2:29">
      <c r="B12" s="5" t="s">
        <v>22</v>
      </c>
      <c r="C12" s="209"/>
      <c r="D12" s="410">
        <v>-54973.545363308935</v>
      </c>
      <c r="E12" s="410">
        <v>-77047.078219062823</v>
      </c>
      <c r="F12" s="410">
        <v>-66888.572420074226</v>
      </c>
      <c r="G12" s="410">
        <v>-96197.712069226895</v>
      </c>
      <c r="H12" s="207"/>
      <c r="I12" s="207"/>
      <c r="J12" s="5" t="s">
        <v>381</v>
      </c>
      <c r="L12" s="406">
        <f>'AGG ASIA INCUMB'!D40</f>
        <v>13.344931401968319</v>
      </c>
      <c r="M12" s="406">
        <f>'AGG ASIA INCUMB'!E40</f>
        <v>11.238034837553611</v>
      </c>
      <c r="N12" s="406">
        <f>'AGG ASIA INCUMB'!F40</f>
        <v>9.8913843223038338</v>
      </c>
      <c r="O12" s="406">
        <f>'AGG ASIA INCUMB'!G40</f>
        <v>8.4309901634846316</v>
      </c>
      <c r="P12" s="240">
        <f>'AGG ASIA INCUMB'!H40</f>
        <v>0.10047163927760949</v>
      </c>
    </row>
    <row r="13" spans="2:29">
      <c r="B13" s="5" t="s">
        <v>433</v>
      </c>
      <c r="C13" s="216"/>
      <c r="D13" s="410">
        <v>0</v>
      </c>
      <c r="E13" s="410">
        <v>0</v>
      </c>
      <c r="F13" s="410">
        <v>0</v>
      </c>
      <c r="G13" s="410">
        <v>0</v>
      </c>
      <c r="H13" s="207"/>
      <c r="I13" s="207"/>
      <c r="J13" s="5" t="s">
        <v>434</v>
      </c>
      <c r="L13" s="406">
        <f>'AGG ASIA INCUMB'!D41</f>
        <v>1.0508968001720602</v>
      </c>
      <c r="M13" s="406">
        <f>'AGG ASIA INCUMB'!E41</f>
        <v>0.99070013170896654</v>
      </c>
      <c r="N13" s="406">
        <f>'AGG ASIA INCUMB'!F41</f>
        <v>0.92777684089070633</v>
      </c>
      <c r="O13" s="406">
        <f>'AGG ASIA INCUMB'!G41</f>
        <v>0.85951313303026078</v>
      </c>
      <c r="P13" s="240">
        <f>'AGG ASIA INCUMB'!H41</f>
        <v>9.7226952143947276E-3</v>
      </c>
    </row>
    <row r="14" spans="2:29">
      <c r="B14" s="5" t="s">
        <v>436</v>
      </c>
      <c r="C14" s="216"/>
      <c r="D14" s="410">
        <v>87455.595153194343</v>
      </c>
      <c r="E14" s="410">
        <v>87455.595153194343</v>
      </c>
      <c r="F14" s="410">
        <v>87455.595153194343</v>
      </c>
      <c r="G14" s="410">
        <v>87455.595153194343</v>
      </c>
      <c r="H14" s="207"/>
      <c r="I14" s="207"/>
      <c r="J14" s="5" t="s">
        <v>493</v>
      </c>
      <c r="L14" s="406">
        <f>'AGG ASIA INCUMB'!D42</f>
        <v>1.4291550262030754</v>
      </c>
      <c r="M14" s="406">
        <f>'AGG ASIA INCUMB'!E42</f>
        <v>1.3849407655473556</v>
      </c>
      <c r="N14" s="406">
        <f>'AGG ASIA INCUMB'!F42</f>
        <v>1.3767574546734138</v>
      </c>
      <c r="O14" s="406">
        <f>'AGG ASIA INCUMB'!G42</f>
        <v>1.3160442661234328</v>
      </c>
      <c r="P14" s="240">
        <f>'AGG ASIA INCUMB'!H42</f>
        <v>-2.9409845683782243E-2</v>
      </c>
    </row>
    <row r="15" spans="2:29">
      <c r="B15" s="5" t="s">
        <v>435</v>
      </c>
      <c r="C15" s="228"/>
      <c r="D15" s="410">
        <v>0</v>
      </c>
      <c r="E15" s="410">
        <v>0</v>
      </c>
      <c r="F15" s="410">
        <v>0</v>
      </c>
      <c r="G15" s="410">
        <v>0</v>
      </c>
      <c r="H15" s="207"/>
      <c r="I15" s="207"/>
      <c r="J15" s="5" t="s">
        <v>390</v>
      </c>
      <c r="L15" s="406">
        <f>'AGG ASIA INCUMB'!D43</f>
        <v>32.210485313716404</v>
      </c>
      <c r="M15" s="406">
        <f>'AGG ASIA INCUMB'!E43</f>
        <v>25.503088693758627</v>
      </c>
      <c r="N15" s="406">
        <f>'AGG ASIA INCUMB'!F43</f>
        <v>21.809224253297693</v>
      </c>
      <c r="O15" s="406">
        <f>'AGG ASIA INCUMB'!G43</f>
        <v>18.855968911926709</v>
      </c>
      <c r="P15" s="240">
        <f>'AGG ASIA INCUMB'!H43</f>
        <v>0.16659624694751662</v>
      </c>
    </row>
    <row r="16" spans="2:29">
      <c r="B16" s="5" t="s">
        <v>438</v>
      </c>
      <c r="C16" s="216"/>
      <c r="D16" s="410">
        <v>28863.778023487866</v>
      </c>
      <c r="E16" s="410">
        <v>28863.778023487866</v>
      </c>
      <c r="F16" s="410">
        <v>28863.778023487866</v>
      </c>
      <c r="G16" s="410">
        <v>28863.778023487866</v>
      </c>
      <c r="H16" s="207"/>
      <c r="I16" s="207"/>
      <c r="J16" s="5" t="s">
        <v>437</v>
      </c>
      <c r="L16" s="406">
        <f>'AGG ASIA INCUMB'!D44</f>
        <v>12.339496878071898</v>
      </c>
      <c r="M16" s="406">
        <f>'AGG ASIA INCUMB'!E44</f>
        <v>11.047105057261978</v>
      </c>
      <c r="N16" s="406">
        <f>'AGG ASIA INCUMB'!F44</f>
        <v>10.00172451501094</v>
      </c>
      <c r="O16" s="406">
        <f>'AGG ASIA INCUMB'!G44</f>
        <v>9.0964327955584316</v>
      </c>
      <c r="P16" s="240">
        <f>'AGG ASIA INCUMB'!H44</f>
        <v>9.6923248619408264E-2</v>
      </c>
    </row>
    <row r="17" spans="2:24">
      <c r="B17" s="5" t="s">
        <v>4</v>
      </c>
      <c r="C17" s="216"/>
      <c r="D17" s="410">
        <v>0</v>
      </c>
      <c r="E17" s="410">
        <v>0</v>
      </c>
      <c r="F17" s="410">
        <v>0</v>
      </c>
      <c r="G17" s="410">
        <v>0</v>
      </c>
      <c r="H17" s="207"/>
      <c r="I17" s="207"/>
      <c r="J17" s="5" t="s">
        <v>481</v>
      </c>
      <c r="L17" s="208">
        <f>'AGG ASIA INCUMB'!D45</f>
        <v>5.1414904280051979E-2</v>
      </c>
      <c r="M17" s="208">
        <f>'AGG ASIA INCUMB'!E45</f>
        <v>5.6854140225317415E-2</v>
      </c>
      <c r="N17" s="208">
        <f>'AGG ASIA INCUMB'!F45</f>
        <v>6.1823755137670577E-2</v>
      </c>
      <c r="O17" s="208">
        <f>'AGG ASIA INCUMB'!G45</f>
        <v>6.6884920782751739E-2</v>
      </c>
      <c r="P17" s="240">
        <f>'AGG ASIA INCUMB'!H45</f>
        <v>8.1717503762207988E-2</v>
      </c>
      <c r="R17" s="5"/>
      <c r="S17" s="26"/>
      <c r="T17" s="26"/>
      <c r="U17" s="26"/>
      <c r="V17" s="26"/>
      <c r="W17" s="26"/>
      <c r="X17" s="26"/>
    </row>
    <row r="18" spans="2:24" ht="12.6" thickBot="1">
      <c r="B18" s="25" t="s">
        <v>484</v>
      </c>
      <c r="C18" s="209"/>
      <c r="D18" s="411">
        <f>D11+D12+D13-D14+D15-D16-D17</f>
        <v>228599.43191414382</v>
      </c>
      <c r="E18" s="411">
        <f>E11+E12+E13-E14+E15-E16-E17</f>
        <v>206525.89905838991</v>
      </c>
      <c r="F18" s="411">
        <f>F11+F12+F13-F14+F15-F16-F17</f>
        <v>216684.40485737854</v>
      </c>
      <c r="G18" s="411">
        <f>G11+G12+G13-G14+G15-G16-G17</f>
        <v>187375.26520822584</v>
      </c>
      <c r="H18" s="230">
        <f>IF(D18=0,"nm",IF(G18=0,"nm",(G18/D18)^(1/3)-1))</f>
        <v>-6.4136797936974688E-2</v>
      </c>
      <c r="I18" s="214"/>
      <c r="J18" s="5" t="s">
        <v>33</v>
      </c>
      <c r="L18" s="208">
        <f>'AGG ASIA INCUMB'!D46</f>
        <v>5.8529095772616578E-2</v>
      </c>
      <c r="M18" s="208">
        <f>'AGG ASIA INCUMB'!E46</f>
        <v>7.0436799652068588E-2</v>
      </c>
      <c r="N18" s="208">
        <f>'AGG ASIA INCUMB'!F46</f>
        <v>-5.36316297625479E-2</v>
      </c>
      <c r="O18" s="208">
        <f>'AGG ASIA INCUMB'!G46</f>
        <v>7.4325003833795672E-2</v>
      </c>
      <c r="P18" s="240">
        <f>'AGG ASIA INCUMB'!H46</f>
        <v>7.305464127290251E-2</v>
      </c>
      <c r="R18" s="5"/>
      <c r="S18" s="26"/>
      <c r="T18" s="26"/>
      <c r="U18" s="26"/>
      <c r="V18" s="26"/>
      <c r="W18" s="26"/>
      <c r="X18" s="26"/>
    </row>
    <row r="19" spans="2:24" ht="12.6" thickTop="1">
      <c r="B19" s="25"/>
      <c r="C19" s="209"/>
      <c r="D19" s="189"/>
      <c r="E19" s="189"/>
      <c r="F19" s="189"/>
      <c r="G19" s="189"/>
      <c r="H19" s="230"/>
      <c r="I19" s="214"/>
      <c r="J19" s="5" t="s">
        <v>482</v>
      </c>
      <c r="L19" s="208">
        <f>'AGG ASIA INCUMB'!D47</f>
        <v>3.1045791153421813E-2</v>
      </c>
      <c r="M19" s="208">
        <f>'AGG ASIA INCUMB'!E47</f>
        <v>3.9210936840161248E-2</v>
      </c>
      <c r="N19" s="208">
        <f>'AGG ASIA INCUMB'!F47</f>
        <v>4.5852158168752551E-2</v>
      </c>
      <c r="O19" s="208">
        <f>'AGG ASIA INCUMB'!G47</f>
        <v>5.3033604619886897E-2</v>
      </c>
      <c r="P19" s="240">
        <f>'AGG ASIA INCUMB'!H47</f>
        <v>0.16659624694751662</v>
      </c>
      <c r="R19" s="5"/>
      <c r="S19" s="26"/>
      <c r="T19" s="26"/>
      <c r="U19" s="26"/>
      <c r="V19" s="26"/>
      <c r="W19" s="26"/>
      <c r="X19" s="26"/>
    </row>
    <row r="20" spans="2:24">
      <c r="H20" s="231"/>
      <c r="I20" s="13"/>
      <c r="J20" s="5" t="s">
        <v>504</v>
      </c>
      <c r="L20" s="248">
        <f>'AGG ASIA INCUMB'!D48</f>
        <v>0.84851530587757729</v>
      </c>
      <c r="M20" s="248">
        <f>'AGG ASIA INCUMB'!E48</f>
        <v>0.74595605814417199</v>
      </c>
      <c r="N20" s="248">
        <f>'AGG ASIA INCUMB'!F48</f>
        <v>0.70506562361833436</v>
      </c>
      <c r="O20" s="248">
        <f>'AGG ASIA INCUMB'!G48</f>
        <v>0.67645596035498334</v>
      </c>
      <c r="P20" s="240" t="str">
        <f>'AGG ASIA INCUMB'!H48</f>
        <v>nm</v>
      </c>
      <c r="R20" s="5"/>
      <c r="S20" s="26"/>
      <c r="T20" s="26"/>
      <c r="U20" s="26"/>
      <c r="V20" s="26"/>
      <c r="W20" s="26"/>
      <c r="X20" s="26"/>
    </row>
    <row r="21" spans="2:24" ht="12.6" thickBot="1">
      <c r="B21" s="249" t="s">
        <v>764</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R21" s="5"/>
      <c r="S21" s="26"/>
      <c r="T21" s="26"/>
      <c r="U21" s="26"/>
      <c r="V21" s="26"/>
      <c r="W21" s="26"/>
      <c r="X21" s="26"/>
    </row>
    <row r="22" spans="2:24" ht="12.6" thickTop="1">
      <c r="B22" s="5"/>
      <c r="C22" s="216"/>
      <c r="D22" s="13"/>
      <c r="E22" s="13"/>
      <c r="F22" s="13"/>
      <c r="G22" s="13"/>
      <c r="H22" s="13"/>
      <c r="I22" s="13"/>
      <c r="P22" s="231"/>
      <c r="R22" s="5"/>
      <c r="S22" s="26"/>
      <c r="T22" s="26"/>
      <c r="U22" s="26"/>
      <c r="V22" s="26"/>
      <c r="W22" s="26"/>
      <c r="X22" s="26"/>
    </row>
    <row r="23" spans="2:24" ht="12.6" thickBot="1">
      <c r="B23" s="5" t="s">
        <v>485</v>
      </c>
      <c r="C23" s="422">
        <v>529417</v>
      </c>
      <c r="D23" s="416">
        <v>535658.38288988976</v>
      </c>
      <c r="E23" s="416">
        <v>549149.11061243608</v>
      </c>
      <c r="F23" s="416">
        <v>561456.50900292816</v>
      </c>
      <c r="G23" s="416">
        <v>573936.59158144426</v>
      </c>
      <c r="H23" s="233">
        <f t="shared" ref="H23:H32" si="3">IF(D23=0,"nm",IF(G23=0,"nm",(G23/D23)^(1/3)-1))</f>
        <v>2.3274149289574719E-2</v>
      </c>
      <c r="I23" s="207"/>
      <c r="J23" s="249" t="s">
        <v>7</v>
      </c>
      <c r="K23" s="249"/>
      <c r="L23" s="219" t="str">
        <f>D21</f>
        <v>2025E</v>
      </c>
      <c r="M23" s="219" t="str">
        <f t="shared" ref="M23:P23" si="4">E21</f>
        <v>2026E</v>
      </c>
      <c r="N23" s="219" t="str">
        <f t="shared" si="4"/>
        <v>2027E</v>
      </c>
      <c r="O23" s="219" t="str">
        <f t="shared" si="4"/>
        <v>2028E</v>
      </c>
      <c r="P23" s="219" t="str">
        <f t="shared" si="4"/>
        <v>2025-28</v>
      </c>
      <c r="R23" s="5"/>
      <c r="S23" s="26"/>
      <c r="T23" s="26"/>
      <c r="U23" s="26"/>
      <c r="V23" s="26"/>
      <c r="W23" s="26"/>
      <c r="X23" s="26"/>
    </row>
    <row r="24" spans="2:24" ht="12.6" thickTop="1">
      <c r="B24" s="5" t="s">
        <v>397</v>
      </c>
      <c r="C24" s="422">
        <v>140847</v>
      </c>
      <c r="D24" s="416">
        <v>147556.71476417745</v>
      </c>
      <c r="E24" s="416">
        <v>152495.33312226104</v>
      </c>
      <c r="F24" s="416">
        <v>156813.16462442646</v>
      </c>
      <c r="G24" s="416">
        <v>162226.89535259805</v>
      </c>
      <c r="H24" s="233">
        <f t="shared" si="3"/>
        <v>3.2098847625984472E-2</v>
      </c>
      <c r="I24" s="209"/>
      <c r="J24" s="13"/>
      <c r="K24" s="13"/>
      <c r="L24" s="13"/>
      <c r="M24" s="13"/>
      <c r="N24" s="13"/>
      <c r="O24" s="208"/>
      <c r="R24" s="5"/>
      <c r="S24" s="26"/>
      <c r="T24" s="26"/>
      <c r="U24" s="26"/>
      <c r="V24" s="26"/>
      <c r="W24" s="26" t="s">
        <v>245</v>
      </c>
      <c r="X24" s="26" t="s">
        <v>211</v>
      </c>
    </row>
    <row r="25" spans="2:24">
      <c r="B25" s="5" t="s">
        <v>157</v>
      </c>
      <c r="C25" s="422">
        <v>47334</v>
      </c>
      <c r="D25" s="416">
        <v>64886.769715091883</v>
      </c>
      <c r="E25" s="416">
        <v>72679.394672721901</v>
      </c>
      <c r="F25" s="416">
        <v>78688.925959686647</v>
      </c>
      <c r="G25" s="416">
        <v>84994.201542617171</v>
      </c>
      <c r="H25" s="233">
        <f t="shared" si="3"/>
        <v>9.4152141692996238E-2</v>
      </c>
      <c r="I25" s="208"/>
      <c r="J25" s="207" t="s">
        <v>8</v>
      </c>
      <c r="K25" s="207"/>
      <c r="L25" s="252">
        <v>0</v>
      </c>
      <c r="M25" s="252">
        <v>0</v>
      </c>
      <c r="N25" s="252">
        <v>0</v>
      </c>
      <c r="O25" s="252">
        <v>0</v>
      </c>
      <c r="P25" s="233" t="str">
        <f>IF(L25=0,"nm",IF(O25=0,"nm",(O25/L25)^(1/3)-1))</f>
        <v>nm</v>
      </c>
      <c r="R25" s="5"/>
      <c r="S25" s="26"/>
      <c r="T25" s="26"/>
      <c r="U25" s="26"/>
      <c r="V25" s="113" t="s">
        <v>225</v>
      </c>
      <c r="W25" s="242">
        <f>D37/L9</f>
        <v>0.37587417187547212</v>
      </c>
      <c r="X25" s="242">
        <v>1</v>
      </c>
    </row>
    <row r="26" spans="2:24">
      <c r="B26" s="5" t="s">
        <v>487</v>
      </c>
      <c r="C26" s="422">
        <v>37011.2550981694</v>
      </c>
      <c r="D26" s="416">
        <v>50736.062585486929</v>
      </c>
      <c r="E26" s="416">
        <v>56829.247826354091</v>
      </c>
      <c r="F26" s="416">
        <v>61528.201970991824</v>
      </c>
      <c r="G26" s="416">
        <v>66458.403582182524</v>
      </c>
      <c r="H26" s="233">
        <f t="shared" si="3"/>
        <v>9.4152141692996238E-2</v>
      </c>
      <c r="I26" s="209"/>
      <c r="J26" s="209" t="s">
        <v>9</v>
      </c>
      <c r="K26" s="209"/>
      <c r="L26" s="235">
        <f>D11+L25</f>
        <v>399892.35045413492</v>
      </c>
      <c r="M26" s="235">
        <f>E11+M25</f>
        <v>399892.35045413492</v>
      </c>
      <c r="N26" s="235">
        <f>F11+N25</f>
        <v>399892.35045413492</v>
      </c>
      <c r="O26" s="235">
        <f>G11+O25</f>
        <v>399892.35045413492</v>
      </c>
      <c r="P26" s="233">
        <f>IF(L26=0,"nm",IF(O26=0,"nm",(O26/L26)^(1/3)-1))</f>
        <v>0</v>
      </c>
      <c r="Q26" s="5"/>
      <c r="R26" s="5"/>
      <c r="S26" s="26"/>
      <c r="T26" s="26"/>
      <c r="U26" s="26"/>
      <c r="V26" s="113" t="s">
        <v>158</v>
      </c>
      <c r="W26" s="242">
        <f t="shared" ref="W26:W33" si="5">D38/L10</f>
        <v>0.35942049559090467</v>
      </c>
      <c r="X26" s="242">
        <v>1</v>
      </c>
    </row>
    <row r="27" spans="2:24">
      <c r="B27" s="5" t="s">
        <v>488</v>
      </c>
      <c r="C27" s="422">
        <v>415286</v>
      </c>
      <c r="D27" s="416">
        <v>412871.77876606624</v>
      </c>
      <c r="E27" s="416">
        <v>402446.7424125835</v>
      </c>
      <c r="F27" s="416">
        <v>424101.61507879855</v>
      </c>
      <c r="G27" s="416">
        <v>407240.33640789468</v>
      </c>
      <c r="H27" s="233">
        <f t="shared" si="3"/>
        <v>-4.5673920669913048E-3</v>
      </c>
      <c r="I27" s="209"/>
      <c r="J27" s="208"/>
      <c r="K27" s="208"/>
      <c r="L27" s="208"/>
      <c r="M27" s="208"/>
      <c r="N27" s="208"/>
      <c r="O27" s="208"/>
      <c r="Q27" s="25"/>
      <c r="R27" s="5"/>
      <c r="S27" s="26"/>
      <c r="T27" s="26"/>
      <c r="U27" s="26"/>
      <c r="V27" s="113" t="s">
        <v>159</v>
      </c>
      <c r="W27" s="242">
        <f t="shared" si="5"/>
        <v>0.34571222972181165</v>
      </c>
      <c r="X27" s="242">
        <v>1</v>
      </c>
    </row>
    <row r="28" spans="2:24" ht="12.6" thickBot="1">
      <c r="B28" s="5" t="s">
        <v>492</v>
      </c>
      <c r="C28" s="422">
        <v>427079</v>
      </c>
      <c r="D28" s="416">
        <v>406668.51981151011</v>
      </c>
      <c r="E28" s="416">
        <v>380478.00730200345</v>
      </c>
      <c r="F28" s="416">
        <v>351488.53797673294</v>
      </c>
      <c r="G28" s="416">
        <v>319873.50895980559</v>
      </c>
      <c r="H28" s="233">
        <f t="shared" si="3"/>
        <v>-7.6906045933380462E-2</v>
      </c>
      <c r="I28" s="208"/>
      <c r="J28" s="249" t="s">
        <v>1073</v>
      </c>
      <c r="K28" s="249"/>
      <c r="L28" s="249"/>
      <c r="M28" s="249"/>
      <c r="N28" s="220"/>
      <c r="O28" s="220"/>
      <c r="P28" s="220"/>
      <c r="Q28" s="5"/>
      <c r="R28" s="5"/>
      <c r="S28" s="26"/>
      <c r="T28" s="26"/>
      <c r="U28" s="26"/>
      <c r="V28" s="113" t="s">
        <v>381</v>
      </c>
      <c r="W28" s="242">
        <f t="shared" si="5"/>
        <v>0.33763078671459712</v>
      </c>
      <c r="X28" s="242">
        <v>1</v>
      </c>
    </row>
    <row r="29" spans="2:24" ht="12.6" thickTop="1">
      <c r="B29" s="5" t="s">
        <v>489</v>
      </c>
      <c r="C29" s="422">
        <v>17826.48544545722</v>
      </c>
      <c r="D29" s="416">
        <v>32973.857840183671</v>
      </c>
      <c r="E29" s="416">
        <v>42724.288801486116</v>
      </c>
      <c r="F29" s="416">
        <v>46521.456492767786</v>
      </c>
      <c r="G29" s="416">
        <v>51048.745324309843</v>
      </c>
      <c r="H29" s="233">
        <f t="shared" si="3"/>
        <v>0.15683593415676556</v>
      </c>
      <c r="I29" s="212"/>
      <c r="J29" s="209"/>
      <c r="K29" s="209"/>
      <c r="L29" s="209"/>
      <c r="M29" s="209"/>
      <c r="N29" s="209"/>
      <c r="O29" s="211"/>
      <c r="Q29" s="5"/>
      <c r="R29" s="5"/>
      <c r="S29" s="26"/>
      <c r="T29" s="26"/>
      <c r="U29" s="26"/>
      <c r="V29" s="113" t="s">
        <v>434</v>
      </c>
      <c r="W29" s="242">
        <f t="shared" si="5"/>
        <v>0.5268656426555588</v>
      </c>
      <c r="X29" s="242">
        <v>1</v>
      </c>
    </row>
    <row r="30" spans="2:24">
      <c r="B30" s="5" t="s">
        <v>490</v>
      </c>
      <c r="C30" s="422">
        <v>33098</v>
      </c>
      <c r="D30" s="416">
        <v>35104.677827398154</v>
      </c>
      <c r="E30" s="416">
        <v>37015.931732911413</v>
      </c>
      <c r="F30" s="416">
        <v>39510.048760358404</v>
      </c>
      <c r="G30" s="416">
        <v>42458.751739804611</v>
      </c>
      <c r="H30" s="233">
        <f t="shared" si="3"/>
        <v>6.5452460811789459E-2</v>
      </c>
      <c r="I30" s="214"/>
      <c r="J30" s="208"/>
      <c r="K30" s="208"/>
      <c r="L30" s="208"/>
      <c r="M30" s="208"/>
      <c r="N30" s="208"/>
      <c r="O30" s="5"/>
      <c r="Q30" s="5"/>
      <c r="R30" s="5"/>
      <c r="S30" s="26"/>
      <c r="T30" s="26"/>
      <c r="U30" s="26"/>
      <c r="V30" s="113" t="s">
        <v>493</v>
      </c>
      <c r="W30" s="242">
        <f t="shared" si="5"/>
        <v>0.39332835048482051</v>
      </c>
      <c r="X30" s="242">
        <v>1</v>
      </c>
    </row>
    <row r="31" spans="2:24">
      <c r="B31" s="5" t="s">
        <v>491</v>
      </c>
      <c r="C31" s="422">
        <v>23791.82</v>
      </c>
      <c r="D31" s="416">
        <v>25289.275773150137</v>
      </c>
      <c r="E31" s="416">
        <v>27733.923581565956</v>
      </c>
      <c r="F31" s="416">
        <v>29454.841930344297</v>
      </c>
      <c r="G31" s="416">
        <v>31460.75747988233</v>
      </c>
      <c r="H31" s="233">
        <f t="shared" si="3"/>
        <v>7.5501269927015002E-2</v>
      </c>
      <c r="I31" s="214"/>
      <c r="J31" s="212"/>
      <c r="K31" s="212"/>
      <c r="L31" s="212"/>
      <c r="M31" s="212"/>
      <c r="N31" s="212"/>
      <c r="O31" s="5"/>
      <c r="Q31" s="5"/>
      <c r="R31" s="5"/>
      <c r="S31" s="26"/>
      <c r="T31" s="26"/>
      <c r="U31" s="26"/>
      <c r="V31" s="113" t="s">
        <v>390</v>
      </c>
      <c r="W31" s="242">
        <f t="shared" si="5"/>
        <v>0.37650961122663967</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R32" s="5"/>
      <c r="S32" s="26"/>
      <c r="T32" s="26"/>
      <c r="U32" s="26"/>
      <c r="V32" s="113" t="s">
        <v>437</v>
      </c>
      <c r="W32" s="242">
        <f t="shared" si="5"/>
        <v>0.92316780969295476</v>
      </c>
      <c r="X32" s="242">
        <v>1</v>
      </c>
    </row>
    <row r="33" spans="2:24">
      <c r="B33" s="5" t="s">
        <v>3</v>
      </c>
      <c r="C33" s="422">
        <v>-228</v>
      </c>
      <c r="D33" s="416">
        <v>-261.14003407312748</v>
      </c>
      <c r="E33" s="416">
        <v>139.56773516595081</v>
      </c>
      <c r="F33" s="416">
        <v>47.494144562851943</v>
      </c>
      <c r="G33" s="416">
        <v>46.459184798216029</v>
      </c>
      <c r="H33" s="233">
        <f>IF(D33=0,"nm",IF(G33=0,"nm",(G33/D33)^(1/3)-1))</f>
        <v>-1.5624268465933502</v>
      </c>
      <c r="I33" s="5"/>
      <c r="J33" s="214"/>
      <c r="K33" s="214"/>
      <c r="L33" s="214"/>
      <c r="M33" s="214"/>
      <c r="N33" s="214"/>
      <c r="O33" s="211"/>
      <c r="Q33" s="5"/>
      <c r="R33" s="5"/>
      <c r="S33" s="26"/>
      <c r="T33" s="26"/>
      <c r="U33" s="26"/>
      <c r="V33" s="113" t="s">
        <v>481</v>
      </c>
      <c r="W33" s="242">
        <f t="shared" si="5"/>
        <v>1.2299976002644788</v>
      </c>
      <c r="X33" s="242">
        <v>1</v>
      </c>
    </row>
    <row r="34" spans="2:24">
      <c r="B34" s="5"/>
      <c r="C34" s="207"/>
      <c r="D34" s="13"/>
      <c r="E34" s="13"/>
      <c r="F34" s="13"/>
      <c r="G34" s="13"/>
      <c r="H34" s="231"/>
      <c r="I34" s="33"/>
      <c r="J34" s="214"/>
      <c r="K34" s="214"/>
      <c r="L34" s="214"/>
      <c r="M34" s="214"/>
      <c r="N34" s="214"/>
      <c r="O34" s="211"/>
      <c r="Q34" s="5"/>
      <c r="R34" s="5"/>
      <c r="S34" s="26"/>
      <c r="T34" s="26"/>
      <c r="U34" s="26"/>
      <c r="V34" s="113" t="s">
        <v>482</v>
      </c>
      <c r="W34" s="242">
        <f>D47/L19</f>
        <v>2.6559746954189989</v>
      </c>
      <c r="X34" s="242">
        <v>1</v>
      </c>
    </row>
    <row r="35" spans="2:24" ht="12.6" thickBot="1">
      <c r="B35" s="249" t="s">
        <v>244</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R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0.42676347316893359</v>
      </c>
      <c r="E37" s="406">
        <f>E$18/E23</f>
        <v>0.37608346270116477</v>
      </c>
      <c r="F37" s="406">
        <f t="shared" ref="E37:G41" si="7">F$18/F23</f>
        <v>0.38593266153807909</v>
      </c>
      <c r="G37" s="406">
        <f t="shared" si="7"/>
        <v>0.32647380905253959</v>
      </c>
      <c r="H37" s="13">
        <f t="shared" ref="H37:H45" si="8">H23</f>
        <v>2.3274149289574719E-2</v>
      </c>
      <c r="I37" s="5"/>
      <c r="J37" s="217"/>
      <c r="K37" s="217"/>
      <c r="L37" s="217"/>
      <c r="M37" s="217"/>
      <c r="N37" s="217"/>
      <c r="O37" s="14"/>
      <c r="Q37" s="5"/>
      <c r="R37" s="5"/>
      <c r="S37" s="26"/>
      <c r="T37" s="26"/>
      <c r="U37" s="26"/>
      <c r="V37" s="26"/>
      <c r="W37" s="26"/>
      <c r="X37" s="26"/>
    </row>
    <row r="38" spans="2:24">
      <c r="B38" s="5" t="s">
        <v>158</v>
      </c>
      <c r="C38" s="207"/>
      <c r="D38" s="406">
        <f>D$18/D24</f>
        <v>1.549230967086028</v>
      </c>
      <c r="E38" s="406">
        <f>E$18/E24</f>
        <v>1.3543096357762674</v>
      </c>
      <c r="F38" s="406">
        <f t="shared" si="7"/>
        <v>1.3817998340658835</v>
      </c>
      <c r="G38" s="406">
        <f t="shared" si="7"/>
        <v>1.1550197320916988</v>
      </c>
      <c r="H38" s="13">
        <f t="shared" si="8"/>
        <v>3.2098847625984472E-2</v>
      </c>
      <c r="I38" s="217"/>
      <c r="J38" s="13"/>
      <c r="K38" s="13"/>
      <c r="L38" s="13"/>
      <c r="M38" s="13"/>
      <c r="N38" s="13"/>
      <c r="O38" s="5"/>
      <c r="Q38" s="5"/>
      <c r="R38" s="5"/>
      <c r="S38" s="26"/>
      <c r="T38" s="26"/>
      <c r="U38" s="26"/>
      <c r="V38" s="26"/>
      <c r="W38" s="26"/>
      <c r="X38" s="26"/>
    </row>
    <row r="39" spans="2:24">
      <c r="B39" s="5" t="s">
        <v>159</v>
      </c>
      <c r="C39" s="207"/>
      <c r="D39" s="406">
        <f>D$18/D25</f>
        <v>3.5230515083103966</v>
      </c>
      <c r="E39" s="406">
        <f t="shared" si="7"/>
        <v>2.8416018045882736</v>
      </c>
      <c r="F39" s="406">
        <f t="shared" si="7"/>
        <v>2.753683599244813</v>
      </c>
      <c r="G39" s="406">
        <f t="shared" si="7"/>
        <v>2.2045652739531119</v>
      </c>
      <c r="H39" s="13">
        <f t="shared" si="8"/>
        <v>9.4152141692996238E-2</v>
      </c>
      <c r="I39" s="13"/>
      <c r="J39" s="5"/>
      <c r="K39" s="5"/>
      <c r="L39" s="5"/>
      <c r="M39" s="5"/>
      <c r="N39" s="5"/>
      <c r="O39" s="5"/>
      <c r="Q39" s="5"/>
      <c r="R39" s="5"/>
      <c r="S39" s="26"/>
      <c r="T39" s="26"/>
      <c r="U39" s="26"/>
      <c r="V39" s="26"/>
      <c r="W39" s="26"/>
      <c r="X39" s="26"/>
    </row>
    <row r="40" spans="2:24">
      <c r="B40" s="5" t="s">
        <v>381</v>
      </c>
      <c r="C40" s="207"/>
      <c r="D40" s="406">
        <f>D$18/D26</f>
        <v>4.5056596878988948</v>
      </c>
      <c r="E40" s="406">
        <f t="shared" si="7"/>
        <v>3.6341480304199143</v>
      </c>
      <c r="F40" s="406">
        <f t="shared" si="7"/>
        <v>3.5217087110645111</v>
      </c>
      <c r="G40" s="406">
        <f t="shared" si="7"/>
        <v>2.8194367470250383</v>
      </c>
      <c r="H40" s="13">
        <f t="shared" si="8"/>
        <v>9.4152141692996238E-2</v>
      </c>
      <c r="I40" s="5"/>
      <c r="J40" s="217"/>
      <c r="K40" s="217"/>
      <c r="L40" s="217"/>
      <c r="M40" s="217"/>
      <c r="N40" s="217"/>
      <c r="O40" s="14"/>
      <c r="Q40" s="5"/>
      <c r="R40" s="5"/>
      <c r="S40" s="26"/>
      <c r="T40" s="26"/>
      <c r="U40" s="26"/>
      <c r="V40" s="26"/>
      <c r="W40" s="242"/>
      <c r="X40" s="242"/>
    </row>
    <row r="41" spans="2:24">
      <c r="B41" s="5" t="s">
        <v>434</v>
      </c>
      <c r="C41" s="207"/>
      <c r="D41" s="406">
        <f>D$18/D27</f>
        <v>0.55368141798732284</v>
      </c>
      <c r="E41" s="406">
        <f t="shared" si="7"/>
        <v>0.51317572561355729</v>
      </c>
      <c r="F41" s="406">
        <f t="shared" si="7"/>
        <v>0.51092567713310488</v>
      </c>
      <c r="G41" s="406">
        <f t="shared" si="7"/>
        <v>0.46010978888041559</v>
      </c>
      <c r="H41" s="13">
        <f t="shared" si="8"/>
        <v>-4.5673920669913048E-3</v>
      </c>
      <c r="I41" s="207"/>
      <c r="J41" s="13"/>
      <c r="K41" s="13"/>
      <c r="L41" s="13"/>
      <c r="M41" s="13"/>
      <c r="N41" s="13"/>
      <c r="O41" s="5"/>
      <c r="Q41" s="5"/>
      <c r="R41" s="5"/>
      <c r="S41" s="26"/>
      <c r="T41" s="26"/>
      <c r="U41" s="26"/>
      <c r="V41" s="26"/>
      <c r="W41" s="242"/>
      <c r="X41" s="242"/>
    </row>
    <row r="42" spans="2:24">
      <c r="B42" s="5" t="s">
        <v>493</v>
      </c>
      <c r="C42" s="207"/>
      <c r="D42" s="406">
        <f>D18/D28</f>
        <v>0.56212718904354608</v>
      </c>
      <c r="E42" s="406">
        <f>E18/E28</f>
        <v>0.5428064042988443</v>
      </c>
      <c r="F42" s="406">
        <f>F18/F28</f>
        <v>0.61647644644310462</v>
      </c>
      <c r="G42" s="406">
        <f>G18/G28</f>
        <v>0.58577925323528712</v>
      </c>
      <c r="H42" s="13">
        <f t="shared" si="8"/>
        <v>-7.6906045933380462E-2</v>
      </c>
      <c r="I42" s="208"/>
      <c r="J42" s="5"/>
      <c r="K42" s="5"/>
      <c r="L42" s="5"/>
      <c r="M42" s="5"/>
      <c r="N42" s="5"/>
      <c r="O42" s="5"/>
      <c r="Q42" s="5"/>
      <c r="R42" s="5"/>
      <c r="S42" s="26"/>
      <c r="T42" s="26"/>
      <c r="U42" s="26"/>
      <c r="V42" s="26"/>
      <c r="W42" s="242"/>
      <c r="X42" s="242"/>
    </row>
    <row r="43" spans="2:24">
      <c r="B43" s="5" t="s">
        <v>390</v>
      </c>
      <c r="C43" s="207"/>
      <c r="D43" s="406">
        <f>L26/D29</f>
        <v>12.12755730288875</v>
      </c>
      <c r="E43" s="406">
        <f>M26/E29</f>
        <v>9.3598363289835529</v>
      </c>
      <c r="F43" s="406">
        <f>N26/F29</f>
        <v>8.5958691021701377</v>
      </c>
      <c r="G43" s="406">
        <f>O26/G29</f>
        <v>7.8335392557376489</v>
      </c>
      <c r="H43" s="13">
        <f t="shared" si="8"/>
        <v>0.15683593415676556</v>
      </c>
      <c r="I43" s="207"/>
      <c r="J43" s="207"/>
      <c r="K43" s="207"/>
      <c r="L43" s="207"/>
      <c r="M43" s="207"/>
      <c r="N43" s="207"/>
      <c r="O43" s="14"/>
      <c r="Q43" s="5"/>
      <c r="R43" s="5"/>
      <c r="S43" s="26"/>
      <c r="T43" s="26"/>
      <c r="U43" s="26"/>
      <c r="V43" s="26"/>
      <c r="W43" s="242"/>
      <c r="X43" s="242"/>
    </row>
    <row r="44" spans="2:24">
      <c r="B44" s="5" t="s">
        <v>437</v>
      </c>
      <c r="C44" s="53"/>
      <c r="D44" s="406">
        <f>D11/D30</f>
        <v>11.391426305642687</v>
      </c>
      <c r="E44" s="406">
        <f>E11/E30</f>
        <v>10.803249620718981</v>
      </c>
      <c r="F44" s="406">
        <f>F11/F30</f>
        <v>10.12128212950622</v>
      </c>
      <c r="G44" s="406">
        <f>G11/G30</f>
        <v>9.4183727516237905</v>
      </c>
      <c r="H44" s="13">
        <f t="shared" si="8"/>
        <v>6.5452460811789459E-2</v>
      </c>
      <c r="I44" s="207"/>
      <c r="J44" s="208"/>
      <c r="K44" s="208"/>
      <c r="L44" s="208"/>
      <c r="M44" s="208"/>
      <c r="N44" s="208"/>
      <c r="O44" s="208"/>
      <c r="Q44" s="5"/>
      <c r="R44" s="5"/>
      <c r="S44" s="26"/>
      <c r="T44" s="26"/>
      <c r="U44" s="26"/>
      <c r="V44" s="26"/>
      <c r="W44" s="255"/>
      <c r="X44" s="255"/>
    </row>
    <row r="45" spans="2:24">
      <c r="B45" s="5" t="s">
        <v>481</v>
      </c>
      <c r="C45" s="207"/>
      <c r="D45" s="208">
        <f>D31/D11</f>
        <v>6.3240208882291815E-2</v>
      </c>
      <c r="E45" s="208">
        <f>E31/E11</f>
        <v>6.9353473628765649E-2</v>
      </c>
      <c r="F45" s="208">
        <f>F31/F11</f>
        <v>7.3656927662892557E-2</v>
      </c>
      <c r="G45" s="208">
        <f>G31/G11</f>
        <v>7.8673066499407016E-2</v>
      </c>
      <c r="H45" s="13">
        <f t="shared" si="8"/>
        <v>7.5501269927015002E-2</v>
      </c>
      <c r="I45" s="208"/>
      <c r="J45" s="207"/>
      <c r="K45" s="207"/>
      <c r="L45" s="207"/>
      <c r="M45" s="207"/>
      <c r="N45" s="207"/>
      <c r="O45" s="208"/>
      <c r="Q45" s="5"/>
      <c r="R45" s="5"/>
      <c r="S45" s="26"/>
      <c r="T45" s="26"/>
      <c r="U45" s="26"/>
      <c r="V45" s="26"/>
      <c r="W45" s="26"/>
      <c r="X45" s="26"/>
    </row>
    <row r="46" spans="2:24">
      <c r="B46" s="5" t="s">
        <v>505</v>
      </c>
      <c r="C46" s="207"/>
      <c r="D46" s="208">
        <f>(D31+D32)/D11</f>
        <v>6.3240208882291815E-2</v>
      </c>
      <c r="E46" s="208">
        <f>(E31+E32)/E11</f>
        <v>6.9353473628765649E-2</v>
      </c>
      <c r="F46" s="208">
        <f>(F31+F32)/F11</f>
        <v>7.3656927662892557E-2</v>
      </c>
      <c r="G46" s="208">
        <f>(G31+G32)/G11</f>
        <v>7.8673066499407016E-2</v>
      </c>
      <c r="H46" s="233">
        <f>((G31+G32)/(D31+D32))^(1/3)-1</f>
        <v>7.5501269927015002E-2</v>
      </c>
      <c r="I46" s="207"/>
      <c r="J46" s="207"/>
      <c r="K46" s="207"/>
      <c r="L46" s="207"/>
      <c r="M46" s="207"/>
      <c r="N46" s="207"/>
      <c r="O46" s="14"/>
      <c r="Q46" s="5"/>
      <c r="R46" s="5"/>
      <c r="S46" s="26"/>
      <c r="T46" s="26"/>
      <c r="U46" s="26"/>
      <c r="V46" s="26"/>
      <c r="W46" s="26"/>
      <c r="X46" s="26"/>
    </row>
    <row r="47" spans="2:24">
      <c r="B47" s="5" t="s">
        <v>482</v>
      </c>
      <c r="C47" s="5"/>
      <c r="D47" s="208">
        <f>1/D43</f>
        <v>8.2456835702751349E-2</v>
      </c>
      <c r="E47" s="208">
        <f>1/E43</f>
        <v>0.10683947505614093</v>
      </c>
      <c r="F47" s="208">
        <f>1/F43</f>
        <v>0.11633494974318968</v>
      </c>
      <c r="G47" s="208">
        <f>1/G43</f>
        <v>0.12765621864568477</v>
      </c>
      <c r="H47" s="13">
        <f>H29</f>
        <v>0.15683593415676556</v>
      </c>
      <c r="I47" s="13"/>
      <c r="J47" s="208"/>
      <c r="K47" s="208"/>
      <c r="L47" s="208"/>
      <c r="M47" s="208"/>
      <c r="N47" s="208"/>
      <c r="O47" s="208"/>
      <c r="Q47" s="5"/>
      <c r="R47" s="5"/>
      <c r="S47" s="26"/>
      <c r="T47" s="26"/>
      <c r="U47" s="26"/>
      <c r="V47" s="26"/>
      <c r="W47" s="26"/>
      <c r="X47" s="26"/>
    </row>
    <row r="48" spans="2:24">
      <c r="B48" s="5" t="s">
        <v>518</v>
      </c>
      <c r="C48" s="5"/>
      <c r="D48" s="248">
        <f>D31/D29</f>
        <v>0.76694925706664807</v>
      </c>
      <c r="E48" s="248">
        <f>E31/E29</f>
        <v>0.64913716201172345</v>
      </c>
      <c r="F48" s="248">
        <f>F31/F29</f>
        <v>0.63314530865823904</v>
      </c>
      <c r="G48" s="248">
        <f>G31/G29</f>
        <v>0.61628855479236333</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43"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9">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489" customFormat="1">
      <c r="T2" s="64"/>
      <c r="U2" s="64"/>
      <c r="V2" s="64"/>
      <c r="W2" s="64"/>
      <c r="X2" s="64"/>
      <c r="Y2" s="64"/>
      <c r="Z2" s="64"/>
      <c r="AA2" s="64"/>
    </row>
    <row r="3" spans="2:27" s="489" customFormat="1">
      <c r="T3" s="64"/>
      <c r="U3" s="64"/>
      <c r="V3" s="64"/>
      <c r="W3" s="64"/>
      <c r="X3" s="64"/>
      <c r="Y3" s="64"/>
      <c r="Z3" s="64"/>
      <c r="AA3" s="64"/>
    </row>
    <row r="4" spans="2:27" s="122" customFormat="1" ht="21">
      <c r="B4" s="100" t="s">
        <v>246</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64</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451</v>
      </c>
      <c r="C9" s="241">
        <f>Prices!C70</f>
        <v>7.26</v>
      </c>
      <c r="D9" s="412">
        <v>0</v>
      </c>
      <c r="E9" s="413">
        <v>0</v>
      </c>
      <c r="F9" s="413">
        <v>0</v>
      </c>
      <c r="G9" s="413">
        <v>0</v>
      </c>
      <c r="H9" s="209"/>
      <c r="I9" s="209"/>
      <c r="J9" s="5" t="s">
        <v>225</v>
      </c>
      <c r="L9" s="406">
        <f>'AGG ASIA INCUMB'!D37</f>
        <v>1.1353891943134662</v>
      </c>
      <c r="M9" s="406">
        <f>'AGG ASIA INCUMB'!E37</f>
        <v>1.0420024027378185</v>
      </c>
      <c r="N9" s="406">
        <f>'AGG ASIA INCUMB'!F37</f>
        <v>0.97362964111173989</v>
      </c>
      <c r="O9" s="406">
        <f>'AGG ASIA INCUMB'!G37</f>
        <v>0.87129606684247685</v>
      </c>
      <c r="P9" s="240">
        <f>'AGG ASIA INCUMB'!H37</f>
        <v>3.1397168133001196E-2</v>
      </c>
    </row>
    <row r="10" spans="2:27">
      <c r="B10" s="5" t="s">
        <v>226</v>
      </c>
      <c r="C10" s="5"/>
      <c r="D10" s="408">
        <v>30598</v>
      </c>
      <c r="E10" s="408">
        <v>30598</v>
      </c>
      <c r="F10" s="408">
        <v>30598</v>
      </c>
      <c r="G10" s="408">
        <v>30598</v>
      </c>
      <c r="H10" s="207"/>
      <c r="I10" s="207"/>
      <c r="J10" s="5" t="s">
        <v>158</v>
      </c>
      <c r="L10" s="406">
        <f>'AGG ASIA INCUMB'!D38</f>
        <v>4.3103578846804975</v>
      </c>
      <c r="M10" s="406">
        <f>'AGG ASIA INCUMB'!E38</f>
        <v>3.9128368380348117</v>
      </c>
      <c r="N10" s="406">
        <f>'AGG ASIA INCUMB'!F38</f>
        <v>3.6397486062260676</v>
      </c>
      <c r="O10" s="406">
        <f>'AGG ASIA INCUMB'!G38</f>
        <v>3.2391229175829546</v>
      </c>
      <c r="P10" s="240">
        <f>'AGG ASIA INCUMB'!H38</f>
        <v>3.8631685739933808E-2</v>
      </c>
    </row>
    <row r="11" spans="2:27">
      <c r="B11" s="25" t="s">
        <v>351</v>
      </c>
      <c r="C11" s="5"/>
      <c r="D11" s="409">
        <f>($C$9/(Prices!$C$147/Prices!$C$155))*D10</f>
        <v>193767.40104011804</v>
      </c>
      <c r="E11" s="409">
        <f>($C$9/(Prices!$C$147/Prices!$C$155))*E10</f>
        <v>193767.40104011804</v>
      </c>
      <c r="F11" s="409">
        <f>($C$9/(Prices!$C$147/Prices!$C$155))*F10</f>
        <v>193767.40104011804</v>
      </c>
      <c r="G11" s="409">
        <f>($C$9/(Prices!$C$147/Prices!$C$155))*G10</f>
        <v>193767.40104011804</v>
      </c>
      <c r="H11" s="209"/>
      <c r="I11" s="209"/>
      <c r="J11" s="5" t="s">
        <v>159</v>
      </c>
      <c r="L11" s="406">
        <f>'AGG ASIA INCUMB'!D39</f>
        <v>10.190705463747499</v>
      </c>
      <c r="M11" s="406">
        <f>'AGG ASIA INCUMB'!E39</f>
        <v>8.5583839118103686</v>
      </c>
      <c r="N11" s="406">
        <f>'AGG ASIA INCUMB'!F39</f>
        <v>7.5238379752898625</v>
      </c>
      <c r="O11" s="406">
        <f>'AGG ASIA INCUMB'!G39</f>
        <v>6.4065644587599344</v>
      </c>
      <c r="P11" s="240">
        <f>'AGG ASIA INCUMB'!H39</f>
        <v>0.10228174933351819</v>
      </c>
    </row>
    <row r="12" spans="2:27">
      <c r="B12" s="5" t="s">
        <v>22</v>
      </c>
      <c r="C12" s="209"/>
      <c r="D12" s="410">
        <v>-8447.8873404490369</v>
      </c>
      <c r="E12" s="410">
        <v>-28215.369449259502</v>
      </c>
      <c r="F12" s="410">
        <v>-24010.021319419102</v>
      </c>
      <c r="G12" s="410">
        <v>-44656.142458716684</v>
      </c>
      <c r="H12" s="207"/>
      <c r="I12" s="207"/>
      <c r="J12" s="5" t="s">
        <v>381</v>
      </c>
      <c r="L12" s="406">
        <f>'AGG ASIA INCUMB'!D40</f>
        <v>13.344931401968319</v>
      </c>
      <c r="M12" s="406">
        <f>'AGG ASIA INCUMB'!E40</f>
        <v>11.238034837553611</v>
      </c>
      <c r="N12" s="406">
        <f>'AGG ASIA INCUMB'!F40</f>
        <v>9.8913843223038338</v>
      </c>
      <c r="O12" s="406">
        <f>'AGG ASIA INCUMB'!G40</f>
        <v>8.4309901634846316</v>
      </c>
      <c r="P12" s="240">
        <f>'AGG ASIA INCUMB'!H40</f>
        <v>0.10047163927760949</v>
      </c>
    </row>
    <row r="13" spans="2:27">
      <c r="B13" s="5" t="s">
        <v>433</v>
      </c>
      <c r="C13" s="216"/>
      <c r="D13" s="410">
        <v>0</v>
      </c>
      <c r="E13" s="410">
        <v>0</v>
      </c>
      <c r="F13" s="410">
        <v>0</v>
      </c>
      <c r="G13" s="410">
        <v>0</v>
      </c>
      <c r="H13" s="207"/>
      <c r="I13" s="207"/>
      <c r="J13" s="5" t="s">
        <v>434</v>
      </c>
      <c r="L13" s="406">
        <f>'AGG ASIA INCUMB'!D41</f>
        <v>1.0508968001720602</v>
      </c>
      <c r="M13" s="406">
        <f>'AGG ASIA INCUMB'!E41</f>
        <v>0.99070013170896654</v>
      </c>
      <c r="N13" s="406">
        <f>'AGG ASIA INCUMB'!F41</f>
        <v>0.92777684089070633</v>
      </c>
      <c r="O13" s="406">
        <f>'AGG ASIA INCUMB'!G41</f>
        <v>0.85951313303026078</v>
      </c>
      <c r="P13" s="240">
        <f>'AGG ASIA INCUMB'!H41</f>
        <v>9.7226952143947276E-3</v>
      </c>
    </row>
    <row r="14" spans="2:27">
      <c r="B14" s="5" t="s">
        <v>436</v>
      </c>
      <c r="C14" s="216"/>
      <c r="D14" s="410">
        <v>57574.224605313582</v>
      </c>
      <c r="E14" s="410">
        <v>57574.224605313582</v>
      </c>
      <c r="F14" s="410">
        <v>57574.224605313582</v>
      </c>
      <c r="G14" s="410">
        <v>57574.224605313582</v>
      </c>
      <c r="H14" s="207"/>
      <c r="I14" s="207"/>
      <c r="J14" s="5" t="s">
        <v>493</v>
      </c>
      <c r="L14" s="406">
        <f>'AGG ASIA INCUMB'!D42</f>
        <v>1.4291550262030754</v>
      </c>
      <c r="M14" s="406">
        <f>'AGG ASIA INCUMB'!E42</f>
        <v>1.3849407655473556</v>
      </c>
      <c r="N14" s="406">
        <f>'AGG ASIA INCUMB'!F42</f>
        <v>1.3767574546734138</v>
      </c>
      <c r="O14" s="406">
        <f>'AGG ASIA INCUMB'!G42</f>
        <v>1.3160442661234328</v>
      </c>
      <c r="P14" s="240">
        <f>'AGG ASIA INCUMB'!H42</f>
        <v>-2.9409845683782243E-2</v>
      </c>
    </row>
    <row r="15" spans="2:27">
      <c r="B15" s="5" t="s">
        <v>435</v>
      </c>
      <c r="C15" s="228"/>
      <c r="D15" s="410">
        <v>0</v>
      </c>
      <c r="E15" s="410">
        <f t="shared" ref="E15:G15" si="2">D15</f>
        <v>0</v>
      </c>
      <c r="F15" s="410">
        <f t="shared" si="2"/>
        <v>0</v>
      </c>
      <c r="G15" s="410">
        <f t="shared" si="2"/>
        <v>0</v>
      </c>
      <c r="H15" s="207"/>
      <c r="I15" s="207"/>
      <c r="J15" s="5" t="s">
        <v>390</v>
      </c>
      <c r="L15" s="406">
        <f>'AGG ASIA INCUMB'!D43</f>
        <v>32.210485313716404</v>
      </c>
      <c r="M15" s="406">
        <f>'AGG ASIA INCUMB'!E43</f>
        <v>25.503088693758627</v>
      </c>
      <c r="N15" s="406">
        <f>'AGG ASIA INCUMB'!F43</f>
        <v>21.809224253297693</v>
      </c>
      <c r="O15" s="406">
        <f>'AGG ASIA INCUMB'!G43</f>
        <v>18.855968911926709</v>
      </c>
      <c r="P15" s="240">
        <f>'AGG ASIA INCUMB'!H43</f>
        <v>0.16659624694751662</v>
      </c>
    </row>
    <row r="16" spans="2:27">
      <c r="B16" s="5" t="s">
        <v>438</v>
      </c>
      <c r="C16" s="216"/>
      <c r="D16" s="410">
        <v>29070.686826483481</v>
      </c>
      <c r="E16" s="410">
        <v>29070.686826483481</v>
      </c>
      <c r="F16" s="410">
        <v>29070.686826483481</v>
      </c>
      <c r="G16" s="410">
        <v>29070.686826483481</v>
      </c>
      <c r="H16" s="207"/>
      <c r="I16" s="207"/>
      <c r="J16" s="5" t="s">
        <v>437</v>
      </c>
      <c r="L16" s="406">
        <f>'AGG ASIA INCUMB'!D44</f>
        <v>12.339496878071898</v>
      </c>
      <c r="M16" s="406">
        <f>'AGG ASIA INCUMB'!E44</f>
        <v>11.047105057261978</v>
      </c>
      <c r="N16" s="406">
        <f>'AGG ASIA INCUMB'!F44</f>
        <v>10.00172451501094</v>
      </c>
      <c r="O16" s="406">
        <f>'AGG ASIA INCUMB'!G44</f>
        <v>9.0964327955584316</v>
      </c>
      <c r="P16" s="240">
        <f>'AGG ASIA INCUMB'!H44</f>
        <v>9.6923248619408264E-2</v>
      </c>
    </row>
    <row r="17" spans="2:24">
      <c r="B17" s="5" t="s">
        <v>4</v>
      </c>
      <c r="C17" s="216"/>
      <c r="D17" s="410">
        <v>0</v>
      </c>
      <c r="E17" s="410">
        <v>0</v>
      </c>
      <c r="F17" s="410">
        <v>0</v>
      </c>
      <c r="G17" s="410">
        <v>0</v>
      </c>
      <c r="H17" s="207"/>
      <c r="I17" s="207"/>
      <c r="J17" s="5" t="s">
        <v>481</v>
      </c>
      <c r="L17" s="208">
        <f>'AGG ASIA INCUMB'!D45</f>
        <v>5.1414904280051979E-2</v>
      </c>
      <c r="M17" s="208">
        <f>'AGG ASIA INCUMB'!E45</f>
        <v>5.6854140225317415E-2</v>
      </c>
      <c r="N17" s="208">
        <f>'AGG ASIA INCUMB'!F45</f>
        <v>6.1823755137670577E-2</v>
      </c>
      <c r="O17" s="208">
        <f>'AGG ASIA INCUMB'!G45</f>
        <v>6.6884920782751739E-2</v>
      </c>
      <c r="P17" s="240">
        <f>'AGG ASIA INCUMB'!H45</f>
        <v>8.1717503762207988E-2</v>
      </c>
      <c r="S17" s="72"/>
      <c r="T17" s="26"/>
      <c r="U17" s="26"/>
      <c r="V17" s="26"/>
      <c r="W17" s="26"/>
      <c r="X17" s="26"/>
    </row>
    <row r="18" spans="2:24" ht="12.6" thickBot="1">
      <c r="B18" s="25" t="s">
        <v>484</v>
      </c>
      <c r="C18" s="209"/>
      <c r="D18" s="411">
        <f>D11+D12+D13-D14+D15-D16-D17</f>
        <v>98674.602267871946</v>
      </c>
      <c r="E18" s="411">
        <f>E11+E12+E13-E14+E15-E16-E17</f>
        <v>78907.120159061466</v>
      </c>
      <c r="F18" s="411">
        <f>F11+F12+F13-F14+F15-F16-F17</f>
        <v>83112.468288901859</v>
      </c>
      <c r="G18" s="411">
        <f>G11+G12+G13-G14+G15-G16-G17</f>
        <v>62466.347149604306</v>
      </c>
      <c r="H18" s="230">
        <f>IF(D18=0,"nm",IF(G18=0,"nm",(G18/D18)^(1/3)-1))</f>
        <v>-0.14135513844200831</v>
      </c>
      <c r="I18" s="214"/>
      <c r="J18" s="5" t="s">
        <v>33</v>
      </c>
      <c r="L18" s="208">
        <f>'AGG ASIA INCUMB'!D46</f>
        <v>5.8529095772616578E-2</v>
      </c>
      <c r="M18" s="208">
        <f>'AGG ASIA INCUMB'!E46</f>
        <v>7.0436799652068588E-2</v>
      </c>
      <c r="N18" s="208">
        <f>'AGG ASIA INCUMB'!F46</f>
        <v>-5.36316297625479E-2</v>
      </c>
      <c r="O18" s="208">
        <f>'AGG ASIA INCUMB'!G46</f>
        <v>7.4325003833795672E-2</v>
      </c>
      <c r="P18" s="240">
        <f>'AGG ASIA INCUMB'!H46</f>
        <v>7.305464127290251E-2</v>
      </c>
      <c r="S18" s="72"/>
      <c r="T18" s="26"/>
      <c r="U18" s="26"/>
      <c r="V18" s="26"/>
      <c r="W18" s="26"/>
      <c r="X18" s="26"/>
    </row>
    <row r="19" spans="2:24" ht="12.6" thickTop="1">
      <c r="B19" s="25"/>
      <c r="C19" s="209"/>
      <c r="D19" s="189"/>
      <c r="E19" s="189"/>
      <c r="F19" s="189"/>
      <c r="G19" s="189"/>
      <c r="H19" s="230"/>
      <c r="I19" s="214"/>
      <c r="J19" s="5" t="s">
        <v>482</v>
      </c>
      <c r="L19" s="208">
        <f>'AGG ASIA INCUMB'!D47</f>
        <v>3.1045791153421813E-2</v>
      </c>
      <c r="M19" s="208">
        <f>'AGG ASIA INCUMB'!E47</f>
        <v>3.9210936840161248E-2</v>
      </c>
      <c r="N19" s="208">
        <f>'AGG ASIA INCUMB'!F47</f>
        <v>4.5852158168752551E-2</v>
      </c>
      <c r="O19" s="208">
        <f>'AGG ASIA INCUMB'!G47</f>
        <v>5.3033604619886897E-2</v>
      </c>
      <c r="P19" s="240">
        <f>'AGG ASIA INCUMB'!H47</f>
        <v>0.16659624694751662</v>
      </c>
      <c r="S19" s="72"/>
      <c r="T19" s="26"/>
      <c r="U19" s="26"/>
      <c r="V19" s="26"/>
      <c r="W19" s="26"/>
      <c r="X19" s="26"/>
    </row>
    <row r="20" spans="2:24">
      <c r="H20" s="231"/>
      <c r="I20" s="13"/>
      <c r="J20" s="5" t="s">
        <v>504</v>
      </c>
      <c r="L20" s="248">
        <f>'AGG ASIA INCUMB'!D48</f>
        <v>0.84851530587757729</v>
      </c>
      <c r="M20" s="248">
        <f>'AGG ASIA INCUMB'!E48</f>
        <v>0.74595605814417199</v>
      </c>
      <c r="N20" s="248">
        <f>'AGG ASIA INCUMB'!F48</f>
        <v>0.70506562361833436</v>
      </c>
      <c r="O20" s="248">
        <f>'AGG ASIA INCUMB'!G48</f>
        <v>0.67645596035498334</v>
      </c>
      <c r="P20" s="240" t="str">
        <f>'AGG ASIA INCUMB'!H48</f>
        <v>nm</v>
      </c>
      <c r="S20" s="72"/>
      <c r="T20" s="26"/>
      <c r="U20" s="26"/>
      <c r="V20" s="26"/>
      <c r="W20" s="26"/>
      <c r="X20" s="26"/>
    </row>
    <row r="21" spans="2:24" ht="12.6" thickBot="1">
      <c r="B21" s="249" t="s">
        <v>764</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389589</v>
      </c>
      <c r="D23" s="416">
        <v>396948.49695303373</v>
      </c>
      <c r="E23" s="416">
        <v>407896.70102273999</v>
      </c>
      <c r="F23" s="416">
        <v>420744.57353544637</v>
      </c>
      <c r="G23" s="416">
        <v>434636.50580077089</v>
      </c>
      <c r="H23" s="233">
        <f t="shared" ref="H23:H32" si="4">IF(D23=0,"nm",IF(G23=0,"nm",(G23/D23)^(1/3)-1))</f>
        <v>3.0696211174188859E-2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99424</v>
      </c>
      <c r="D24" s="416">
        <v>98401.486529110232</v>
      </c>
      <c r="E24" s="416">
        <v>99175.536250850651</v>
      </c>
      <c r="F24" s="416">
        <v>101175.36165796506</v>
      </c>
      <c r="G24" s="416">
        <v>103827.85303535522</v>
      </c>
      <c r="H24" s="233">
        <f t="shared" si="4"/>
        <v>1.8053820733962223E-2</v>
      </c>
      <c r="I24" s="209"/>
      <c r="J24" s="13"/>
      <c r="K24" s="13"/>
      <c r="L24" s="13"/>
      <c r="M24" s="13"/>
      <c r="N24" s="13"/>
      <c r="O24" s="208"/>
      <c r="S24" s="72"/>
      <c r="T24" s="26"/>
      <c r="U24" s="26"/>
      <c r="V24" s="26"/>
      <c r="W24" s="26" t="s">
        <v>247</v>
      </c>
      <c r="X24" s="26" t="s">
        <v>211</v>
      </c>
    </row>
    <row r="25" spans="2:24">
      <c r="B25" s="5" t="s">
        <v>157</v>
      </c>
      <c r="C25" s="422">
        <v>38054</v>
      </c>
      <c r="D25" s="416">
        <v>41959.626315796195</v>
      </c>
      <c r="E25" s="416">
        <v>45825.947981823178</v>
      </c>
      <c r="F25" s="416">
        <v>49184.323561652971</v>
      </c>
      <c r="G25" s="416">
        <v>53205.028596906246</v>
      </c>
      <c r="H25" s="233">
        <f t="shared" si="4"/>
        <v>8.2364874161363621E-2</v>
      </c>
      <c r="I25" s="208"/>
      <c r="J25" s="207" t="s">
        <v>8</v>
      </c>
      <c r="K25" s="207"/>
      <c r="L25" s="252">
        <v>0</v>
      </c>
      <c r="M25" s="252">
        <v>0</v>
      </c>
      <c r="N25" s="252">
        <v>0</v>
      </c>
      <c r="O25" s="252">
        <v>0</v>
      </c>
      <c r="P25" s="233" t="str">
        <f>IF(L25=0,"nm",IF(O25=0,"nm",(O25/L25)^(1/3)-1))</f>
        <v>nm</v>
      </c>
      <c r="S25" s="72"/>
      <c r="T25" s="26"/>
      <c r="U25" s="26"/>
      <c r="V25" s="113" t="s">
        <v>225</v>
      </c>
      <c r="W25" s="242">
        <f>D37/L9</f>
        <v>0.21894068173839346</v>
      </c>
      <c r="X25" s="242">
        <v>1</v>
      </c>
    </row>
    <row r="26" spans="2:24">
      <c r="B26" s="5" t="s">
        <v>487</v>
      </c>
      <c r="C26" s="422">
        <v>31241.259573120024</v>
      </c>
      <c r="D26" s="416">
        <v>34447.668505883921</v>
      </c>
      <c r="E26" s="416">
        <v>37621.809430925357</v>
      </c>
      <c r="F26" s="416">
        <v>40378.940960685439</v>
      </c>
      <c r="G26" s="416">
        <v>43679.826272960054</v>
      </c>
      <c r="H26" s="233">
        <f t="shared" si="4"/>
        <v>8.2364874161363621E-2</v>
      </c>
      <c r="I26" s="209"/>
      <c r="J26" s="209" t="s">
        <v>9</v>
      </c>
      <c r="K26" s="209"/>
      <c r="L26" s="235">
        <f>D11+L25</f>
        <v>193767.40104011804</v>
      </c>
      <c r="M26" s="235">
        <f>E11+M25</f>
        <v>193767.40104011804</v>
      </c>
      <c r="N26" s="235">
        <f>F11+N25</f>
        <v>193767.40104011804</v>
      </c>
      <c r="O26" s="235">
        <f>G11+O25</f>
        <v>193767.40104011804</v>
      </c>
      <c r="P26" s="233">
        <f>IF(L26=0,"nm",IF(O26=0,"nm",(O26/L26)^(1/3)-1))</f>
        <v>0</v>
      </c>
      <c r="Q26" s="5"/>
      <c r="S26" s="72"/>
      <c r="T26" s="26"/>
      <c r="U26" s="26"/>
      <c r="V26" s="113" t="s">
        <v>158</v>
      </c>
      <c r="W26" s="242">
        <f t="shared" ref="W26:W33" si="6">D38/L10</f>
        <v>0.23264321695536025</v>
      </c>
      <c r="X26" s="242">
        <v>1</v>
      </c>
    </row>
    <row r="27" spans="2:24">
      <c r="B27" s="5" t="s">
        <v>488</v>
      </c>
      <c r="C27" s="422">
        <v>374855</v>
      </c>
      <c r="D27" s="416">
        <v>362828.28452090221</v>
      </c>
      <c r="E27" s="416">
        <v>350442.79661808547</v>
      </c>
      <c r="F27" s="416">
        <v>363017.18885627814</v>
      </c>
      <c r="G27" s="416">
        <v>350314.00635501638</v>
      </c>
      <c r="H27" s="233">
        <f t="shared" si="4"/>
        <v>-1.1631743291973473E-2</v>
      </c>
      <c r="I27" s="209"/>
      <c r="J27" s="208"/>
      <c r="K27" s="208"/>
      <c r="L27" s="208"/>
      <c r="M27" s="208"/>
      <c r="N27" s="208"/>
      <c r="O27" s="208"/>
      <c r="Q27" s="25"/>
      <c r="S27" s="72"/>
      <c r="T27" s="26"/>
      <c r="U27" s="26"/>
      <c r="V27" s="113" t="s">
        <v>159</v>
      </c>
      <c r="W27" s="242">
        <f t="shared" si="6"/>
        <v>0.23076477835471498</v>
      </c>
      <c r="X27" s="242">
        <v>1</v>
      </c>
    </row>
    <row r="28" spans="2:24" ht="12.6" thickBot="1">
      <c r="B28" s="5" t="s">
        <v>492</v>
      </c>
      <c r="C28" s="422">
        <v>351530</v>
      </c>
      <c r="D28" s="416">
        <v>327119.96021331404</v>
      </c>
      <c r="E28" s="416">
        <v>300717.70218233555</v>
      </c>
      <c r="F28" s="416">
        <v>274261.71618115064</v>
      </c>
      <c r="G28" s="416">
        <v>247615.33921802253</v>
      </c>
      <c r="H28" s="233">
        <f t="shared" si="4"/>
        <v>-8.8639573183960096E-2</v>
      </c>
      <c r="I28" s="208"/>
      <c r="J28" s="249" t="s">
        <v>1073</v>
      </c>
      <c r="K28" s="249"/>
      <c r="L28" s="249"/>
      <c r="M28" s="249"/>
      <c r="N28" s="220"/>
      <c r="O28" s="220"/>
      <c r="P28" s="220"/>
      <c r="Q28" s="5"/>
      <c r="S28" s="72"/>
      <c r="T28" s="26"/>
      <c r="U28" s="26"/>
      <c r="V28" s="113" t="s">
        <v>381</v>
      </c>
      <c r="W28" s="242">
        <f t="shared" si="6"/>
        <v>0.21464916610544937</v>
      </c>
      <c r="X28" s="242">
        <v>1</v>
      </c>
    </row>
    <row r="29" spans="2:24" ht="12.6" thickTop="1">
      <c r="B29" s="5" t="s">
        <v>489</v>
      </c>
      <c r="C29" s="422">
        <v>31822.051981094854</v>
      </c>
      <c r="D29" s="416">
        <v>33680.068119332886</v>
      </c>
      <c r="E29" s="416">
        <v>36383.00519348299</v>
      </c>
      <c r="F29" s="416">
        <v>39734.954125907308</v>
      </c>
      <c r="G29" s="416">
        <v>43277.40537164783</v>
      </c>
      <c r="H29" s="233">
        <f t="shared" si="4"/>
        <v>8.7166558037907738E-2</v>
      </c>
      <c r="I29" s="212"/>
      <c r="J29" s="209"/>
      <c r="K29" s="209"/>
      <c r="L29" s="209"/>
      <c r="M29" s="209"/>
      <c r="N29" s="209"/>
      <c r="O29" s="211"/>
      <c r="Q29" s="5"/>
      <c r="S29" s="72"/>
      <c r="T29" s="26"/>
      <c r="U29" s="26"/>
      <c r="V29" s="113" t="s">
        <v>434</v>
      </c>
      <c r="W29" s="242">
        <f t="shared" si="6"/>
        <v>0.25878802694198294</v>
      </c>
      <c r="X29" s="242">
        <v>1</v>
      </c>
    </row>
    <row r="30" spans="2:24">
      <c r="B30" s="5" t="s">
        <v>490</v>
      </c>
      <c r="C30" s="422">
        <v>19396.140814952676</v>
      </c>
      <c r="D30" s="416">
        <v>20380.73576524344</v>
      </c>
      <c r="E30" s="416">
        <v>22797.732231470211</v>
      </c>
      <c r="F30" s="416">
        <v>25958.24029090146</v>
      </c>
      <c r="G30" s="416">
        <v>29570.826201924505</v>
      </c>
      <c r="H30" s="233">
        <f t="shared" si="4"/>
        <v>0.13209064106328583</v>
      </c>
      <c r="I30" s="214"/>
      <c r="J30" s="208"/>
      <c r="K30" s="208"/>
      <c r="L30" s="208"/>
      <c r="M30" s="208"/>
      <c r="N30" s="208"/>
      <c r="O30" s="5"/>
      <c r="Q30" s="5"/>
      <c r="S30" s="72"/>
      <c r="T30" s="26"/>
      <c r="U30" s="26"/>
      <c r="V30" s="113" t="s">
        <v>493</v>
      </c>
      <c r="W30" s="242">
        <f t="shared" si="6"/>
        <v>0.21106634946886202</v>
      </c>
      <c r="X30" s="242">
        <v>1</v>
      </c>
    </row>
    <row r="31" spans="2:24">
      <c r="B31" s="5" t="s">
        <v>491</v>
      </c>
      <c r="C31" s="422">
        <v>12370.7714</v>
      </c>
      <c r="D31" s="416">
        <v>14077.302141203032</v>
      </c>
      <c r="E31" s="416">
        <v>16896.751888089413</v>
      </c>
      <c r="F31" s="416">
        <v>19156.024495994308</v>
      </c>
      <c r="G31" s="416">
        <v>23286.532980352073</v>
      </c>
      <c r="H31" s="233">
        <f t="shared" si="4"/>
        <v>0.18266515260997163</v>
      </c>
      <c r="I31" s="214"/>
      <c r="J31" s="212"/>
      <c r="K31" s="212"/>
      <c r="L31" s="212"/>
      <c r="M31" s="212"/>
      <c r="N31" s="212"/>
      <c r="O31" s="5"/>
      <c r="Q31" s="5"/>
      <c r="S31" s="72"/>
      <c r="T31" s="26"/>
      <c r="U31" s="26"/>
      <c r="V31" s="113" t="s">
        <v>390</v>
      </c>
      <c r="W31" s="242">
        <f t="shared" si="6"/>
        <v>0.17861193877989068</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0.77048360760702972</v>
      </c>
      <c r="X32" s="242">
        <v>1</v>
      </c>
    </row>
    <row r="33" spans="2:24">
      <c r="B33" s="5" t="s">
        <v>3</v>
      </c>
      <c r="C33" s="422">
        <v>-277.57805553082108</v>
      </c>
      <c r="D33" s="416">
        <v>-1230.2991188440774</v>
      </c>
      <c r="E33" s="416">
        <v>-1744.5728446354169</v>
      </c>
      <c r="F33" s="416">
        <v>-2279.226118611467</v>
      </c>
      <c r="G33" s="416">
        <v>-3290.6129177499038</v>
      </c>
      <c r="H33" s="233">
        <f>IF(D33=0,"nm",IF(G33=0,"nm",(G33/D33)^(1/3)-1))</f>
        <v>0.38810407266651303</v>
      </c>
      <c r="I33" s="5"/>
      <c r="J33" s="214"/>
      <c r="K33" s="214"/>
      <c r="L33" s="214"/>
      <c r="M33" s="214"/>
      <c r="N33" s="214"/>
      <c r="O33" s="211"/>
      <c r="Q33" s="5"/>
      <c r="S33" s="72"/>
      <c r="T33" s="26"/>
      <c r="U33" s="26"/>
      <c r="V33" s="113" t="s">
        <v>481</v>
      </c>
      <c r="W33" s="242">
        <f t="shared" si="6"/>
        <v>1.4130244809643677</v>
      </c>
      <c r="X33" s="242">
        <v>1</v>
      </c>
    </row>
    <row r="34" spans="2:24">
      <c r="B34" s="5"/>
      <c r="C34" s="207"/>
      <c r="D34" s="13"/>
      <c r="E34" s="13"/>
      <c r="F34" s="13"/>
      <c r="G34" s="13"/>
      <c r="H34" s="231"/>
      <c r="I34" s="33"/>
      <c r="J34" s="214"/>
      <c r="K34" s="214"/>
      <c r="L34" s="214"/>
      <c r="M34" s="214"/>
      <c r="N34" s="214"/>
      <c r="O34" s="211"/>
      <c r="Q34" s="5"/>
      <c r="S34" s="72"/>
      <c r="T34" s="26"/>
      <c r="U34" s="26"/>
      <c r="V34" s="113" t="s">
        <v>482</v>
      </c>
      <c r="W34" s="242">
        <f>D47/L19</f>
        <v>5.5987298879966394</v>
      </c>
      <c r="X34" s="242">
        <v>1</v>
      </c>
    </row>
    <row r="35" spans="2:24" ht="12.6" thickBot="1">
      <c r="B35" s="249" t="s">
        <v>429</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0.24858288424139557</v>
      </c>
      <c r="E37" s="406">
        <f t="shared" ref="E37:G41" si="8">E$18/E23</f>
        <v>0.19344878240302915</v>
      </c>
      <c r="F37" s="406">
        <f t="shared" si="8"/>
        <v>0.1975366374675297</v>
      </c>
      <c r="G37" s="406">
        <f t="shared" si="8"/>
        <v>0.14372089393300455</v>
      </c>
      <c r="H37" s="13">
        <f t="shared" ref="H37:H45" si="9">H23</f>
        <v>3.0696211174188859E-2</v>
      </c>
      <c r="I37" s="5"/>
      <c r="J37" s="217"/>
      <c r="K37" s="217"/>
      <c r="L37" s="217"/>
      <c r="M37" s="217"/>
      <c r="N37" s="217"/>
      <c r="O37" s="14"/>
      <c r="Q37" s="5"/>
      <c r="R37" s="5"/>
      <c r="S37" s="26"/>
      <c r="T37" s="26"/>
      <c r="U37" s="26"/>
      <c r="V37" s="26"/>
      <c r="W37" s="26"/>
      <c r="X37" s="26"/>
    </row>
    <row r="38" spans="2:24">
      <c r="B38" s="5" t="s">
        <v>158</v>
      </c>
      <c r="C38" s="207"/>
      <c r="D38" s="406">
        <f>D$18/D24</f>
        <v>1.0027755245209726</v>
      </c>
      <c r="E38" s="406">
        <f t="shared" si="8"/>
        <v>0.79563088985449937</v>
      </c>
      <c r="F38" s="406">
        <f t="shared" si="8"/>
        <v>0.82146944598896632</v>
      </c>
      <c r="G38" s="406">
        <f t="shared" si="8"/>
        <v>0.60163381331147636</v>
      </c>
      <c r="H38" s="13">
        <f t="shared" si="9"/>
        <v>1.8053820733962223E-2</v>
      </c>
      <c r="I38" s="217"/>
      <c r="J38" s="13"/>
      <c r="K38" s="13"/>
      <c r="L38" s="13"/>
      <c r="M38" s="13"/>
      <c r="N38" s="13"/>
      <c r="O38" s="5"/>
      <c r="Q38" s="5"/>
      <c r="R38" s="5"/>
      <c r="S38" s="26"/>
      <c r="T38" s="26"/>
      <c r="U38" s="26"/>
      <c r="V38" s="26"/>
      <c r="W38" s="26"/>
      <c r="X38" s="26"/>
    </row>
    <row r="39" spans="2:24">
      <c r="B39" s="5" t="s">
        <v>159</v>
      </c>
      <c r="C39" s="207"/>
      <c r="D39" s="406">
        <f>D$18/D25</f>
        <v>2.3516558876198745</v>
      </c>
      <c r="E39" s="406">
        <f t="shared" si="8"/>
        <v>1.7218873505979604</v>
      </c>
      <c r="F39" s="406">
        <f t="shared" si="8"/>
        <v>1.689816231481148</v>
      </c>
      <c r="G39" s="406">
        <f t="shared" si="8"/>
        <v>1.174068481813326</v>
      </c>
      <c r="H39" s="13">
        <f t="shared" si="9"/>
        <v>8.2364874161363621E-2</v>
      </c>
      <c r="I39" s="13"/>
      <c r="J39" s="5"/>
      <c r="K39" s="5"/>
      <c r="L39" s="5"/>
      <c r="M39" s="5"/>
      <c r="N39" s="5"/>
      <c r="O39" s="5"/>
      <c r="Q39" s="5"/>
      <c r="R39" s="5"/>
      <c r="S39" s="26"/>
      <c r="T39" s="26"/>
      <c r="U39" s="26"/>
      <c r="V39" s="26"/>
      <c r="W39" s="26"/>
      <c r="X39" s="26"/>
    </row>
    <row r="40" spans="2:24">
      <c r="B40" s="5" t="s">
        <v>381</v>
      </c>
      <c r="C40" s="207"/>
      <c r="D40" s="406">
        <f>D$18/D26</f>
        <v>2.8644783971669252</v>
      </c>
      <c r="E40" s="406">
        <f t="shared" si="8"/>
        <v>2.0973770627363639</v>
      </c>
      <c r="F40" s="406">
        <f t="shared" si="8"/>
        <v>2.0583122368123399</v>
      </c>
      <c r="G40" s="406">
        <f t="shared" si="8"/>
        <v>1.4300960530210265</v>
      </c>
      <c r="H40" s="13">
        <f t="shared" si="9"/>
        <v>8.2364874161363621E-2</v>
      </c>
      <c r="I40" s="5"/>
      <c r="J40" s="217"/>
      <c r="K40" s="217"/>
      <c r="L40" s="217"/>
      <c r="M40" s="217"/>
      <c r="N40" s="217"/>
      <c r="O40" s="14"/>
      <c r="Q40" s="5"/>
      <c r="R40" s="5"/>
      <c r="S40" s="26"/>
      <c r="T40" s="26"/>
      <c r="U40" s="26"/>
      <c r="V40" s="26"/>
      <c r="W40" s="242"/>
      <c r="X40" s="242"/>
    </row>
    <row r="41" spans="2:24">
      <c r="B41" s="5" t="s">
        <v>434</v>
      </c>
      <c r="C41" s="207"/>
      <c r="D41" s="406">
        <f>D$18/D27</f>
        <v>0.27195950943617075</v>
      </c>
      <c r="E41" s="406">
        <f t="shared" si="8"/>
        <v>0.22516405222349281</v>
      </c>
      <c r="F41" s="406">
        <f t="shared" si="8"/>
        <v>0.22894912648835164</v>
      </c>
      <c r="G41" s="406">
        <f t="shared" si="8"/>
        <v>0.17831530003484775</v>
      </c>
      <c r="H41" s="13">
        <f t="shared" si="9"/>
        <v>-1.1631743291973473E-2</v>
      </c>
      <c r="I41" s="207"/>
      <c r="J41" s="13"/>
      <c r="K41" s="13"/>
      <c r="L41" s="13"/>
      <c r="M41" s="13"/>
      <c r="N41" s="13"/>
      <c r="O41" s="5"/>
      <c r="Q41" s="5"/>
      <c r="R41" s="5"/>
      <c r="S41" s="26"/>
      <c r="T41" s="26"/>
      <c r="U41" s="26"/>
      <c r="V41" s="26"/>
      <c r="W41" s="242"/>
      <c r="X41" s="242"/>
    </row>
    <row r="42" spans="2:24">
      <c r="B42" s="5" t="s">
        <v>493</v>
      </c>
      <c r="C42" s="207"/>
      <c r="D42" s="406">
        <f>D18/D28</f>
        <v>0.30164653420575899</v>
      </c>
      <c r="E42" s="406">
        <f>E18/E28</f>
        <v>0.26239599327350988</v>
      </c>
      <c r="F42" s="406">
        <f>F18/F28</f>
        <v>0.30304072127225312</v>
      </c>
      <c r="G42" s="406">
        <f>G18/G28</f>
        <v>0.25227171849238056</v>
      </c>
      <c r="H42" s="13">
        <f t="shared" si="9"/>
        <v>-8.8639573183960096E-2</v>
      </c>
      <c r="I42" s="208"/>
      <c r="J42" s="5"/>
      <c r="K42" s="5"/>
      <c r="L42" s="5"/>
      <c r="M42" s="5"/>
      <c r="N42" s="5"/>
      <c r="O42" s="5"/>
      <c r="Q42" s="5"/>
      <c r="R42" s="5"/>
      <c r="S42" s="26"/>
      <c r="T42" s="26"/>
      <c r="U42" s="26"/>
      <c r="V42" s="26"/>
      <c r="W42" s="242"/>
      <c r="X42" s="242"/>
    </row>
    <row r="43" spans="2:24">
      <c r="B43" s="5" t="s">
        <v>390</v>
      </c>
      <c r="C43" s="207"/>
      <c r="D43" s="406">
        <f>L26/D29</f>
        <v>5.7531772309240825</v>
      </c>
      <c r="E43" s="406">
        <f>M26/E29</f>
        <v>5.325766797153582</v>
      </c>
      <c r="F43" s="406">
        <f>N26/F29</f>
        <v>4.8764974139930146</v>
      </c>
      <c r="G43" s="406">
        <f>O26/G29</f>
        <v>4.4773340586416062</v>
      </c>
      <c r="H43" s="13">
        <f t="shared" si="9"/>
        <v>8.7166558037907738E-2</v>
      </c>
      <c r="I43" s="207"/>
      <c r="J43" s="207"/>
      <c r="K43" s="207"/>
      <c r="L43" s="207"/>
      <c r="M43" s="207"/>
      <c r="N43" s="207"/>
      <c r="O43" s="14"/>
      <c r="Q43" s="5"/>
      <c r="R43" s="5"/>
      <c r="S43" s="26"/>
      <c r="T43" s="26"/>
      <c r="U43" s="26"/>
      <c r="V43" s="26"/>
      <c r="W43" s="242"/>
      <c r="X43" s="242"/>
    </row>
    <row r="44" spans="2:24">
      <c r="B44" s="5" t="s">
        <v>437</v>
      </c>
      <c r="C44" s="53"/>
      <c r="D44" s="406">
        <f>D11/D30</f>
        <v>9.5073800706725162</v>
      </c>
      <c r="E44" s="406">
        <f>E11/E30</f>
        <v>8.499415602953686</v>
      </c>
      <c r="F44" s="406">
        <f>F11/F30</f>
        <v>7.4645815305144101</v>
      </c>
      <c r="G44" s="406">
        <f>G11/G30</f>
        <v>6.5526542855778382</v>
      </c>
      <c r="H44" s="13">
        <f t="shared" si="9"/>
        <v>0.13209064106328583</v>
      </c>
      <c r="I44" s="207"/>
      <c r="J44" s="208"/>
      <c r="K44" s="208"/>
      <c r="L44" s="208"/>
      <c r="M44" s="208"/>
      <c r="N44" s="208"/>
      <c r="O44" s="208"/>
      <c r="Q44" s="5"/>
      <c r="R44" s="5"/>
      <c r="S44" s="26"/>
      <c r="T44" s="26"/>
      <c r="U44" s="26"/>
      <c r="V44" s="26"/>
      <c r="W44" s="255"/>
      <c r="X44" s="255"/>
    </row>
    <row r="45" spans="2:24">
      <c r="B45" s="5" t="s">
        <v>481</v>
      </c>
      <c r="C45" s="207"/>
      <c r="D45" s="208">
        <f>D31/D11</f>
        <v>7.26505184341531E-2</v>
      </c>
      <c r="E45" s="208">
        <f>E31/E11</f>
        <v>8.7201210303641696E-2</v>
      </c>
      <c r="F45" s="208">
        <f>F31/F11</f>
        <v>9.8860924970698247E-2</v>
      </c>
      <c r="G45" s="208">
        <f>G31/G11</f>
        <v>0.12017776393424803</v>
      </c>
      <c r="H45" s="13">
        <f t="shared" si="9"/>
        <v>0.18266515260997163</v>
      </c>
      <c r="I45" s="208"/>
      <c r="J45" s="207"/>
      <c r="K45" s="207"/>
      <c r="L45" s="207"/>
      <c r="M45" s="207"/>
      <c r="N45" s="207"/>
      <c r="O45" s="208"/>
      <c r="Q45" s="5"/>
      <c r="R45" s="5"/>
      <c r="S45" s="26"/>
      <c r="T45" s="26"/>
      <c r="U45" s="26"/>
      <c r="V45" s="26"/>
      <c r="W45" s="26"/>
      <c r="X45" s="26"/>
    </row>
    <row r="46" spans="2:24">
      <c r="B46" s="5" t="s">
        <v>505</v>
      </c>
      <c r="C46" s="207"/>
      <c r="D46" s="208">
        <f>(D31+D32)/D11</f>
        <v>7.26505184341531E-2</v>
      </c>
      <c r="E46" s="208">
        <f>(E31+E32)/E11</f>
        <v>8.7201210303641696E-2</v>
      </c>
      <c r="F46" s="208">
        <f>(F31+F32)/F11</f>
        <v>9.8860924970698247E-2</v>
      </c>
      <c r="G46" s="208">
        <f>(G31+G32)/G11</f>
        <v>0.12017776393424803</v>
      </c>
      <c r="H46" s="233">
        <f>((G31+G32)/(D31+D32))^(1/3)-1</f>
        <v>0.18266515260997163</v>
      </c>
      <c r="I46" s="207"/>
      <c r="J46" s="207"/>
      <c r="K46" s="207"/>
      <c r="L46" s="207"/>
      <c r="M46" s="207"/>
      <c r="N46" s="207"/>
      <c r="O46" s="14"/>
      <c r="Q46" s="5"/>
      <c r="R46" s="5"/>
      <c r="S46" s="26"/>
      <c r="T46" s="26"/>
      <c r="U46" s="26"/>
      <c r="V46" s="26"/>
      <c r="W46" s="26"/>
      <c r="X46" s="26"/>
    </row>
    <row r="47" spans="2:24">
      <c r="B47" s="5" t="s">
        <v>482</v>
      </c>
      <c r="C47" s="5"/>
      <c r="D47" s="208">
        <f>1/D43</f>
        <v>0.17381699882716437</v>
      </c>
      <c r="E47" s="208">
        <f>1/E43</f>
        <v>0.1877663889704036</v>
      </c>
      <c r="F47" s="208">
        <f>1/F43</f>
        <v>0.20506521691788854</v>
      </c>
      <c r="G47" s="208">
        <f>1/G43</f>
        <v>0.22334719431308045</v>
      </c>
      <c r="H47" s="13">
        <f>H29</f>
        <v>8.7166558037907738E-2</v>
      </c>
      <c r="I47" s="13"/>
      <c r="J47" s="208"/>
      <c r="K47" s="208"/>
      <c r="L47" s="208"/>
      <c r="M47" s="208"/>
      <c r="N47" s="208"/>
      <c r="O47" s="208"/>
      <c r="Q47" s="5"/>
      <c r="R47" s="5"/>
      <c r="S47" s="26"/>
      <c r="T47" s="26"/>
      <c r="U47" s="26"/>
      <c r="V47" s="26"/>
      <c r="W47" s="26"/>
      <c r="X47" s="26"/>
    </row>
    <row r="48" spans="2:24">
      <c r="B48" s="5" t="s">
        <v>518</v>
      </c>
      <c r="C48" s="5"/>
      <c r="D48" s="248">
        <f>D31/D29</f>
        <v>0.41797130847019992</v>
      </c>
      <c r="E48" s="248">
        <f>E31/E29</f>
        <v>0.46441331050674173</v>
      </c>
      <c r="F48" s="248">
        <f>F31/F29</f>
        <v>0.48209504496456745</v>
      </c>
      <c r="G48" s="248">
        <f>G31/G29</f>
        <v>0.5380759955541996</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4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1">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7" width="8.6640625" style="5" customWidth="1"/>
    <col min="28" max="28" width="8.6640625" style="23" customWidth="1"/>
    <col min="29" max="16384" width="9.109375" style="23"/>
  </cols>
  <sheetData>
    <row r="1" spans="2:27" s="489" customFormat="1">
      <c r="S1" s="64"/>
      <c r="T1" s="64"/>
      <c r="U1" s="64"/>
      <c r="V1" s="64"/>
      <c r="W1" s="64"/>
      <c r="X1" s="64"/>
      <c r="Y1" s="64"/>
      <c r="Z1" s="64"/>
      <c r="AA1" s="64"/>
    </row>
    <row r="2" spans="2:27" s="115" customFormat="1"/>
    <row r="3" spans="2:27" s="115" customFormat="1">
      <c r="H3" s="119"/>
      <c r="P3" s="119"/>
    </row>
    <row r="4" spans="2:27" s="122" customFormat="1" ht="21">
      <c r="B4" s="100" t="s">
        <v>142</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12</v>
      </c>
      <c r="C9" s="241">
        <f>Prices!$C$78</f>
        <v>2.97</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7">
      <c r="B10" s="5" t="s">
        <v>226</v>
      </c>
      <c r="C10" s="5"/>
      <c r="D10" s="408">
        <v>11731.508</v>
      </c>
      <c r="E10" s="408">
        <v>11731.508</v>
      </c>
      <c r="F10" s="408">
        <v>11731.508</v>
      </c>
      <c r="G10" s="408">
        <v>11731.508</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7">
      <c r="B11" s="25" t="s">
        <v>227</v>
      </c>
      <c r="C11" s="5"/>
      <c r="D11" s="409">
        <f>$C$9*D10</f>
        <v>34842.578760000004</v>
      </c>
      <c r="E11" s="409">
        <f>$C$9*E10</f>
        <v>34842.578760000004</v>
      </c>
      <c r="F11" s="409">
        <f>$C$9*F10</f>
        <v>34842.578760000004</v>
      </c>
      <c r="G11" s="409">
        <f>$C$9*G10</f>
        <v>34842.578760000004</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7">
      <c r="B12" s="5" t="s">
        <v>22</v>
      </c>
      <c r="C12" s="209"/>
      <c r="D12" s="410">
        <v>11904.478384084112</v>
      </c>
      <c r="E12" s="410">
        <v>10845.491914496501</v>
      </c>
      <c r="F12" s="410">
        <v>9508.46375401156</v>
      </c>
      <c r="G12" s="410">
        <v>8223.0604582242577</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7">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7">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7">
      <c r="B15" s="5" t="s">
        <v>435</v>
      </c>
      <c r="C15" s="228"/>
      <c r="D15" s="410">
        <v>0</v>
      </c>
      <c r="E15" s="410">
        <v>0</v>
      </c>
      <c r="F15" s="410">
        <v>0</v>
      </c>
      <c r="G15" s="410">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7">
      <c r="B16" s="5" t="s">
        <v>438</v>
      </c>
      <c r="C16" s="216"/>
      <c r="D16" s="410">
        <v>0</v>
      </c>
      <c r="E16" s="410">
        <v>1723.9818495057048</v>
      </c>
      <c r="F16" s="410">
        <v>3585.4223401787922</v>
      </c>
      <c r="G16" s="410">
        <v>5657.8492386068538</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46747.057144084116</v>
      </c>
      <c r="E18" s="411">
        <f>E11+E12+E13-E14+E15-E16-E17</f>
        <v>43964.088824990802</v>
      </c>
      <c r="F18" s="411">
        <f>F11+F12+F13-F14+F15-F16-F17</f>
        <v>40765.620173832773</v>
      </c>
      <c r="G18" s="411">
        <f>G11+G12+G13-G14+G15-G16-G17</f>
        <v>37407.78997961741</v>
      </c>
      <c r="H18" s="230">
        <f>IF(D18=0,"nm",IF(G18=0,"nm",(G18/D18)^(1/3)-1))</f>
        <v>-7.1598304202061369E-2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759</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12679.476000000001</v>
      </c>
      <c r="D23" s="416">
        <v>13043.943690413638</v>
      </c>
      <c r="E23" s="416">
        <v>13251.824957911447</v>
      </c>
      <c r="F23" s="416">
        <v>13506.383231964504</v>
      </c>
      <c r="G23" s="416">
        <v>13804.708713620856</v>
      </c>
      <c r="H23" s="233">
        <f t="shared" ref="H23:H32" si="3">IF(D23=0,"nm",IF(G23=0,"nm",(G23/D23)^(1/3)-1))</f>
        <v>1.9074913299414797E-2</v>
      </c>
      <c r="I23" s="207"/>
      <c r="J23" s="249" t="s">
        <v>7</v>
      </c>
      <c r="K23" s="249"/>
      <c r="L23" s="219" t="str">
        <f>D21</f>
        <v>2025E</v>
      </c>
      <c r="M23" s="219" t="str">
        <f t="shared" ref="M23:P23" si="4">E21</f>
        <v>2026E</v>
      </c>
      <c r="N23" s="219" t="str">
        <f t="shared" si="4"/>
        <v>2027E</v>
      </c>
      <c r="O23" s="219" t="str">
        <f t="shared" si="4"/>
        <v>2028E</v>
      </c>
      <c r="P23" s="219" t="str">
        <f t="shared" si="4"/>
        <v>2025-28</v>
      </c>
      <c r="S23" s="26"/>
      <c r="T23" s="26"/>
      <c r="U23" s="26"/>
      <c r="V23" s="26"/>
      <c r="W23" s="26"/>
      <c r="X23" s="26"/>
    </row>
    <row r="24" spans="2:24" ht="12.6" thickTop="1">
      <c r="B24" s="5" t="s">
        <v>397</v>
      </c>
      <c r="C24" s="423">
        <v>5799</v>
      </c>
      <c r="D24" s="416">
        <v>5913.541649428179</v>
      </c>
      <c r="E24" s="416">
        <v>6064.6011600507263</v>
      </c>
      <c r="F24" s="416">
        <v>6239.940731638143</v>
      </c>
      <c r="G24" s="416">
        <v>6443.1163908909502</v>
      </c>
      <c r="H24" s="233">
        <f t="shared" si="3"/>
        <v>2.90017315849318E-2</v>
      </c>
      <c r="I24" s="209"/>
      <c r="J24" s="13"/>
      <c r="K24" s="13"/>
      <c r="L24" s="13"/>
      <c r="M24" s="13"/>
      <c r="N24" s="13"/>
      <c r="O24" s="208"/>
      <c r="S24" s="26"/>
      <c r="T24" s="26"/>
      <c r="U24" s="26"/>
      <c r="V24" s="26"/>
      <c r="W24" s="26" t="s">
        <v>228</v>
      </c>
      <c r="X24" s="26" t="s">
        <v>209</v>
      </c>
    </row>
    <row r="25" spans="2:24">
      <c r="B25" s="5" t="s">
        <v>157</v>
      </c>
      <c r="C25" s="422">
        <v>3427</v>
      </c>
      <c r="D25" s="416">
        <v>3956.9500958661333</v>
      </c>
      <c r="E25" s="416">
        <v>4209.3456659431231</v>
      </c>
      <c r="F25" s="416">
        <v>4619.1747438024031</v>
      </c>
      <c r="G25" s="416">
        <v>4786.5513452564473</v>
      </c>
      <c r="H25" s="233">
        <f t="shared" si="3"/>
        <v>6.5501461177984721E-2</v>
      </c>
      <c r="I25" s="208"/>
      <c r="J25" s="207" t="s">
        <v>8</v>
      </c>
      <c r="K25" s="207"/>
      <c r="L25" s="252">
        <v>0</v>
      </c>
      <c r="M25" s="252">
        <v>0</v>
      </c>
      <c r="N25" s="252">
        <v>0</v>
      </c>
      <c r="O25" s="252">
        <v>0</v>
      </c>
      <c r="P25" s="233" t="str">
        <f>IF(L25=0,"nm",IF(O25=0,"nm",(O25/L25)^(1/3)-1))</f>
        <v>nm</v>
      </c>
      <c r="S25" s="26"/>
      <c r="T25" s="26"/>
      <c r="U25" s="26"/>
      <c r="V25" s="113" t="s">
        <v>225</v>
      </c>
      <c r="W25" s="242">
        <f>D37/L9</f>
        <v>1.7277257305882383</v>
      </c>
      <c r="X25" s="242">
        <v>1</v>
      </c>
    </row>
    <row r="26" spans="2:24">
      <c r="B26" s="5" t="s">
        <v>487</v>
      </c>
      <c r="C26" s="422">
        <v>2741.29396087123</v>
      </c>
      <c r="D26" s="416">
        <v>2967.7125718995999</v>
      </c>
      <c r="E26" s="416">
        <v>3157.0092494573423</v>
      </c>
      <c r="F26" s="416">
        <v>3464.3810578518023</v>
      </c>
      <c r="G26" s="416">
        <v>3589.9135089423353</v>
      </c>
      <c r="H26" s="233">
        <f t="shared" si="3"/>
        <v>6.5501461177984721E-2</v>
      </c>
      <c r="I26" s="209"/>
      <c r="J26" s="209" t="s">
        <v>9</v>
      </c>
      <c r="K26" s="209"/>
      <c r="L26" s="235">
        <f>D11+L25</f>
        <v>34842.578760000004</v>
      </c>
      <c r="M26" s="235">
        <f>E11+M25</f>
        <v>34842.578760000004</v>
      </c>
      <c r="N26" s="235">
        <f>F11+N25</f>
        <v>34842.578760000004</v>
      </c>
      <c r="O26" s="235">
        <f>G11+O25</f>
        <v>34842.578760000004</v>
      </c>
      <c r="P26" s="233">
        <f>IF(L26=0,"nm",IF(O26=0,"nm",(O26/L26)^(1/3)-1))</f>
        <v>0</v>
      </c>
      <c r="Q26" s="5"/>
      <c r="S26" s="26"/>
      <c r="T26" s="26"/>
      <c r="U26" s="26"/>
      <c r="V26" s="113" t="s">
        <v>158</v>
      </c>
      <c r="W26" s="242">
        <f t="shared" ref="W26:W33" si="5">D38/L10</f>
        <v>1.2726238714242104</v>
      </c>
      <c r="X26" s="242">
        <v>1</v>
      </c>
    </row>
    <row r="27" spans="2:24">
      <c r="B27" s="5" t="s">
        <v>488</v>
      </c>
      <c r="C27" s="423">
        <v>29001.362999999998</v>
      </c>
      <c r="D27" s="416">
        <v>28181.293115313241</v>
      </c>
      <c r="E27" s="416">
        <v>27213.04253254172</v>
      </c>
      <c r="F27" s="416">
        <v>25973.984924197466</v>
      </c>
      <c r="G27" s="416">
        <v>24797.656728327434</v>
      </c>
      <c r="H27" s="233">
        <f t="shared" si="3"/>
        <v>-4.1740259979659577E-2</v>
      </c>
      <c r="I27" s="209"/>
      <c r="J27" s="208"/>
      <c r="K27" s="208"/>
      <c r="L27" s="208"/>
      <c r="M27" s="208"/>
      <c r="N27" s="208"/>
      <c r="O27" s="208"/>
      <c r="Q27" s="25"/>
      <c r="S27" s="26"/>
      <c r="T27" s="26"/>
      <c r="U27" s="26"/>
      <c r="V27" s="113" t="s">
        <v>159</v>
      </c>
      <c r="W27" s="242">
        <f t="shared" si="5"/>
        <v>1.1421040716749458</v>
      </c>
      <c r="X27" s="242">
        <v>1</v>
      </c>
    </row>
    <row r="28" spans="2:24" ht="12.6" thickBot="1">
      <c r="B28" s="5" t="s">
        <v>492</v>
      </c>
      <c r="C28" s="422">
        <v>6594.2759999999998</v>
      </c>
      <c r="D28" s="416">
        <v>6836.3557935620456</v>
      </c>
      <c r="E28" s="416">
        <v>6914.1587813435162</v>
      </c>
      <c r="F28" s="416">
        <v>6737.2434860299427</v>
      </c>
      <c r="G28" s="416">
        <v>6642.1252252966597</v>
      </c>
      <c r="H28" s="233">
        <f t="shared" si="3"/>
        <v>-9.5616058892893374E-3</v>
      </c>
      <c r="I28" s="208"/>
      <c r="J28" s="249" t="s">
        <v>1073</v>
      </c>
      <c r="K28" s="249"/>
      <c r="L28" s="249"/>
      <c r="M28" s="249"/>
      <c r="N28" s="220"/>
      <c r="O28" s="220"/>
      <c r="P28" s="220"/>
      <c r="Q28" s="5"/>
      <c r="S28" s="26"/>
      <c r="T28" s="26"/>
      <c r="U28" s="26"/>
      <c r="V28" s="113" t="s">
        <v>381</v>
      </c>
      <c r="W28" s="242">
        <f t="shared" si="5"/>
        <v>1.1624979395699091</v>
      </c>
      <c r="X28" s="242">
        <v>1</v>
      </c>
    </row>
    <row r="29" spans="2:24" ht="12.6" thickTop="1">
      <c r="B29" s="5" t="s">
        <v>489</v>
      </c>
      <c r="C29" s="422">
        <v>2010.4930000000002</v>
      </c>
      <c r="D29" s="416">
        <v>2074.5676420141472</v>
      </c>
      <c r="E29" s="416">
        <v>2313.4686292917304</v>
      </c>
      <c r="F29" s="416">
        <v>2715.3000801831104</v>
      </c>
      <c r="G29" s="416">
        <v>2858.4495393395964</v>
      </c>
      <c r="H29" s="233">
        <f t="shared" si="3"/>
        <v>0.1127586443582671</v>
      </c>
      <c r="I29" s="212"/>
      <c r="J29" s="209"/>
      <c r="K29" s="209"/>
      <c r="L29" s="209"/>
      <c r="M29" s="209"/>
      <c r="N29" s="209"/>
      <c r="O29" s="211"/>
      <c r="Q29" s="5"/>
      <c r="S29" s="26"/>
      <c r="T29" s="26"/>
      <c r="U29" s="26"/>
      <c r="V29" s="113" t="s">
        <v>434</v>
      </c>
      <c r="W29" s="242">
        <f t="shared" si="5"/>
        <v>0.96025563037948991</v>
      </c>
      <c r="X29" s="242">
        <v>1</v>
      </c>
    </row>
    <row r="30" spans="2:24">
      <c r="B30" s="5" t="s">
        <v>490</v>
      </c>
      <c r="C30" s="423">
        <v>1740</v>
      </c>
      <c r="D30" s="416">
        <v>1752.7746245826256</v>
      </c>
      <c r="E30" s="416">
        <v>1814.7177363217945</v>
      </c>
      <c r="F30" s="416">
        <v>1959.4110428137762</v>
      </c>
      <c r="G30" s="416">
        <v>2181.5019983453276</v>
      </c>
      <c r="H30" s="233">
        <f t="shared" si="3"/>
        <v>7.5663699372075177E-2</v>
      </c>
      <c r="I30" s="214"/>
      <c r="J30" s="208"/>
      <c r="K30" s="208"/>
      <c r="L30" s="208"/>
      <c r="M30" s="208"/>
      <c r="N30" s="208"/>
      <c r="O30" s="5"/>
      <c r="Q30" s="5"/>
      <c r="S30" s="26"/>
      <c r="T30" s="26"/>
      <c r="U30" s="26"/>
      <c r="V30" s="113" t="s">
        <v>493</v>
      </c>
      <c r="W30" s="242">
        <f t="shared" si="5"/>
        <v>2.0967522425075558</v>
      </c>
      <c r="X30" s="242">
        <v>1</v>
      </c>
    </row>
    <row r="31" spans="2:24">
      <c r="B31" s="5" t="s">
        <v>491</v>
      </c>
      <c r="C31" s="423">
        <v>1677.6056440000002</v>
      </c>
      <c r="D31" s="416">
        <v>1665.1358933534943</v>
      </c>
      <c r="E31" s="416">
        <v>1723.9818495057048</v>
      </c>
      <c r="F31" s="416">
        <v>1861.4404906730874</v>
      </c>
      <c r="G31" s="416">
        <v>2072.4268984280611</v>
      </c>
      <c r="H31" s="233">
        <f t="shared" si="3"/>
        <v>7.5663699372075177E-2</v>
      </c>
      <c r="I31" s="214"/>
      <c r="J31" s="212"/>
      <c r="K31" s="212"/>
      <c r="L31" s="212"/>
      <c r="M31" s="212"/>
      <c r="N31" s="212"/>
      <c r="O31" s="5"/>
      <c r="Q31" s="5"/>
      <c r="S31" s="26"/>
      <c r="T31" s="26"/>
      <c r="U31" s="26"/>
      <c r="V31" s="113" t="s">
        <v>390</v>
      </c>
      <c r="W31" s="242">
        <f t="shared" si="5"/>
        <v>1.0438646708428747</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26"/>
      <c r="T32" s="26"/>
      <c r="U32" s="26"/>
      <c r="V32" s="113" t="s">
        <v>437</v>
      </c>
      <c r="W32" s="242">
        <f t="shared" si="5"/>
        <v>1.1520169587368578</v>
      </c>
      <c r="X32" s="242">
        <v>1</v>
      </c>
    </row>
    <row r="33" spans="2:24">
      <c r="B33" s="5" t="s">
        <v>3</v>
      </c>
      <c r="C33" s="423">
        <v>597.27499999999998</v>
      </c>
      <c r="D33" s="416">
        <v>601.71165094597461</v>
      </c>
      <c r="E33" s="416">
        <v>559.29281754222563</v>
      </c>
      <c r="F33" s="416">
        <v>509.69078794242057</v>
      </c>
      <c r="G33" s="416">
        <v>447.07018489719098</v>
      </c>
      <c r="H33" s="233">
        <f>IF(D33=0,"nm",IF(G33=0,"nm",(G33/D33)^(1/3)-1))</f>
        <v>-9.4276236877942843E-2</v>
      </c>
      <c r="I33" s="5"/>
      <c r="J33" s="214"/>
      <c r="K33" s="214"/>
      <c r="L33" s="214"/>
      <c r="M33" s="214"/>
      <c r="N33" s="214"/>
      <c r="O33" s="211"/>
      <c r="Q33" s="5"/>
      <c r="S33" s="26"/>
      <c r="T33" s="26"/>
      <c r="U33" s="26"/>
      <c r="V33" s="113" t="s">
        <v>481</v>
      </c>
      <c r="W33" s="242">
        <f t="shared" si="5"/>
        <v>1.1201479093766429</v>
      </c>
      <c r="X33" s="242">
        <v>1</v>
      </c>
    </row>
    <row r="34" spans="2:24">
      <c r="D34" s="5"/>
      <c r="E34" s="5"/>
      <c r="F34" s="5"/>
      <c r="G34" s="5"/>
      <c r="I34" s="33"/>
      <c r="J34" s="214"/>
      <c r="K34" s="214"/>
      <c r="L34" s="214"/>
      <c r="M34" s="214"/>
      <c r="N34" s="214"/>
      <c r="O34" s="211"/>
      <c r="Q34" s="5"/>
      <c r="S34" s="26"/>
      <c r="T34" s="26"/>
      <c r="U34" s="26"/>
      <c r="V34" s="113" t="s">
        <v>482</v>
      </c>
      <c r="W34" s="242">
        <f>D47/L19</f>
        <v>0.95797858470729158</v>
      </c>
      <c r="X34" s="242">
        <v>1</v>
      </c>
    </row>
    <row r="35" spans="2:24" ht="12.6" thickBot="1">
      <c r="B35" s="249" t="s">
        <v>149</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3.5838131667526167</v>
      </c>
      <c r="E37" s="406">
        <f>E$18/E23</f>
        <v>3.3175874994291923</v>
      </c>
      <c r="F37" s="406">
        <f>F$18/F23</f>
        <v>3.0182484439917237</v>
      </c>
      <c r="G37" s="406">
        <f>G$18/G23</f>
        <v>2.7097848100704813</v>
      </c>
      <c r="H37" s="13">
        <f t="shared" ref="H37:H45" si="7">H23</f>
        <v>1.9074913299414797E-2</v>
      </c>
      <c r="I37" s="5"/>
      <c r="J37" s="217"/>
      <c r="K37" s="217"/>
      <c r="L37" s="217"/>
      <c r="M37" s="217"/>
      <c r="N37" s="217"/>
      <c r="O37" s="14"/>
      <c r="Q37" s="5"/>
      <c r="R37" s="5"/>
      <c r="S37" s="26"/>
      <c r="T37" s="26"/>
      <c r="U37" s="26"/>
      <c r="V37" s="26"/>
      <c r="W37" s="26"/>
      <c r="X37" s="26"/>
    </row>
    <row r="38" spans="2:24">
      <c r="B38" s="5" t="s">
        <v>158</v>
      </c>
      <c r="C38" s="207"/>
      <c r="D38" s="406">
        <f>D$18/D24</f>
        <v>7.9050863112808907</v>
      </c>
      <c r="E38" s="406">
        <f>E$18/E24</f>
        <v>7.2492959824950916</v>
      </c>
      <c r="F38" s="406">
        <f t="shared" ref="E38:G41" si="8">F$18/F24</f>
        <v>6.5330140023831218</v>
      </c>
      <c r="G38" s="406">
        <f>G$18/G24</f>
        <v>5.8058535202783572</v>
      </c>
      <c r="H38" s="13">
        <f t="shared" si="7"/>
        <v>2.90017315849318E-2</v>
      </c>
      <c r="I38" s="217"/>
      <c r="J38" s="13"/>
      <c r="K38" s="13"/>
      <c r="L38" s="13"/>
      <c r="M38" s="13"/>
      <c r="N38" s="13"/>
      <c r="O38" s="5"/>
      <c r="Q38" s="5"/>
      <c r="R38" s="5"/>
      <c r="S38" s="26"/>
      <c r="T38" s="26"/>
      <c r="U38" s="26"/>
      <c r="V38" s="26"/>
      <c r="W38" s="26"/>
      <c r="X38" s="26"/>
    </row>
    <row r="39" spans="2:24">
      <c r="B39" s="5" t="s">
        <v>159</v>
      </c>
      <c r="C39" s="207"/>
      <c r="D39" s="406">
        <f>D$18/D25</f>
        <v>11.813911222413759</v>
      </c>
      <c r="E39" s="406">
        <f t="shared" si="8"/>
        <v>10.444399750938594</v>
      </c>
      <c r="F39" s="406">
        <f t="shared" si="8"/>
        <v>8.8253037468496824</v>
      </c>
      <c r="G39" s="406">
        <f t="shared" si="8"/>
        <v>7.8151861917639636</v>
      </c>
      <c r="H39" s="13">
        <f t="shared" si="7"/>
        <v>6.5501461177984721E-2</v>
      </c>
      <c r="I39" s="13"/>
      <c r="J39" s="5"/>
      <c r="K39" s="5"/>
      <c r="L39" s="5"/>
      <c r="M39" s="5"/>
      <c r="N39" s="5"/>
      <c r="O39" s="5"/>
      <c r="Q39" s="5"/>
      <c r="R39" s="5"/>
      <c r="S39" s="26"/>
      <c r="T39" s="26"/>
      <c r="U39" s="26"/>
      <c r="V39" s="26"/>
      <c r="W39" s="26"/>
      <c r="X39" s="26"/>
    </row>
    <row r="40" spans="2:24">
      <c r="B40" s="5" t="s">
        <v>381</v>
      </c>
      <c r="C40" s="207"/>
      <c r="D40" s="406">
        <f>D$18/D26</f>
        <v>15.751881629885014</v>
      </c>
      <c r="E40" s="406">
        <f t="shared" si="8"/>
        <v>13.925866334584791</v>
      </c>
      <c r="F40" s="406">
        <f t="shared" si="8"/>
        <v>11.767071662466243</v>
      </c>
      <c r="G40" s="406">
        <f t="shared" si="8"/>
        <v>10.420248255685285</v>
      </c>
      <c r="H40" s="13">
        <f t="shared" si="7"/>
        <v>6.5501461177984721E-2</v>
      </c>
      <c r="I40" s="5"/>
      <c r="J40" s="217"/>
      <c r="K40" s="217"/>
      <c r="L40" s="217"/>
      <c r="M40" s="217"/>
      <c r="N40" s="217"/>
      <c r="O40" s="14"/>
      <c r="Q40" s="5"/>
      <c r="R40" s="5"/>
      <c r="S40" s="26"/>
      <c r="T40" s="26"/>
      <c r="U40" s="26"/>
      <c r="V40" s="26"/>
      <c r="W40" s="242"/>
      <c r="X40" s="242"/>
    </row>
    <row r="41" spans="2:24">
      <c r="B41" s="5" t="s">
        <v>434</v>
      </c>
      <c r="C41" s="207"/>
      <c r="D41" s="406">
        <f>D$18/D27</f>
        <v>1.6587974495280542</v>
      </c>
      <c r="E41" s="406">
        <f t="shared" si="8"/>
        <v>1.615552129917776</v>
      </c>
      <c r="F41" s="406">
        <f t="shared" si="8"/>
        <v>1.569478857125822</v>
      </c>
      <c r="G41" s="406">
        <f t="shared" si="8"/>
        <v>1.5085211634890032</v>
      </c>
      <c r="H41" s="13">
        <f t="shared" si="7"/>
        <v>-4.1740259979659577E-2</v>
      </c>
      <c r="I41" s="207"/>
      <c r="J41" s="13"/>
      <c r="K41" s="13"/>
      <c r="L41" s="13"/>
      <c r="M41" s="13"/>
      <c r="N41" s="13"/>
      <c r="O41" s="5"/>
      <c r="Q41" s="5"/>
      <c r="R41" s="5"/>
      <c r="S41" s="26"/>
      <c r="T41" s="26"/>
      <c r="U41" s="26"/>
      <c r="V41" s="26"/>
      <c r="W41" s="242"/>
      <c r="X41" s="242"/>
    </row>
    <row r="42" spans="2:24">
      <c r="B42" s="5" t="s">
        <v>493</v>
      </c>
      <c r="C42" s="207"/>
      <c r="D42" s="406">
        <f>D18/D28</f>
        <v>6.8380082248069796</v>
      </c>
      <c r="E42" s="406">
        <f>E18/E28</f>
        <v>6.3585593295339358</v>
      </c>
      <c r="F42" s="406">
        <f>F18/F28</f>
        <v>6.0507862389659222</v>
      </c>
      <c r="G42" s="406">
        <f>G18/G28</f>
        <v>5.6319007412189599</v>
      </c>
      <c r="H42" s="13">
        <f t="shared" si="7"/>
        <v>-9.5616058892893374E-3</v>
      </c>
      <c r="I42" s="208"/>
      <c r="J42" s="5"/>
      <c r="K42" s="5"/>
      <c r="L42" s="5"/>
      <c r="M42" s="5"/>
      <c r="N42" s="5"/>
      <c r="O42" s="5"/>
      <c r="Q42" s="5"/>
      <c r="R42" s="5"/>
      <c r="S42" s="26"/>
      <c r="T42" s="26"/>
      <c r="U42" s="26"/>
      <c r="V42" s="26"/>
      <c r="W42" s="242"/>
      <c r="X42" s="242"/>
    </row>
    <row r="43" spans="2:24">
      <c r="B43" s="5" t="s">
        <v>390</v>
      </c>
      <c r="C43" s="207"/>
      <c r="D43" s="406">
        <f>L26/D29</f>
        <v>16.795103738421464</v>
      </c>
      <c r="E43" s="406">
        <f>M26/E29</f>
        <v>15.060752637336206</v>
      </c>
      <c r="F43" s="406">
        <f>N26/F29</f>
        <v>12.831944069198547</v>
      </c>
      <c r="G43" s="406">
        <f>O26/G29</f>
        <v>12.189327913778698</v>
      </c>
      <c r="H43" s="13">
        <f t="shared" si="7"/>
        <v>0.1127586443582671</v>
      </c>
      <c r="I43" s="207"/>
      <c r="J43" s="207"/>
      <c r="K43" s="207"/>
      <c r="L43" s="207"/>
      <c r="M43" s="207"/>
      <c r="N43" s="207"/>
      <c r="O43" s="14"/>
      <c r="Q43" s="5"/>
      <c r="R43" s="5"/>
      <c r="S43" s="26"/>
      <c r="T43" s="26"/>
      <c r="U43" s="26"/>
      <c r="V43" s="26"/>
      <c r="W43" s="242"/>
      <c r="X43" s="242"/>
    </row>
    <row r="44" spans="2:24">
      <c r="B44" s="5" t="s">
        <v>437</v>
      </c>
      <c r="C44" s="53"/>
      <c r="D44" s="406">
        <f>D11/D30</f>
        <v>19.87852760493768</v>
      </c>
      <c r="E44" s="406">
        <f>E11/E30</f>
        <v>19.19999902057581</v>
      </c>
      <c r="F44" s="406">
        <f>F11/F30</f>
        <v>17.78216923283486</v>
      </c>
      <c r="G44" s="406">
        <f>G11/G30</f>
        <v>15.971829861456992</v>
      </c>
      <c r="H44" s="13">
        <f t="shared" si="7"/>
        <v>7.5663699372075177E-2</v>
      </c>
      <c r="I44" s="207"/>
      <c r="J44" s="208"/>
      <c r="K44" s="208"/>
      <c r="L44" s="208"/>
      <c r="M44" s="208"/>
      <c r="N44" s="208"/>
      <c r="O44" s="208"/>
      <c r="Q44" s="5"/>
      <c r="R44" s="5"/>
      <c r="S44" s="26"/>
      <c r="T44" s="26"/>
      <c r="U44" s="26"/>
      <c r="V44" s="26"/>
      <c r="W44" s="255"/>
      <c r="X44" s="255"/>
    </row>
    <row r="45" spans="2:24">
      <c r="B45" s="5" t="s">
        <v>481</v>
      </c>
      <c r="C45" s="207"/>
      <c r="D45" s="208">
        <f>D31/D11</f>
        <v>4.7790259866330689E-2</v>
      </c>
      <c r="E45" s="208">
        <f>E31/E11</f>
        <v>4.9479169190682043E-2</v>
      </c>
      <c r="F45" s="208">
        <f>F31/F11</f>
        <v>5.3424303163520703E-2</v>
      </c>
      <c r="G45" s="208">
        <f>G31/G11</f>
        <v>5.9479722000578494E-2</v>
      </c>
      <c r="H45" s="13">
        <f t="shared" si="7"/>
        <v>7.5663699372075177E-2</v>
      </c>
      <c r="I45" s="208"/>
      <c r="J45" s="207"/>
      <c r="K45" s="207"/>
      <c r="L45" s="207"/>
      <c r="M45" s="207"/>
      <c r="N45" s="207"/>
      <c r="O45" s="208"/>
      <c r="Q45" s="5"/>
      <c r="R45" s="5"/>
      <c r="S45" s="26"/>
      <c r="T45" s="26"/>
      <c r="U45" s="26"/>
      <c r="V45" s="26"/>
      <c r="W45" s="26"/>
      <c r="X45" s="26"/>
    </row>
    <row r="46" spans="2:24">
      <c r="B46" s="5" t="s">
        <v>505</v>
      </c>
      <c r="C46" s="207"/>
      <c r="D46" s="208">
        <f>(D31+D32)/D11</f>
        <v>4.7790259866330689E-2</v>
      </c>
      <c r="E46" s="208">
        <f>(E31+E32)/E11</f>
        <v>4.9479169190682043E-2</v>
      </c>
      <c r="F46" s="208">
        <f>(F31+F32)/F11</f>
        <v>5.3424303163520703E-2</v>
      </c>
      <c r="G46" s="208">
        <f>(G31+G32)/G11</f>
        <v>5.9479722000578494E-2</v>
      </c>
      <c r="H46" s="233">
        <f>((G31+G32)/(D31+D32))^(1/3)-1</f>
        <v>7.5663699372075177E-2</v>
      </c>
      <c r="I46" s="207"/>
      <c r="J46" s="207"/>
      <c r="K46" s="207"/>
      <c r="L46" s="207"/>
      <c r="M46" s="207"/>
      <c r="N46" s="207"/>
      <c r="O46" s="14"/>
      <c r="Q46" s="5"/>
      <c r="R46" s="5"/>
      <c r="S46" s="26"/>
      <c r="T46" s="26"/>
      <c r="U46" s="26"/>
      <c r="V46" s="26"/>
      <c r="W46" s="26"/>
      <c r="X46" s="26"/>
    </row>
    <row r="47" spans="2:24">
      <c r="B47" s="5" t="s">
        <v>482</v>
      </c>
      <c r="C47" s="5"/>
      <c r="D47" s="208">
        <f>1/D43</f>
        <v>5.9541162446787477E-2</v>
      </c>
      <c r="E47" s="208">
        <f>1/E43</f>
        <v>6.6397744128733657E-2</v>
      </c>
      <c r="F47" s="208">
        <f>1/F43</f>
        <v>7.7930514239099052E-2</v>
      </c>
      <c r="G47" s="208">
        <f>1/G43</f>
        <v>8.203897762645386E-2</v>
      </c>
      <c r="H47" s="13">
        <f>H29</f>
        <v>0.1127586443582671</v>
      </c>
      <c r="I47" s="13"/>
      <c r="J47" s="208"/>
      <c r="K47" s="208"/>
      <c r="L47" s="208"/>
      <c r="M47" s="208"/>
      <c r="N47" s="208"/>
      <c r="O47" s="208"/>
      <c r="Q47" s="5"/>
      <c r="R47" s="5"/>
      <c r="S47" s="26"/>
      <c r="T47" s="26"/>
      <c r="U47" s="26"/>
      <c r="V47" s="26"/>
      <c r="W47" s="26"/>
      <c r="X47" s="26"/>
    </row>
    <row r="48" spans="2:24">
      <c r="B48" s="5" t="s">
        <v>518</v>
      </c>
      <c r="C48" s="5"/>
      <c r="D48" s="248">
        <f>D31/D29</f>
        <v>0.80264237214114387</v>
      </c>
      <c r="E48" s="248">
        <f>E31/E29</f>
        <v>0.74519352788176885</v>
      </c>
      <c r="F48" s="248">
        <f>F31/F29</f>
        <v>0.68553767013020472</v>
      </c>
      <c r="G48" s="248">
        <f>G31/G29</f>
        <v>0.72501783568544842</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4">
    <pageSetUpPr fitToPage="1"/>
  </sheetPr>
  <dimension ref="B1:AR50"/>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1088</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c r="R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706</v>
      </c>
      <c r="C9" s="221">
        <f>Prices!C22</f>
        <v>23.15</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176.51598899999999</v>
      </c>
      <c r="E10" s="408">
        <v>176.51598899999999</v>
      </c>
      <c r="F10" s="408">
        <v>176.51598899999999</v>
      </c>
      <c r="G10" s="408">
        <v>176.51598899999999</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4086.3451453499997</v>
      </c>
      <c r="E11" s="409">
        <f>$C$9*E10</f>
        <v>4086.3451453499997</v>
      </c>
      <c r="F11" s="409">
        <f>$C$9*F10</f>
        <v>4086.3451453499997</v>
      </c>
      <c r="G11" s="409">
        <f>$C$9*G10</f>
        <v>4086.3451453499997</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1811.5679999999995</v>
      </c>
      <c r="E12" s="410">
        <v>1971.9214537833329</v>
      </c>
      <c r="F12" s="410">
        <v>2085.9892821615763</v>
      </c>
      <c r="G12" s="410">
        <v>2149.9286785336444</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1243.7868636321816</v>
      </c>
      <c r="E13" s="410">
        <v>1260.8507966319057</v>
      </c>
      <c r="F13" s="410">
        <v>1255.5634092096116</v>
      </c>
      <c r="G13" s="410">
        <v>1248.644394217446</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0</v>
      </c>
      <c r="E14" s="410">
        <v>0</v>
      </c>
      <c r="F14" s="410">
        <v>0</v>
      </c>
      <c r="G14" s="410">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0</v>
      </c>
      <c r="E15" s="410">
        <v>0</v>
      </c>
      <c r="F15" s="410">
        <v>0</v>
      </c>
      <c r="G15" s="410">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8.8257994499999999</v>
      </c>
      <c r="F16" s="410">
        <v>17.6515989</v>
      </c>
      <c r="G16" s="410">
        <v>26.477398350000001</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0</v>
      </c>
      <c r="E17" s="410">
        <v>0</v>
      </c>
      <c r="F17" s="410">
        <v>0</v>
      </c>
      <c r="G17" s="410">
        <v>0</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7141.7000089821813</v>
      </c>
      <c r="E18" s="411">
        <f>E11+E12+E13-E14+E15-E16-E17</f>
        <v>7310.2915963152382</v>
      </c>
      <c r="F18" s="411">
        <f>F11+F12+F13-F14+F15-F16-F17</f>
        <v>7410.2462378211876</v>
      </c>
      <c r="G18" s="411">
        <f>G11+G12+G13-G14+G15-G16-G17</f>
        <v>7458.4408197510911</v>
      </c>
      <c r="H18" s="230">
        <f>IF(D18=0,"nm",IF(G18=0,"nm",(G18/D18)^(1/3)-1))</f>
        <v>1.4570307833101426E-2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765</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4064.3</v>
      </c>
      <c r="D23" s="410">
        <v>4088.471</v>
      </c>
      <c r="E23" s="410">
        <v>4648.9035276427558</v>
      </c>
      <c r="F23" s="410">
        <v>4626.2918347469022</v>
      </c>
      <c r="G23" s="410">
        <v>4621.7774696111119</v>
      </c>
      <c r="H23" s="233">
        <f>IF(D23=0,"nm",IF(G23=0,"nm",(G23/D23)^(1/3)-1))</f>
        <v>4.1716084399639586E-2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550.87200000000007</v>
      </c>
      <c r="D24" s="410">
        <v>452.37600000000003</v>
      </c>
      <c r="E24" s="410">
        <v>575.99999999999989</v>
      </c>
      <c r="F24" s="410">
        <v>648.15103036159996</v>
      </c>
      <c r="G24" s="410">
        <v>719.68010193766406</v>
      </c>
      <c r="H24" s="233">
        <f>IF(D24=0,"nm",IF(G24=0,"nm",(G24/D24)^(1/3)-1))</f>
        <v>0.16738286137637948</v>
      </c>
      <c r="I24" s="209"/>
      <c r="J24" s="13"/>
      <c r="K24" s="13"/>
      <c r="L24" s="13"/>
      <c r="M24" s="13"/>
      <c r="N24" s="13"/>
      <c r="O24" s="208"/>
      <c r="S24" s="72"/>
      <c r="T24" s="26"/>
      <c r="U24" s="26"/>
      <c r="V24" s="26"/>
      <c r="W24" s="26" t="s">
        <v>740</v>
      </c>
      <c r="X24" s="26" t="s">
        <v>745</v>
      </c>
    </row>
    <row r="25" spans="2:24">
      <c r="B25" s="5" t="s">
        <v>157</v>
      </c>
      <c r="C25" s="422">
        <v>259.70800000000003</v>
      </c>
      <c r="D25" s="410">
        <v>41.396999999999991</v>
      </c>
      <c r="E25" s="410">
        <v>50.999999999999886</v>
      </c>
      <c r="F25" s="410">
        <v>123.15103036159996</v>
      </c>
      <c r="G25" s="410">
        <v>194.68010193766406</v>
      </c>
      <c r="H25" s="233">
        <f>IF(D25=0,"nm",IF(G25=0,"nm",(G25/D25)^(1/3)-1))</f>
        <v>0.67539635094445916</v>
      </c>
      <c r="I25" s="208"/>
      <c r="J25" s="207" t="s">
        <v>8</v>
      </c>
      <c r="K25" s="207"/>
      <c r="L25" s="252">
        <v>0</v>
      </c>
      <c r="M25" s="252">
        <v>0</v>
      </c>
      <c r="N25" s="252">
        <v>0</v>
      </c>
      <c r="O25" s="252">
        <v>0</v>
      </c>
      <c r="P25" s="233" t="str">
        <f>IF(L25=0,"nm",IF(O25=0,"nm",(O25/L25)^(1/3)-1))</f>
        <v>nm</v>
      </c>
      <c r="S25" s="72"/>
      <c r="T25" s="26"/>
      <c r="U25" s="26"/>
      <c r="V25" s="113" t="s">
        <v>225</v>
      </c>
      <c r="W25" s="242">
        <f>D37/L9</f>
        <v>1.2972445850364789</v>
      </c>
      <c r="X25" s="242">
        <v>1</v>
      </c>
    </row>
    <row r="26" spans="2:24">
      <c r="B26" s="5" t="s">
        <v>487</v>
      </c>
      <c r="C26" s="422">
        <v>179.19852</v>
      </c>
      <c r="D26" s="410">
        <v>28.563929999999992</v>
      </c>
      <c r="E26" s="410">
        <v>35.18999999999992</v>
      </c>
      <c r="F26" s="410">
        <v>84.97421094950397</v>
      </c>
      <c r="G26" s="410">
        <v>136.27607135636484</v>
      </c>
      <c r="H26" s="233">
        <f>IF(D26=0,"nm",IF(G26=0,"nm",(G26/D26)^(1/3)-1))</f>
        <v>0.68345126491758745</v>
      </c>
      <c r="I26" s="209"/>
      <c r="J26" s="209" t="s">
        <v>9</v>
      </c>
      <c r="K26" s="209"/>
      <c r="L26" s="235">
        <f>D11+L25</f>
        <v>4086.3451453499997</v>
      </c>
      <c r="M26" s="235">
        <f>E11+M25</f>
        <v>4086.3451453499997</v>
      </c>
      <c r="N26" s="235">
        <f>F11+N25</f>
        <v>4086.3451453499997</v>
      </c>
      <c r="O26" s="235">
        <f>G11+O25</f>
        <v>4086.3451453499997</v>
      </c>
      <c r="P26" s="233">
        <f>IF(L26=0,"nm",IF(O26=0,"nm",(O26/L26)^(1/3)-1))</f>
        <v>0</v>
      </c>
      <c r="Q26" s="5"/>
      <c r="S26" s="72"/>
      <c r="T26" s="26"/>
      <c r="U26" s="26"/>
      <c r="V26" s="113" t="s">
        <v>158</v>
      </c>
      <c r="W26" s="242">
        <f t="shared" ref="W26:W33" si="4">D38/L10</f>
        <v>2.3678144304825599</v>
      </c>
      <c r="X26" s="242">
        <v>1</v>
      </c>
    </row>
    <row r="27" spans="2:24">
      <c r="B27" s="5" t="s">
        <v>488</v>
      </c>
      <c r="C27" s="423">
        <v>5955.75</v>
      </c>
      <c r="D27" s="410">
        <v>7807.0559999999996</v>
      </c>
      <c r="E27" s="410">
        <v>8024.6528333333335</v>
      </c>
      <c r="F27" s="410">
        <v>8235.689638888889</v>
      </c>
      <c r="G27" s="410">
        <v>8438.3357835648167</v>
      </c>
      <c r="H27" s="233">
        <f>IF(ISERROR((G27/D27)^(1/3)-1),"na",(G27/D27)^(1/3)-1)</f>
        <v>2.6257875338309145E-2</v>
      </c>
      <c r="I27" s="209"/>
      <c r="J27" s="208"/>
      <c r="K27" s="208"/>
      <c r="L27" s="208"/>
      <c r="M27" s="208"/>
      <c r="N27" s="208"/>
      <c r="O27" s="208"/>
      <c r="Q27" s="25"/>
      <c r="S27" s="72"/>
      <c r="T27" s="26"/>
      <c r="U27" s="26"/>
      <c r="V27" s="113" t="s">
        <v>159</v>
      </c>
      <c r="W27" s="242">
        <f t="shared" si="4"/>
        <v>10.975046565759357</v>
      </c>
      <c r="X27" s="242">
        <v>1</v>
      </c>
    </row>
    <row r="28" spans="2:24" ht="12.6" thickBot="1">
      <c r="B28" s="5" t="s">
        <v>492</v>
      </c>
      <c r="C28" s="422">
        <v>2400.009</v>
      </c>
      <c r="D28" s="410">
        <v>4817.5859999999993</v>
      </c>
      <c r="E28" s="410">
        <v>6845.4219244122523</v>
      </c>
      <c r="F28" s="410">
        <v>7210.8421052232243</v>
      </c>
      <c r="G28" s="410">
        <v>7575.9784417283518</v>
      </c>
      <c r="H28" s="233">
        <f>IF(ISERROR((G28/D28)^(1/3)-1),"na",(G28/D28)^(1/3)-1)</f>
        <v>0.1628840612462068</v>
      </c>
      <c r="I28" s="208"/>
      <c r="J28" s="249" t="s">
        <v>1073</v>
      </c>
      <c r="K28" s="249"/>
      <c r="L28" s="249"/>
      <c r="M28" s="249"/>
      <c r="N28" s="220"/>
      <c r="O28" s="220"/>
      <c r="P28" s="220"/>
      <c r="Q28" s="5"/>
      <c r="S28" s="72"/>
      <c r="T28" s="26"/>
      <c r="U28" s="26"/>
      <c r="V28" s="113" t="s">
        <v>381</v>
      </c>
      <c r="W28" s="242">
        <f t="shared" si="4"/>
        <v>11.832762087708037</v>
      </c>
      <c r="X28" s="242">
        <v>1</v>
      </c>
    </row>
    <row r="29" spans="2:24" ht="12.6" thickTop="1">
      <c r="B29" s="5" t="s">
        <v>489</v>
      </c>
      <c r="C29" s="422">
        <v>-102.40499999999997</v>
      </c>
      <c r="D29" s="410">
        <v>52.726000000000006</v>
      </c>
      <c r="E29" s="410">
        <v>-151.52765433333343</v>
      </c>
      <c r="F29" s="410">
        <v>-105.24202892824323</v>
      </c>
      <c r="G29" s="410">
        <v>-55.113596922068126</v>
      </c>
      <c r="H29" s="233">
        <f>IF(D29=0,"nm",IF(G29=0,"nm",(G29/D29)^(1/3)-1))</f>
        <v>-2.0148720922827872</v>
      </c>
      <c r="I29" s="212"/>
      <c r="J29" s="209"/>
      <c r="K29" s="209"/>
      <c r="L29" s="209"/>
      <c r="M29" s="209"/>
      <c r="N29" s="209"/>
      <c r="O29" s="211"/>
      <c r="Q29" s="5"/>
      <c r="S29" s="72"/>
      <c r="T29" s="26"/>
      <c r="U29" s="26"/>
      <c r="V29" s="113" t="s">
        <v>434</v>
      </c>
      <c r="W29" s="242">
        <f t="shared" si="4"/>
        <v>0.75471723505540145</v>
      </c>
      <c r="X29" s="242">
        <v>1</v>
      </c>
    </row>
    <row r="30" spans="2:24">
      <c r="B30" s="5" t="s">
        <v>490</v>
      </c>
      <c r="C30" s="423">
        <v>212.76400000000001</v>
      </c>
      <c r="D30" s="410">
        <v>165.703</v>
      </c>
      <c r="E30" s="410">
        <v>66.069178999999991</v>
      </c>
      <c r="F30" s="410">
        <v>105.79477662731233</v>
      </c>
      <c r="G30" s="410">
        <v>147.53254775385787</v>
      </c>
      <c r="H30" s="233">
        <f>IF(D30=0,"nm",IF(G30=0,"nm",(G30/D30)^(1/3)-1))</f>
        <v>-3.7976183840904176E-2</v>
      </c>
      <c r="I30" s="214"/>
      <c r="J30" s="208"/>
      <c r="K30" s="208"/>
      <c r="L30" s="208"/>
      <c r="M30" s="208"/>
      <c r="N30" s="208"/>
      <c r="O30" s="5"/>
      <c r="Q30" s="5"/>
      <c r="S30" s="72"/>
      <c r="T30" s="26"/>
      <c r="U30" s="26"/>
      <c r="V30" s="113" t="s">
        <v>493</v>
      </c>
      <c r="W30" s="242">
        <f t="shared" si="4"/>
        <v>0.49472420961310021</v>
      </c>
      <c r="X30" s="242">
        <v>1</v>
      </c>
    </row>
    <row r="31" spans="2:24">
      <c r="B31" s="5" t="s">
        <v>491</v>
      </c>
      <c r="C31" s="423">
        <v>8.8149824500000005</v>
      </c>
      <c r="D31" s="410">
        <v>8.8257994499999999</v>
      </c>
      <c r="E31" s="410">
        <v>8.8257994499999999</v>
      </c>
      <c r="F31" s="410">
        <v>8.8257994499999999</v>
      </c>
      <c r="G31" s="410">
        <v>8.8257994499999999</v>
      </c>
      <c r="H31" s="233">
        <f>IF(D31=0,"nm",IF(G31=0,"nm",(G31/D31)^(1/3)-1))</f>
        <v>0</v>
      </c>
      <c r="I31" s="214"/>
      <c r="J31" s="212"/>
      <c r="K31" s="212"/>
      <c r="L31" s="212"/>
      <c r="M31" s="212"/>
      <c r="N31" s="212"/>
      <c r="O31" s="5"/>
      <c r="Q31" s="5"/>
      <c r="S31" s="72"/>
      <c r="T31" s="26"/>
      <c r="U31" s="26"/>
      <c r="V31" s="113" t="s">
        <v>743</v>
      </c>
      <c r="W31" s="242">
        <f t="shared" si="4"/>
        <v>3.7808198154031163</v>
      </c>
      <c r="X31" s="242">
        <v>1</v>
      </c>
    </row>
    <row r="32" spans="2:24">
      <c r="B32" s="5" t="s">
        <v>506</v>
      </c>
      <c r="C32" s="424">
        <v>0</v>
      </c>
      <c r="D32" s="410">
        <v>0</v>
      </c>
      <c r="E32" s="410">
        <v>0</v>
      </c>
      <c r="F32" s="410">
        <v>0</v>
      </c>
      <c r="G32" s="410">
        <v>0</v>
      </c>
      <c r="H32" s="233" t="str">
        <f>IF(D32=0,"nm",IF(G32=0,"nm",(G32/D32)^(1/3)-1))</f>
        <v>nm</v>
      </c>
      <c r="I32" s="214"/>
      <c r="J32" s="214"/>
      <c r="K32" s="214"/>
      <c r="L32" s="214"/>
      <c r="M32" s="214"/>
      <c r="N32" s="214"/>
      <c r="O32" s="211"/>
      <c r="Q32" s="5"/>
      <c r="S32" s="72"/>
      <c r="T32" s="26"/>
      <c r="U32" s="26"/>
      <c r="V32" s="113" t="s">
        <v>437</v>
      </c>
      <c r="W32" s="242">
        <f t="shared" si="4"/>
        <v>1.0453513444781863</v>
      </c>
      <c r="X32" s="242">
        <v>1</v>
      </c>
    </row>
    <row r="33" spans="2:24">
      <c r="B33" s="5" t="s">
        <v>3</v>
      </c>
      <c r="C33" s="423">
        <v>4.1859999999999999</v>
      </c>
      <c r="D33" s="410">
        <v>30.173999999999999</v>
      </c>
      <c r="E33" s="410">
        <v>140.57839999999999</v>
      </c>
      <c r="F33" s="410">
        <v>152.16586661684664</v>
      </c>
      <c r="G33" s="410">
        <v>161.56344372054602</v>
      </c>
      <c r="H33" s="233">
        <f>IF(ISERROR((G33/D33)^(1/3)-1),"na",(G33/D33)^(1/3)-1)</f>
        <v>0.74945753490265643</v>
      </c>
      <c r="I33" s="5"/>
      <c r="J33" s="214"/>
      <c r="K33" s="214"/>
      <c r="L33" s="214"/>
      <c r="M33" s="214"/>
      <c r="N33" s="214"/>
      <c r="O33" s="211"/>
      <c r="Q33" s="5"/>
      <c r="S33" s="72"/>
      <c r="T33" s="26"/>
      <c r="U33" s="26"/>
      <c r="V33" s="113" t="s">
        <v>481</v>
      </c>
      <c r="W33" s="242">
        <f t="shared" si="4"/>
        <v>5.5968248085555658E-2</v>
      </c>
      <c r="X33" s="242">
        <v>1</v>
      </c>
    </row>
    <row r="34" spans="2:24">
      <c r="D34" s="5"/>
      <c r="E34" s="5"/>
      <c r="F34" s="5"/>
      <c r="G34" s="5"/>
      <c r="I34" s="33"/>
      <c r="J34" s="214"/>
      <c r="K34" s="214"/>
      <c r="L34" s="214"/>
      <c r="M34" s="214"/>
      <c r="N34" s="214"/>
      <c r="O34" s="211"/>
      <c r="Q34" s="5"/>
      <c r="S34" s="72"/>
      <c r="T34" s="26"/>
      <c r="U34" s="26"/>
      <c r="V34" s="113" t="s">
        <v>124</v>
      </c>
      <c r="W34" s="242">
        <f>D47/L19</f>
        <v>0.2644929006999977</v>
      </c>
      <c r="X34" s="242">
        <v>1</v>
      </c>
    </row>
    <row r="35" spans="2:24" ht="12.6" thickBot="1">
      <c r="B35" s="249" t="s">
        <v>746</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1.7467899390706652</v>
      </c>
      <c r="E37" s="406">
        <f t="shared" ref="E37:G41" si="6">E$18/E23</f>
        <v>1.5724765103959792</v>
      </c>
      <c r="F37" s="406">
        <f t="shared" si="6"/>
        <v>1.6017680039475053</v>
      </c>
      <c r="G37" s="406">
        <f t="shared" si="6"/>
        <v>1.6137602618887368</v>
      </c>
      <c r="H37" s="13">
        <f t="shared" ref="H37:H45" si="7">H23</f>
        <v>4.1716084399639586E-2</v>
      </c>
      <c r="I37" s="5"/>
      <c r="J37" s="217"/>
      <c r="K37" s="217"/>
      <c r="L37" s="217"/>
      <c r="M37" s="217"/>
      <c r="N37" s="217"/>
      <c r="O37" s="14"/>
      <c r="Q37" s="5"/>
      <c r="R37" s="5"/>
      <c r="S37" s="26"/>
      <c r="T37" s="26"/>
      <c r="U37" s="26"/>
      <c r="V37" s="26"/>
      <c r="W37" s="26"/>
      <c r="X37" s="26"/>
    </row>
    <row r="38" spans="2:24">
      <c r="B38" s="5" t="s">
        <v>158</v>
      </c>
      <c r="C38" s="207"/>
      <c r="D38" s="406">
        <f>D$18/D24</f>
        <v>15.787088636404629</v>
      </c>
      <c r="E38" s="406">
        <f t="shared" si="6"/>
        <v>12.691478465825069</v>
      </c>
      <c r="F38" s="406">
        <f t="shared" si="6"/>
        <v>11.432900498032151</v>
      </c>
      <c r="G38" s="406">
        <f t="shared" si="6"/>
        <v>10.36355013799883</v>
      </c>
      <c r="H38" s="13">
        <f t="shared" si="7"/>
        <v>0.16738286137637948</v>
      </c>
      <c r="I38" s="217"/>
      <c r="J38" s="13"/>
      <c r="K38" s="13"/>
      <c r="L38" s="13"/>
      <c r="M38" s="13"/>
      <c r="N38" s="13"/>
      <c r="O38" s="5"/>
      <c r="Q38" s="5"/>
      <c r="R38" s="5"/>
      <c r="S38" s="26"/>
      <c r="T38" s="26"/>
      <c r="U38" s="26"/>
      <c r="V38" s="26"/>
      <c r="W38" s="26"/>
      <c r="X38" s="26"/>
    </row>
    <row r="39" spans="2:24">
      <c r="B39" s="5" t="s">
        <v>159</v>
      </c>
      <c r="C39" s="207"/>
      <c r="D39" s="406">
        <f>D$18/D25</f>
        <v>172.51733239080568</v>
      </c>
      <c r="E39" s="406">
        <f t="shared" si="6"/>
        <v>143.33905090814224</v>
      </c>
      <c r="F39" s="406">
        <f t="shared" si="6"/>
        <v>60.172019804162318</v>
      </c>
      <c r="G39" s="406">
        <f t="shared" si="6"/>
        <v>38.311264199662581</v>
      </c>
      <c r="H39" s="13">
        <f t="shared" si="7"/>
        <v>0.67539635094445916</v>
      </c>
      <c r="I39" s="13"/>
      <c r="J39" s="5"/>
      <c r="K39" s="5"/>
      <c r="L39" s="5"/>
      <c r="M39" s="5"/>
      <c r="N39" s="5"/>
      <c r="O39" s="5"/>
      <c r="Q39" s="5"/>
      <c r="R39" s="5"/>
      <c r="S39" s="26"/>
      <c r="T39" s="26"/>
      <c r="U39" s="26"/>
      <c r="V39" s="26"/>
      <c r="W39" s="26"/>
      <c r="X39" s="26"/>
    </row>
    <row r="40" spans="2:24">
      <c r="B40" s="5" t="s">
        <v>381</v>
      </c>
      <c r="C40" s="207"/>
      <c r="D40" s="406">
        <f>D$18/D26</f>
        <v>250.02511940696476</v>
      </c>
      <c r="E40" s="406">
        <f t="shared" si="6"/>
        <v>207.73775493933661</v>
      </c>
      <c r="F40" s="406">
        <f t="shared" si="6"/>
        <v>87.205825803133791</v>
      </c>
      <c r="G40" s="406">
        <f t="shared" si="6"/>
        <v>54.730377428089405</v>
      </c>
      <c r="H40" s="13">
        <f t="shared" si="7"/>
        <v>0.68345126491758745</v>
      </c>
      <c r="I40" s="5"/>
      <c r="J40" s="217"/>
      <c r="K40" s="217"/>
      <c r="L40" s="217"/>
      <c r="M40" s="217"/>
      <c r="N40" s="217"/>
      <c r="O40" s="14"/>
      <c r="Q40" s="5"/>
      <c r="R40" s="5"/>
      <c r="S40" s="26"/>
      <c r="T40" s="26"/>
      <c r="U40" s="26"/>
      <c r="V40" s="26"/>
      <c r="W40" s="242"/>
      <c r="X40" s="242"/>
    </row>
    <row r="41" spans="2:24">
      <c r="B41" s="5" t="s">
        <v>434</v>
      </c>
      <c r="C41" s="207"/>
      <c r="D41" s="406">
        <f>D$18/D27</f>
        <v>0.91477504567434664</v>
      </c>
      <c r="E41" s="406">
        <f t="shared" si="6"/>
        <v>0.91097917232621772</v>
      </c>
      <c r="F41" s="406">
        <f t="shared" si="6"/>
        <v>0.89977240070218756</v>
      </c>
      <c r="G41" s="406">
        <f t="shared" si="6"/>
        <v>0.88387580336370974</v>
      </c>
      <c r="H41" s="13">
        <f t="shared" si="7"/>
        <v>2.6257875338309145E-2</v>
      </c>
      <c r="I41" s="207"/>
      <c r="J41" s="13"/>
      <c r="K41" s="13"/>
      <c r="L41" s="13"/>
      <c r="M41" s="13"/>
      <c r="N41" s="13"/>
      <c r="O41" s="5"/>
      <c r="Q41" s="5"/>
      <c r="R41" s="5"/>
      <c r="S41" s="26"/>
      <c r="T41" s="26"/>
      <c r="U41" s="26"/>
      <c r="V41" s="26"/>
      <c r="W41" s="242"/>
      <c r="X41" s="242"/>
    </row>
    <row r="42" spans="2:24">
      <c r="B42" s="5" t="s">
        <v>493</v>
      </c>
      <c r="C42" s="207"/>
      <c r="D42" s="406">
        <f>D18/D28</f>
        <v>1.482422941486085</v>
      </c>
      <c r="E42" s="406">
        <f>E18/E28</f>
        <v>1.0679095718329881</v>
      </c>
      <c r="F42" s="406">
        <f>F18/F28</f>
        <v>1.0276533766359304</v>
      </c>
      <c r="G42" s="406">
        <f>G18/G28</f>
        <v>0.98448548621391718</v>
      </c>
      <c r="H42" s="13">
        <f t="shared" si="7"/>
        <v>0.1628840612462068</v>
      </c>
      <c r="I42" s="208"/>
      <c r="J42" s="5"/>
      <c r="K42" s="5"/>
      <c r="L42" s="5"/>
      <c r="M42" s="5"/>
      <c r="N42" s="5"/>
      <c r="O42" s="5"/>
      <c r="Q42" s="5"/>
      <c r="R42" s="5"/>
      <c r="S42" s="26"/>
      <c r="T42" s="26"/>
      <c r="U42" s="26"/>
      <c r="V42" s="26"/>
      <c r="W42" s="242"/>
      <c r="X42" s="242"/>
    </row>
    <row r="43" spans="2:24">
      <c r="B43" s="5" t="s">
        <v>390</v>
      </c>
      <c r="C43" s="207"/>
      <c r="D43" s="406">
        <f>L26/D29</f>
        <v>77.501520034707724</v>
      </c>
      <c r="E43" s="406">
        <f>M26/E29</f>
        <v>-26.967652626369965</v>
      </c>
      <c r="F43" s="406">
        <f>N26/F29</f>
        <v>-38.82807265276287</v>
      </c>
      <c r="G43" s="406">
        <f>O26/G29</f>
        <v>-74.144047450363004</v>
      </c>
      <c r="H43" s="13">
        <f t="shared" si="7"/>
        <v>-2.0148720922827872</v>
      </c>
      <c r="I43" s="207"/>
      <c r="J43" s="207"/>
      <c r="K43" s="207"/>
      <c r="L43" s="207"/>
      <c r="M43" s="207"/>
      <c r="N43" s="207"/>
      <c r="O43" s="14"/>
      <c r="Q43" s="5"/>
      <c r="R43" s="5"/>
      <c r="S43" s="26"/>
      <c r="T43" s="26"/>
      <c r="U43" s="26"/>
      <c r="V43" s="26"/>
      <c r="W43" s="242"/>
      <c r="X43" s="242"/>
    </row>
    <row r="44" spans="2:24">
      <c r="B44" s="5" t="s">
        <v>437</v>
      </c>
      <c r="C44" s="53"/>
      <c r="D44" s="406">
        <f>D11/D30</f>
        <v>24.660658801289053</v>
      </c>
      <c r="E44" s="406">
        <f>E11/E30</f>
        <v>61.849491808427047</v>
      </c>
      <c r="F44" s="406">
        <f>F11/F30</f>
        <v>38.625206986779112</v>
      </c>
      <c r="G44" s="406">
        <f>G11/G30</f>
        <v>27.697922984205665</v>
      </c>
      <c r="H44" s="13">
        <f t="shared" si="7"/>
        <v>-3.7976183840904176E-2</v>
      </c>
      <c r="I44" s="207"/>
      <c r="J44" s="208"/>
      <c r="K44" s="208"/>
      <c r="L44" s="208"/>
      <c r="M44" s="208"/>
      <c r="N44" s="208"/>
      <c r="O44" s="208"/>
      <c r="Q44" s="5"/>
      <c r="R44" s="5"/>
      <c r="S44" s="26"/>
      <c r="T44" s="26"/>
      <c r="U44" s="26"/>
      <c r="V44" s="26"/>
      <c r="W44" s="255"/>
      <c r="X44" s="255"/>
    </row>
    <row r="45" spans="2:24">
      <c r="B45" s="5" t="s">
        <v>481</v>
      </c>
      <c r="C45" s="207"/>
      <c r="D45" s="208">
        <f>D31/D11</f>
        <v>2.1598272138228943E-3</v>
      </c>
      <c r="E45" s="208">
        <f>E31/E11</f>
        <v>2.1598272138228943E-3</v>
      </c>
      <c r="F45" s="208">
        <f>F31/F11</f>
        <v>2.1598272138228943E-3</v>
      </c>
      <c r="G45" s="208">
        <f>G31/G11</f>
        <v>2.1598272138228943E-3</v>
      </c>
      <c r="H45" s="13">
        <f t="shared" si="7"/>
        <v>0</v>
      </c>
      <c r="I45" s="208"/>
      <c r="J45" s="207"/>
      <c r="K45" s="207"/>
      <c r="L45" s="207"/>
      <c r="M45" s="207"/>
      <c r="N45" s="207"/>
      <c r="O45" s="208"/>
      <c r="Q45" s="5"/>
      <c r="R45" s="5"/>
      <c r="S45" s="26"/>
      <c r="T45" s="26"/>
      <c r="U45" s="26"/>
      <c r="V45" s="26"/>
      <c r="W45" s="26"/>
      <c r="X45" s="26"/>
    </row>
    <row r="46" spans="2:24">
      <c r="B46" s="5" t="s">
        <v>505</v>
      </c>
      <c r="C46" s="207"/>
      <c r="D46" s="208">
        <f>(D31+D32)/D11</f>
        <v>2.1598272138228943E-3</v>
      </c>
      <c r="E46" s="208">
        <f>(E31+E32)/E11</f>
        <v>2.1598272138228943E-3</v>
      </c>
      <c r="F46" s="208">
        <f>(F31+F32)/F11</f>
        <v>2.1598272138228943E-3</v>
      </c>
      <c r="G46" s="208">
        <f>(G31+G32)/G11</f>
        <v>2.1598272138228943E-3</v>
      </c>
      <c r="H46" s="233">
        <f>((G31+G32)/(D31+D32))^(1/3)-1</f>
        <v>0</v>
      </c>
      <c r="I46" s="207"/>
      <c r="J46" s="207"/>
      <c r="K46" s="207"/>
      <c r="L46" s="207"/>
      <c r="M46" s="207"/>
      <c r="N46" s="207"/>
      <c r="O46" s="14"/>
      <c r="Q46" s="5"/>
      <c r="R46" s="5"/>
      <c r="S46" s="26"/>
      <c r="T46" s="26"/>
      <c r="U46" s="26"/>
      <c r="V46" s="26"/>
      <c r="W46" s="26"/>
      <c r="X46" s="26"/>
    </row>
    <row r="47" spans="2:24">
      <c r="B47" s="5" t="s">
        <v>482</v>
      </c>
      <c r="C47" s="5"/>
      <c r="D47" s="208">
        <f>1/D43</f>
        <v>1.290297273591753E-2</v>
      </c>
      <c r="E47" s="208">
        <f>1/E43</f>
        <v>-3.7081462515657117E-2</v>
      </c>
      <c r="F47" s="208">
        <f>1/F43</f>
        <v>-2.5754561884720372E-2</v>
      </c>
      <c r="G47" s="208">
        <f>1/G43</f>
        <v>-1.3487259387470951E-2</v>
      </c>
      <c r="H47" s="13">
        <f>H29</f>
        <v>-2.0148720922827872</v>
      </c>
      <c r="I47" s="13"/>
      <c r="J47" s="208"/>
      <c r="K47" s="208"/>
      <c r="L47" s="208"/>
      <c r="M47" s="208"/>
      <c r="N47" s="208"/>
      <c r="O47" s="208"/>
      <c r="Q47" s="5"/>
      <c r="R47" s="5"/>
      <c r="S47" s="26"/>
      <c r="T47" s="26"/>
      <c r="U47" s="26"/>
      <c r="V47" s="26"/>
      <c r="W47" s="26"/>
      <c r="X47" s="26"/>
    </row>
    <row r="48" spans="2:24">
      <c r="B48" s="5" t="s">
        <v>518</v>
      </c>
      <c r="C48" s="5"/>
      <c r="D48" s="248">
        <f>D31/D29</f>
        <v>0.167389892083602</v>
      </c>
      <c r="E48" s="248">
        <f>E31/E29</f>
        <v>-5.8245470035356302E-2</v>
      </c>
      <c r="F48" s="248">
        <f>F31/F29</f>
        <v>-8.386192797572975E-2</v>
      </c>
      <c r="G48" s="248">
        <f>G31/G29</f>
        <v>-0.16013833142627001</v>
      </c>
      <c r="H48" s="233" t="s">
        <v>507</v>
      </c>
      <c r="I48" s="207"/>
      <c r="J48" s="207"/>
      <c r="K48" s="207"/>
      <c r="L48" s="207"/>
      <c r="M48" s="207"/>
      <c r="N48" s="207"/>
      <c r="O48" s="208"/>
      <c r="Q48" s="5"/>
      <c r="R48" s="5"/>
      <c r="S48" s="26"/>
      <c r="T48" s="26"/>
      <c r="U48" s="26"/>
      <c r="V48" s="26"/>
      <c r="W48" s="26"/>
      <c r="X48" s="26"/>
    </row>
    <row r="49" spans="2:18">
      <c r="B49" s="25"/>
      <c r="C49" s="13"/>
      <c r="D49" s="13"/>
      <c r="E49" s="13"/>
      <c r="F49" s="13"/>
      <c r="G49" s="13"/>
      <c r="H49" s="13"/>
      <c r="I49" s="214"/>
      <c r="J49" s="13"/>
      <c r="K49" s="13"/>
      <c r="L49" s="13"/>
      <c r="M49" s="13"/>
      <c r="N49" s="13"/>
      <c r="O49" s="208"/>
      <c r="Q49" s="5"/>
      <c r="R49" s="5"/>
    </row>
    <row r="50" spans="2:18">
      <c r="B50" s="5"/>
      <c r="C50" s="216"/>
      <c r="D50" s="216"/>
      <c r="E50" s="216"/>
      <c r="F50" s="5"/>
      <c r="G50" s="25"/>
      <c r="H50" s="209"/>
      <c r="I50" s="13"/>
      <c r="J50" s="209"/>
      <c r="K50" s="209"/>
      <c r="L50" s="209"/>
      <c r="M50" s="209"/>
      <c r="N50" s="209"/>
      <c r="O50" s="210"/>
      <c r="Q50" s="5"/>
      <c r="R50" s="5"/>
    </row>
  </sheetData>
  <pageMargins left="0.75" right="0.75" top="1" bottom="1" header="0.5" footer="0.5"/>
  <pageSetup scale="6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tint="0.79998168889431442"/>
    <pageSetUpPr autoPageBreaks="0" fitToPage="1"/>
  </sheetPr>
  <dimension ref="A1:BD168"/>
  <sheetViews>
    <sheetView showGridLines="0" zoomScale="80" zoomScaleNormal="80" zoomScaleSheetLayoutView="70" workbookViewId="0"/>
  </sheetViews>
  <sheetFormatPr defaultColWidth="9.109375" defaultRowHeight="12"/>
  <cols>
    <col min="1" max="1" width="2.33203125" style="23" customWidth="1"/>
    <col min="2" max="2" width="33.33203125" style="23" customWidth="1"/>
    <col min="3" max="5" width="11.109375" style="24" customWidth="1"/>
    <col min="6" max="6" width="11.109375" style="23" customWidth="1"/>
    <col min="7" max="8" width="11" style="5" customWidth="1"/>
    <col min="9" max="14" width="11" style="23" customWidth="1"/>
    <col min="15" max="15" width="6" style="23" customWidth="1"/>
    <col min="16" max="56" width="9.109375" style="5"/>
    <col min="57" max="16384" width="9.109375" style="23"/>
  </cols>
  <sheetData>
    <row r="1" spans="1:19" s="64" customFormat="1">
      <c r="A1" s="488"/>
      <c r="C1" s="65"/>
      <c r="D1" s="65"/>
      <c r="E1" s="65"/>
    </row>
    <row r="2" spans="1:19" s="64" customFormat="1">
      <c r="C2" s="65"/>
      <c r="D2" s="65"/>
      <c r="E2" s="65"/>
    </row>
    <row r="3" spans="1:19" s="64" customFormat="1">
      <c r="C3" s="65"/>
      <c r="D3" s="65">
        <v>1</v>
      </c>
      <c r="E3" s="65"/>
    </row>
    <row r="4" spans="1:19" s="99" customFormat="1" ht="21">
      <c r="B4" s="100" t="s">
        <v>1349</v>
      </c>
      <c r="C4" s="101"/>
      <c r="D4" s="101"/>
      <c r="E4" s="101"/>
    </row>
    <row r="5" spans="1:19" s="102" customFormat="1">
      <c r="B5" s="103"/>
      <c r="C5" s="104"/>
      <c r="D5" s="104"/>
      <c r="E5" s="104"/>
    </row>
    <row r="6" spans="1:19" s="1" customFormat="1">
      <c r="C6" s="2"/>
      <c r="D6" s="2"/>
      <c r="E6" s="2"/>
      <c r="I6" s="3"/>
    </row>
    <row r="7" spans="1:19" s="1" customFormat="1">
      <c r="B7" s="85" t="s">
        <v>288</v>
      </c>
      <c r="C7" s="86" t="s">
        <v>379</v>
      </c>
      <c r="D7" s="86" t="s">
        <v>49</v>
      </c>
      <c r="E7" s="478" t="s">
        <v>50</v>
      </c>
      <c r="F7" s="87" t="s">
        <v>52</v>
      </c>
      <c r="H7" s="70"/>
      <c r="I7" s="71" t="s">
        <v>379</v>
      </c>
      <c r="M7" s="4"/>
      <c r="P7" s="5"/>
      <c r="Q7" s="5"/>
    </row>
    <row r="8" spans="1:19" s="1" customFormat="1">
      <c r="B8" s="23" t="s">
        <v>160</v>
      </c>
      <c r="C8" s="81">
        <v>224.04999999999998</v>
      </c>
      <c r="D8" s="82" t="s">
        <v>54</v>
      </c>
      <c r="E8" s="81">
        <v>240</v>
      </c>
      <c r="F8" s="6">
        <f t="shared" ref="F8:F13" si="0">IFERROR(E8/C8-1,"-")</f>
        <v>7.1189466636911503E-2</v>
      </c>
      <c r="H8" s="72" t="s">
        <v>956</v>
      </c>
      <c r="I8" s="73" cm="1">
        <f t="array" ref="I8">_xll.FDS($H8,"FG_PRICE")*100</f>
        <v>224.04999999999998</v>
      </c>
      <c r="J8" s="7"/>
      <c r="P8" s="5"/>
      <c r="Q8" s="5"/>
    </row>
    <row r="9" spans="1:19" s="1" customFormat="1">
      <c r="B9" s="23" t="s">
        <v>161</v>
      </c>
      <c r="C9" s="82">
        <v>27.67</v>
      </c>
      <c r="D9" s="82" t="s">
        <v>51</v>
      </c>
      <c r="E9" s="82">
        <v>43</v>
      </c>
      <c r="F9" s="6">
        <f t="shared" si="0"/>
        <v>0.55402963498373681</v>
      </c>
      <c r="H9" s="70" t="s">
        <v>957</v>
      </c>
      <c r="I9" s="74" cm="1">
        <f t="array" ref="I9">_xll.FDS($H9,"FG_PRICE")</f>
        <v>27.67</v>
      </c>
      <c r="J9" s="7"/>
      <c r="P9" s="5"/>
      <c r="Q9" s="5"/>
    </row>
    <row r="10" spans="1:19" s="1" customFormat="1">
      <c r="B10" s="23" t="s">
        <v>373</v>
      </c>
      <c r="C10" s="82">
        <v>4.6639999999999997</v>
      </c>
      <c r="D10" s="82" t="s">
        <v>54</v>
      </c>
      <c r="E10" s="82">
        <v>4.3280917325852997</v>
      </c>
      <c r="F10" s="6">
        <f t="shared" si="0"/>
        <v>-7.2021498159240971E-2</v>
      </c>
      <c r="H10" s="70" t="s">
        <v>958</v>
      </c>
      <c r="I10" s="74" cm="1">
        <f t="array" ref="I10">_xll.FDS($H10,"FG_PRICE")</f>
        <v>4.6639999999999997</v>
      </c>
      <c r="J10" s="7"/>
      <c r="O10" s="8"/>
      <c r="P10" s="5"/>
      <c r="Q10" s="5"/>
    </row>
    <row r="11" spans="1:19" s="1" customFormat="1">
      <c r="B11" s="23" t="s">
        <v>604</v>
      </c>
      <c r="C11" s="82">
        <v>17.64</v>
      </c>
      <c r="D11" s="82" t="s">
        <v>54</v>
      </c>
      <c r="E11" s="82">
        <v>18.8</v>
      </c>
      <c r="F11" s="6">
        <f t="shared" si="0"/>
        <v>6.5759637188208542E-2</v>
      </c>
      <c r="H11" s="70" t="s">
        <v>959</v>
      </c>
      <c r="I11" s="74" cm="1">
        <f t="array" ref="I11">_xll.FDS($H11,"FG_PRICE")</f>
        <v>17.64</v>
      </c>
      <c r="J11" s="7"/>
      <c r="O11" s="8"/>
      <c r="P11" s="5"/>
      <c r="Q11" s="5"/>
    </row>
    <row r="12" spans="1:19" s="1" customFormat="1">
      <c r="B12" s="23" t="s">
        <v>374</v>
      </c>
      <c r="C12" s="82">
        <v>18.29</v>
      </c>
      <c r="D12" s="82" t="s">
        <v>51</v>
      </c>
      <c r="E12" s="82">
        <v>22.1</v>
      </c>
      <c r="F12" s="6">
        <f t="shared" si="0"/>
        <v>0.20831055221432493</v>
      </c>
      <c r="H12" s="70" t="s">
        <v>966</v>
      </c>
      <c r="I12" s="74" cm="1">
        <f t="array" ref="I12">_xll.FDS($H12,"FG_PRICE")</f>
        <v>18.29</v>
      </c>
      <c r="J12" s="7"/>
      <c r="K12" s="9"/>
      <c r="P12" s="5"/>
      <c r="Q12" s="5"/>
    </row>
    <row r="13" spans="1:19" s="1" customFormat="1">
      <c r="B13" s="23" t="s">
        <v>686</v>
      </c>
      <c r="C13" s="82">
        <v>6.63</v>
      </c>
      <c r="D13" s="82" t="s">
        <v>54</v>
      </c>
      <c r="E13" s="82">
        <v>13.3</v>
      </c>
      <c r="F13" s="6">
        <f t="shared" si="0"/>
        <v>1.0060331825037707</v>
      </c>
      <c r="H13" s="72" t="s">
        <v>1114</v>
      </c>
      <c r="I13" s="74" cm="1">
        <f t="array" ref="I13">_xll.FDS($H13,"FG_PRICE")</f>
        <v>6.63</v>
      </c>
      <c r="J13" s="7"/>
      <c r="P13" s="10"/>
      <c r="Q13" s="5"/>
      <c r="R13" s="11"/>
      <c r="S13" s="11"/>
    </row>
    <row r="14" spans="1:19" s="1" customFormat="1">
      <c r="B14" s="23" t="s">
        <v>378</v>
      </c>
      <c r="C14" s="81">
        <v>672.5</v>
      </c>
      <c r="D14" s="82" t="s">
        <v>1312</v>
      </c>
      <c r="E14" s="81">
        <v>570</v>
      </c>
      <c r="F14" s="6">
        <f t="shared" ref="F14" si="1">IFERROR(E14/C14-1,"-")</f>
        <v>-0.15241635687732347</v>
      </c>
      <c r="H14" s="70" t="s">
        <v>960</v>
      </c>
      <c r="I14" s="74" cm="1">
        <f t="array" ref="I14">_xll.FDS($H14,"FG_PRICE")</f>
        <v>672.5</v>
      </c>
      <c r="J14" s="7"/>
      <c r="P14" s="10"/>
      <c r="Q14" s="5"/>
      <c r="R14" s="11"/>
      <c r="S14" s="11"/>
    </row>
    <row r="15" spans="1:19" s="1" customFormat="1">
      <c r="B15" s="23" t="s">
        <v>238</v>
      </c>
      <c r="C15" s="83">
        <v>0.65980000000000005</v>
      </c>
      <c r="D15" s="82" t="s">
        <v>54</v>
      </c>
      <c r="E15" s="83">
        <v>0.55000000000000004</v>
      </c>
      <c r="F15" s="6">
        <f t="shared" ref="F15:F19" si="2">IFERROR(E15/C15-1,"-")</f>
        <v>-0.16641406486814181</v>
      </c>
      <c r="H15" s="70" t="s">
        <v>961</v>
      </c>
      <c r="I15" s="74" cm="1">
        <f t="array" ref="I15">_xll.FDS($H15,"FG_PRICE")</f>
        <v>0.65980000000000005</v>
      </c>
      <c r="J15" s="7"/>
      <c r="P15" s="10"/>
      <c r="Q15" s="5"/>
      <c r="R15" s="11"/>
      <c r="S15" s="11"/>
    </row>
    <row r="16" spans="1:19" s="1" customFormat="1">
      <c r="B16" s="23" t="s">
        <v>239</v>
      </c>
      <c r="C16" s="83">
        <v>0.77100000000000002</v>
      </c>
      <c r="D16" s="82" t="s">
        <v>54</v>
      </c>
      <c r="E16" s="83">
        <v>0.67</v>
      </c>
      <c r="F16" s="6">
        <f t="shared" si="2"/>
        <v>-0.13099870298313876</v>
      </c>
      <c r="H16" s="70" t="s">
        <v>962</v>
      </c>
      <c r="I16" s="74" cm="1">
        <f t="array" ref="I16">_xll.FDS($H16,"FG_PRICE")</f>
        <v>0.77100000000000002</v>
      </c>
      <c r="J16" s="7"/>
      <c r="P16" s="5"/>
      <c r="Q16" s="5"/>
    </row>
    <row r="17" spans="2:10" s="1" customFormat="1">
      <c r="B17" s="23" t="s">
        <v>376</v>
      </c>
      <c r="C17" s="82">
        <v>3.8820000000000001</v>
      </c>
      <c r="D17" s="82" t="s">
        <v>1312</v>
      </c>
      <c r="E17" s="82">
        <v>3.3</v>
      </c>
      <c r="F17" s="6">
        <f t="shared" si="2"/>
        <v>-0.14992272024729525</v>
      </c>
      <c r="H17" s="70" t="s">
        <v>963</v>
      </c>
      <c r="I17" s="74" cm="1">
        <f t="array" ref="I17">_xll.FDS($H17,"FG_PRICE")</f>
        <v>3.8820000000000001</v>
      </c>
      <c r="J17" s="7"/>
    </row>
    <row r="18" spans="2:10" s="1" customFormat="1">
      <c r="B18" s="23" t="s">
        <v>377</v>
      </c>
      <c r="C18" s="81">
        <v>164.3</v>
      </c>
      <c r="D18" s="82" t="s">
        <v>54</v>
      </c>
      <c r="E18" s="81">
        <v>160</v>
      </c>
      <c r="F18" s="6">
        <f t="shared" si="2"/>
        <v>-2.6171637248934898E-2</v>
      </c>
      <c r="H18" s="70" t="s">
        <v>964</v>
      </c>
      <c r="I18" s="74" cm="1">
        <f t="array" ref="I18">_xll.FDS($H18,"FG_PRICE")</f>
        <v>164.3</v>
      </c>
      <c r="J18" s="7"/>
    </row>
    <row r="19" spans="2:10" s="1" customFormat="1">
      <c r="B19" s="23" t="s">
        <v>846</v>
      </c>
      <c r="C19" s="82">
        <v>48.71</v>
      </c>
      <c r="D19" s="82" t="s">
        <v>54</v>
      </c>
      <c r="E19" s="82">
        <v>45</v>
      </c>
      <c r="F19" s="6">
        <f t="shared" si="2"/>
        <v>-7.6165058509546357E-2</v>
      </c>
      <c r="H19" s="70" t="s">
        <v>965</v>
      </c>
      <c r="I19" s="74" cm="1">
        <f t="array" ref="I19">_xll.FDS($H19,"FG_PRICE")</f>
        <v>48.71</v>
      </c>
      <c r="J19" s="7"/>
    </row>
    <row r="20" spans="2:10" s="1" customFormat="1">
      <c r="C20" s="2"/>
      <c r="H20" s="70"/>
      <c r="I20" s="70"/>
      <c r="J20" s="7"/>
    </row>
    <row r="21" spans="2:10" s="1" customFormat="1">
      <c r="B21" s="85" t="s">
        <v>1099</v>
      </c>
      <c r="C21" s="86" t="s">
        <v>379</v>
      </c>
      <c r="D21" s="86" t="s">
        <v>49</v>
      </c>
      <c r="E21" s="478" t="s">
        <v>50</v>
      </c>
      <c r="F21" s="87" t="s">
        <v>52</v>
      </c>
      <c r="H21" s="75"/>
      <c r="I21" s="76" t="s">
        <v>379</v>
      </c>
      <c r="J21" s="7"/>
    </row>
    <row r="22" spans="2:10" s="1" customFormat="1">
      <c r="B22" s="23" t="s">
        <v>1088</v>
      </c>
      <c r="C22" s="82">
        <v>23.15</v>
      </c>
      <c r="D22" s="82" t="s">
        <v>1312</v>
      </c>
      <c r="E22" s="82">
        <v>10</v>
      </c>
      <c r="F22" s="6">
        <f>IFERROR(E22/C22-1,"-")</f>
        <v>-0.56803455723542107</v>
      </c>
      <c r="H22" s="75" t="s">
        <v>1089</v>
      </c>
      <c r="I22" s="74" cm="1">
        <f t="array" ref="I22">_xll.FDS($H22,"FG_PRICE")</f>
        <v>23.15</v>
      </c>
      <c r="J22" s="7"/>
    </row>
    <row r="23" spans="2:10" s="1" customFormat="1">
      <c r="B23" s="23" t="s">
        <v>1313</v>
      </c>
      <c r="C23" s="82">
        <v>51.78</v>
      </c>
      <c r="D23" s="82" t="s">
        <v>51</v>
      </c>
      <c r="E23" s="82">
        <v>64</v>
      </c>
      <c r="F23" s="6">
        <f>IFERROR(E23/C23-1,"-")</f>
        <v>0.23599845500193117</v>
      </c>
      <c r="H23" s="75" t="s">
        <v>1314</v>
      </c>
      <c r="I23" s="74" cm="1">
        <f t="array" ref="I23">_xll.FDS($H23,"FG_PRICE")</f>
        <v>51.78</v>
      </c>
      <c r="J23" s="7"/>
    </row>
    <row r="24" spans="2:10" s="1" customFormat="1">
      <c r="B24" s="23" t="s">
        <v>286</v>
      </c>
      <c r="C24" s="81">
        <v>41.88</v>
      </c>
      <c r="D24" s="82" t="s">
        <v>54</v>
      </c>
      <c r="E24" s="82">
        <v>38.979542965516877</v>
      </c>
      <c r="F24" s="6">
        <f t="shared" ref="F24:F34" si="3">IFERROR(E24/C24-1,"-")</f>
        <v>-6.9256376181545454E-2</v>
      </c>
      <c r="H24" s="70" t="s">
        <v>967</v>
      </c>
      <c r="I24" s="74" cm="1">
        <f t="array" ref="I24">_xll.FDS($H24,"FG_PRICE")</f>
        <v>41.88</v>
      </c>
      <c r="J24" s="7"/>
    </row>
    <row r="25" spans="2:10" s="1" customFormat="1">
      <c r="B25" s="23" t="s">
        <v>1283</v>
      </c>
      <c r="C25" s="82">
        <v>2.8</v>
      </c>
      <c r="D25" s="82" t="s">
        <v>1312</v>
      </c>
      <c r="E25" s="82">
        <v>1.4</v>
      </c>
      <c r="F25" s="6">
        <f t="shared" si="3"/>
        <v>-0.5</v>
      </c>
      <c r="H25" s="70" t="s">
        <v>1285</v>
      </c>
      <c r="I25" s="74" cm="1">
        <f t="array" ref="I25">_xll.FDS($H25,"FG_PRICE")</f>
        <v>2.8</v>
      </c>
      <c r="J25" s="7"/>
    </row>
    <row r="26" spans="2:10" s="1" customFormat="1">
      <c r="B26" s="23" t="s">
        <v>324</v>
      </c>
      <c r="C26" s="82">
        <v>11.97</v>
      </c>
      <c r="D26" s="82" t="s">
        <v>54</v>
      </c>
      <c r="E26" s="84">
        <v>12.5</v>
      </c>
      <c r="F26" s="6">
        <f t="shared" ref="F26:F28" si="4">IFERROR(E26/C26-1,"-")</f>
        <v>4.4277360066833804E-2</v>
      </c>
      <c r="H26" s="70" t="s">
        <v>973</v>
      </c>
      <c r="I26" s="74" cm="1">
        <f t="array" ref="I26">_xll.FDS($H26,"FG_PRICE")</f>
        <v>11.97</v>
      </c>
      <c r="J26" s="7"/>
    </row>
    <row r="27" spans="2:10" s="1" customFormat="1">
      <c r="B27" s="23" t="s">
        <v>325</v>
      </c>
      <c r="C27" s="82">
        <v>16.84</v>
      </c>
      <c r="D27" s="82" t="s">
        <v>54</v>
      </c>
      <c r="E27" s="84">
        <v>12.5</v>
      </c>
      <c r="F27" s="6">
        <f t="shared" si="4"/>
        <v>-0.25771971496437052</v>
      </c>
      <c r="H27" s="70" t="s">
        <v>974</v>
      </c>
      <c r="I27" s="74" cm="1">
        <f t="array" ref="I27">_xll.FDS($H27,"FG_PRICE")</f>
        <v>16.84</v>
      </c>
      <c r="J27" s="7"/>
    </row>
    <row r="28" spans="2:10" s="1" customFormat="1">
      <c r="B28" s="23" t="s">
        <v>344</v>
      </c>
      <c r="C28" s="82">
        <v>11.615</v>
      </c>
      <c r="D28" s="82" t="s">
        <v>54</v>
      </c>
      <c r="E28" s="84">
        <v>12.5</v>
      </c>
      <c r="F28" s="6">
        <f t="shared" si="4"/>
        <v>7.6194575979336987E-2</v>
      </c>
      <c r="H28" s="70" t="s">
        <v>975</v>
      </c>
      <c r="I28" s="74" cm="1">
        <f t="array" ref="I28">_xll.FDS($H28,"FG_PRICE")</f>
        <v>11.615</v>
      </c>
      <c r="J28" s="7"/>
    </row>
    <row r="29" spans="2:10" s="1" customFormat="1">
      <c r="B29" s="23" t="s">
        <v>642</v>
      </c>
      <c r="C29" s="82">
        <v>5.65</v>
      </c>
      <c r="D29" s="82" t="s">
        <v>54</v>
      </c>
      <c r="E29" s="82">
        <v>5.5</v>
      </c>
      <c r="F29" s="6">
        <f>IFERROR(E29/C29-1,"-")</f>
        <v>-2.6548672566371723E-2</v>
      </c>
      <c r="H29" s="70" t="s">
        <v>976</v>
      </c>
      <c r="I29" s="74" cm="1">
        <f t="array" ref="I29">_xll.FDS($H29,"FG_PRICE")</f>
        <v>5.65</v>
      </c>
      <c r="J29" s="7"/>
    </row>
    <row r="30" spans="2:10" s="1" customFormat="1">
      <c r="B30" s="23" t="s">
        <v>751</v>
      </c>
      <c r="C30" s="82">
        <v>21</v>
      </c>
      <c r="D30" s="82" t="s">
        <v>54</v>
      </c>
      <c r="E30" s="82">
        <v>21.10816563589583</v>
      </c>
      <c r="F30" s="6">
        <f>IFERROR(E30/C30-1,"-")</f>
        <v>5.150744566468024E-3</v>
      </c>
      <c r="H30" s="75" t="s">
        <v>970</v>
      </c>
      <c r="I30" s="74" cm="1">
        <f t="array" ref="I30">_xll.FDS($H30,"FG_PRICE")</f>
        <v>21</v>
      </c>
      <c r="J30" s="7"/>
    </row>
    <row r="31" spans="2:10" s="1" customFormat="1">
      <c r="B31" s="23" t="s">
        <v>1339</v>
      </c>
      <c r="C31" s="82">
        <v>6.6150000000000002</v>
      </c>
      <c r="D31" s="82" t="s">
        <v>54</v>
      </c>
      <c r="E31" s="82">
        <v>6</v>
      </c>
      <c r="F31" s="6">
        <f>IFERROR(E31/C31-1,"-")</f>
        <v>-9.297052154195018E-2</v>
      </c>
      <c r="H31" s="70" t="s">
        <v>1338</v>
      </c>
      <c r="I31" s="74" cm="1">
        <f t="array" ref="I31">_xll.FDS($H31,"FG_PRICE")</f>
        <v>6.6150000000000002</v>
      </c>
      <c r="J31" s="7"/>
    </row>
    <row r="32" spans="2:10" s="1" customFormat="1">
      <c r="B32" s="23" t="s">
        <v>1293</v>
      </c>
      <c r="C32" s="82">
        <v>46.1</v>
      </c>
      <c r="D32" s="82" t="s">
        <v>1312</v>
      </c>
      <c r="E32" s="82">
        <v>38.742668410239339</v>
      </c>
      <c r="F32" s="6">
        <f>IFERROR(E32/C32-1,"-")</f>
        <v>-0.15959504533103386</v>
      </c>
      <c r="H32" s="70" t="s">
        <v>1294</v>
      </c>
      <c r="I32" s="74" cm="1">
        <f t="array" ref="I32">_xll.FDS($H32,"FG_PRICE")</f>
        <v>46.1</v>
      </c>
      <c r="J32" s="7"/>
    </row>
    <row r="33" spans="2:10" s="1" customFormat="1">
      <c r="B33" s="23" t="s">
        <v>97</v>
      </c>
      <c r="C33" s="81">
        <v>191.5</v>
      </c>
      <c r="D33" s="82" t="s">
        <v>54</v>
      </c>
      <c r="E33" s="81">
        <v>170</v>
      </c>
      <c r="F33" s="6">
        <f t="shared" si="3"/>
        <v>-0.1122715404699739</v>
      </c>
      <c r="H33" s="75" t="s">
        <v>969</v>
      </c>
      <c r="I33" s="74" cm="1">
        <f t="array" ref="I33">_xll.FDS($H33,"FG_PRICE")</f>
        <v>191.5</v>
      </c>
      <c r="J33" s="7"/>
    </row>
    <row r="34" spans="2:10" s="1" customFormat="1">
      <c r="B34" s="23" t="s">
        <v>98</v>
      </c>
      <c r="C34" s="81">
        <v>189.65</v>
      </c>
      <c r="D34" s="82" t="s">
        <v>54</v>
      </c>
      <c r="E34" s="81">
        <v>170</v>
      </c>
      <c r="F34" s="6">
        <f t="shared" si="3"/>
        <v>-0.10361191668863701</v>
      </c>
      <c r="H34" s="75" t="s">
        <v>968</v>
      </c>
      <c r="I34" s="74" cm="1">
        <f t="array" ref="I34">_xll.FDS($H34,"FG_PRICE")</f>
        <v>189.65</v>
      </c>
      <c r="J34" s="7"/>
    </row>
    <row r="35" spans="2:10" s="1" customFormat="1">
      <c r="B35" s="23" t="s">
        <v>741</v>
      </c>
      <c r="C35" s="82">
        <v>26.68</v>
      </c>
      <c r="D35" s="82" t="s">
        <v>54</v>
      </c>
      <c r="E35" s="82">
        <v>33</v>
      </c>
      <c r="F35" s="6">
        <f t="shared" ref="F35" si="5">IFERROR(E35/C35-1,"-")</f>
        <v>0.23688155922038989</v>
      </c>
      <c r="H35" s="75" t="s">
        <v>972</v>
      </c>
      <c r="I35" s="74" cm="1">
        <f t="array" ref="I35">_xll.FDS($H35,"FG_PRICE")</f>
        <v>26.68</v>
      </c>
      <c r="J35" s="7"/>
    </row>
    <row r="36" spans="2:10" s="1" customFormat="1">
      <c r="B36" s="23" t="s">
        <v>233</v>
      </c>
      <c r="C36" s="81">
        <v>115.95</v>
      </c>
      <c r="D36" s="82" t="s">
        <v>51</v>
      </c>
      <c r="E36" s="81">
        <v>130</v>
      </c>
      <c r="F36" s="6">
        <f>IFERROR(E36/C36-1,"-")</f>
        <v>0.12117291936179386</v>
      </c>
      <c r="H36" s="70" t="s">
        <v>971</v>
      </c>
      <c r="I36" s="73" cm="1">
        <f t="array" ref="I36">_xll.FDS($H36,"FG_PRICE")*100</f>
        <v>115.95</v>
      </c>
      <c r="J36" s="7"/>
    </row>
    <row r="37" spans="2:10" s="1" customFormat="1">
      <c r="B37" s="23" t="s">
        <v>1309</v>
      </c>
      <c r="C37" s="81">
        <v>1792.0000000000002</v>
      </c>
      <c r="D37" s="82" t="s">
        <v>54</v>
      </c>
      <c r="E37" s="81">
        <v>1475</v>
      </c>
      <c r="F37" s="6">
        <f>IFERROR(E37/C37-1,"-")</f>
        <v>-0.17689732142857151</v>
      </c>
      <c r="H37" s="70" t="s">
        <v>1310</v>
      </c>
      <c r="I37" s="73" cm="1">
        <f t="array" ref="I37">_xll.FDS($H37,"FG_PRICE")*100</f>
        <v>1792.0000000000002</v>
      </c>
      <c r="J37" s="7"/>
    </row>
    <row r="38" spans="2:10" s="1" customFormat="1">
      <c r="H38" s="75"/>
      <c r="I38" s="76"/>
      <c r="J38" s="7"/>
    </row>
    <row r="39" spans="2:10" s="1" customFormat="1">
      <c r="B39" s="85" t="s">
        <v>710</v>
      </c>
      <c r="C39" s="86" t="s">
        <v>379</v>
      </c>
      <c r="D39" s="86" t="s">
        <v>49</v>
      </c>
      <c r="E39" s="478" t="s">
        <v>50</v>
      </c>
      <c r="F39" s="87" t="s">
        <v>52</v>
      </c>
      <c r="H39" s="70"/>
      <c r="I39" s="71" t="s">
        <v>379</v>
      </c>
      <c r="J39" s="7"/>
    </row>
    <row r="40" spans="2:10" s="1" customFormat="1">
      <c r="B40" s="23" t="s">
        <v>705</v>
      </c>
      <c r="C40" s="82">
        <v>28.4</v>
      </c>
      <c r="D40" s="82" t="s">
        <v>51</v>
      </c>
      <c r="E40" s="82">
        <v>34</v>
      </c>
      <c r="F40" s="6">
        <f t="shared" ref="F40" si="6">IFERROR(E40/C40-1,"-")</f>
        <v>0.19718309859154926</v>
      </c>
      <c r="H40" s="70" t="s">
        <v>977</v>
      </c>
      <c r="I40" s="74" cm="1">
        <f t="array" ref="I40">_xll.FDS($H40,"FG_PRICE")</f>
        <v>28.4</v>
      </c>
      <c r="J40" s="7"/>
    </row>
    <row r="41" spans="2:10" s="1" customFormat="1">
      <c r="B41" s="23" t="s">
        <v>703</v>
      </c>
      <c r="C41" s="82">
        <v>7.2949999999999999</v>
      </c>
      <c r="D41" s="82" t="s">
        <v>51</v>
      </c>
      <c r="E41" s="82">
        <v>9.5</v>
      </c>
      <c r="F41" s="6">
        <f>IFERROR(E41/C41-1,"-")</f>
        <v>0.30226182316655237</v>
      </c>
      <c r="H41" s="70" t="s">
        <v>978</v>
      </c>
      <c r="I41" s="74" cm="1">
        <f t="array" ref="I41">_xll.FDS($H41,"FG_PRICE")</f>
        <v>7.2949999999999999</v>
      </c>
      <c r="J41" s="7"/>
    </row>
    <row r="42" spans="2:10" s="1" customFormat="1">
      <c r="C42" s="2"/>
      <c r="D42" s="2"/>
      <c r="E42" s="2"/>
      <c r="H42" s="70"/>
      <c r="I42" s="70"/>
      <c r="J42" s="7"/>
    </row>
    <row r="43" spans="2:10" s="1" customFormat="1">
      <c r="B43" s="85" t="s">
        <v>57</v>
      </c>
      <c r="C43" s="86" t="s">
        <v>379</v>
      </c>
      <c r="D43" s="86" t="s">
        <v>49</v>
      </c>
      <c r="E43" s="478" t="s">
        <v>50</v>
      </c>
      <c r="F43" s="87" t="s">
        <v>52</v>
      </c>
      <c r="H43" s="70"/>
      <c r="I43" s="71" t="s">
        <v>379</v>
      </c>
      <c r="J43" s="7"/>
    </row>
    <row r="44" spans="2:10" s="1" customFormat="1">
      <c r="B44" s="23" t="s">
        <v>30</v>
      </c>
      <c r="C44" s="84">
        <v>46.86</v>
      </c>
      <c r="D44" s="82" t="s">
        <v>54</v>
      </c>
      <c r="E44" s="84">
        <v>42</v>
      </c>
      <c r="F44" s="12">
        <f>IFERROR(E44/C44-1,"-")</f>
        <v>-0.10371318822023046</v>
      </c>
      <c r="H44" s="70" t="s">
        <v>1062</v>
      </c>
      <c r="I44" s="74" cm="1">
        <f t="array" ref="I44">_xll.FDS($H44,"FG_PRICE")</f>
        <v>46.86</v>
      </c>
      <c r="J44" s="7"/>
    </row>
    <row r="45" spans="2:10" s="1" customFormat="1">
      <c r="B45" s="23" t="s">
        <v>330</v>
      </c>
      <c r="C45" s="84">
        <v>26.28</v>
      </c>
      <c r="D45" s="82" t="s">
        <v>51</v>
      </c>
      <c r="E45" s="82">
        <v>32</v>
      </c>
      <c r="F45" s="12">
        <f>IFERROR(E45/C45-1,"-")</f>
        <v>0.21765601217656005</v>
      </c>
      <c r="H45" s="70" t="s">
        <v>1061</v>
      </c>
      <c r="I45" s="74" cm="1">
        <f t="array" ref="I45">_xll.FDS($H45,"FG_PRICE")</f>
        <v>26.28</v>
      </c>
      <c r="J45" s="7"/>
    </row>
    <row r="46" spans="2:10" s="1" customFormat="1">
      <c r="B46" s="23" t="s">
        <v>570</v>
      </c>
      <c r="C46" s="84">
        <v>191.47</v>
      </c>
      <c r="D46" s="82" t="s">
        <v>51</v>
      </c>
      <c r="E46" s="84">
        <v>296</v>
      </c>
      <c r="F46" s="12">
        <f>IFERROR(E46/C46-1,"-")</f>
        <v>0.54593408889121009</v>
      </c>
      <c r="H46" s="70" t="s">
        <v>979</v>
      </c>
      <c r="I46" s="74" cm="1">
        <f t="array" ref="I46">_xll.FDS($H46,"FG_PRICE")</f>
        <v>191.47</v>
      </c>
      <c r="J46" s="7"/>
    </row>
    <row r="47" spans="2:10" s="1" customFormat="1">
      <c r="H47" s="70"/>
      <c r="I47" s="70"/>
      <c r="J47" s="7"/>
    </row>
    <row r="48" spans="2:10" s="1" customFormat="1">
      <c r="B48" s="85" t="s">
        <v>1267</v>
      </c>
      <c r="C48" s="86" t="s">
        <v>379</v>
      </c>
      <c r="D48" s="86" t="s">
        <v>49</v>
      </c>
      <c r="E48" s="478" t="s">
        <v>50</v>
      </c>
      <c r="F48" s="87" t="s">
        <v>52</v>
      </c>
      <c r="H48" s="70"/>
      <c r="I48" s="71" t="s">
        <v>379</v>
      </c>
      <c r="J48" s="7"/>
    </row>
    <row r="49" spans="2:10" s="5" customFormat="1">
      <c r="B49" s="23" t="s">
        <v>809</v>
      </c>
      <c r="C49" s="84">
        <v>1.67</v>
      </c>
      <c r="D49" s="88" t="s">
        <v>54</v>
      </c>
      <c r="E49" s="88">
        <v>2.5</v>
      </c>
      <c r="F49" s="12">
        <f>IFERROR(E49/C49-1,"-")</f>
        <v>0.49700598802395213</v>
      </c>
      <c r="H49" s="75" t="s">
        <v>982</v>
      </c>
      <c r="I49" s="74" cm="1">
        <f t="array" ref="I49">_xll.FDS($H49,"FG_PRICE")</f>
        <v>1.67</v>
      </c>
      <c r="J49" s="7"/>
    </row>
    <row r="50" spans="2:10" s="5" customFormat="1">
      <c r="B50" s="23" t="s">
        <v>258</v>
      </c>
      <c r="C50" s="89">
        <v>222</v>
      </c>
      <c r="D50" s="82" t="s">
        <v>51</v>
      </c>
      <c r="E50" s="89">
        <v>328</v>
      </c>
      <c r="F50" s="12">
        <f>IFERROR(E50/C50-1,"-")</f>
        <v>0.47747747747747749</v>
      </c>
      <c r="H50" s="75" t="s">
        <v>980</v>
      </c>
      <c r="I50" s="74" cm="1">
        <f t="array" ref="I50">_xll.FDS($H50,"FG_PRICE")</f>
        <v>222</v>
      </c>
      <c r="J50" s="7"/>
    </row>
    <row r="51" spans="2:10" s="5" customFormat="1">
      <c r="B51" s="23" t="s">
        <v>1265</v>
      </c>
      <c r="C51" s="84">
        <v>30.245000000000001</v>
      </c>
      <c r="D51" s="82" t="s">
        <v>51</v>
      </c>
      <c r="E51" s="84">
        <v>36</v>
      </c>
      <c r="F51" s="12">
        <f>IFERROR(E51/C51-1,"-")</f>
        <v>0.19027938502231767</v>
      </c>
      <c r="H51" s="75" t="s">
        <v>981</v>
      </c>
      <c r="I51" s="74" cm="1">
        <f t="array" ref="I51">_xll.FDS($H51,"FG_PRICE")</f>
        <v>30.245000000000001</v>
      </c>
      <c r="J51" s="7"/>
    </row>
    <row r="52" spans="2:10" s="5" customFormat="1">
      <c r="B52" s="23" t="s">
        <v>1264</v>
      </c>
      <c r="C52" s="84">
        <v>119.08</v>
      </c>
      <c r="D52" s="82" t="s">
        <v>51</v>
      </c>
      <c r="E52" s="84">
        <v>0</v>
      </c>
      <c r="F52" s="12">
        <f>IFERROR(E52/C52-1,"-")</f>
        <v>-1</v>
      </c>
      <c r="H52" s="75" t="s">
        <v>1266</v>
      </c>
      <c r="I52" s="74" cm="1">
        <f t="array" ref="I52">_xll.FDS($H52,"FG_PRICE")</f>
        <v>119.08</v>
      </c>
      <c r="J52" s="7"/>
    </row>
    <row r="53" spans="2:10" s="5" customFormat="1">
      <c r="B53" s="1"/>
      <c r="C53" s="1"/>
      <c r="D53" s="1"/>
      <c r="E53" s="1"/>
      <c r="F53" s="1"/>
      <c r="H53" s="70"/>
      <c r="I53" s="70"/>
      <c r="J53" s="7"/>
    </row>
    <row r="54" spans="2:10" s="5" customFormat="1">
      <c r="B54" s="85" t="s">
        <v>566</v>
      </c>
      <c r="C54" s="86" t="s">
        <v>379</v>
      </c>
      <c r="D54" s="86" t="s">
        <v>49</v>
      </c>
      <c r="E54" s="478" t="s">
        <v>50</v>
      </c>
      <c r="F54" s="87" t="s">
        <v>52</v>
      </c>
      <c r="H54" s="70"/>
      <c r="I54" s="71" t="s">
        <v>379</v>
      </c>
      <c r="J54" s="7"/>
    </row>
    <row r="55" spans="2:10" s="5" customFormat="1">
      <c r="B55" s="23" t="s">
        <v>567</v>
      </c>
      <c r="C55" s="81">
        <v>177.78</v>
      </c>
      <c r="D55" s="82" t="s">
        <v>51</v>
      </c>
      <c r="E55" s="81">
        <v>203</v>
      </c>
      <c r="F55" s="12">
        <f>IFERROR(E55/C55-1,"-")</f>
        <v>0.14186072674091577</v>
      </c>
      <c r="H55" s="75" t="s">
        <v>983</v>
      </c>
      <c r="I55" s="74" cm="1">
        <f t="array" ref="I55">_xll.FDS($H55,"FG_PRICE")</f>
        <v>177.78</v>
      </c>
      <c r="J55" s="7"/>
    </row>
    <row r="56" spans="2:10" s="1" customFormat="1">
      <c r="B56" s="23" t="s">
        <v>565</v>
      </c>
      <c r="C56" s="81">
        <v>86.215000000000003</v>
      </c>
      <c r="D56" s="82" t="s">
        <v>54</v>
      </c>
      <c r="E56" s="81">
        <v>93</v>
      </c>
      <c r="F56" s="12">
        <f>IFERROR(E56/C56-1,"-")</f>
        <v>7.8698602331380707E-2</v>
      </c>
      <c r="H56" s="70" t="s">
        <v>984</v>
      </c>
      <c r="I56" s="74" cm="1">
        <f t="array" ref="I56">_xll.FDS($H56,"FG_PRICE")</f>
        <v>86.215000000000003</v>
      </c>
      <c r="J56" s="7"/>
    </row>
    <row r="57" spans="2:10" s="5" customFormat="1">
      <c r="B57" s="23" t="s">
        <v>588</v>
      </c>
      <c r="C57" s="81">
        <v>217.5</v>
      </c>
      <c r="D57" s="82" t="s">
        <v>54</v>
      </c>
      <c r="E57" s="81">
        <v>212</v>
      </c>
      <c r="F57" s="12">
        <f>IFERROR(E57/C57-1,"-")</f>
        <v>-2.5287356321839094E-2</v>
      </c>
      <c r="H57" s="70" t="s">
        <v>990</v>
      </c>
      <c r="I57" s="74" cm="1">
        <f t="array" ref="I57">_xll.FDS($H57,"FG_PRICE")</f>
        <v>217.5</v>
      </c>
      <c r="J57" s="7"/>
    </row>
    <row r="58" spans="2:10" s="5" customFormat="1">
      <c r="H58" s="70"/>
      <c r="I58" s="26"/>
      <c r="J58" s="7"/>
    </row>
    <row r="59" spans="2:10" s="1" customFormat="1">
      <c r="B59" s="85" t="s">
        <v>1295</v>
      </c>
      <c r="C59" s="86" t="s">
        <v>379</v>
      </c>
      <c r="D59" s="86" t="s">
        <v>49</v>
      </c>
      <c r="E59" s="478" t="s">
        <v>50</v>
      </c>
      <c r="F59" s="87" t="s">
        <v>52</v>
      </c>
      <c r="H59" s="70"/>
      <c r="I59" s="71" t="s">
        <v>379</v>
      </c>
      <c r="J59" s="7"/>
    </row>
    <row r="60" spans="2:10" s="1" customFormat="1">
      <c r="B60" s="23" t="s">
        <v>332</v>
      </c>
      <c r="C60" s="89">
        <v>151.5</v>
      </c>
      <c r="D60" s="82" t="s">
        <v>51</v>
      </c>
      <c r="E60" s="89">
        <v>215</v>
      </c>
      <c r="F60" s="6">
        <f t="shared" ref="F60:F61" si="7">IFERROR(E60/C60-1,"-")</f>
        <v>0.41914191419141922</v>
      </c>
      <c r="H60" s="70" t="s">
        <v>985</v>
      </c>
      <c r="I60" s="74" cm="1">
        <f t="array" ref="I60">_xll.FDS($H60,"FG_PRICE")</f>
        <v>151.5</v>
      </c>
      <c r="J60" s="7"/>
    </row>
    <row r="61" spans="2:10" s="5" customFormat="1">
      <c r="B61" s="23" t="s">
        <v>180</v>
      </c>
      <c r="C61" s="84">
        <v>4.63</v>
      </c>
      <c r="D61" s="82" t="s">
        <v>51</v>
      </c>
      <c r="E61" s="84">
        <v>6.2</v>
      </c>
      <c r="F61" s="6">
        <f t="shared" si="7"/>
        <v>0.33909287257019449</v>
      </c>
      <c r="H61" s="75" t="s">
        <v>989</v>
      </c>
      <c r="I61" s="74" cm="1">
        <f t="array" ref="I61">_xll.FDS($H61,"FG_PRICE")</f>
        <v>4.63</v>
      </c>
      <c r="J61" s="7"/>
    </row>
    <row r="62" spans="2:10" s="5" customFormat="1">
      <c r="B62" s="1"/>
      <c r="C62" s="66"/>
      <c r="D62" s="15"/>
      <c r="E62" s="66"/>
      <c r="F62" s="16"/>
      <c r="H62" s="70"/>
      <c r="I62" s="77"/>
      <c r="J62" s="7"/>
    </row>
    <row r="63" spans="2:10" s="5" customFormat="1">
      <c r="B63" s="85" t="s">
        <v>1296</v>
      </c>
      <c r="C63" s="86" t="s">
        <v>379</v>
      </c>
      <c r="D63" s="86" t="s">
        <v>49</v>
      </c>
      <c r="E63" s="478" t="s">
        <v>50</v>
      </c>
      <c r="F63" s="87" t="s">
        <v>52</v>
      </c>
      <c r="H63" s="70"/>
      <c r="I63" s="71" t="s">
        <v>379</v>
      </c>
      <c r="J63" s="7"/>
    </row>
    <row r="64" spans="2:10" s="1" customFormat="1">
      <c r="B64" s="23" t="s">
        <v>253</v>
      </c>
      <c r="C64" s="89">
        <v>2565</v>
      </c>
      <c r="D64" s="82" t="s">
        <v>51</v>
      </c>
      <c r="E64" s="89">
        <v>3150</v>
      </c>
      <c r="F64" s="6">
        <f t="shared" ref="F64:F66" si="8">IFERROR(E64/C64-1,"-")</f>
        <v>0.22807017543859653</v>
      </c>
      <c r="H64" s="70" t="s">
        <v>986</v>
      </c>
      <c r="I64" s="74" cm="1">
        <f t="array" ref="I64">_xll.FDS($H64,"FG_PRICE")</f>
        <v>2565</v>
      </c>
      <c r="J64" s="7"/>
    </row>
    <row r="65" spans="2:10" s="1" customFormat="1">
      <c r="B65" s="23" t="s">
        <v>855</v>
      </c>
      <c r="C65" s="89">
        <v>775.3</v>
      </c>
      <c r="D65" s="82" t="s">
        <v>53</v>
      </c>
      <c r="E65" s="89">
        <v>510</v>
      </c>
      <c r="F65" s="6">
        <f t="shared" si="8"/>
        <v>-0.3421901199535663</v>
      </c>
      <c r="H65" s="70" t="s">
        <v>987</v>
      </c>
      <c r="I65" s="74" cm="1">
        <f t="array" ref="I65">_xll.FDS($H65,"FG_PRICE")</f>
        <v>775.3</v>
      </c>
      <c r="J65" s="7"/>
    </row>
    <row r="66" spans="2:10" s="1" customFormat="1">
      <c r="B66" s="23" t="s">
        <v>852</v>
      </c>
      <c r="C66" s="89">
        <v>220.2</v>
      </c>
      <c r="D66" s="82" t="s">
        <v>51</v>
      </c>
      <c r="E66" s="89">
        <v>270</v>
      </c>
      <c r="F66" s="6">
        <f t="shared" si="8"/>
        <v>0.22615803814713908</v>
      </c>
      <c r="H66" s="70" t="s">
        <v>988</v>
      </c>
      <c r="I66" s="74" cm="1">
        <f t="array" ref="I66">_xll.FDS($H66,"FG_PRICE")</f>
        <v>220.2</v>
      </c>
      <c r="J66" s="7"/>
    </row>
    <row r="67" spans="2:10" s="1" customFormat="1">
      <c r="H67" s="70"/>
      <c r="I67" s="70"/>
      <c r="J67" s="7"/>
    </row>
    <row r="68" spans="2:10" s="1" customFormat="1">
      <c r="B68" s="85" t="s">
        <v>298</v>
      </c>
      <c r="C68" s="86" t="s">
        <v>379</v>
      </c>
      <c r="D68" s="86" t="s">
        <v>49</v>
      </c>
      <c r="E68" s="478" t="s">
        <v>50</v>
      </c>
      <c r="F68" s="87" t="s">
        <v>52</v>
      </c>
      <c r="H68" s="70"/>
      <c r="I68" s="71" t="s">
        <v>379</v>
      </c>
      <c r="J68" s="7"/>
    </row>
    <row r="69" spans="2:10" s="1" customFormat="1">
      <c r="B69" s="23" t="s">
        <v>248</v>
      </c>
      <c r="C69" s="82">
        <v>5.01</v>
      </c>
      <c r="D69" s="82" t="s">
        <v>51</v>
      </c>
      <c r="E69" s="83">
        <v>8.75</v>
      </c>
      <c r="F69" s="6">
        <f t="shared" ref="F69:F71" si="9">IFERROR(E69/C69-1,"-")</f>
        <v>0.7465069860279443</v>
      </c>
      <c r="H69" s="75" t="s">
        <v>991</v>
      </c>
      <c r="I69" s="74" cm="1">
        <f t="array" ref="I69">_xll.FDS($H69,"FG_PRICE")</f>
        <v>5.01</v>
      </c>
      <c r="J69" s="7"/>
    </row>
    <row r="70" spans="2:10" s="1" customFormat="1">
      <c r="B70" s="23" t="s">
        <v>201</v>
      </c>
      <c r="C70" s="82">
        <v>7.26</v>
      </c>
      <c r="D70" s="82" t="s">
        <v>51</v>
      </c>
      <c r="E70" s="82">
        <v>13.2</v>
      </c>
      <c r="F70" s="6">
        <f t="shared" si="9"/>
        <v>0.81818181818181812</v>
      </c>
      <c r="H70" s="75" t="s">
        <v>992</v>
      </c>
      <c r="I70" s="74" cm="1">
        <f t="array" ref="I70">_xll.FDS($H70,"FG_PRICE")</f>
        <v>7.26</v>
      </c>
      <c r="J70" s="7"/>
    </row>
    <row r="71" spans="2:10" s="1" customFormat="1">
      <c r="B71" s="23" t="s">
        <v>359</v>
      </c>
      <c r="C71" s="89">
        <v>2810</v>
      </c>
      <c r="D71" s="82" t="s">
        <v>54</v>
      </c>
      <c r="E71" s="89">
        <v>3500</v>
      </c>
      <c r="F71" s="6">
        <f t="shared" si="9"/>
        <v>0.24555160142348753</v>
      </c>
      <c r="H71" s="75" t="s">
        <v>993</v>
      </c>
      <c r="I71" s="74" cm="1">
        <f t="array" ref="I71">_xll.FDS($H71,"FG_PRICE")</f>
        <v>2810</v>
      </c>
      <c r="J71" s="7"/>
    </row>
    <row r="72" spans="2:10" s="1" customFormat="1">
      <c r="B72" s="5"/>
      <c r="C72" s="17"/>
      <c r="D72" s="18"/>
      <c r="E72" s="17"/>
      <c r="F72" s="19"/>
      <c r="H72" s="70"/>
      <c r="I72" s="26"/>
      <c r="J72" s="7"/>
    </row>
    <row r="73" spans="2:10" s="1" customFormat="1">
      <c r="B73" s="85" t="s">
        <v>299</v>
      </c>
      <c r="C73" s="86" t="s">
        <v>379</v>
      </c>
      <c r="D73" s="86" t="s">
        <v>49</v>
      </c>
      <c r="E73" s="478" t="s">
        <v>50</v>
      </c>
      <c r="F73" s="87" t="s">
        <v>52</v>
      </c>
      <c r="H73" s="70"/>
      <c r="I73" s="76" t="s">
        <v>379</v>
      </c>
      <c r="J73" s="7"/>
    </row>
    <row r="74" spans="2:10" s="1" customFormat="1">
      <c r="B74" s="23" t="s">
        <v>462</v>
      </c>
      <c r="C74" s="89">
        <v>349</v>
      </c>
      <c r="D74" s="82" t="s">
        <v>51</v>
      </c>
      <c r="E74" s="89">
        <v>330</v>
      </c>
      <c r="F74" s="6">
        <f t="shared" ref="F74:F86" si="10">IFERROR(E74/C74-1,"-")</f>
        <v>-5.4441260744985676E-2</v>
      </c>
      <c r="H74" s="75" t="s">
        <v>995</v>
      </c>
      <c r="I74" s="74" cm="1">
        <f t="array" ref="I74">_xll.FDS($H74,"FG_PRICE")</f>
        <v>349</v>
      </c>
      <c r="J74" s="7"/>
    </row>
    <row r="75" spans="2:10" s="1" customFormat="1">
      <c r="B75" s="23" t="s">
        <v>272</v>
      </c>
      <c r="C75" s="84">
        <v>2.2400000000000002</v>
      </c>
      <c r="D75" s="82" t="s">
        <v>51</v>
      </c>
      <c r="E75" s="84">
        <v>4.5</v>
      </c>
      <c r="F75" s="6">
        <f t="shared" si="10"/>
        <v>1.0089285714285712</v>
      </c>
      <c r="H75" s="70" t="s">
        <v>997</v>
      </c>
      <c r="I75" s="74" cm="1">
        <f t="array" ref="I75">_xll.FDS($H75,"FG_PRICE")</f>
        <v>2.2400000000000002</v>
      </c>
      <c r="J75" s="7"/>
    </row>
    <row r="76" spans="2:10" s="1" customFormat="1">
      <c r="B76" s="23" t="s">
        <v>281</v>
      </c>
      <c r="C76" s="81">
        <v>1814.7</v>
      </c>
      <c r="D76" s="82" t="s">
        <v>51</v>
      </c>
      <c r="E76" s="81">
        <v>2750</v>
      </c>
      <c r="F76" s="6">
        <f t="shared" si="10"/>
        <v>0.51540199482008031</v>
      </c>
      <c r="H76" s="75" t="s">
        <v>998</v>
      </c>
      <c r="I76" s="74" cm="1">
        <f t="array" ref="I76">_xll.FDS($H76,"FG_PRICE")</f>
        <v>1814.7</v>
      </c>
      <c r="J76" s="7"/>
    </row>
    <row r="77" spans="2:10" s="1" customFormat="1">
      <c r="B77" s="23" t="s">
        <v>393</v>
      </c>
      <c r="C77" s="82">
        <v>83.9</v>
      </c>
      <c r="D77" s="82" t="s">
        <v>51</v>
      </c>
      <c r="E77" s="82">
        <v>115</v>
      </c>
      <c r="F77" s="6">
        <f t="shared" si="10"/>
        <v>0.37067938021454094</v>
      </c>
      <c r="H77" s="70" t="s">
        <v>996</v>
      </c>
      <c r="I77" s="74" cm="1">
        <f t="array" ref="I77">_xll.FDS($H77,"FG_PRICE")</f>
        <v>83.9</v>
      </c>
      <c r="J77" s="7"/>
    </row>
    <row r="78" spans="2:10" s="1" customFormat="1">
      <c r="B78" s="23" t="s">
        <v>294</v>
      </c>
      <c r="C78" s="84">
        <v>2.97</v>
      </c>
      <c r="D78" s="82" t="s">
        <v>51</v>
      </c>
      <c r="E78" s="84">
        <v>5.6</v>
      </c>
      <c r="F78" s="6">
        <f t="shared" si="10"/>
        <v>0.88552188552188538</v>
      </c>
      <c r="H78" s="75" t="s">
        <v>999</v>
      </c>
      <c r="I78" s="74" cm="1">
        <f t="array" ref="I78">_xll.FDS($H78,"FG_PRICE")</f>
        <v>2.97</v>
      </c>
      <c r="J78" s="7"/>
    </row>
    <row r="79" spans="2:10" s="1" customFormat="1">
      <c r="B79" s="23" t="s">
        <v>1000</v>
      </c>
      <c r="C79" s="82">
        <v>9.52</v>
      </c>
      <c r="D79" s="82" t="s">
        <v>54</v>
      </c>
      <c r="E79" s="84">
        <v>10</v>
      </c>
      <c r="F79" s="20">
        <f t="shared" si="10"/>
        <v>5.0420168067226934E-2</v>
      </c>
      <c r="G79" s="9"/>
      <c r="H79" s="75" t="s">
        <v>1001</v>
      </c>
      <c r="I79" s="74" cm="1">
        <f t="array" ref="I79">_xll.FDS($H79,"FG_PRICE")</f>
        <v>9.52</v>
      </c>
      <c r="J79" s="7"/>
    </row>
    <row r="80" spans="2:10" s="1" customFormat="1">
      <c r="B80" s="23" t="s">
        <v>460</v>
      </c>
      <c r="C80" s="89">
        <v>1970</v>
      </c>
      <c r="D80" s="82" t="s">
        <v>51</v>
      </c>
      <c r="E80" s="89">
        <v>2800</v>
      </c>
      <c r="F80" s="6">
        <f t="shared" si="10"/>
        <v>0.42131979695431476</v>
      </c>
      <c r="H80" s="75" t="s">
        <v>1002</v>
      </c>
      <c r="I80" s="74" cm="1">
        <f t="array" ref="I80">_xll.FDS($H80,"FG_PRICE")</f>
        <v>1970</v>
      </c>
      <c r="J80" s="7"/>
    </row>
    <row r="81" spans="2:10" s="1" customFormat="1">
      <c r="B81" s="23" t="s">
        <v>295</v>
      </c>
      <c r="C81" s="84">
        <v>61700</v>
      </c>
      <c r="D81" s="82" t="s">
        <v>51</v>
      </c>
      <c r="E81" s="84">
        <v>105000</v>
      </c>
      <c r="F81" s="6">
        <f t="shared" si="10"/>
        <v>0.70178282009724469</v>
      </c>
      <c r="H81" s="70" t="s">
        <v>1218</v>
      </c>
      <c r="I81" s="74" cm="1">
        <f t="array" ref="I81">_xll.FDS($H81,"FG_PRICE")</f>
        <v>61700</v>
      </c>
      <c r="J81" s="7"/>
    </row>
    <row r="82" spans="2:10" s="1" customFormat="1">
      <c r="B82" s="23" t="s">
        <v>186</v>
      </c>
      <c r="C82" s="89">
        <v>16600</v>
      </c>
      <c r="D82" s="82" t="s">
        <v>51</v>
      </c>
      <c r="E82" s="89">
        <v>19000</v>
      </c>
      <c r="F82" s="6">
        <f t="shared" si="10"/>
        <v>0.14457831325301207</v>
      </c>
      <c r="H82" s="75" t="s">
        <v>1003</v>
      </c>
      <c r="I82" s="74" cm="1">
        <f t="array" ref="I82">_xll.FDS($H82,"FG_PRICE")</f>
        <v>16600</v>
      </c>
      <c r="J82" s="7"/>
    </row>
    <row r="83" spans="2:10" s="1" customFormat="1">
      <c r="B83" s="23" t="s">
        <v>293</v>
      </c>
      <c r="C83" s="82">
        <v>3.5</v>
      </c>
      <c r="D83" s="82" t="s">
        <v>51</v>
      </c>
      <c r="E83" s="82">
        <v>5.0999999999999996</v>
      </c>
      <c r="F83" s="6">
        <f t="shared" si="10"/>
        <v>0.45714285714285707</v>
      </c>
      <c r="H83" s="75" t="s">
        <v>1004</v>
      </c>
      <c r="I83" s="74" cm="1">
        <f t="array" ref="I83">_xll.FDS($H83,"FG_PRICE")</f>
        <v>3.5</v>
      </c>
      <c r="J83" s="7"/>
    </row>
    <row r="84" spans="2:10" s="1" customFormat="1">
      <c r="B84" s="23" t="s">
        <v>356</v>
      </c>
      <c r="C84" s="89">
        <v>100000</v>
      </c>
      <c r="D84" s="82" t="s">
        <v>54</v>
      </c>
      <c r="E84" s="89">
        <v>78000</v>
      </c>
      <c r="F84" s="6">
        <f t="shared" si="10"/>
        <v>-0.21999999999999997</v>
      </c>
      <c r="H84" s="75" t="s">
        <v>1005</v>
      </c>
      <c r="I84" s="74" cm="1">
        <f t="array" ref="I84">_xll.FDS($H84,"FG_PRICE")</f>
        <v>100000</v>
      </c>
      <c r="J84" s="7"/>
    </row>
    <row r="85" spans="2:10" s="1" customFormat="1">
      <c r="B85" s="23" t="s">
        <v>34</v>
      </c>
      <c r="C85" s="82">
        <v>13.5</v>
      </c>
      <c r="D85" s="82" t="s">
        <v>51</v>
      </c>
      <c r="E85" s="82">
        <v>18</v>
      </c>
      <c r="F85" s="6">
        <f t="shared" si="10"/>
        <v>0.33333333333333326</v>
      </c>
      <c r="H85" s="75" t="s">
        <v>1006</v>
      </c>
      <c r="I85" s="74" cm="1">
        <f t="array" ref="I85">_xll.FDS($H85,"FG_PRICE")</f>
        <v>13.5</v>
      </c>
      <c r="J85" s="7"/>
    </row>
    <row r="86" spans="2:10" s="1" customFormat="1">
      <c r="B86" s="23" t="s">
        <v>289</v>
      </c>
      <c r="C86" s="89">
        <v>3070</v>
      </c>
      <c r="D86" s="82" t="s">
        <v>51</v>
      </c>
      <c r="E86" s="89">
        <v>4500</v>
      </c>
      <c r="F86" s="6">
        <f t="shared" si="10"/>
        <v>0.46579804560260585</v>
      </c>
      <c r="H86" s="75" t="s">
        <v>1007</v>
      </c>
      <c r="I86" s="74" cm="1">
        <f t="array" ref="I86">_xll.FDS($H86,"FG_PRICE")</f>
        <v>3070</v>
      </c>
      <c r="J86" s="7"/>
    </row>
    <row r="87" spans="2:10" s="1" customFormat="1">
      <c r="F87" s="6"/>
      <c r="H87" s="70"/>
      <c r="I87" s="70"/>
      <c r="J87" s="7"/>
    </row>
    <row r="88" spans="2:10" s="1" customFormat="1">
      <c r="B88" s="85" t="s">
        <v>646</v>
      </c>
      <c r="C88" s="86" t="s">
        <v>379</v>
      </c>
      <c r="D88" s="86" t="s">
        <v>49</v>
      </c>
      <c r="E88" s="478" t="s">
        <v>50</v>
      </c>
      <c r="F88" s="87" t="s">
        <v>52</v>
      </c>
      <c r="H88" s="70"/>
      <c r="I88" s="71" t="s">
        <v>379</v>
      </c>
      <c r="J88" s="7"/>
    </row>
    <row r="89" spans="2:10" s="1" customFormat="1">
      <c r="B89" s="23" t="s">
        <v>631</v>
      </c>
      <c r="C89" s="91">
        <v>402.15</v>
      </c>
      <c r="D89" s="90" t="s">
        <v>54</v>
      </c>
      <c r="E89" s="91">
        <v>400</v>
      </c>
      <c r="F89" s="6">
        <f t="shared" ref="F89:F93" si="11">IFERROR(E89/C89-1,"-")</f>
        <v>-5.3462638319035083E-3</v>
      </c>
      <c r="H89" s="75" t="s">
        <v>1008</v>
      </c>
      <c r="I89" s="74" cm="1">
        <f t="array" ref="I89">_xll.FDS($H89,"FG_PRICE")</f>
        <v>402.15</v>
      </c>
      <c r="J89" s="7"/>
    </row>
    <row r="90" spans="2:10" s="1" customFormat="1">
      <c r="B90" s="23" t="s">
        <v>836</v>
      </c>
      <c r="C90" s="90">
        <v>11.16</v>
      </c>
      <c r="D90" s="90" t="s">
        <v>51</v>
      </c>
      <c r="E90" s="90">
        <v>14</v>
      </c>
      <c r="F90" s="6">
        <f t="shared" si="11"/>
        <v>0.25448028673835132</v>
      </c>
      <c r="H90" s="75" t="s">
        <v>1009</v>
      </c>
      <c r="I90" s="74" cm="1">
        <f t="array" ref="I90">_xll.FDS($H90,"FG_PRICE")</f>
        <v>11.16</v>
      </c>
      <c r="J90" s="7"/>
    </row>
    <row r="91" spans="2:10" s="1" customFormat="1">
      <c r="B91" s="23" t="s">
        <v>645</v>
      </c>
      <c r="C91" s="89">
        <v>488</v>
      </c>
      <c r="D91" s="90" t="s">
        <v>51</v>
      </c>
      <c r="E91" s="89">
        <v>780</v>
      </c>
      <c r="F91" s="6">
        <f t="shared" si="11"/>
        <v>0.59836065573770503</v>
      </c>
      <c r="H91" s="75" t="s">
        <v>1010</v>
      </c>
      <c r="I91" s="74" cm="1">
        <f t="array" ref="I91">_xll.FDS($H91,"FG_PRICE")</f>
        <v>488</v>
      </c>
      <c r="J91" s="7"/>
    </row>
    <row r="92" spans="2:10" s="1" customFormat="1">
      <c r="B92" s="23" t="s">
        <v>644</v>
      </c>
      <c r="C92" s="89">
        <v>1875</v>
      </c>
      <c r="D92" s="90" t="s">
        <v>53</v>
      </c>
      <c r="E92" s="89">
        <v>1250</v>
      </c>
      <c r="F92" s="6">
        <f t="shared" si="11"/>
        <v>-0.33333333333333337</v>
      </c>
      <c r="H92" s="75" t="s">
        <v>1011</v>
      </c>
      <c r="I92" s="74" cm="1">
        <f t="array" ref="I92">_xll.FDS($H92,"FG_PRICE")</f>
        <v>1875</v>
      </c>
      <c r="J92" s="7"/>
    </row>
    <row r="93" spans="2:10" s="1" customFormat="1">
      <c r="B93" s="23" t="s">
        <v>1111</v>
      </c>
      <c r="C93" s="89">
        <v>530</v>
      </c>
      <c r="D93" s="82" t="s">
        <v>51</v>
      </c>
      <c r="E93" s="90">
        <v>740</v>
      </c>
      <c r="F93" s="6">
        <f t="shared" si="11"/>
        <v>0.39622641509433953</v>
      </c>
      <c r="H93" s="75" t="s">
        <v>1113</v>
      </c>
      <c r="I93" s="74" cm="1">
        <f t="array" ref="I93">_xll.FDS($H93,"FG_PRICE")</f>
        <v>530</v>
      </c>
      <c r="J93" s="7"/>
    </row>
    <row r="94" spans="2:10" s="1" customFormat="1">
      <c r="B94" s="67"/>
      <c r="C94" s="68"/>
      <c r="D94" s="21"/>
      <c r="E94" s="68"/>
      <c r="F94" s="19"/>
      <c r="H94" s="70"/>
      <c r="I94" s="26"/>
      <c r="J94" s="7"/>
    </row>
    <row r="95" spans="2:10" s="1" customFormat="1">
      <c r="B95" s="85" t="s">
        <v>297</v>
      </c>
      <c r="C95" s="86" t="s">
        <v>379</v>
      </c>
      <c r="D95" s="86" t="s">
        <v>49</v>
      </c>
      <c r="E95" s="478" t="s">
        <v>50</v>
      </c>
      <c r="F95" s="87" t="s">
        <v>52</v>
      </c>
      <c r="H95" s="70"/>
      <c r="I95" s="71" t="s">
        <v>379</v>
      </c>
      <c r="J95" s="7"/>
    </row>
    <row r="96" spans="2:10" s="1" customFormat="1">
      <c r="B96" s="23" t="s">
        <v>875</v>
      </c>
      <c r="C96" s="84">
        <v>3.5960000000000001</v>
      </c>
      <c r="D96" s="82" t="s">
        <v>51</v>
      </c>
      <c r="E96" s="84">
        <v>4.5999999999999996</v>
      </c>
      <c r="F96" s="6">
        <f t="shared" ref="F96" si="12">IFERROR(E96/C96-1,"-")</f>
        <v>0.2791991101223581</v>
      </c>
      <c r="H96" s="70" t="s">
        <v>1082</v>
      </c>
      <c r="I96" s="74" cm="1">
        <f t="array" ref="I96">_xll.FDS($H96,"FG_PRICE")</f>
        <v>3.5960000000000001</v>
      </c>
      <c r="J96" s="7"/>
    </row>
    <row r="97" spans="2:10" s="1" customFormat="1">
      <c r="B97" s="23" t="s">
        <v>327</v>
      </c>
      <c r="C97" s="89">
        <v>20635</v>
      </c>
      <c r="D97" s="82" t="s">
        <v>51</v>
      </c>
      <c r="E97" s="89">
        <v>28000</v>
      </c>
      <c r="F97" s="6">
        <f t="shared" ref="F97:F100" si="13">IFERROR(E97/C97-1,"-")</f>
        <v>0.35691785800823839</v>
      </c>
      <c r="H97" s="75" t="s">
        <v>1012</v>
      </c>
      <c r="I97" s="74" cm="1">
        <f t="array" ref="I97">_xll.FDS($H97,"FG_PRICE")*100</f>
        <v>20635</v>
      </c>
      <c r="J97" s="7"/>
    </row>
    <row r="98" spans="2:10" s="1" customFormat="1">
      <c r="B98" s="23" t="s">
        <v>334</v>
      </c>
      <c r="C98" s="84">
        <v>29.9</v>
      </c>
      <c r="D98" s="82" t="s">
        <v>51</v>
      </c>
      <c r="E98" s="84">
        <v>40</v>
      </c>
      <c r="F98" s="6">
        <f t="shared" si="13"/>
        <v>0.33779264214046822</v>
      </c>
      <c r="H98" s="75" t="s">
        <v>1013</v>
      </c>
      <c r="I98" s="74" cm="1">
        <f t="array" ref="I98">_xll.FDS($H98,"FG_PRICE")</f>
        <v>29.9</v>
      </c>
      <c r="J98" s="7"/>
    </row>
    <row r="99" spans="2:10" s="1" customFormat="1">
      <c r="B99" s="23" t="s">
        <v>806</v>
      </c>
      <c r="C99" s="82">
        <v>54.91</v>
      </c>
      <c r="D99" s="82" t="s">
        <v>51</v>
      </c>
      <c r="E99" s="82">
        <v>100</v>
      </c>
      <c r="F99" s="6">
        <f t="shared" si="13"/>
        <v>0.82116190129302513</v>
      </c>
      <c r="H99" s="75" t="s">
        <v>1071</v>
      </c>
      <c r="I99" s="74" cm="1">
        <f t="array" ref="I99">_xll.FDS($H99,"FG_PRICE")</f>
        <v>54.91</v>
      </c>
      <c r="J99" s="7"/>
    </row>
    <row r="100" spans="2:10" s="1" customFormat="1">
      <c r="B100" s="23" t="s">
        <v>307</v>
      </c>
      <c r="C100" s="89">
        <v>14558.000000000002</v>
      </c>
      <c r="D100" s="82" t="s">
        <v>51</v>
      </c>
      <c r="E100" s="89">
        <v>21500</v>
      </c>
      <c r="F100" s="6">
        <f t="shared" si="13"/>
        <v>0.47685121582634959</v>
      </c>
      <c r="H100" s="75" t="s">
        <v>1014</v>
      </c>
      <c r="I100" s="74" cm="1">
        <f t="array" ref="I100">_xll.FDS($H100,"FG_PRICE")*100</f>
        <v>14558.000000000002</v>
      </c>
      <c r="J100" s="7"/>
    </row>
    <row r="101" spans="2:10" s="1" customFormat="1">
      <c r="C101" s="2"/>
      <c r="D101" s="2"/>
      <c r="E101" s="2"/>
      <c r="H101" s="70"/>
      <c r="I101" s="78"/>
      <c r="J101" s="7"/>
    </row>
    <row r="102" spans="2:10" s="1" customFormat="1">
      <c r="B102" s="85" t="s">
        <v>1101</v>
      </c>
      <c r="C102" s="86" t="s">
        <v>379</v>
      </c>
      <c r="D102" s="86" t="s">
        <v>49</v>
      </c>
      <c r="E102" s="478" t="s">
        <v>50</v>
      </c>
      <c r="F102" s="87" t="s">
        <v>52</v>
      </c>
      <c r="H102" s="70"/>
      <c r="I102" s="71" t="s">
        <v>379</v>
      </c>
      <c r="J102" s="7"/>
    </row>
    <row r="103" spans="2:10" s="1" customFormat="1">
      <c r="B103" s="23" t="s">
        <v>1288</v>
      </c>
      <c r="C103" s="92">
        <v>8.2104999999999997</v>
      </c>
      <c r="D103" s="92" t="s">
        <v>51</v>
      </c>
      <c r="E103" s="92">
        <v>10</v>
      </c>
      <c r="F103" s="6">
        <f>IFERROR(E103/C103-1,"-")</f>
        <v>0.2179526216430181</v>
      </c>
      <c r="H103" s="70" t="s">
        <v>1110</v>
      </c>
      <c r="I103" s="74" cm="1">
        <f t="array" ref="I103">_xll.FDS($H103,"FG_PRICE")</f>
        <v>8.2104999999999997</v>
      </c>
      <c r="J103" s="7"/>
    </row>
    <row r="104" spans="2:10" s="1" customFormat="1">
      <c r="B104" s="23" t="s">
        <v>1286</v>
      </c>
      <c r="C104" s="92">
        <v>1.9750000000000001</v>
      </c>
      <c r="D104" s="92" t="s">
        <v>51</v>
      </c>
      <c r="E104" s="92">
        <v>1.8</v>
      </c>
      <c r="F104" s="6">
        <f>IFERROR(E104/C104-1,"-")</f>
        <v>-8.8607594936708889E-2</v>
      </c>
      <c r="H104" s="70" t="s">
        <v>1287</v>
      </c>
      <c r="I104" s="74" cm="1">
        <f t="array" ref="I104">_xll.FDS($H104,"FG_PRICE")</f>
        <v>1.9750000000000001</v>
      </c>
      <c r="J104" s="7"/>
    </row>
    <row r="105" spans="2:10" s="1" customFormat="1">
      <c r="C105" s="2"/>
      <c r="D105" s="2"/>
      <c r="E105" s="2"/>
      <c r="H105" s="70"/>
      <c r="I105" s="78"/>
      <c r="J105" s="7"/>
    </row>
    <row r="106" spans="2:10" s="1" customFormat="1">
      <c r="B106" s="85" t="s">
        <v>296</v>
      </c>
      <c r="C106" s="86" t="s">
        <v>379</v>
      </c>
      <c r="D106" s="86" t="s">
        <v>49</v>
      </c>
      <c r="E106" s="478" t="s">
        <v>50</v>
      </c>
      <c r="F106" s="87" t="s">
        <v>52</v>
      </c>
      <c r="H106" s="26"/>
      <c r="I106" s="71" t="s">
        <v>379</v>
      </c>
      <c r="J106" s="7"/>
    </row>
    <row r="107" spans="2:10" s="1" customFormat="1">
      <c r="B107" s="23" t="s">
        <v>282</v>
      </c>
      <c r="C107" s="82">
        <v>22.8</v>
      </c>
      <c r="D107" s="82" t="s">
        <v>51</v>
      </c>
      <c r="E107" s="90">
        <v>24</v>
      </c>
      <c r="F107" s="6">
        <f t="shared" ref="F107:F109" si="14">IFERROR(E107/C107-1,"-")</f>
        <v>5.2631578947368363E-2</v>
      </c>
      <c r="H107" s="75" t="s">
        <v>1219</v>
      </c>
      <c r="I107" s="74" cm="1">
        <f t="array" ref="I107">_xll.FDS($H107,"FG_PRICE")</f>
        <v>22.8</v>
      </c>
      <c r="J107" s="7"/>
    </row>
    <row r="108" spans="2:10" s="1" customFormat="1">
      <c r="B108" s="23" t="s">
        <v>561</v>
      </c>
      <c r="C108" s="82">
        <v>3.05</v>
      </c>
      <c r="D108" s="82" t="s">
        <v>54</v>
      </c>
      <c r="E108" s="90">
        <v>3.7</v>
      </c>
      <c r="F108" s="6">
        <f t="shared" si="14"/>
        <v>0.21311475409836089</v>
      </c>
      <c r="H108" s="70" t="s">
        <v>1015</v>
      </c>
      <c r="I108" s="74" cm="1">
        <f t="array" ref="I108">_xll.FDS($H108,"FG_PRICE")</f>
        <v>3.05</v>
      </c>
      <c r="J108" s="7"/>
    </row>
    <row r="109" spans="2:10" s="1" customFormat="1">
      <c r="B109" s="23" t="s">
        <v>568</v>
      </c>
      <c r="C109" s="84">
        <v>39.880000000000003</v>
      </c>
      <c r="D109" s="82" t="s">
        <v>51</v>
      </c>
      <c r="E109" s="90">
        <v>43</v>
      </c>
      <c r="F109" s="6">
        <f t="shared" si="14"/>
        <v>7.8234704112337017E-2</v>
      </c>
      <c r="H109" s="70" t="s">
        <v>1021</v>
      </c>
      <c r="I109" s="74" cm="1">
        <f t="array" ref="I109">_xll.FDS($H109,"FG_PRICE")</f>
        <v>39.880000000000003</v>
      </c>
      <c r="J109" s="7"/>
    </row>
    <row r="110" spans="2:10" s="1" customFormat="1">
      <c r="F110" s="69"/>
      <c r="H110" s="70"/>
      <c r="I110" s="26"/>
      <c r="J110" s="7"/>
    </row>
    <row r="111" spans="2:10" s="1" customFormat="1">
      <c r="B111" s="85" t="s">
        <v>1332</v>
      </c>
      <c r="C111" s="86" t="s">
        <v>379</v>
      </c>
      <c r="D111" s="86" t="s">
        <v>49</v>
      </c>
      <c r="E111" s="478" t="s">
        <v>50</v>
      </c>
      <c r="F111" s="87" t="s">
        <v>52</v>
      </c>
      <c r="H111" s="70"/>
      <c r="I111" s="71" t="s">
        <v>379</v>
      </c>
      <c r="J111" s="7"/>
    </row>
    <row r="112" spans="2:10" s="1" customFormat="1">
      <c r="B112" s="23" t="s">
        <v>532</v>
      </c>
      <c r="C112" s="89">
        <v>3643</v>
      </c>
      <c r="D112" s="82" t="s">
        <v>54</v>
      </c>
      <c r="E112" s="91">
        <v>3150</v>
      </c>
      <c r="F112" s="6">
        <f t="shared" ref="F112:F118" si="15">IFERROR(E112/C112-1,"-")</f>
        <v>-0.13532802635190777</v>
      </c>
      <c r="H112" s="70" t="s">
        <v>1016</v>
      </c>
      <c r="I112" s="74" cm="1">
        <f t="array" ref="I112">_xll.FDS($H112,"FG_PRICE")</f>
        <v>3643</v>
      </c>
      <c r="J112" s="7"/>
    </row>
    <row r="113" spans="2:10" s="1" customFormat="1">
      <c r="B113" s="23" t="s">
        <v>326</v>
      </c>
      <c r="C113" s="89">
        <v>83.625</v>
      </c>
      <c r="D113" s="82" t="s">
        <v>51</v>
      </c>
      <c r="E113" s="91">
        <v>70</v>
      </c>
      <c r="F113" s="6">
        <f t="shared" si="15"/>
        <v>-0.16292974588938713</v>
      </c>
      <c r="H113" s="75" t="s">
        <v>1063</v>
      </c>
      <c r="I113" s="74" cm="1">
        <f t="array" ref="I113">_xll.FDS($H113,"FG_PRICE")</f>
        <v>83.625</v>
      </c>
      <c r="J113" s="7"/>
    </row>
    <row r="114" spans="2:10" s="1" customFormat="1">
      <c r="B114" s="23" t="s">
        <v>92</v>
      </c>
      <c r="C114" s="84">
        <v>25.99</v>
      </c>
      <c r="D114" s="82" t="s">
        <v>51</v>
      </c>
      <c r="E114" s="90">
        <v>28</v>
      </c>
      <c r="F114" s="6">
        <f t="shared" si="15"/>
        <v>7.7337437475952342E-2</v>
      </c>
      <c r="H114" s="75" t="s">
        <v>1017</v>
      </c>
      <c r="I114" s="74" cm="1">
        <f t="array" ref="I114">_xll.FDS($H114,"FG_PRICE")</f>
        <v>25.99</v>
      </c>
      <c r="J114" s="7"/>
    </row>
    <row r="115" spans="2:10" s="1" customFormat="1">
      <c r="B115" s="23" t="s">
        <v>688</v>
      </c>
      <c r="C115" s="88">
        <v>59.4</v>
      </c>
      <c r="D115" s="90" t="s">
        <v>51</v>
      </c>
      <c r="E115" s="84">
        <v>75</v>
      </c>
      <c r="F115" s="6">
        <f t="shared" si="15"/>
        <v>0.26262626262626276</v>
      </c>
      <c r="H115" s="75" t="s">
        <v>1018</v>
      </c>
      <c r="I115" s="74" cm="1">
        <f t="array" ref="I115">_xll.FDS($H115,"FG_PRICE")</f>
        <v>59.4</v>
      </c>
      <c r="J115" s="7"/>
    </row>
    <row r="116" spans="2:10" s="1" customFormat="1">
      <c r="B116" s="23" t="s">
        <v>694</v>
      </c>
      <c r="C116" s="88">
        <v>8.34</v>
      </c>
      <c r="D116" s="90" t="s">
        <v>51</v>
      </c>
      <c r="E116" s="88">
        <v>14.9</v>
      </c>
      <c r="F116" s="6">
        <f t="shared" si="15"/>
        <v>0.78657074340527577</v>
      </c>
      <c r="H116" s="75" t="s">
        <v>1022</v>
      </c>
      <c r="I116" s="74" cm="1">
        <f t="array" ref="I116">_xll.FDS($H116,"FG_PRICE")</f>
        <v>8.34</v>
      </c>
      <c r="J116" s="7"/>
    </row>
    <row r="117" spans="2:10" s="1" customFormat="1">
      <c r="B117" s="23" t="s">
        <v>695</v>
      </c>
      <c r="C117" s="88">
        <v>10.24</v>
      </c>
      <c r="D117" s="90" t="s">
        <v>51</v>
      </c>
      <c r="E117" s="88">
        <v>14.9</v>
      </c>
      <c r="F117" s="6">
        <f t="shared" si="15"/>
        <v>0.455078125</v>
      </c>
      <c r="H117" s="75" t="s">
        <v>1019</v>
      </c>
      <c r="I117" s="74" cm="1">
        <f t="array" ref="I117">_xll.FDS($H117,"FG_PRICE")</f>
        <v>10.24</v>
      </c>
      <c r="J117" s="7"/>
    </row>
    <row r="118" spans="2:10" s="1" customFormat="1">
      <c r="B118" s="23" t="s">
        <v>696</v>
      </c>
      <c r="C118" s="88">
        <v>8.5250000000000004</v>
      </c>
      <c r="D118" s="90" t="s">
        <v>51</v>
      </c>
      <c r="E118" s="88">
        <v>14.9</v>
      </c>
      <c r="F118" s="6">
        <f t="shared" si="15"/>
        <v>0.74780058651026393</v>
      </c>
      <c r="H118" s="75" t="s">
        <v>1020</v>
      </c>
      <c r="I118" s="74" cm="1">
        <f t="array" ref="I118">_xll.FDS($H118,"FG_PRICE")</f>
        <v>8.5250000000000004</v>
      </c>
      <c r="J118" s="7"/>
    </row>
    <row r="119" spans="2:10" s="1" customFormat="1">
      <c r="C119" s="2"/>
      <c r="D119" s="2"/>
      <c r="E119" s="2"/>
      <c r="H119" s="70"/>
      <c r="I119" s="78"/>
      <c r="J119" s="7"/>
    </row>
    <row r="120" spans="2:10" s="1" customFormat="1">
      <c r="B120" s="85" t="s">
        <v>1100</v>
      </c>
      <c r="C120" s="86" t="s">
        <v>379</v>
      </c>
      <c r="D120" s="86" t="s">
        <v>49</v>
      </c>
      <c r="E120" s="478" t="s">
        <v>50</v>
      </c>
      <c r="F120" s="87" t="s">
        <v>52</v>
      </c>
      <c r="H120" s="70"/>
      <c r="I120" s="71" t="s">
        <v>379</v>
      </c>
      <c r="J120" s="7"/>
    </row>
    <row r="121" spans="2:10" s="1" customFormat="1">
      <c r="B121" s="23" t="s">
        <v>731</v>
      </c>
      <c r="C121" s="92">
        <v>16.16</v>
      </c>
      <c r="D121" s="92" t="s">
        <v>54</v>
      </c>
      <c r="E121" s="92">
        <v>17</v>
      </c>
      <c r="F121" s="6">
        <f>IFERROR(E121/C121-1,"-")</f>
        <v>5.1980198019802026E-2</v>
      </c>
      <c r="H121" s="75" t="s">
        <v>1132</v>
      </c>
      <c r="I121" s="74" cm="1">
        <f t="array" ref="I121">_xll.FDS($H121,"FG_PRICE")</f>
        <v>16.16</v>
      </c>
      <c r="J121" s="7"/>
    </row>
    <row r="122" spans="2:10" s="1" customFormat="1">
      <c r="C122" s="2"/>
      <c r="D122" s="2"/>
      <c r="E122" s="2"/>
      <c r="H122" s="70"/>
      <c r="I122" s="79"/>
      <c r="J122" s="7"/>
    </row>
    <row r="123" spans="2:10" s="1" customFormat="1">
      <c r="B123" s="85" t="s">
        <v>447</v>
      </c>
      <c r="C123" s="86" t="s">
        <v>379</v>
      </c>
      <c r="D123" s="2"/>
      <c r="E123" s="2"/>
      <c r="H123" s="70"/>
      <c r="I123" s="71" t="s">
        <v>379</v>
      </c>
      <c r="J123" s="7"/>
    </row>
    <row r="124" spans="2:10" s="1" customFormat="1">
      <c r="B124" s="22" t="s">
        <v>432</v>
      </c>
      <c r="C124" s="93">
        <v>18.475000000000001</v>
      </c>
      <c r="H124" s="75" t="s">
        <v>1023</v>
      </c>
      <c r="I124" s="74" cm="1">
        <f t="array" ref="I124">_xll.FDS($H124,"FG_PRICE")</f>
        <v>18.475000000000001</v>
      </c>
      <c r="J124" s="7"/>
    </row>
    <row r="125" spans="2:10" s="1" customFormat="1">
      <c r="B125" s="1" t="s">
        <v>328</v>
      </c>
      <c r="C125" s="94">
        <v>9.2200000000000006</v>
      </c>
      <c r="H125" s="75" t="s">
        <v>1064</v>
      </c>
      <c r="I125" s="74" cm="1">
        <f t="array" ref="I125">_xll.FDS($H125,"FG_PRICE")</f>
        <v>9.2200000000000006</v>
      </c>
      <c r="J125" s="7"/>
    </row>
    <row r="126" spans="2:10" s="1" customFormat="1">
      <c r="H126" s="70"/>
      <c r="I126" s="75"/>
      <c r="J126" s="7"/>
    </row>
    <row r="127" spans="2:10" s="1" customFormat="1">
      <c r="B127" s="85" t="s">
        <v>1070</v>
      </c>
      <c r="C127" s="86" t="s">
        <v>379</v>
      </c>
      <c r="E127" s="477" t="s">
        <v>1224</v>
      </c>
      <c r="F127" s="478"/>
      <c r="H127" s="70"/>
      <c r="I127" s="71" t="s">
        <v>379</v>
      </c>
      <c r="J127" s="7"/>
    </row>
    <row r="128" spans="2:10" s="1" customFormat="1">
      <c r="B128" s="22" t="s">
        <v>922</v>
      </c>
      <c r="C128" s="95">
        <v>0.78691685</v>
      </c>
      <c r="E128" s="479" t="s">
        <v>1225</v>
      </c>
      <c r="F128" s="480">
        <f>C128*C$135</f>
        <v>0.91964981359869502</v>
      </c>
      <c r="H128" s="70" t="s">
        <v>1024</v>
      </c>
      <c r="I128" s="74" cm="1">
        <f t="array" ref="I128">_xll.FDS($H128,"FG_PRICE")</f>
        <v>0.78691685</v>
      </c>
      <c r="J128" s="7"/>
    </row>
    <row r="129" spans="2:10" s="1" customFormat="1">
      <c r="B129" s="22" t="s">
        <v>923</v>
      </c>
      <c r="C129" s="95">
        <v>6.3946446999999997</v>
      </c>
      <c r="E129" s="479" t="s">
        <v>1226</v>
      </c>
      <c r="F129" s="480">
        <f t="shared" ref="F129:F167" si="16">C129*C$135</f>
        <v>7.4732594763790896</v>
      </c>
      <c r="H129" s="70" t="s">
        <v>1025</v>
      </c>
      <c r="I129" s="74" cm="1">
        <f t="array" ref="I129">_xll.FDS($H129,"FG_PRICE")</f>
        <v>6.3946446999999997</v>
      </c>
      <c r="J129" s="7"/>
    </row>
    <row r="130" spans="2:10" s="1" customFormat="1">
      <c r="B130" s="22" t="s">
        <v>924</v>
      </c>
      <c r="C130" s="96">
        <v>45.024994</v>
      </c>
      <c r="E130" s="479" t="s">
        <v>1227</v>
      </c>
      <c r="F130" s="480">
        <f t="shared" si="16"/>
        <v>52.619571355451797</v>
      </c>
      <c r="G130" s="1" t="s">
        <v>571</v>
      </c>
      <c r="H130" s="70" t="s">
        <v>1026</v>
      </c>
      <c r="I130" s="74" cm="1">
        <f t="array" ref="I130">_xll.FDS($H130,"FG_PRICE")</f>
        <v>45.024994</v>
      </c>
      <c r="J130" s="7"/>
    </row>
    <row r="131" spans="2:10" s="1" customFormat="1">
      <c r="B131" s="22" t="s">
        <v>925</v>
      </c>
      <c r="C131" s="95">
        <v>0.30790624</v>
      </c>
      <c r="E131" s="479" t="s">
        <v>1228</v>
      </c>
      <c r="F131" s="480">
        <f t="shared" si="16"/>
        <v>0.35984223266012799</v>
      </c>
      <c r="H131" s="70" t="s">
        <v>1027</v>
      </c>
      <c r="I131" s="74" cm="1">
        <f t="array" ref="I131">_xll.FDS($H131,"FG_PRICE")</f>
        <v>0.30790624</v>
      </c>
      <c r="J131" s="7"/>
    </row>
    <row r="132" spans="2:10" s="1" customFormat="1">
      <c r="B132" s="22" t="s">
        <v>926</v>
      </c>
      <c r="C132" s="95">
        <v>94.247500000000002</v>
      </c>
      <c r="E132" s="479" t="s">
        <v>1229</v>
      </c>
      <c r="F132" s="480">
        <f t="shared" si="16"/>
        <v>110.14466878825</v>
      </c>
      <c r="H132" s="70" t="s">
        <v>1028</v>
      </c>
      <c r="I132" s="74" cm="1">
        <f t="array" ref="I132">_xll.FDS($H132,"FG_PRICE")</f>
        <v>94.247500000000002</v>
      </c>
      <c r="J132" s="7"/>
    </row>
    <row r="133" spans="2:10" s="1" customFormat="1">
      <c r="B133" s="22" t="s">
        <v>927</v>
      </c>
      <c r="C133" s="97">
        <v>0.74167470000000002</v>
      </c>
      <c r="E133" s="479" t="s">
        <v>1230</v>
      </c>
      <c r="F133" s="480">
        <f t="shared" si="16"/>
        <v>0.86677645752009003</v>
      </c>
      <c r="H133" s="70" t="s">
        <v>1029</v>
      </c>
      <c r="I133" s="74" cm="1">
        <f t="array" ref="I133">_xll.FDS($H133,"FG_PRICE")</f>
        <v>0.74167470000000002</v>
      </c>
      <c r="J133" s="7"/>
    </row>
    <row r="134" spans="2:10" s="1" customFormat="1">
      <c r="B134" s="22" t="s">
        <v>928</v>
      </c>
      <c r="C134" s="95">
        <v>20.856967999999998</v>
      </c>
      <c r="E134" s="479" t="s">
        <v>1231</v>
      </c>
      <c r="F134" s="480">
        <f t="shared" si="16"/>
        <v>24.375010820309598</v>
      </c>
      <c r="H134" s="70" t="s">
        <v>1030</v>
      </c>
      <c r="I134" s="74" cm="1">
        <f t="array" ref="I134">_xll.FDS($H134,"FG_PRICE")</f>
        <v>20.856967999999998</v>
      </c>
      <c r="J134" s="7"/>
    </row>
    <row r="135" spans="2:10" s="1" customFormat="1">
      <c r="B135" s="22" t="s">
        <v>560</v>
      </c>
      <c r="C135" s="95">
        <v>1.1686747</v>
      </c>
      <c r="E135" s="481" t="s">
        <v>1232</v>
      </c>
      <c r="F135" s="482">
        <f>1/C135</f>
        <v>0.85567010221064943</v>
      </c>
      <c r="H135" s="70" t="s">
        <v>1065</v>
      </c>
      <c r="I135" s="74" cm="1">
        <f t="array" ref="I135">_xll.FDS($H135,"FG_PRICE")</f>
        <v>1.1686747</v>
      </c>
      <c r="J135" s="7"/>
    </row>
    <row r="136" spans="2:10" s="1" customFormat="1">
      <c r="B136" s="22" t="s">
        <v>929</v>
      </c>
      <c r="C136" s="98">
        <v>314.61516999999998</v>
      </c>
      <c r="E136" s="479" t="s">
        <v>1233</v>
      </c>
      <c r="F136" s="480">
        <f t="shared" si="16"/>
        <v>367.68278941519895</v>
      </c>
      <c r="H136" s="70" t="s">
        <v>1031</v>
      </c>
      <c r="I136" s="74" cm="1">
        <f t="array" ref="I136">_xll.FDS($H136,"FG_PRICE")</f>
        <v>314.61516999999998</v>
      </c>
      <c r="J136" s="7"/>
    </row>
    <row r="137" spans="2:10" s="1" customFormat="1">
      <c r="B137" s="22" t="s">
        <v>930</v>
      </c>
      <c r="C137" s="95">
        <v>9.3462514999999993</v>
      </c>
      <c r="E137" s="479" t="s">
        <v>1234</v>
      </c>
      <c r="F137" s="480">
        <f t="shared" si="16"/>
        <v>10.922727667887049</v>
      </c>
      <c r="H137" s="70" t="s">
        <v>1032</v>
      </c>
      <c r="I137" s="74" cm="1">
        <f t="array" ref="I137">_xll.FDS($H137,"FG_PRICE")</f>
        <v>9.3462514999999993</v>
      </c>
      <c r="J137" s="7"/>
    </row>
    <row r="138" spans="2:10" s="1" customFormat="1">
      <c r="B138" s="22" t="s">
        <v>676</v>
      </c>
      <c r="C138" s="95">
        <v>9.2735299999999992</v>
      </c>
      <c r="E138" s="479" t="s">
        <v>1235</v>
      </c>
      <c r="F138" s="480">
        <f t="shared" si="16"/>
        <v>10.837739890690999</v>
      </c>
      <c r="H138" s="70" t="s">
        <v>1033</v>
      </c>
      <c r="I138" s="74" cm="1">
        <f t="array" ref="I138">_xll.FDS($H138,"FG_PRICE")</f>
        <v>9.2735299999999992</v>
      </c>
      <c r="J138" s="7"/>
    </row>
    <row r="139" spans="2:10" s="1" customFormat="1">
      <c r="B139" s="22" t="s">
        <v>931</v>
      </c>
      <c r="C139" s="95">
        <v>3.9649931999999999</v>
      </c>
      <c r="E139" s="479" t="s">
        <v>1236</v>
      </c>
      <c r="F139" s="480">
        <f t="shared" si="16"/>
        <v>4.6337872385120393</v>
      </c>
      <c r="H139" s="70" t="s">
        <v>1034</v>
      </c>
      <c r="I139" s="74" cm="1">
        <f t="array" ref="I139">_xll.FDS($H139,"FG_PRICE")</f>
        <v>3.9649931999999999</v>
      </c>
      <c r="J139" s="7"/>
    </row>
    <row r="140" spans="2:10" s="1" customFormat="1">
      <c r="B140" s="22" t="s">
        <v>932</v>
      </c>
      <c r="C140" s="95">
        <v>5.0182824000000004</v>
      </c>
      <c r="E140" s="479" t="s">
        <v>1237</v>
      </c>
      <c r="F140" s="480">
        <f t="shared" si="16"/>
        <v>5.8647396783352805</v>
      </c>
      <c r="H140" s="70" t="s">
        <v>1035</v>
      </c>
      <c r="I140" s="74" cm="1">
        <f t="array" ref="I140">_xll.FDS($H140,"FG_PRICE")</f>
        <v>5.0182824000000004</v>
      </c>
      <c r="J140" s="7"/>
    </row>
    <row r="141" spans="2:10" s="1" customFormat="1">
      <c r="B141" s="22" t="s">
        <v>933</v>
      </c>
      <c r="C141" s="98">
        <v>159.74997999999999</v>
      </c>
      <c r="E141" s="479" t="s">
        <v>1238</v>
      </c>
      <c r="F141" s="480">
        <f t="shared" si="16"/>
        <v>186.69575995150598</v>
      </c>
      <c r="H141" s="70" t="s">
        <v>1036</v>
      </c>
      <c r="I141" s="74" cm="1">
        <f t="array" ref="I141">_xll.FDS($H141,"FG_PRICE")</f>
        <v>159.74997999999999</v>
      </c>
      <c r="J141" s="7"/>
    </row>
    <row r="142" spans="2:10" s="1" customFormat="1">
      <c r="B142" s="22" t="s">
        <v>934</v>
      </c>
      <c r="C142" s="95">
        <v>3.6326114999999999</v>
      </c>
      <c r="E142" s="479" t="s">
        <v>1239</v>
      </c>
      <c r="F142" s="480">
        <f t="shared" si="16"/>
        <v>4.2453411549790498</v>
      </c>
      <c r="H142" s="70" t="s">
        <v>1037</v>
      </c>
      <c r="I142" s="74" cm="1">
        <f t="array" ref="I142">_xll.FDS($H142,"FG_PRICE")</f>
        <v>3.6326114999999999</v>
      </c>
      <c r="J142" s="7"/>
    </row>
    <row r="143" spans="2:10" s="1" customFormat="1">
      <c r="B143" s="22" t="s">
        <v>935</v>
      </c>
      <c r="C143" s="95">
        <v>32.429985000000002</v>
      </c>
      <c r="E143" s="479" t="s">
        <v>1240</v>
      </c>
      <c r="F143" s="480">
        <f t="shared" si="16"/>
        <v>37.900102990879503</v>
      </c>
      <c r="H143" s="70" t="s">
        <v>1038</v>
      </c>
      <c r="I143" s="74" cm="1">
        <f t="array" ref="I143">_xll.FDS($H143,"FG_PRICE")</f>
        <v>32.429985000000002</v>
      </c>
      <c r="J143" s="7"/>
    </row>
    <row r="144" spans="2:10" s="1" customFormat="1">
      <c r="B144" s="22" t="s">
        <v>936</v>
      </c>
      <c r="C144" s="95">
        <v>1.3689461000000001</v>
      </c>
      <c r="E144" s="479" t="s">
        <v>1241</v>
      </c>
      <c r="F144" s="480">
        <f t="shared" si="16"/>
        <v>1.5998526727336699</v>
      </c>
      <c r="H144" s="70" t="s">
        <v>1039</v>
      </c>
      <c r="I144" s="74" cm="1">
        <f t="array" ref="I144">_xll.FDS($H144,"FG_PRICE")</f>
        <v>1.3689461000000001</v>
      </c>
      <c r="J144" s="7"/>
    </row>
    <row r="145" spans="2:10" s="1" customFormat="1">
      <c r="B145" s="22" t="s">
        <v>937</v>
      </c>
      <c r="C145" s="98">
        <v>898.08025999999995</v>
      </c>
      <c r="E145" s="479" t="s">
        <v>1242</v>
      </c>
      <c r="F145" s="480">
        <f t="shared" si="16"/>
        <v>1049.563678431422</v>
      </c>
      <c r="H145" s="70" t="s">
        <v>1040</v>
      </c>
      <c r="I145" s="74" cm="1">
        <f t="array" ref="I145">_xll.FDS($H145,"FG_PRICE")</f>
        <v>898.08025999999995</v>
      </c>
      <c r="J145" s="7"/>
    </row>
    <row r="146" spans="2:10" s="1" customFormat="1">
      <c r="B146" s="22" t="s">
        <v>938</v>
      </c>
      <c r="C146" s="95">
        <v>2.9544578000000001</v>
      </c>
      <c r="E146" s="479" t="s">
        <v>1243</v>
      </c>
      <c r="F146" s="480">
        <f t="shared" si="16"/>
        <v>3.4528000830776602</v>
      </c>
      <c r="H146" s="70" t="s">
        <v>1041</v>
      </c>
      <c r="I146" s="74" cm="1">
        <f t="array" ref="I146">_xll.FDS($H146,"FG_PRICE")</f>
        <v>2.9544578000000001</v>
      </c>
      <c r="J146" s="7"/>
    </row>
    <row r="147" spans="2:10" s="1" customFormat="1">
      <c r="B147" s="22" t="s">
        <v>1069</v>
      </c>
      <c r="C147" s="95">
        <v>7.8351259999999998</v>
      </c>
      <c r="E147" s="479" t="s">
        <v>1244</v>
      </c>
      <c r="F147" s="480">
        <f t="shared" si="16"/>
        <v>9.1567135275121991</v>
      </c>
      <c r="H147" s="70" t="s">
        <v>1042</v>
      </c>
      <c r="I147" s="74" cm="1">
        <f t="array" ref="I147">_xll.FDS($H147,"FG_PRICE")</f>
        <v>7.8351259999999998</v>
      </c>
      <c r="J147" s="7"/>
    </row>
    <row r="148" spans="2:10" s="1" customFormat="1">
      <c r="B148" s="22" t="s">
        <v>1068</v>
      </c>
      <c r="C148" s="95">
        <v>1.4024327000000001</v>
      </c>
      <c r="E148" s="479" t="s">
        <v>1245</v>
      </c>
      <c r="F148" s="480">
        <f t="shared" si="16"/>
        <v>1.6389876149426901</v>
      </c>
      <c r="H148" s="70" t="s">
        <v>1043</v>
      </c>
      <c r="I148" s="74" cm="1">
        <f t="array" ref="I148">_xll.FDS($H148,"FG_PRICE")</f>
        <v>1.4024327000000001</v>
      </c>
      <c r="J148" s="7"/>
    </row>
    <row r="149" spans="2:10" s="1" customFormat="1">
      <c r="B149" s="22" t="s">
        <v>939</v>
      </c>
      <c r="C149" s="95">
        <v>9.2714169999999996</v>
      </c>
      <c r="E149" s="479" t="s">
        <v>1246</v>
      </c>
      <c r="F149" s="480">
        <f t="shared" si="16"/>
        <v>10.8352704810499</v>
      </c>
      <c r="H149" s="70" t="s">
        <v>1044</v>
      </c>
      <c r="I149" s="74" cm="1">
        <f t="array" ref="I149">_xll.FDS($H149,"FG_PRICE")</f>
        <v>9.2714169999999996</v>
      </c>
      <c r="J149" s="7"/>
    </row>
    <row r="150" spans="2:10" s="1" customFormat="1">
      <c r="B150" s="22" t="s">
        <v>940</v>
      </c>
      <c r="C150" s="95">
        <v>16.651264000000001</v>
      </c>
      <c r="E150" s="479" t="s">
        <v>1247</v>
      </c>
      <c r="F150" s="480">
        <f t="shared" si="16"/>
        <v>19.4599109598208</v>
      </c>
      <c r="H150" s="70" t="s">
        <v>1045</v>
      </c>
      <c r="I150" s="74" cm="1">
        <f t="array" ref="I150">_xll.FDS($H150,"FG_PRICE")</f>
        <v>16.651264000000001</v>
      </c>
      <c r="J150" s="7"/>
    </row>
    <row r="151" spans="2:10" s="1" customFormat="1">
      <c r="B151" s="22" t="s">
        <v>941</v>
      </c>
      <c r="C151" s="95">
        <v>52.620002999999997</v>
      </c>
      <c r="E151" s="479" t="s">
        <v>1248</v>
      </c>
      <c r="F151" s="480">
        <f t="shared" si="16"/>
        <v>61.495666220024091</v>
      </c>
      <c r="H151" s="70" t="s">
        <v>1046</v>
      </c>
      <c r="I151" s="74" cm="1">
        <f t="array" ref="I151">_xll.FDS($H151,"FG_PRICE")</f>
        <v>52.620002999999997</v>
      </c>
      <c r="J151" s="7"/>
    </row>
    <row r="152" spans="2:10" s="1" customFormat="1">
      <c r="B152" s="22" t="s">
        <v>942</v>
      </c>
      <c r="C152" s="98">
        <v>17192.5</v>
      </c>
      <c r="E152" s="479" t="s">
        <v>1249</v>
      </c>
      <c r="F152" s="480">
        <f t="shared" si="16"/>
        <v>20092.439779749999</v>
      </c>
      <c r="H152" s="70" t="s">
        <v>1047</v>
      </c>
      <c r="I152" s="74" cm="1">
        <f t="array" ref="I152">_xll.FDS($H152,"FG_PRICE")</f>
        <v>17192.5</v>
      </c>
      <c r="J152" s="7"/>
    </row>
    <row r="153" spans="2:10" s="1" customFormat="1">
      <c r="B153" s="22" t="s">
        <v>943</v>
      </c>
      <c r="C153" s="98">
        <v>1484.2501</v>
      </c>
      <c r="E153" s="479" t="s">
        <v>1250</v>
      </c>
      <c r="F153" s="480">
        <f t="shared" si="16"/>
        <v>1734.6055403424698</v>
      </c>
      <c r="H153" s="70" t="s">
        <v>1048</v>
      </c>
      <c r="I153" s="74" cm="1">
        <f t="array" ref="I153">_xll.FDS($H153,"FG_PRICE")</f>
        <v>1484.2501</v>
      </c>
      <c r="J153" s="7"/>
    </row>
    <row r="154" spans="2:10" s="1" customFormat="1">
      <c r="B154" s="22" t="s">
        <v>944</v>
      </c>
      <c r="C154" s="95">
        <v>75.500039999999998</v>
      </c>
      <c r="E154" s="479" t="s">
        <v>1251</v>
      </c>
      <c r="F154" s="480">
        <f t="shared" si="16"/>
        <v>88.234986596987994</v>
      </c>
      <c r="H154" s="70" t="s">
        <v>1049</v>
      </c>
      <c r="I154" s="74" cm="1">
        <f t="array" ref="I154">_xll.FDS($H154,"FG_PRICE")</f>
        <v>75.500039999999998</v>
      </c>
      <c r="J154" s="7"/>
    </row>
    <row r="155" spans="2:10" s="1" customFormat="1">
      <c r="B155" s="22" t="s">
        <v>945</v>
      </c>
      <c r="C155" s="95">
        <v>6.8343471999999998</v>
      </c>
      <c r="E155" s="479" t="s">
        <v>1252</v>
      </c>
      <c r="F155" s="480">
        <f t="shared" si="16"/>
        <v>7.9871286636558398</v>
      </c>
      <c r="H155" s="70" t="s">
        <v>1050</v>
      </c>
      <c r="I155" s="74" cm="1">
        <f t="array" ref="I155">_xll.FDS($H155,"FG_PRICE")</f>
        <v>6.8343471999999998</v>
      </c>
      <c r="J155" s="7"/>
    </row>
    <row r="156" spans="2:10" s="1" customFormat="1">
      <c r="B156" s="22" t="s">
        <v>946</v>
      </c>
      <c r="C156" s="95">
        <v>1.2780168000000001</v>
      </c>
      <c r="E156" s="479" t="s">
        <v>1253</v>
      </c>
      <c r="F156" s="480">
        <f t="shared" si="16"/>
        <v>1.4935859003349601</v>
      </c>
      <c r="H156" s="70" t="s">
        <v>1051</v>
      </c>
      <c r="I156" s="74" cm="1">
        <f t="array" ref="I156">_xll.FDS($H156,"FG_PRICE")</f>
        <v>1.2780168000000001</v>
      </c>
      <c r="J156" s="7"/>
    </row>
    <row r="157" spans="2:10" s="1" customFormat="1">
      <c r="B157" s="22" t="s">
        <v>947</v>
      </c>
      <c r="C157" s="95">
        <v>60.709003000000003</v>
      </c>
      <c r="E157" s="479" t="s">
        <v>1254</v>
      </c>
      <c r="F157" s="480">
        <f t="shared" si="16"/>
        <v>70.949075868324101</v>
      </c>
      <c r="H157" s="70" t="s">
        <v>1052</v>
      </c>
      <c r="I157" s="74" cm="1">
        <f t="array" ref="I157">_xll.FDS($H157,"FG_PRICE")</f>
        <v>60.709003000000003</v>
      </c>
      <c r="J157" s="7"/>
    </row>
    <row r="158" spans="2:10" s="1" customFormat="1">
      <c r="B158" s="22" t="s">
        <v>948</v>
      </c>
      <c r="C158" s="98">
        <v>317.80005</v>
      </c>
      <c r="E158" s="479" t="s">
        <v>1255</v>
      </c>
      <c r="F158" s="480">
        <f t="shared" si="16"/>
        <v>371.40487809373496</v>
      </c>
      <c r="H158" s="70" t="s">
        <v>1053</v>
      </c>
      <c r="I158" s="74" cm="1">
        <f t="array" ref="I158">_xll.FDS($H158,"FG_PRICE")</f>
        <v>317.80005</v>
      </c>
      <c r="J158" s="7"/>
    </row>
    <row r="159" spans="2:10" s="1" customFormat="1">
      <c r="B159" s="22" t="s">
        <v>949</v>
      </c>
      <c r="C159" s="98">
        <v>129.25005999999999</v>
      </c>
      <c r="E159" s="479" t="s">
        <v>1256</v>
      </c>
      <c r="F159" s="480">
        <f t="shared" si="16"/>
        <v>151.05127509548197</v>
      </c>
      <c r="H159" s="70" t="s">
        <v>1054</v>
      </c>
      <c r="I159" s="74" cm="1">
        <f t="array" ref="I159">_xll.FDS($H159,"FG_PRICE")</f>
        <v>129.25005999999999</v>
      </c>
      <c r="J159" s="7"/>
    </row>
    <row r="160" spans="2:10" s="1" customFormat="1">
      <c r="B160" s="22" t="s">
        <v>950</v>
      </c>
      <c r="C160" s="95">
        <v>17.445485999999999</v>
      </c>
      <c r="E160" s="479" t="s">
        <v>1257</v>
      </c>
      <c r="F160" s="480">
        <f t="shared" si="16"/>
        <v>20.388098117404198</v>
      </c>
      <c r="H160" s="70" t="s">
        <v>1055</v>
      </c>
      <c r="I160" s="74" cm="1">
        <f t="array" ref="I160">_xll.FDS($H160,"FG_PRICE")</f>
        <v>17.445485999999999</v>
      </c>
      <c r="J160" s="7"/>
    </row>
    <row r="161" spans="2:10" s="1" customFormat="1">
      <c r="B161" s="22" t="s">
        <v>951</v>
      </c>
      <c r="C161" s="95">
        <v>31.471520000000002</v>
      </c>
      <c r="E161" s="479" t="s">
        <v>1258</v>
      </c>
      <c r="F161" s="480">
        <f t="shared" si="16"/>
        <v>36.779969194544002</v>
      </c>
      <c r="H161" s="70" t="s">
        <v>1056</v>
      </c>
      <c r="I161" s="74" cm="1">
        <f t="array" ref="I161">_xll.FDS($H161,"FG_PRICE")</f>
        <v>31.471520000000002</v>
      </c>
      <c r="J161" s="7"/>
    </row>
    <row r="162" spans="2:10" s="1" customFormat="1">
      <c r="B162" s="22" t="s">
        <v>952</v>
      </c>
      <c r="C162" s="95">
        <v>1392.75</v>
      </c>
      <c r="E162" s="479" t="s">
        <v>1259</v>
      </c>
      <c r="F162" s="480">
        <f t="shared" si="16"/>
        <v>1627.671688425</v>
      </c>
      <c r="H162" s="70" t="s">
        <v>1057</v>
      </c>
      <c r="I162" s="74" cm="1">
        <f t="array" ref="I162">_xll.FDS($H162,"FG_PRICE")</f>
        <v>1392.75</v>
      </c>
      <c r="J162" s="7"/>
    </row>
    <row r="163" spans="2:10" s="1" customFormat="1">
      <c r="B163" s="5" t="s">
        <v>953</v>
      </c>
      <c r="C163" s="98">
        <v>278.95006999999998</v>
      </c>
      <c r="E163" s="153" t="s">
        <v>1260</v>
      </c>
      <c r="F163" s="480">
        <f t="shared" si="16"/>
        <v>326.00188937222896</v>
      </c>
      <c r="H163" s="70" t="s">
        <v>1058</v>
      </c>
      <c r="I163" s="74" cm="1">
        <f t="array" ref="I163">_xll.FDS($H163,"FG_PRICE")</f>
        <v>278.95006999999998</v>
      </c>
      <c r="J163" s="7"/>
    </row>
    <row r="164" spans="2:10" s="1" customFormat="1">
      <c r="B164" s="5" t="s">
        <v>954</v>
      </c>
      <c r="C164" s="95">
        <v>123.15004</v>
      </c>
      <c r="E164" s="153" t="s">
        <v>1261</v>
      </c>
      <c r="F164" s="480">
        <f t="shared" si="16"/>
        <v>143.922336051988</v>
      </c>
      <c r="H164" s="70" t="s">
        <v>1059</v>
      </c>
      <c r="I164" s="74" cm="1">
        <f t="array" ref="I164">_xll.FDS($H164,"FG_PRICE")</f>
        <v>123.15004</v>
      </c>
      <c r="J164" s="7"/>
    </row>
    <row r="165" spans="2:10" s="1" customFormat="1">
      <c r="B165" s="5" t="s">
        <v>948</v>
      </c>
      <c r="C165" s="98">
        <v>317.80005</v>
      </c>
      <c r="E165" s="153" t="s">
        <v>1255</v>
      </c>
      <c r="F165" s="480">
        <f t="shared" si="16"/>
        <v>371.40487809373496</v>
      </c>
      <c r="H165" s="70" t="s">
        <v>1053</v>
      </c>
      <c r="I165" s="74" cm="1">
        <f t="array" ref="I165">_xll.FDS($H165,"FG_PRICE")</f>
        <v>317.80005</v>
      </c>
      <c r="J165" s="7"/>
    </row>
    <row r="166" spans="2:10" s="1" customFormat="1">
      <c r="B166" s="5" t="s">
        <v>955</v>
      </c>
      <c r="C166" s="95">
        <v>3.6410296</v>
      </c>
      <c r="E166" s="153" t="s">
        <v>1262</v>
      </c>
      <c r="F166" s="480">
        <f t="shared" si="16"/>
        <v>4.2551791754711195</v>
      </c>
      <c r="H166" s="70" t="s">
        <v>1060</v>
      </c>
      <c r="I166" s="74" cm="1">
        <f t="array" ref="I166">_xll.FDS($H166,"FG_PRICE")</f>
        <v>3.6410296</v>
      </c>
      <c r="J166" s="7"/>
    </row>
    <row r="167" spans="2:10" s="1" customFormat="1">
      <c r="B167" s="5" t="s">
        <v>1067</v>
      </c>
      <c r="C167" s="95">
        <v>0.58564450000000001</v>
      </c>
      <c r="E167" s="153" t="s">
        <v>1263</v>
      </c>
      <c r="F167" s="480">
        <f t="shared" si="16"/>
        <v>0.68442791034414996</v>
      </c>
      <c r="H167" s="70" t="s">
        <v>1066</v>
      </c>
      <c r="I167" s="74" cm="1">
        <f t="array" ref="I167">_xll.FDS($H167,"FG_PRICE")</f>
        <v>0.58564450000000001</v>
      </c>
      <c r="J167" s="7"/>
    </row>
    <row r="168" spans="2:10" s="1" customFormat="1">
      <c r="C168" s="4"/>
      <c r="D168" s="2"/>
      <c r="E168" s="2"/>
    </row>
  </sheetData>
  <phoneticPr fontId="7" type="noConversion"/>
  <pageMargins left="0.74803149606299213" right="0.74803149606299213" top="0.98425196850393704" bottom="0.98425196850393704" header="0.51181102362204722" footer="0.51181102362204722"/>
  <pageSetup scale="60" fitToHeight="0" orientation="portrait" r:id="rId1"/>
  <headerFooter alignWithMargins="0"/>
  <rowBreaks count="2" manualBreakCount="2">
    <brk id="71" max="12" man="1"/>
    <brk id="125" max="12" man="1"/>
  </rowBreaks>
  <ignoredErrors>
    <ignoredError sqref="G1:G3 G4 G6" evalError="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pageSetUpPr fitToPage="1"/>
  </sheetPr>
  <dimension ref="B1:AR50"/>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495</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Prices!C9</f>
        <v>27.67</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4837.8322070000004</v>
      </c>
      <c r="E10" s="408">
        <v>4766.4036355714288</v>
      </c>
      <c r="F10" s="408">
        <v>4766.4036355714288</v>
      </c>
      <c r="G10" s="408">
        <v>4766.4036355714288</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133862.81716769002</v>
      </c>
      <c r="E11" s="409">
        <f>$C$9*E10</f>
        <v>131886.38859626144</v>
      </c>
      <c r="F11" s="409">
        <f>$C$9*F10</f>
        <v>131886.38859626144</v>
      </c>
      <c r="G11" s="409">
        <f>$C$9*G10</f>
        <v>131886.38859626144</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98067</v>
      </c>
      <c r="E12" s="410">
        <v>97434.738858167198</v>
      </c>
      <c r="F12" s="410">
        <v>90984.176032102638</v>
      </c>
      <c r="G12" s="410">
        <v>84362.125417508563</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13686.995260119638</v>
      </c>
      <c r="E13" s="410">
        <v>13032.014961678829</v>
      </c>
      <c r="F13" s="410">
        <v>12471.805963540926</v>
      </c>
      <c r="G13" s="410">
        <v>11956.34981704898</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v>7572.8916356840109</v>
      </c>
      <c r="E14" s="410">
        <v>7572.8916356840109</v>
      </c>
      <c r="F14" s="410">
        <v>7572.8916356840109</v>
      </c>
      <c r="G14" s="410">
        <v>7572.8916356840109</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v>99195.728907751385</v>
      </c>
      <c r="E15" s="410">
        <v>95376.202969803882</v>
      </c>
      <c r="F15" s="410">
        <v>94212.138733999207</v>
      </c>
      <c r="G15" s="410">
        <v>92813.295183783717</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4900.43</v>
      </c>
      <c r="F16" s="410">
        <v>10318.80207184</v>
      </c>
      <c r="G16" s="410">
        <v>16297.778792300802</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1050.4403532755796</v>
      </c>
      <c r="E17" s="410">
        <v>1050.4403532755796</v>
      </c>
      <c r="F17" s="410">
        <v>1050.4403532755796</v>
      </c>
      <c r="G17" s="410">
        <v>1050.4403532755796</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336189.20934660145</v>
      </c>
      <c r="E18" s="411">
        <f>E11+E12+E13-E14+E15-E16-E17</f>
        <v>324205.58339695178</v>
      </c>
      <c r="F18" s="411">
        <f>F11+F12+F13-F14+F15-F16-F17</f>
        <v>310612.37526510464</v>
      </c>
      <c r="G18" s="411">
        <f>G11+G12+G13-G14+G15-G16-G17</f>
        <v>296097.04823334236</v>
      </c>
      <c r="H18" s="230">
        <f>IF(D18=0,"nm",IF(G18=0,"nm",(G18/D18)^(1/3)-1))</f>
        <v>-4.1445590415425393E-2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115769</v>
      </c>
      <c r="D23" s="416">
        <v>119081</v>
      </c>
      <c r="E23" s="416">
        <v>122892.28501719005</v>
      </c>
      <c r="F23" s="416">
        <v>127375.56687719624</v>
      </c>
      <c r="G23" s="416">
        <v>131241.31268565403</v>
      </c>
      <c r="H23" s="233">
        <f t="shared" ref="H23:H32" si="3">IF(D23=0,"nm",IF(G23=0,"nm",(G23/D23)^(1/3)-1))</f>
        <v>3.2942224541116838E-2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42671</v>
      </c>
      <c r="D24" s="416">
        <v>43894</v>
      </c>
      <c r="E24" s="416">
        <v>46349.972070824057</v>
      </c>
      <c r="F24" s="416">
        <v>49620.703086928123</v>
      </c>
      <c r="G24" s="416">
        <v>52245.590229563102</v>
      </c>
      <c r="H24" s="233">
        <f>IF(D24=0,"nm",IF(G24=0,"nm",(G24/D24)^(1/3)-1))</f>
        <v>5.977782216933325E-2</v>
      </c>
      <c r="I24" s="209"/>
      <c r="J24" s="13"/>
      <c r="K24" s="13"/>
      <c r="L24" s="13"/>
      <c r="M24" s="13"/>
      <c r="N24" s="13"/>
      <c r="O24" s="208"/>
      <c r="S24" s="72"/>
      <c r="T24" s="26"/>
      <c r="U24" s="26"/>
      <c r="V24" s="26"/>
      <c r="W24" s="26" t="s">
        <v>236</v>
      </c>
      <c r="X24" s="26" t="s">
        <v>204</v>
      </c>
    </row>
    <row r="25" spans="2:24">
      <c r="B25" s="5" t="s">
        <v>157</v>
      </c>
      <c r="C25" s="422">
        <v>25579.431542062226</v>
      </c>
      <c r="D25" s="416">
        <v>25894.911374285188</v>
      </c>
      <c r="E25" s="416">
        <v>28504.525637747185</v>
      </c>
      <c r="F25" s="416">
        <v>32058.55891034154</v>
      </c>
      <c r="G25" s="416">
        <v>34493.926300262508</v>
      </c>
      <c r="H25" s="233">
        <f t="shared" si="3"/>
        <v>0.1002956619741584</v>
      </c>
      <c r="I25" s="209"/>
      <c r="J25" s="207" t="s">
        <v>8</v>
      </c>
      <c r="K25" s="207"/>
      <c r="L25" s="252">
        <v>0</v>
      </c>
      <c r="M25" s="252">
        <v>0</v>
      </c>
      <c r="N25" s="252">
        <v>0</v>
      </c>
      <c r="O25" s="252">
        <v>0</v>
      </c>
      <c r="P25" s="233" t="str">
        <f>IF(L25=0,"nm",IF(O25=0,"nm",(O25/L25)^(1/3)-1))</f>
        <v>nm</v>
      </c>
      <c r="S25" s="72"/>
      <c r="T25" s="26"/>
      <c r="U25" s="26"/>
      <c r="V25" s="113" t="s">
        <v>225</v>
      </c>
      <c r="W25" s="242">
        <f>D37/L9</f>
        <v>1.0810515993401941</v>
      </c>
      <c r="X25" s="242">
        <v>1</v>
      </c>
    </row>
    <row r="26" spans="2:24">
      <c r="B26" s="5" t="s">
        <v>487</v>
      </c>
      <c r="C26" s="422">
        <v>18667.258389632054</v>
      </c>
      <c r="D26" s="416">
        <v>18825.712050811253</v>
      </c>
      <c r="E26" s="416">
        <v>20759.536551248926</v>
      </c>
      <c r="F26" s="416">
        <v>23351.246802976562</v>
      </c>
      <c r="G26" s="416">
        <v>25209.772122239006</v>
      </c>
      <c r="H26" s="233">
        <f t="shared" si="3"/>
        <v>0.10223069921852845</v>
      </c>
      <c r="I26" s="209"/>
      <c r="J26" s="209" t="s">
        <v>9</v>
      </c>
      <c r="K26" s="209"/>
      <c r="L26" s="235">
        <f>D11+L25</f>
        <v>133862.81716769002</v>
      </c>
      <c r="M26" s="235">
        <f>E11+M25</f>
        <v>131886.38859626144</v>
      </c>
      <c r="N26" s="235">
        <f>F11+N25</f>
        <v>131886.38859626144</v>
      </c>
      <c r="O26" s="235">
        <f>G11+O25</f>
        <v>131886.38859626144</v>
      </c>
      <c r="P26" s="233">
        <f>IF(L26=0,"nm",IF(O26=0,"nm",(O26/L26)^(1/3)-1))</f>
        <v>-4.9459494960020223E-3</v>
      </c>
      <c r="Q26" s="5"/>
      <c r="S26" s="72"/>
      <c r="T26" s="26"/>
      <c r="U26" s="26"/>
      <c r="V26" s="113" t="s">
        <v>158</v>
      </c>
      <c r="W26" s="242">
        <f t="shared" ref="W26:W33" si="5">D38/L10</f>
        <v>0.99503567689529215</v>
      </c>
      <c r="X26" s="242">
        <v>1</v>
      </c>
    </row>
    <row r="27" spans="2:24">
      <c r="B27" s="5" t="s">
        <v>488</v>
      </c>
      <c r="C27" s="423">
        <v>197956</v>
      </c>
      <c r="D27" s="416">
        <v>190299</v>
      </c>
      <c r="E27" s="416">
        <v>197775.96353504414</v>
      </c>
      <c r="F27" s="416">
        <v>202168.29548949937</v>
      </c>
      <c r="G27" s="416">
        <v>207622.62592571115</v>
      </c>
      <c r="H27" s="233">
        <f t="shared" si="3"/>
        <v>2.9467698760236916E-2</v>
      </c>
      <c r="I27" s="209"/>
      <c r="Q27" s="25"/>
      <c r="S27" s="72"/>
      <c r="T27" s="26"/>
      <c r="U27" s="26"/>
      <c r="V27" s="113" t="s">
        <v>159</v>
      </c>
      <c r="W27" s="242">
        <f t="shared" si="5"/>
        <v>0.88396604085788222</v>
      </c>
      <c r="X27" s="242">
        <v>1</v>
      </c>
    </row>
    <row r="28" spans="2:24" ht="12.6" thickBot="1">
      <c r="B28" s="5" t="s">
        <v>492</v>
      </c>
      <c r="C28" s="422">
        <v>66612</v>
      </c>
      <c r="D28" s="416">
        <v>64792</v>
      </c>
      <c r="E28" s="416">
        <v>63354.577705282281</v>
      </c>
      <c r="F28" s="416">
        <v>61632.97346773051</v>
      </c>
      <c r="G28" s="416">
        <v>59975.905274327524</v>
      </c>
      <c r="H28" s="233">
        <f t="shared" si="3"/>
        <v>-2.5417799419202858E-2</v>
      </c>
      <c r="I28" s="208"/>
      <c r="J28" s="249" t="s">
        <v>1073</v>
      </c>
      <c r="K28" s="249"/>
      <c r="L28" s="249"/>
      <c r="M28" s="249"/>
      <c r="N28" s="220"/>
      <c r="O28" s="220"/>
      <c r="P28" s="220"/>
      <c r="Q28" s="5"/>
      <c r="S28" s="72"/>
      <c r="T28" s="26"/>
      <c r="U28" s="26"/>
      <c r="V28" s="113" t="s">
        <v>381</v>
      </c>
      <c r="W28" s="242">
        <f t="shared" si="5"/>
        <v>0.90054017220765781</v>
      </c>
      <c r="X28" s="242">
        <v>1</v>
      </c>
    </row>
    <row r="29" spans="2:24" ht="12.6" thickTop="1">
      <c r="B29" s="5" t="s">
        <v>489</v>
      </c>
      <c r="C29" s="422">
        <v>9621.1019700753895</v>
      </c>
      <c r="D29" s="416">
        <v>10418.874996196253</v>
      </c>
      <c r="E29" s="416">
        <v>11331.250398357708</v>
      </c>
      <c r="F29" s="416">
        <v>12511.507863082286</v>
      </c>
      <c r="G29" s="416">
        <v>13574.264049062582</v>
      </c>
      <c r="H29" s="233">
        <f t="shared" si="3"/>
        <v>9.2190735913403987E-2</v>
      </c>
      <c r="I29" s="212"/>
      <c r="J29" s="209"/>
      <c r="K29" s="209"/>
      <c r="L29" s="209"/>
      <c r="M29" s="209"/>
      <c r="N29" s="209"/>
      <c r="O29" s="211"/>
      <c r="Q29" s="5"/>
      <c r="S29" s="72"/>
      <c r="T29" s="26"/>
      <c r="U29" s="26"/>
      <c r="V29" s="113" t="s">
        <v>434</v>
      </c>
      <c r="W29" s="242">
        <f t="shared" si="5"/>
        <v>1.0705636108694618</v>
      </c>
      <c r="X29" s="242">
        <v>1</v>
      </c>
    </row>
    <row r="30" spans="2:24">
      <c r="B30" s="5" t="s">
        <v>490</v>
      </c>
      <c r="C30" s="423">
        <v>9396</v>
      </c>
      <c r="D30" s="416">
        <v>9772</v>
      </c>
      <c r="E30" s="416">
        <v>10188.200769883748</v>
      </c>
      <c r="F30" s="416">
        <v>11580.503039138253</v>
      </c>
      <c r="G30" s="416">
        <v>12967.073559029337</v>
      </c>
      <c r="H30" s="233">
        <f t="shared" si="3"/>
        <v>9.8886501755728329E-2</v>
      </c>
      <c r="I30" s="214"/>
      <c r="J30" s="208"/>
      <c r="K30" s="208"/>
      <c r="L30" s="208"/>
      <c r="M30" s="208"/>
      <c r="N30" s="208"/>
      <c r="O30" s="5"/>
      <c r="Q30" s="5"/>
      <c r="S30" s="72"/>
      <c r="T30" s="26"/>
      <c r="U30" s="26"/>
      <c r="V30" s="113" t="s">
        <v>493</v>
      </c>
      <c r="W30" s="242">
        <f t="shared" si="5"/>
        <v>1.37010875183743</v>
      </c>
      <c r="X30" s="242">
        <v>1</v>
      </c>
    </row>
    <row r="31" spans="2:24">
      <c r="B31" s="5" t="s">
        <v>491</v>
      </c>
      <c r="C31" s="423">
        <v>4410.3870000000006</v>
      </c>
      <c r="D31" s="416">
        <v>4837.8322070000004</v>
      </c>
      <c r="E31" s="416">
        <v>5338.3720718400009</v>
      </c>
      <c r="F31" s="416">
        <v>5978.9767204608015</v>
      </c>
      <c r="G31" s="416">
        <v>6576.874392506882</v>
      </c>
      <c r="H31" s="233">
        <f t="shared" si="3"/>
        <v>0.10778696016834988</v>
      </c>
      <c r="I31" s="214"/>
      <c r="J31" s="212"/>
      <c r="K31" s="212"/>
      <c r="L31" s="212"/>
      <c r="M31" s="212"/>
      <c r="N31" s="212"/>
      <c r="O31" s="5"/>
      <c r="Q31" s="5"/>
      <c r="S31" s="72"/>
      <c r="T31" s="26"/>
      <c r="U31" s="26"/>
      <c r="V31" s="113" t="s">
        <v>390</v>
      </c>
      <c r="W31" s="242">
        <f t="shared" si="5"/>
        <v>0.72480925082144221</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0.96849208666388675</v>
      </c>
      <c r="X32" s="242">
        <v>1</v>
      </c>
    </row>
    <row r="33" spans="2:24">
      <c r="B33" s="5" t="s">
        <v>3</v>
      </c>
      <c r="C33" s="423">
        <v>5748.2956905926767</v>
      </c>
      <c r="D33" s="416">
        <v>5741.9284423107238</v>
      </c>
      <c r="E33" s="416">
        <v>6207.0257782623994</v>
      </c>
      <c r="F33" s="416">
        <v>6521.2733808402272</v>
      </c>
      <c r="G33" s="416">
        <v>6402.960969991952</v>
      </c>
      <c r="H33" s="233">
        <f>IF(D33=0,"nm",IF(G33=0,"nm",(G33/D33)^(1/3)-1))</f>
        <v>3.6989501370922495E-2</v>
      </c>
      <c r="I33" s="5"/>
      <c r="J33" s="214"/>
      <c r="K33" s="214"/>
      <c r="L33" s="214"/>
      <c r="M33" s="214"/>
      <c r="N33" s="214"/>
      <c r="O33" s="211"/>
      <c r="Q33" s="5"/>
      <c r="S33" s="72"/>
      <c r="T33" s="26"/>
      <c r="U33" s="26"/>
      <c r="V33" s="113" t="s">
        <v>481</v>
      </c>
      <c r="W33" s="242">
        <f t="shared" si="5"/>
        <v>0.9403230775382162</v>
      </c>
      <c r="X33" s="242">
        <v>1</v>
      </c>
    </row>
    <row r="34" spans="2:24">
      <c r="H34" s="231"/>
      <c r="I34" s="33"/>
      <c r="J34" s="214"/>
      <c r="K34" s="214"/>
      <c r="L34" s="214"/>
      <c r="M34" s="214"/>
      <c r="N34" s="214"/>
      <c r="O34" s="211"/>
      <c r="Q34" s="5"/>
      <c r="S34" s="72"/>
      <c r="T34" s="26"/>
      <c r="U34" s="26"/>
      <c r="V34" s="113" t="s">
        <v>482</v>
      </c>
      <c r="W34" s="242">
        <f>D47/L19</f>
        <v>1.3796733400776522</v>
      </c>
      <c r="X34" s="242">
        <v>1</v>
      </c>
    </row>
    <row r="35" spans="2:24" ht="12.6" thickBot="1">
      <c r="B35" s="249" t="s">
        <v>501</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2.8231977338668761</v>
      </c>
      <c r="E37" s="406">
        <f t="shared" ref="E37:G41" si="7">E$18/E23</f>
        <v>2.6381280432014282</v>
      </c>
      <c r="F37" s="406">
        <f t="shared" si="7"/>
        <v>2.4385553908040185</v>
      </c>
      <c r="G37" s="406">
        <f t="shared" si="7"/>
        <v>2.2561268412679376</v>
      </c>
      <c r="H37" s="13">
        <f t="shared" ref="H37:H45" si="8">H23</f>
        <v>3.2942224541116838E-2</v>
      </c>
      <c r="I37" s="5"/>
      <c r="J37" s="217"/>
      <c r="K37" s="217"/>
      <c r="L37" s="217"/>
      <c r="M37" s="217"/>
      <c r="N37" s="217"/>
      <c r="O37" s="14"/>
      <c r="Q37" s="5"/>
      <c r="R37" s="5"/>
      <c r="S37" s="26"/>
      <c r="T37" s="26"/>
      <c r="U37" s="26"/>
      <c r="V37" s="26"/>
      <c r="W37" s="26"/>
      <c r="X37" s="26"/>
    </row>
    <row r="38" spans="2:24">
      <c r="B38" s="5" t="s">
        <v>158</v>
      </c>
      <c r="C38" s="207"/>
      <c r="D38" s="406">
        <f>D$18/D24</f>
        <v>7.6591153539572936</v>
      </c>
      <c r="E38" s="406">
        <f t="shared" si="7"/>
        <v>6.994730933204373</v>
      </c>
      <c r="F38" s="406">
        <f t="shared" si="7"/>
        <v>6.2597334568387266</v>
      </c>
      <c r="G38" s="406">
        <f t="shared" si="7"/>
        <v>5.6674074679281965</v>
      </c>
      <c r="H38" s="13">
        <f t="shared" si="8"/>
        <v>5.977782216933325E-2</v>
      </c>
      <c r="I38" s="217"/>
      <c r="J38" s="13"/>
      <c r="K38" s="13"/>
      <c r="L38" s="13"/>
      <c r="M38" s="13"/>
      <c r="N38" s="13"/>
      <c r="O38" s="5"/>
      <c r="Q38" s="5"/>
      <c r="R38" s="5"/>
      <c r="S38" s="26"/>
      <c r="T38" s="26"/>
      <c r="U38" s="26"/>
      <c r="V38" s="26"/>
      <c r="W38" s="26"/>
      <c r="X38" s="26"/>
    </row>
    <row r="39" spans="2:24">
      <c r="B39" s="5" t="s">
        <v>159</v>
      </c>
      <c r="C39" s="207"/>
      <c r="D39" s="406">
        <f>D$18/D25</f>
        <v>12.982829116011281</v>
      </c>
      <c r="E39" s="406">
        <f t="shared" si="7"/>
        <v>11.373828405957466</v>
      </c>
      <c r="F39" s="406">
        <f t="shared" si="7"/>
        <v>9.6889063583237487</v>
      </c>
      <c r="G39" s="406">
        <f t="shared" si="7"/>
        <v>8.584034350160044</v>
      </c>
      <c r="H39" s="13">
        <f t="shared" si="8"/>
        <v>0.1002956619741584</v>
      </c>
      <c r="I39" s="13"/>
      <c r="J39" s="5"/>
      <c r="K39" s="5"/>
      <c r="L39" s="5"/>
      <c r="M39" s="5"/>
      <c r="N39" s="5"/>
      <c r="O39" s="5"/>
      <c r="Q39" s="5"/>
      <c r="R39" s="5"/>
      <c r="S39" s="26"/>
      <c r="T39" s="26"/>
      <c r="U39" s="26"/>
      <c r="V39" s="26"/>
      <c r="W39" s="26"/>
      <c r="X39" s="26"/>
    </row>
    <row r="40" spans="2:24">
      <c r="B40" s="5" t="s">
        <v>381</v>
      </c>
      <c r="C40" s="207"/>
      <c r="D40" s="406">
        <f>D$18/D26</f>
        <v>17.857981065428763</v>
      </c>
      <c r="E40" s="406">
        <f t="shared" si="7"/>
        <v>15.617187917301894</v>
      </c>
      <c r="F40" s="406">
        <f t="shared" si="7"/>
        <v>13.301746921089933</v>
      </c>
      <c r="G40" s="406">
        <f t="shared" si="7"/>
        <v>11.74532823214764</v>
      </c>
      <c r="H40" s="13">
        <f t="shared" si="8"/>
        <v>0.10223069921852845</v>
      </c>
      <c r="I40" s="5"/>
      <c r="J40" s="217"/>
      <c r="K40" s="217"/>
      <c r="L40" s="217"/>
      <c r="M40" s="217"/>
      <c r="N40" s="217"/>
      <c r="O40" s="14"/>
      <c r="Q40" s="5"/>
      <c r="R40" s="5"/>
      <c r="S40" s="26"/>
      <c r="T40" s="26"/>
      <c r="U40" s="26"/>
      <c r="V40" s="26"/>
      <c r="W40" s="242"/>
      <c r="X40" s="242"/>
    </row>
    <row r="41" spans="2:24">
      <c r="B41" s="5" t="s">
        <v>434</v>
      </c>
      <c r="C41" s="207"/>
      <c r="D41" s="406">
        <f>D$18/D27</f>
        <v>1.7666367629183624</v>
      </c>
      <c r="E41" s="406">
        <f t="shared" si="7"/>
        <v>1.6392567509322509</v>
      </c>
      <c r="F41" s="406">
        <f t="shared" si="7"/>
        <v>1.5364049764234069</v>
      </c>
      <c r="G41" s="406">
        <f t="shared" si="7"/>
        <v>1.4261309282317236</v>
      </c>
      <c r="H41" s="13">
        <f t="shared" si="8"/>
        <v>2.9467698760236916E-2</v>
      </c>
      <c r="I41" s="207"/>
      <c r="J41" s="13"/>
      <c r="K41" s="13"/>
      <c r="L41" s="13"/>
      <c r="M41" s="13"/>
      <c r="N41" s="13"/>
      <c r="O41" s="5"/>
      <c r="Q41" s="5"/>
      <c r="R41" s="5"/>
      <c r="S41" s="26"/>
      <c r="T41" s="26"/>
      <c r="U41" s="26"/>
      <c r="V41" s="26"/>
      <c r="W41" s="242"/>
      <c r="X41" s="242"/>
    </row>
    <row r="42" spans="2:24">
      <c r="B42" s="5" t="s">
        <v>493</v>
      </c>
      <c r="C42" s="207"/>
      <c r="D42" s="406">
        <f>D18/D28</f>
        <v>5.1887456683942688</v>
      </c>
      <c r="E42" s="406">
        <f>E18/E28</f>
        <v>5.1173189868791544</v>
      </c>
      <c r="F42" s="406">
        <f>F18/F28</f>
        <v>5.0397110148796171</v>
      </c>
      <c r="G42" s="406">
        <f>G18/G28</f>
        <v>4.9369333714765231</v>
      </c>
      <c r="H42" s="13">
        <f t="shared" si="8"/>
        <v>-2.5417799419202858E-2</v>
      </c>
      <c r="I42" s="208"/>
      <c r="J42" s="5"/>
      <c r="K42" s="5"/>
      <c r="L42" s="5"/>
      <c r="M42" s="5"/>
      <c r="N42" s="5"/>
      <c r="O42" s="5"/>
      <c r="Q42" s="5"/>
      <c r="R42" s="5"/>
      <c r="S42" s="26"/>
      <c r="T42" s="26"/>
      <c r="U42" s="26"/>
      <c r="V42" s="26"/>
      <c r="W42" s="242"/>
      <c r="X42" s="242"/>
    </row>
    <row r="43" spans="2:24">
      <c r="B43" s="5" t="s">
        <v>390</v>
      </c>
      <c r="C43" s="207"/>
      <c r="D43" s="406">
        <f>L26/D29</f>
        <v>12.848106654179167</v>
      </c>
      <c r="E43" s="406">
        <f>M26/E29</f>
        <v>11.639173432737516</v>
      </c>
      <c r="F43" s="406">
        <f>N26/F29</f>
        <v>10.541206546767931</v>
      </c>
      <c r="G43" s="406">
        <f>O26/G29</f>
        <v>9.7159144775417356</v>
      </c>
      <c r="H43" s="13">
        <f t="shared" si="8"/>
        <v>9.2190735913403987E-2</v>
      </c>
      <c r="I43" s="207"/>
      <c r="J43" s="207"/>
      <c r="K43" s="207"/>
      <c r="L43" s="207"/>
      <c r="M43" s="207"/>
      <c r="N43" s="207"/>
      <c r="O43" s="14"/>
      <c r="Q43" s="5"/>
      <c r="R43" s="5"/>
      <c r="S43" s="26"/>
      <c r="T43" s="26"/>
      <c r="U43" s="26"/>
      <c r="V43" s="26"/>
      <c r="W43" s="242"/>
      <c r="X43" s="242"/>
    </row>
    <row r="44" spans="2:24">
      <c r="B44" s="5" t="s">
        <v>437</v>
      </c>
      <c r="C44" s="53"/>
      <c r="D44" s="406">
        <f>D11/D30</f>
        <v>13.698610025346913</v>
      </c>
      <c r="E44" s="406">
        <f>E11/E30</f>
        <v>12.945012723553379</v>
      </c>
      <c r="F44" s="406">
        <f>F11/F30</f>
        <v>11.388658001343229</v>
      </c>
      <c r="G44" s="406">
        <f>G11/G30</f>
        <v>10.170867620661044</v>
      </c>
      <c r="H44" s="13">
        <f t="shared" si="8"/>
        <v>9.8886501755728329E-2</v>
      </c>
      <c r="I44" s="207"/>
      <c r="J44" s="208"/>
      <c r="K44" s="208"/>
      <c r="L44" s="208"/>
      <c r="M44" s="208"/>
      <c r="N44" s="208"/>
      <c r="O44" s="208"/>
      <c r="Q44" s="5"/>
      <c r="R44" s="5"/>
      <c r="S44" s="26"/>
      <c r="T44" s="26"/>
      <c r="U44" s="26"/>
      <c r="V44" s="26"/>
      <c r="W44" s="255"/>
      <c r="X44" s="255"/>
    </row>
    <row r="45" spans="2:24">
      <c r="B45" s="5" t="s">
        <v>481</v>
      </c>
      <c r="C45" s="207"/>
      <c r="D45" s="208">
        <f>D31/D11</f>
        <v>3.6140224069389229E-2</v>
      </c>
      <c r="E45" s="208">
        <f>E31/E11</f>
        <v>4.0477050957715942E-2</v>
      </c>
      <c r="F45" s="208">
        <f>F31/F11</f>
        <v>4.5334297072641853E-2</v>
      </c>
      <c r="G45" s="208">
        <f>G31/G11</f>
        <v>4.9867726779906044E-2</v>
      </c>
      <c r="H45" s="13">
        <f t="shared" si="8"/>
        <v>0.10778696016834988</v>
      </c>
      <c r="I45" s="208"/>
      <c r="J45" s="207"/>
      <c r="K45" s="207"/>
      <c r="L45" s="207"/>
      <c r="M45" s="207"/>
      <c r="N45" s="207"/>
      <c r="O45" s="208"/>
      <c r="Q45" s="5"/>
      <c r="R45" s="5"/>
      <c r="S45" s="26"/>
      <c r="T45" s="26"/>
      <c r="U45" s="26"/>
      <c r="V45" s="26"/>
      <c r="W45" s="26"/>
      <c r="X45" s="26"/>
    </row>
    <row r="46" spans="2:24">
      <c r="B46" s="5" t="s">
        <v>505</v>
      </c>
      <c r="C46" s="207"/>
      <c r="D46" s="208">
        <f>(D31+D32)/D11</f>
        <v>3.6140224069389229E-2</v>
      </c>
      <c r="E46" s="208">
        <f>(E31+E32)/E11</f>
        <v>4.0477050957715942E-2</v>
      </c>
      <c r="F46" s="208">
        <f>(F31+F32)/F11</f>
        <v>4.5334297072641853E-2</v>
      </c>
      <c r="G46" s="208">
        <f>(G31+G32)/G11</f>
        <v>4.9867726779906044E-2</v>
      </c>
      <c r="H46" s="233">
        <f>((G31+G32)/(D31+D32))^(1/3)-1</f>
        <v>0.10778696016834988</v>
      </c>
      <c r="I46" s="207"/>
      <c r="J46" s="207"/>
      <c r="K46" s="207"/>
      <c r="L46" s="207"/>
      <c r="M46" s="207"/>
      <c r="N46" s="207"/>
      <c r="O46" s="14"/>
      <c r="Q46" s="5"/>
      <c r="R46" s="5"/>
      <c r="S46" s="26"/>
      <c r="T46" s="26"/>
      <c r="U46" s="26"/>
      <c r="V46" s="26"/>
      <c r="W46" s="26"/>
      <c r="X46" s="26"/>
    </row>
    <row r="47" spans="2:24">
      <c r="B47" s="5" t="s">
        <v>482</v>
      </c>
      <c r="C47" s="5"/>
      <c r="D47" s="208">
        <f>1/D43</f>
        <v>7.7832479673160634E-2</v>
      </c>
      <c r="E47" s="208">
        <f>1/E43</f>
        <v>8.5916753949837957E-2</v>
      </c>
      <c r="F47" s="208">
        <f>1/F43</f>
        <v>9.4865800756613841E-2</v>
      </c>
      <c r="G47" s="208">
        <f>1/G43</f>
        <v>0.10292391954576099</v>
      </c>
      <c r="H47" s="13">
        <f>H29</f>
        <v>9.2190735913403987E-2</v>
      </c>
      <c r="I47" s="13"/>
      <c r="J47" s="208"/>
      <c r="K47" s="208"/>
      <c r="L47" s="208"/>
      <c r="M47" s="208"/>
      <c r="N47" s="208"/>
      <c r="O47" s="208"/>
      <c r="Q47" s="5"/>
      <c r="R47" s="5"/>
      <c r="S47" s="26"/>
      <c r="T47" s="26"/>
      <c r="U47" s="26"/>
      <c r="V47" s="26"/>
      <c r="W47" s="26"/>
      <c r="X47" s="26"/>
    </row>
    <row r="48" spans="2:24">
      <c r="B48" s="5" t="s">
        <v>518</v>
      </c>
      <c r="C48" s="5"/>
      <c r="D48" s="248">
        <f>D31/D29</f>
        <v>0.46433345334944581</v>
      </c>
      <c r="E48" s="248">
        <f>E31/E29</f>
        <v>0.47111941614261005</v>
      </c>
      <c r="F48" s="248">
        <f>F31/F29</f>
        <v>0.47787818909525459</v>
      </c>
      <c r="G48" s="248">
        <f>G31/G29</f>
        <v>0.48451056858298486</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row r="50" spans="2:17">
      <c r="B50" s="5"/>
      <c r="C50" s="216"/>
      <c r="D50" s="216"/>
      <c r="E50" s="216"/>
      <c r="F50" s="5"/>
      <c r="G50" s="25"/>
      <c r="H50" s="209"/>
      <c r="I50" s="13"/>
      <c r="J50" s="209"/>
      <c r="K50" s="209"/>
      <c r="L50" s="209"/>
      <c r="M50" s="209"/>
      <c r="N50" s="209"/>
      <c r="O50" s="210"/>
      <c r="Q50" s="5"/>
    </row>
  </sheetData>
  <phoneticPr fontId="7" type="noConversion"/>
  <hyperlinks>
    <hyperlink ref="C2" location="DTSOP!A1" display="Jump to DT SOP" xr:uid="{00000000-0004-0000-2000-000001000000}"/>
  </hyperlinks>
  <pageMargins left="0.75" right="0.75" top="1" bottom="1" header="0.5" footer="0.5"/>
  <pageSetup scale="7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7" width="8.6640625" style="23" customWidth="1"/>
    <col min="18" max="28" width="8.6640625" style="5" customWidth="1"/>
    <col min="29" max="44" width="9.109375" style="5"/>
    <col min="45" max="16384" width="9.109375" style="23"/>
  </cols>
  <sheetData>
    <row r="1" spans="2:44" s="489" customFormat="1">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285</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404</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Prices!C24</f>
        <v>41.88</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160.51353399999999</v>
      </c>
      <c r="E10" s="408">
        <v>160.51353399999999</v>
      </c>
      <c r="F10" s="408">
        <v>160.51353399999999</v>
      </c>
      <c r="G10" s="408">
        <v>160.51353399999999</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6722.3068039199998</v>
      </c>
      <c r="E11" s="409">
        <f>$C$9*E10</f>
        <v>6722.3068039199998</v>
      </c>
      <c r="F11" s="409">
        <f>$C$9*F10</f>
        <v>6722.3068039199998</v>
      </c>
      <c r="G11" s="409">
        <f>$C$9*G10</f>
        <v>6722.3068039199998</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1508</v>
      </c>
      <c r="E12" s="493">
        <v>1397.3609790682415</v>
      </c>
      <c r="F12" s="410">
        <v>1383.7947941374277</v>
      </c>
      <c r="G12" s="410">
        <v>1395.3088755779336</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398.50911782498213</v>
      </c>
      <c r="E13" s="410">
        <v>398.50911782498213</v>
      </c>
      <c r="F13" s="410">
        <v>398.50911782498213</v>
      </c>
      <c r="G13" s="410">
        <v>398.50911782498213</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07">
        <f>ELISASOP!J27</f>
        <v>0</v>
      </c>
      <c r="E14" s="407">
        <f t="shared" ref="E14:G15" si="2">D14</f>
        <v>0</v>
      </c>
      <c r="F14" s="407">
        <f t="shared" si="2"/>
        <v>0</v>
      </c>
      <c r="G14" s="407">
        <f t="shared" si="2"/>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76">
        <f>ELISASOP!T18</f>
        <v>0</v>
      </c>
      <c r="E15" s="410">
        <f t="shared" si="2"/>
        <v>0</v>
      </c>
      <c r="F15" s="410">
        <f t="shared" si="2"/>
        <v>0</v>
      </c>
      <c r="G15" s="410">
        <f t="shared" si="2"/>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192.61624079999999</v>
      </c>
      <c r="F16" s="410">
        <v>592.29494046000002</v>
      </c>
      <c r="G16" s="410">
        <v>1011.9575751030001</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44.03350000475541</v>
      </c>
      <c r="E17" s="410">
        <v>44.03350000475541</v>
      </c>
      <c r="F17" s="410">
        <v>44.03350000475541</v>
      </c>
      <c r="G17" s="410">
        <v>44.03350000475541</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26"/>
      <c r="T17" s="26"/>
      <c r="U17" s="26"/>
      <c r="V17" s="26"/>
      <c r="W17" s="26"/>
      <c r="X17" s="26"/>
    </row>
    <row r="18" spans="2:24" ht="12.6" thickBot="1">
      <c r="B18" s="25" t="s">
        <v>484</v>
      </c>
      <c r="C18" s="209"/>
      <c r="D18" s="411">
        <f>D11+D12+D13-D14+D15-D16-D17</f>
        <v>8584.7824217402267</v>
      </c>
      <c r="E18" s="411">
        <f>E11+E12+E13-E14+E15-E16-E17</f>
        <v>8281.527160008467</v>
      </c>
      <c r="F18" s="411">
        <f>F11+F12+F13-F14+F15-F16-F17</f>
        <v>7868.2822754176532</v>
      </c>
      <c r="G18" s="411">
        <f>G11+G12+G13-G14+G15-G16-G17</f>
        <v>7460.1337222151597</v>
      </c>
      <c r="H18" s="230">
        <f>IF(D18=0,"nm",IF(G18=0,"nm",(G18/D18)^(1/3)-1))</f>
        <v>-4.5727431297776566E-2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26"/>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26"/>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26"/>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2191.5</v>
      </c>
      <c r="D23" s="416">
        <v>2257.1</v>
      </c>
      <c r="E23" s="416">
        <v>2326.3183504122144</v>
      </c>
      <c r="F23" s="416">
        <v>2396.3624171283864</v>
      </c>
      <c r="G23" s="416">
        <v>2462.4719346837328</v>
      </c>
      <c r="H23" s="233">
        <f t="shared" ref="H23:H32" si="4">IF(D23=0,"nm",IF(G23=0,"nm",(G23/D23)^(1/3)-1))</f>
        <v>2.9453725359464666E-2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2">
        <v>783.4</v>
      </c>
      <c r="D24" s="416">
        <v>808.2</v>
      </c>
      <c r="E24" s="416">
        <v>829.40797055256189</v>
      </c>
      <c r="F24" s="416">
        <v>856.93331123029702</v>
      </c>
      <c r="G24" s="416">
        <v>890.36045830156979</v>
      </c>
      <c r="H24" s="233">
        <f t="shared" si="4"/>
        <v>3.2798676558669415E-2</v>
      </c>
      <c r="I24" s="209"/>
      <c r="J24" s="13"/>
      <c r="K24" s="13"/>
      <c r="L24" s="13"/>
      <c r="M24" s="13"/>
      <c r="N24" s="13"/>
      <c r="O24" s="208"/>
      <c r="S24" s="26"/>
      <c r="T24" s="26"/>
      <c r="U24" s="26"/>
      <c r="V24" s="26"/>
      <c r="W24" s="26" t="s">
        <v>286</v>
      </c>
      <c r="X24" s="26" t="s">
        <v>205</v>
      </c>
    </row>
    <row r="25" spans="2:24">
      <c r="B25" s="5" t="s">
        <v>157</v>
      </c>
      <c r="C25" s="422">
        <v>488.4</v>
      </c>
      <c r="D25" s="416">
        <v>528.5</v>
      </c>
      <c r="E25" s="416">
        <v>540.33373732603673</v>
      </c>
      <c r="F25" s="416">
        <v>560.65015336187332</v>
      </c>
      <c r="G25" s="416">
        <v>584.73388720012485</v>
      </c>
      <c r="H25" s="233">
        <f t="shared" si="4"/>
        <v>3.4279119950668679E-2</v>
      </c>
      <c r="I25" s="208"/>
      <c r="J25" s="207" t="s">
        <v>8</v>
      </c>
      <c r="K25" s="207"/>
      <c r="L25" s="252">
        <v>292.9176400238685</v>
      </c>
      <c r="M25" s="252">
        <v>0</v>
      </c>
      <c r="N25" s="252">
        <v>0</v>
      </c>
      <c r="O25" s="252">
        <v>0</v>
      </c>
      <c r="P25" s="233" t="str">
        <f>IF(L25=0,"nm",IF(O25=0,"nm",(O25/L25)^(1/3)-1))</f>
        <v>nm</v>
      </c>
      <c r="S25" s="26"/>
      <c r="T25" s="26"/>
      <c r="U25" s="26"/>
      <c r="V25" s="113" t="s">
        <v>225</v>
      </c>
      <c r="W25" s="242">
        <f>D37/L9</f>
        <v>2.8246177018510785</v>
      </c>
      <c r="X25" s="242">
        <v>1</v>
      </c>
    </row>
    <row r="26" spans="2:24">
      <c r="B26" s="5" t="s">
        <v>487</v>
      </c>
      <c r="C26" s="422">
        <v>390.72</v>
      </c>
      <c r="D26" s="416">
        <v>422.8</v>
      </c>
      <c r="E26" s="416">
        <v>432.26698986082943</v>
      </c>
      <c r="F26" s="416">
        <v>448.52012268949869</v>
      </c>
      <c r="G26" s="416">
        <v>467.7871097600999</v>
      </c>
      <c r="H26" s="233">
        <f t="shared" si="4"/>
        <v>3.4279119950668679E-2</v>
      </c>
      <c r="I26" s="209"/>
      <c r="J26" s="209" t="s">
        <v>9</v>
      </c>
      <c r="K26" s="209"/>
      <c r="L26" s="235">
        <f>D11+L25</f>
        <v>7015.2244439438682</v>
      </c>
      <c r="M26" s="235">
        <f>E11+M25</f>
        <v>6722.3068039199998</v>
      </c>
      <c r="N26" s="235">
        <f>F11+N25</f>
        <v>6722.3068039199998</v>
      </c>
      <c r="O26" s="235">
        <f>G11+O25</f>
        <v>6722.3068039199998</v>
      </c>
      <c r="P26" s="233">
        <f>IF(L26=0,"nm",IF(O26=0,"nm",(O26/L26)^(1/3)-1))</f>
        <v>-1.4116526725523215E-2</v>
      </c>
      <c r="Q26" s="5"/>
      <c r="S26" s="26"/>
      <c r="T26" s="26"/>
      <c r="U26" s="26"/>
      <c r="V26" s="113" t="s">
        <v>158</v>
      </c>
      <c r="W26" s="242">
        <f t="shared" ref="W26:W33" si="6">D38/L10</f>
        <v>1.5931477780402852</v>
      </c>
      <c r="X26" s="242">
        <v>1</v>
      </c>
    </row>
    <row r="27" spans="2:24">
      <c r="B27" s="5" t="s">
        <v>488</v>
      </c>
      <c r="C27" s="422">
        <v>2773.1</v>
      </c>
      <c r="D27" s="416">
        <v>2773.5</v>
      </c>
      <c r="E27" s="416">
        <v>2546.8101820673469</v>
      </c>
      <c r="F27" s="416">
        <v>2547.6538466697166</v>
      </c>
      <c r="G27" s="416">
        <v>2576.5061468368694</v>
      </c>
      <c r="H27" s="233">
        <f t="shared" si="4"/>
        <v>-2.4259486596823421E-2</v>
      </c>
      <c r="I27" s="209"/>
      <c r="J27" s="208"/>
      <c r="K27" s="208"/>
      <c r="L27" s="208"/>
      <c r="M27" s="208"/>
      <c r="N27" s="208"/>
      <c r="O27" s="208"/>
      <c r="Q27" s="25"/>
      <c r="S27" s="26"/>
      <c r="T27" s="26"/>
      <c r="U27" s="26"/>
      <c r="V27" s="113" t="s">
        <v>159</v>
      </c>
      <c r="W27" s="242">
        <f t="shared" si="6"/>
        <v>1.0333749709636131</v>
      </c>
      <c r="X27" s="242">
        <v>1</v>
      </c>
    </row>
    <row r="28" spans="2:24" ht="12.6" thickBot="1">
      <c r="B28" s="5" t="s">
        <v>492</v>
      </c>
      <c r="C28" s="422">
        <v>968.6</v>
      </c>
      <c r="D28" s="416">
        <v>1015.7</v>
      </c>
      <c r="E28" s="416">
        <v>1020.6467891333955</v>
      </c>
      <c r="F28" s="416">
        <v>1021.0165844586322</v>
      </c>
      <c r="G28" s="416">
        <v>1019.1213167499736</v>
      </c>
      <c r="H28" s="233">
        <f t="shared" si="4"/>
        <v>1.1215524371686048E-3</v>
      </c>
      <c r="I28" s="208"/>
      <c r="J28" s="249" t="s">
        <v>1073</v>
      </c>
      <c r="K28" s="249"/>
      <c r="L28" s="249"/>
      <c r="M28" s="249"/>
      <c r="N28" s="220"/>
      <c r="O28" s="220"/>
      <c r="P28" s="220"/>
      <c r="Q28" s="5"/>
      <c r="S28" s="26"/>
      <c r="T28" s="26"/>
      <c r="U28" s="26"/>
      <c r="V28" s="113" t="s">
        <v>381</v>
      </c>
      <c r="W28" s="242">
        <f t="shared" si="6"/>
        <v>0.96094117606044982</v>
      </c>
      <c r="X28" s="242">
        <v>1</v>
      </c>
    </row>
    <row r="29" spans="2:24" ht="12.6" thickTop="1">
      <c r="B29" s="5" t="s">
        <v>489</v>
      </c>
      <c r="C29" s="422">
        <v>324.13272547833452</v>
      </c>
      <c r="D29" s="416">
        <v>358.43272547833459</v>
      </c>
      <c r="E29" s="416">
        <v>353.01603497290813</v>
      </c>
      <c r="F29" s="416">
        <v>367.33336897838171</v>
      </c>
      <c r="G29" s="416">
        <v>385.28008436731102</v>
      </c>
      <c r="H29" s="233">
        <f t="shared" si="4"/>
        <v>2.4368704636890337E-2</v>
      </c>
      <c r="I29" s="212"/>
      <c r="J29" s="209"/>
      <c r="K29" s="209"/>
      <c r="L29" s="209"/>
      <c r="M29" s="209"/>
      <c r="N29" s="209"/>
      <c r="O29" s="211"/>
      <c r="Q29" s="5"/>
      <c r="S29" s="26"/>
      <c r="T29" s="26"/>
      <c r="U29" s="26"/>
      <c r="V29" s="113" t="s">
        <v>434</v>
      </c>
      <c r="W29" s="242">
        <f t="shared" si="6"/>
        <v>2.5537070846644214</v>
      </c>
      <c r="X29" s="242">
        <v>1</v>
      </c>
    </row>
    <row r="30" spans="2:24">
      <c r="B30" s="5" t="s">
        <v>490</v>
      </c>
      <c r="C30" s="422">
        <v>383.55892875627978</v>
      </c>
      <c r="D30" s="416">
        <v>382.59367796597843</v>
      </c>
      <c r="E30" s="416">
        <v>388.87356419910503</v>
      </c>
      <c r="F30" s="416">
        <v>409.38854919318334</v>
      </c>
      <c r="G30" s="416">
        <v>432.3008533696472</v>
      </c>
      <c r="H30" s="233">
        <f t="shared" si="4"/>
        <v>4.155634234849126E-2</v>
      </c>
      <c r="I30" s="214"/>
      <c r="J30" s="208"/>
      <c r="K30" s="208"/>
      <c r="L30" s="208"/>
      <c r="M30" s="208"/>
      <c r="N30" s="208"/>
      <c r="O30" s="5"/>
      <c r="Q30" s="5"/>
      <c r="S30" s="26"/>
      <c r="T30" s="26"/>
      <c r="U30" s="26"/>
      <c r="V30" s="113" t="s">
        <v>493</v>
      </c>
      <c r="W30" s="242">
        <f t="shared" si="6"/>
        <v>2.8206868646257166</v>
      </c>
      <c r="X30" s="242">
        <v>1</v>
      </c>
    </row>
    <row r="31" spans="2:24">
      <c r="B31" s="5" t="s">
        <v>491</v>
      </c>
      <c r="C31" s="422">
        <v>376.96224509999996</v>
      </c>
      <c r="D31" s="416">
        <v>385.23248159999997</v>
      </c>
      <c r="E31" s="416">
        <v>404.49410567999996</v>
      </c>
      <c r="F31" s="416">
        <v>424.71881096400006</v>
      </c>
      <c r="G31" s="416">
        <v>445.95475151220006</v>
      </c>
      <c r="H31" s="233">
        <f t="shared" si="4"/>
        <v>5.0000000000000044E-2</v>
      </c>
      <c r="I31" s="214"/>
      <c r="J31" s="212"/>
      <c r="K31" s="212"/>
      <c r="L31" s="212"/>
      <c r="M31" s="212"/>
      <c r="N31" s="212"/>
      <c r="O31" s="5"/>
      <c r="Q31" s="5"/>
      <c r="S31" s="26"/>
      <c r="T31" s="26"/>
      <c r="U31" s="26"/>
      <c r="V31" s="113" t="s">
        <v>390</v>
      </c>
      <c r="W31" s="242">
        <f t="shared" si="6"/>
        <v>0.95479398814109273</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26"/>
      <c r="T32" s="26"/>
      <c r="U32" s="26"/>
      <c r="V32" s="113" t="s">
        <v>437</v>
      </c>
      <c r="W32" s="242">
        <f t="shared" si="6"/>
        <v>0.74479739319628868</v>
      </c>
      <c r="X32" s="242">
        <v>1</v>
      </c>
    </row>
    <row r="33" spans="2:24">
      <c r="B33" s="5" t="s">
        <v>3</v>
      </c>
      <c r="C33" s="422">
        <v>38.5</v>
      </c>
      <c r="D33" s="416">
        <v>40</v>
      </c>
      <c r="E33" s="416">
        <v>31.242036781686828</v>
      </c>
      <c r="F33" s="416">
        <v>30.49537256353026</v>
      </c>
      <c r="G33" s="416">
        <v>30.225174968736475</v>
      </c>
      <c r="H33" s="233">
        <f>IF(D33=0,"nm",IF(G33=0,"nm",(G33/D33)^(1/3)-1))</f>
        <v>-8.9172200252767619E-2</v>
      </c>
      <c r="I33" s="5"/>
      <c r="J33" s="214"/>
      <c r="K33" s="214"/>
      <c r="L33" s="214"/>
      <c r="M33" s="214"/>
      <c r="N33" s="214"/>
      <c r="O33" s="211"/>
      <c r="Q33" s="5"/>
      <c r="S33" s="26"/>
      <c r="T33" s="26"/>
      <c r="U33" s="26"/>
      <c r="V33" s="113" t="s">
        <v>481</v>
      </c>
      <c r="W33" s="242">
        <f t="shared" si="6"/>
        <v>1.4850028002070068</v>
      </c>
      <c r="X33" s="242">
        <v>1</v>
      </c>
    </row>
    <row r="34" spans="2:24">
      <c r="B34" s="5"/>
      <c r="C34" s="207"/>
      <c r="D34" s="13"/>
      <c r="E34" s="13"/>
      <c r="F34" s="13"/>
      <c r="G34" s="13"/>
      <c r="H34" s="231"/>
      <c r="I34" s="33"/>
      <c r="J34" s="214"/>
      <c r="K34" s="214"/>
      <c r="L34" s="214"/>
      <c r="M34" s="214"/>
      <c r="N34" s="214"/>
      <c r="O34" s="211"/>
      <c r="Q34" s="5"/>
      <c r="S34" s="26"/>
      <c r="T34" s="26"/>
      <c r="U34" s="26"/>
      <c r="V34" s="113" t="s">
        <v>482</v>
      </c>
      <c r="W34" s="242">
        <f>D47/L19</f>
        <v>1.047346351590378</v>
      </c>
      <c r="X34" s="242">
        <v>1</v>
      </c>
    </row>
    <row r="35" spans="2:24" ht="12.6" thickBot="1">
      <c r="B35" s="249" t="s">
        <v>287</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3.8034568347615201</v>
      </c>
      <c r="E37" s="406">
        <f t="shared" ref="E37:G41" si="8">E$18/E23</f>
        <v>3.5599285706279251</v>
      </c>
      <c r="F37" s="406">
        <f t="shared" si="8"/>
        <v>3.2834275062811193</v>
      </c>
      <c r="G37" s="406">
        <f t="shared" si="8"/>
        <v>3.029530455612401</v>
      </c>
      <c r="H37" s="13">
        <f t="shared" ref="H37:H45" si="9">H23</f>
        <v>2.9453725359464666E-2</v>
      </c>
      <c r="I37" s="5"/>
      <c r="J37" s="217"/>
      <c r="K37" s="217"/>
      <c r="L37" s="217"/>
      <c r="M37" s="217"/>
      <c r="N37" s="217"/>
      <c r="O37" s="14"/>
      <c r="Q37" s="5"/>
      <c r="S37" s="26"/>
      <c r="T37" s="26"/>
      <c r="U37" s="26"/>
      <c r="V37" s="26"/>
      <c r="W37" s="26"/>
      <c r="X37" s="26"/>
    </row>
    <row r="38" spans="2:24">
      <c r="B38" s="5" t="s">
        <v>158</v>
      </c>
      <c r="C38" s="207"/>
      <c r="D38" s="406">
        <f>D$18/D24</f>
        <v>10.622101486934207</v>
      </c>
      <c r="E38" s="406">
        <f t="shared" si="8"/>
        <v>9.9848656560307845</v>
      </c>
      <c r="F38" s="406">
        <f t="shared" si="8"/>
        <v>9.1819073576696191</v>
      </c>
      <c r="G38" s="406">
        <f t="shared" si="8"/>
        <v>8.3787792378447836</v>
      </c>
      <c r="H38" s="13">
        <f t="shared" si="9"/>
        <v>3.2798676558669415E-2</v>
      </c>
      <c r="I38" s="217"/>
      <c r="J38" s="13"/>
      <c r="K38" s="13"/>
      <c r="L38" s="13"/>
      <c r="M38" s="13"/>
      <c r="N38" s="13"/>
      <c r="O38" s="5"/>
      <c r="Q38" s="5"/>
      <c r="S38" s="26"/>
      <c r="T38" s="26"/>
      <c r="U38" s="26"/>
      <c r="V38" s="26"/>
      <c r="W38" s="26"/>
      <c r="X38" s="26"/>
    </row>
    <row r="39" spans="2:24">
      <c r="B39" s="5" t="s">
        <v>159</v>
      </c>
      <c r="C39" s="207"/>
      <c r="D39" s="406">
        <f>D$18/D25</f>
        <v>16.243675348609699</v>
      </c>
      <c r="E39" s="406">
        <f t="shared" si="8"/>
        <v>15.326689021846887</v>
      </c>
      <c r="F39" s="406">
        <f t="shared" si="8"/>
        <v>14.034210511200996</v>
      </c>
      <c r="G39" s="406">
        <f t="shared" si="8"/>
        <v>12.758168947478724</v>
      </c>
      <c r="H39" s="13">
        <f t="shared" si="9"/>
        <v>3.4279119950668679E-2</v>
      </c>
      <c r="I39" s="13"/>
      <c r="J39" s="5"/>
      <c r="K39" s="5"/>
      <c r="L39" s="5"/>
      <c r="M39" s="5"/>
      <c r="N39" s="5"/>
      <c r="O39" s="5"/>
      <c r="Q39" s="5"/>
      <c r="S39" s="26"/>
      <c r="T39" s="26"/>
      <c r="U39" s="26"/>
      <c r="V39" s="26"/>
      <c r="W39" s="26"/>
      <c r="X39" s="26"/>
    </row>
    <row r="40" spans="2:24">
      <c r="B40" s="5" t="s">
        <v>381</v>
      </c>
      <c r="C40" s="207"/>
      <c r="D40" s="406">
        <f>D$18/D26</f>
        <v>20.304594185762124</v>
      </c>
      <c r="E40" s="406">
        <f t="shared" si="8"/>
        <v>19.158361277308607</v>
      </c>
      <c r="F40" s="406">
        <f t="shared" si="8"/>
        <v>17.542763139001245</v>
      </c>
      <c r="G40" s="406">
        <f t="shared" si="8"/>
        <v>15.947711184348405</v>
      </c>
      <c r="H40" s="13">
        <f t="shared" si="9"/>
        <v>3.4279119950668679E-2</v>
      </c>
      <c r="I40" s="5"/>
      <c r="J40" s="217"/>
      <c r="K40" s="217"/>
      <c r="L40" s="217"/>
      <c r="M40" s="217"/>
      <c r="N40" s="217"/>
      <c r="O40" s="14"/>
      <c r="Q40" s="5"/>
      <c r="S40" s="26"/>
      <c r="T40" s="26"/>
      <c r="U40" s="26"/>
      <c r="V40" s="26"/>
      <c r="W40" s="242"/>
      <c r="X40" s="242"/>
    </row>
    <row r="41" spans="2:24">
      <c r="B41" s="5" t="s">
        <v>434</v>
      </c>
      <c r="C41" s="207"/>
      <c r="D41" s="406">
        <f>D$18/D27</f>
        <v>3.0952884159871017</v>
      </c>
      <c r="E41" s="406">
        <f t="shared" si="8"/>
        <v>3.2517253222562599</v>
      </c>
      <c r="F41" s="406">
        <f t="shared" si="8"/>
        <v>3.0884424450766894</v>
      </c>
      <c r="G41" s="406">
        <f t="shared" si="8"/>
        <v>2.895445730402713</v>
      </c>
      <c r="H41" s="13">
        <f t="shared" si="9"/>
        <v>-2.4259486596823421E-2</v>
      </c>
      <c r="I41" s="207"/>
      <c r="J41" s="13"/>
      <c r="K41" s="13"/>
      <c r="L41" s="13"/>
      <c r="M41" s="13"/>
      <c r="N41" s="13"/>
      <c r="O41" s="5"/>
      <c r="Q41" s="5"/>
      <c r="S41" s="26"/>
      <c r="T41" s="26"/>
      <c r="U41" s="26"/>
      <c r="V41" s="26"/>
      <c r="W41" s="242"/>
      <c r="X41" s="242"/>
    </row>
    <row r="42" spans="2:24">
      <c r="B42" s="5" t="s">
        <v>493</v>
      </c>
      <c r="C42" s="207"/>
      <c r="D42" s="406">
        <f>D18/D28</f>
        <v>8.4520846920746546</v>
      </c>
      <c r="E42" s="406">
        <f>E18/E28</f>
        <v>8.1139991309237303</v>
      </c>
      <c r="F42" s="406">
        <f>F18/F28</f>
        <v>7.7063217142448348</v>
      </c>
      <c r="G42" s="406">
        <f>G18/G28</f>
        <v>7.3201625749580836</v>
      </c>
      <c r="H42" s="13">
        <f t="shared" si="9"/>
        <v>1.1215524371686048E-3</v>
      </c>
      <c r="I42" s="208"/>
      <c r="J42" s="5"/>
      <c r="K42" s="5"/>
      <c r="L42" s="5"/>
      <c r="M42" s="5"/>
      <c r="N42" s="5"/>
      <c r="O42" s="5"/>
      <c r="Q42" s="5"/>
      <c r="S42" s="26"/>
      <c r="T42" s="26"/>
      <c r="U42" s="26"/>
      <c r="V42" s="26"/>
      <c r="W42" s="242"/>
      <c r="X42" s="242"/>
    </row>
    <row r="43" spans="2:24">
      <c r="B43" s="5" t="s">
        <v>390</v>
      </c>
      <c r="C43" s="207"/>
      <c r="D43" s="406">
        <f>L26/D29</f>
        <v>19.57194180464948</v>
      </c>
      <c r="E43" s="406">
        <f>M26/E29</f>
        <v>19.042497048146544</v>
      </c>
      <c r="F43" s="406">
        <f>N26/F29</f>
        <v>18.300288978961834</v>
      </c>
      <c r="G43" s="406">
        <f>O26/G29</f>
        <v>17.447843988507888</v>
      </c>
      <c r="H43" s="13">
        <f t="shared" si="9"/>
        <v>2.4368704636890337E-2</v>
      </c>
      <c r="I43" s="207"/>
      <c r="J43" s="207"/>
      <c r="K43" s="207"/>
      <c r="L43" s="207"/>
      <c r="M43" s="207"/>
      <c r="N43" s="207"/>
      <c r="O43" s="14"/>
      <c r="Q43" s="5"/>
      <c r="S43" s="26"/>
      <c r="T43" s="26"/>
      <c r="U43" s="26"/>
      <c r="V43" s="26"/>
      <c r="W43" s="242"/>
      <c r="X43" s="242"/>
    </row>
    <row r="44" spans="2:24">
      <c r="B44" s="5" t="s">
        <v>437</v>
      </c>
      <c r="C44" s="53"/>
      <c r="D44" s="406">
        <f>D11/D30</f>
        <v>17.570355160227638</v>
      </c>
      <c r="E44" s="406">
        <f>E11/E30</f>
        <v>17.28661298374643</v>
      </c>
      <c r="F44" s="406">
        <f>F11/F30</f>
        <v>16.420358647471257</v>
      </c>
      <c r="G44" s="406">
        <f>G11/G30</f>
        <v>15.55006600500962</v>
      </c>
      <c r="H44" s="13">
        <f t="shared" si="9"/>
        <v>4.155634234849126E-2</v>
      </c>
      <c r="I44" s="207"/>
      <c r="J44" s="208"/>
      <c r="K44" s="208"/>
      <c r="L44" s="208"/>
      <c r="M44" s="208"/>
      <c r="N44" s="208"/>
      <c r="O44" s="208"/>
      <c r="Q44" s="5"/>
      <c r="S44" s="26"/>
      <c r="T44" s="26"/>
      <c r="U44" s="26"/>
      <c r="V44" s="26"/>
      <c r="W44" s="255"/>
      <c r="X44" s="255"/>
    </row>
    <row r="45" spans="2:24">
      <c r="B45" s="5" t="s">
        <v>481</v>
      </c>
      <c r="C45" s="207"/>
      <c r="D45" s="208">
        <f>D31/D11</f>
        <v>5.7306590257879653E-2</v>
      </c>
      <c r="E45" s="208">
        <f>E31/E11</f>
        <v>6.0171919770773637E-2</v>
      </c>
      <c r="F45" s="208">
        <f>F31/F11</f>
        <v>6.3180515759312328E-2</v>
      </c>
      <c r="G45" s="208">
        <f>G31/G11</f>
        <v>6.6339541547277947E-2</v>
      </c>
      <c r="H45" s="13">
        <f t="shared" si="9"/>
        <v>5.0000000000000044E-2</v>
      </c>
      <c r="I45" s="208"/>
      <c r="J45" s="207"/>
      <c r="K45" s="207"/>
      <c r="L45" s="207"/>
      <c r="M45" s="207"/>
      <c r="N45" s="207"/>
      <c r="O45" s="208"/>
      <c r="Q45" s="5"/>
      <c r="S45" s="26"/>
      <c r="T45" s="26"/>
      <c r="U45" s="26"/>
      <c r="V45" s="26"/>
      <c r="W45" s="26"/>
      <c r="X45" s="26"/>
    </row>
    <row r="46" spans="2:24">
      <c r="B46" s="5" t="s">
        <v>505</v>
      </c>
      <c r="C46" s="207"/>
      <c r="D46" s="208">
        <f>(D31+D32)/D11</f>
        <v>5.7306590257879653E-2</v>
      </c>
      <c r="E46" s="208">
        <f>(E31+E32)/E11</f>
        <v>6.0171919770773637E-2</v>
      </c>
      <c r="F46" s="208">
        <f>(F31+F32)/F11</f>
        <v>6.3180515759312328E-2</v>
      </c>
      <c r="G46" s="208">
        <f>(G31+G32)/G11</f>
        <v>6.6339541547277947E-2</v>
      </c>
      <c r="H46" s="233">
        <f>((G31+G32)/(D31+D32))^(1/3)-1</f>
        <v>5.0000000000000044E-2</v>
      </c>
      <c r="I46" s="207"/>
      <c r="J46" s="207"/>
      <c r="K46" s="207"/>
      <c r="L46" s="207"/>
      <c r="M46" s="207"/>
      <c r="N46" s="207"/>
      <c r="O46" s="14"/>
      <c r="Q46" s="5"/>
      <c r="S46" s="26"/>
      <c r="T46" s="26"/>
      <c r="U46" s="26"/>
      <c r="V46" s="26"/>
      <c r="W46" s="26"/>
      <c r="X46" s="26"/>
    </row>
    <row r="47" spans="2:24">
      <c r="B47" s="5" t="s">
        <v>482</v>
      </c>
      <c r="C47" s="5"/>
      <c r="D47" s="208">
        <f>1/D43</f>
        <v>5.1093550654357736E-2</v>
      </c>
      <c r="E47" s="208">
        <f>1/E43</f>
        <v>5.2514121308336117E-2</v>
      </c>
      <c r="F47" s="208">
        <f>1/F43</f>
        <v>5.4643945849686217E-2</v>
      </c>
      <c r="G47" s="208">
        <f>1/G43</f>
        <v>5.7313671572181361E-2</v>
      </c>
      <c r="H47" s="13">
        <f>H29</f>
        <v>2.4368704636890337E-2</v>
      </c>
      <c r="I47" s="13"/>
      <c r="J47" s="208"/>
      <c r="K47" s="208"/>
      <c r="L47" s="208"/>
      <c r="M47" s="208"/>
      <c r="N47" s="208"/>
      <c r="O47" s="208"/>
      <c r="Q47" s="5"/>
      <c r="S47" s="26"/>
      <c r="T47" s="26"/>
      <c r="U47" s="26"/>
      <c r="V47" s="26"/>
      <c r="W47" s="26"/>
      <c r="X47" s="26"/>
    </row>
    <row r="48" spans="2:24">
      <c r="B48" s="5" t="s">
        <v>518</v>
      </c>
      <c r="C48" s="5"/>
      <c r="D48" s="248">
        <f>D31/D29</f>
        <v>1.074769278072756</v>
      </c>
      <c r="E48" s="248">
        <f>E31/E29</f>
        <v>1.1458236046162675</v>
      </c>
      <c r="F48" s="248">
        <f>F31/F29</f>
        <v>1.156221696235268</v>
      </c>
      <c r="G48" s="248">
        <f>G31/G29</f>
        <v>1.1574819711860429</v>
      </c>
      <c r="H48" s="233" t="s">
        <v>507</v>
      </c>
      <c r="I48" s="207"/>
      <c r="J48" s="207"/>
      <c r="K48" s="207"/>
      <c r="L48" s="207"/>
      <c r="M48" s="207"/>
      <c r="N48" s="207"/>
      <c r="O48" s="208"/>
      <c r="Q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ELISASOP!A1" display="Jump to Elisa SOP" xr:uid="{00000000-0004-0000-2200-000001000000}"/>
  </hyperlinks>
  <pageMargins left="0.75" right="0.75" top="1" bottom="1" header="0.5" footer="0.5"/>
  <pageSetup scale="7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533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360</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536</v>
      </c>
      <c r="C9" s="239">
        <f>Prices!C112</f>
        <v>3643</v>
      </c>
      <c r="D9" s="412">
        <v>0</v>
      </c>
      <c r="E9" s="413">
        <v>0</v>
      </c>
      <c r="F9" s="413">
        <v>0</v>
      </c>
      <c r="G9" s="413">
        <v>0</v>
      </c>
      <c r="H9" s="209"/>
      <c r="I9" s="209"/>
      <c r="J9" s="5" t="s">
        <v>225</v>
      </c>
      <c r="L9" s="406">
        <f>'LATAM OTHER'!D37</f>
        <v>2.4119768823205523</v>
      </c>
      <c r="M9" s="406">
        <f>'LATAM OTHER'!E37</f>
        <v>2.1154894928642065</v>
      </c>
      <c r="N9" s="406">
        <f>'LATAM OTHER'!F37</f>
        <v>1.9103568365427492</v>
      </c>
      <c r="O9" s="406">
        <f>'LATAM OTHER'!G37</f>
        <v>1.724209646645674</v>
      </c>
      <c r="P9" s="240">
        <f>'LATAM OTHER'!H37</f>
        <v>6.4432021722839572E-2</v>
      </c>
    </row>
    <row r="10" spans="2:44">
      <c r="B10" s="5" t="s">
        <v>226</v>
      </c>
      <c r="C10" s="5"/>
      <c r="D10" s="408">
        <v>302.01711299999999</v>
      </c>
      <c r="E10" s="408">
        <v>302.01711299999999</v>
      </c>
      <c r="F10" s="408">
        <v>302.01711299999999</v>
      </c>
      <c r="G10" s="408">
        <v>302.01711299999999</v>
      </c>
      <c r="H10" s="207"/>
      <c r="I10" s="207"/>
      <c r="J10" s="5" t="s">
        <v>158</v>
      </c>
      <c r="L10" s="406">
        <f>'LATAM OTHER'!D38</f>
        <v>5.8512530000817966</v>
      </c>
      <c r="M10" s="406">
        <f>'LATAM OTHER'!E38</f>
        <v>5.2022628550395567</v>
      </c>
      <c r="N10" s="406">
        <f>'LATAM OTHER'!F38</f>
        <v>4.5887025166021536</v>
      </c>
      <c r="O10" s="406">
        <f>'LATAM OTHER'!G38</f>
        <v>4.0686320357957708</v>
      </c>
      <c r="P10" s="240">
        <f>'LATAM OTHER'!H38</f>
        <v>7.4295430516063243E-2</v>
      </c>
    </row>
    <row r="11" spans="2:44">
      <c r="B11" s="25" t="s">
        <v>260</v>
      </c>
      <c r="C11" s="5"/>
      <c r="D11" s="409">
        <f>($C$9*D10)</f>
        <v>1100248.3426590001</v>
      </c>
      <c r="E11" s="409">
        <f>($C$9*E10)</f>
        <v>1100248.3426590001</v>
      </c>
      <c r="F11" s="409">
        <f>($C$9*F10)</f>
        <v>1100248.3426590001</v>
      </c>
      <c r="G11" s="409">
        <f>($C$9*G10)</f>
        <v>1100248.3426590001</v>
      </c>
      <c r="H11" s="209"/>
      <c r="I11" s="209"/>
      <c r="J11" s="5" t="s">
        <v>159</v>
      </c>
      <c r="L11" s="406">
        <f>'LATAM OTHER'!D39</f>
        <v>9.7743985443172523</v>
      </c>
      <c r="M11" s="406">
        <f>'LATAM OTHER'!E39</f>
        <v>8.5016802869832357</v>
      </c>
      <c r="N11" s="406">
        <f>'LATAM OTHER'!F39</f>
        <v>7.1652573287893704</v>
      </c>
      <c r="O11" s="406">
        <f>'LATAM OTHER'!G39</f>
        <v>6.1497254932409238</v>
      </c>
      <c r="P11" s="240">
        <f>'LATAM OTHER'!H39</f>
        <v>0.11071254875259684</v>
      </c>
    </row>
    <row r="12" spans="2:44">
      <c r="B12" s="5" t="s">
        <v>22</v>
      </c>
      <c r="C12" s="209"/>
      <c r="D12" s="410">
        <v>1441175.2661010958</v>
      </c>
      <c r="E12" s="410">
        <v>1522144.6366242534</v>
      </c>
      <c r="F12" s="410">
        <v>1581389.5043815949</v>
      </c>
      <c r="G12" s="410">
        <v>1603026.9157001663</v>
      </c>
      <c r="H12" s="207"/>
      <c r="I12" s="207"/>
      <c r="J12" s="5" t="s">
        <v>381</v>
      </c>
      <c r="L12" s="406">
        <f>'LATAM OTHER'!D40</f>
        <v>12.943748486442482</v>
      </c>
      <c r="M12" s="406">
        <f>'LATAM OTHER'!E40</f>
        <v>11.262139134791388</v>
      </c>
      <c r="N12" s="406">
        <f>'LATAM OTHER'!F40</f>
        <v>9.8509660228840694</v>
      </c>
      <c r="O12" s="406">
        <f>'LATAM OTHER'!G40</f>
        <v>8.4548305272648268</v>
      </c>
      <c r="P12" s="240">
        <f>'LATAM OTHER'!H40</f>
        <v>9.692085592490618E-2</v>
      </c>
    </row>
    <row r="13" spans="2:44">
      <c r="B13" s="5" t="s">
        <v>433</v>
      </c>
      <c r="C13" s="216"/>
      <c r="D13" s="410">
        <v>0</v>
      </c>
      <c r="E13" s="410">
        <v>0</v>
      </c>
      <c r="F13" s="410">
        <v>0</v>
      </c>
      <c r="G13" s="410">
        <v>0</v>
      </c>
      <c r="H13" s="207"/>
      <c r="I13" s="207"/>
      <c r="J13" s="5" t="s">
        <v>434</v>
      </c>
      <c r="L13" s="406">
        <f>'LATAM OTHER'!D41</f>
        <v>1.5759145073957344</v>
      </c>
      <c r="M13" s="406">
        <f>'LATAM OTHER'!E41</f>
        <v>1.4883300559129049</v>
      </c>
      <c r="N13" s="406">
        <f>'LATAM OTHER'!F41</f>
        <v>1.4090724335425369</v>
      </c>
      <c r="O13" s="406">
        <f>'LATAM OTHER'!G41</f>
        <v>1.3214292867714388</v>
      </c>
      <c r="P13" s="240">
        <f>'LATAM OTHER'!H41</f>
        <v>9.2989378591046279E-3</v>
      </c>
    </row>
    <row r="14" spans="2:44">
      <c r="B14" s="5" t="s">
        <v>436</v>
      </c>
      <c r="C14" s="216"/>
      <c r="D14" s="410">
        <v>0</v>
      </c>
      <c r="E14" s="410">
        <v>0</v>
      </c>
      <c r="F14" s="410">
        <v>0</v>
      </c>
      <c r="G14" s="410">
        <v>0</v>
      </c>
      <c r="H14" s="207"/>
      <c r="I14" s="207"/>
      <c r="J14" s="5" t="s">
        <v>493</v>
      </c>
      <c r="L14" s="406">
        <f>'LATAM OTHER'!D42</f>
        <v>2.0003709392007782</v>
      </c>
      <c r="M14" s="406">
        <f>'LATAM OTHER'!E42</f>
        <v>1.8758750356023162</v>
      </c>
      <c r="N14" s="406">
        <f>'LATAM OTHER'!F42</f>
        <v>1.771442878106624</v>
      </c>
      <c r="O14" s="406">
        <f>'LATAM OTHER'!G42</f>
        <v>1.6500606174643018</v>
      </c>
      <c r="P14" s="240">
        <f>'LATAM OTHER'!H42</f>
        <v>1.4831144278901309E-2</v>
      </c>
    </row>
    <row r="15" spans="2:44">
      <c r="B15" s="5" t="s">
        <v>435</v>
      </c>
      <c r="C15" s="228"/>
      <c r="D15" s="410">
        <v>0</v>
      </c>
      <c r="E15" s="410">
        <v>0</v>
      </c>
      <c r="F15" s="410">
        <v>0</v>
      </c>
      <c r="G15" s="410">
        <v>0</v>
      </c>
      <c r="H15" s="207"/>
      <c r="I15" s="207"/>
      <c r="J15" s="5" t="s">
        <v>390</v>
      </c>
      <c r="L15" s="406">
        <f>'LATAM OTHER'!D43</f>
        <v>11.60541157029073</v>
      </c>
      <c r="M15" s="406">
        <f>'LATAM OTHER'!E43</f>
        <v>9.6347374591270096</v>
      </c>
      <c r="N15" s="406">
        <f>'LATAM OTHER'!F43</f>
        <v>7.5273490959335732</v>
      </c>
      <c r="O15" s="406">
        <f>'LATAM OTHER'!G43</f>
        <v>6.5286296232591763</v>
      </c>
      <c r="P15" s="240">
        <f>'LATAM OTHER'!H43</f>
        <v>0.18323846876090721</v>
      </c>
    </row>
    <row r="16" spans="2:44">
      <c r="B16" s="5" t="s">
        <v>438</v>
      </c>
      <c r="C16" s="216"/>
      <c r="D16" s="410">
        <v>0</v>
      </c>
      <c r="E16" s="410">
        <v>54816.106009500007</v>
      </c>
      <c r="F16" s="410">
        <v>115113.82261995002</v>
      </c>
      <c r="G16" s="410">
        <v>181441.31089144503</v>
      </c>
      <c r="H16" s="207"/>
      <c r="I16" s="207"/>
      <c r="J16" s="5" t="s">
        <v>437</v>
      </c>
      <c r="L16" s="406">
        <f>'LATAM OTHER'!D44</f>
        <v>12.587422154239039</v>
      </c>
      <c r="M16" s="406">
        <f>'LATAM OTHER'!E44</f>
        <v>10.558225413184802</v>
      </c>
      <c r="N16" s="406">
        <f>'LATAM OTHER'!F44</f>
        <v>8.851083192314551</v>
      </c>
      <c r="O16" s="406">
        <f>'LATAM OTHER'!G44</f>
        <v>7.7346026411363038</v>
      </c>
      <c r="P16" s="240">
        <f>'LATAM OTHER'!H44</f>
        <v>0.15515708992416144</v>
      </c>
    </row>
    <row r="17" spans="2:24">
      <c r="B17" s="5" t="s">
        <v>4</v>
      </c>
      <c r="C17" s="216"/>
      <c r="D17" s="410">
        <v>0</v>
      </c>
      <c r="E17" s="410">
        <v>0</v>
      </c>
      <c r="F17" s="410">
        <v>0</v>
      </c>
      <c r="G17" s="410">
        <v>0</v>
      </c>
      <c r="H17" s="207"/>
      <c r="I17" s="207"/>
      <c r="J17" s="5" t="s">
        <v>481</v>
      </c>
      <c r="L17" s="208">
        <f>'LATAM OTHER'!D45</f>
        <v>6.6798352381774173E-2</v>
      </c>
      <c r="M17" s="208">
        <f>'LATAM OTHER'!E45</f>
        <v>6.8747335864796422E-2</v>
      </c>
      <c r="N17" s="208">
        <f>'LATAM OTHER'!F45</f>
        <v>7.8197938134596134E-2</v>
      </c>
      <c r="O17" s="208">
        <f>'LATAM OTHER'!G45</f>
        <v>8.4412656483087073E-2</v>
      </c>
      <c r="P17" s="240">
        <f>'LATAM OTHER'!H45</f>
        <v>6.1749479822025055E-2</v>
      </c>
      <c r="S17" s="72"/>
      <c r="T17" s="26"/>
      <c r="U17" s="26"/>
      <c r="V17" s="26"/>
      <c r="W17" s="26"/>
      <c r="X17" s="26"/>
    </row>
    <row r="18" spans="2:24" ht="12.6" thickBot="1">
      <c r="B18" s="25" t="s">
        <v>484</v>
      </c>
      <c r="C18" s="209"/>
      <c r="D18" s="411">
        <f>D11+D12+D13-D14+D15-D16-D17</f>
        <v>2541423.6087600961</v>
      </c>
      <c r="E18" s="411">
        <f>E11+E12+E13-E14+E15-E16-E17</f>
        <v>2567576.8732737536</v>
      </c>
      <c r="F18" s="411">
        <f>F11+F12+F13-F14+F15-F16-F17</f>
        <v>2566524.0244206451</v>
      </c>
      <c r="G18" s="411">
        <f>G11+G12+G13-G14+G15-G16-G17</f>
        <v>2521833.9474677211</v>
      </c>
      <c r="H18" s="230">
        <f>IF(D18=0,"nm",IF(G18=0,"nm",(G18/D18)^(1/3)-1))</f>
        <v>-2.5760117540247762E-3</v>
      </c>
      <c r="I18" s="214"/>
      <c r="J18" s="5" t="s">
        <v>33</v>
      </c>
      <c r="L18" s="208">
        <f>'LATAM OTHER'!D46</f>
        <v>8.0378510362212871E-2</v>
      </c>
      <c r="M18" s="208">
        <f>'LATAM OTHER'!E46</f>
        <v>8.4592966994935445E-2</v>
      </c>
      <c r="N18" s="208">
        <f>'LATAM OTHER'!F46</f>
        <v>9.433284175985629E-2</v>
      </c>
      <c r="O18" s="208">
        <f>'LATAM OTHER'!G46</f>
        <v>0.10084759072217683</v>
      </c>
      <c r="P18" s="240">
        <f>'LATAM OTHER'!H46</f>
        <v>5.9213016537436713E-2</v>
      </c>
      <c r="S18" s="72"/>
      <c r="T18" s="26"/>
      <c r="U18" s="26"/>
      <c r="V18" s="26"/>
      <c r="W18" s="26"/>
      <c r="X18" s="26"/>
    </row>
    <row r="19" spans="2:24" ht="12.6" thickTop="1">
      <c r="B19" s="25"/>
      <c r="C19" s="209"/>
      <c r="D19" s="189"/>
      <c r="E19" s="189"/>
      <c r="F19" s="189"/>
      <c r="G19" s="189"/>
      <c r="H19" s="230"/>
      <c r="I19" s="214"/>
      <c r="J19" s="5" t="s">
        <v>482</v>
      </c>
      <c r="L19" s="208">
        <f>'LATAM OTHER'!D47</f>
        <v>8.6166698521916246E-2</v>
      </c>
      <c r="M19" s="208">
        <f>'LATAM OTHER'!E47</f>
        <v>0.10379110009403501</v>
      </c>
      <c r="N19" s="208">
        <f>'LATAM OTHER'!F47</f>
        <v>0.13284889371481659</v>
      </c>
      <c r="O19" s="208">
        <f>'LATAM OTHER'!G47</f>
        <v>0.15317150117344031</v>
      </c>
      <c r="P19" s="240">
        <f>'LATAM OTHER'!H47</f>
        <v>0.18323846876090721</v>
      </c>
      <c r="S19" s="72"/>
      <c r="T19" s="26"/>
      <c r="U19" s="26"/>
      <c r="V19" s="26"/>
      <c r="W19" s="26"/>
      <c r="X19" s="26"/>
    </row>
    <row r="20" spans="2:24">
      <c r="H20" s="231"/>
      <c r="I20" s="13"/>
      <c r="J20" s="5" t="s">
        <v>504</v>
      </c>
      <c r="L20" s="248">
        <f>'LATAM OTHER'!D48</f>
        <v>0.93126857380042938</v>
      </c>
      <c r="M20" s="248">
        <f>'LATAM OTHER'!E48</f>
        <v>0.79549299406012719</v>
      </c>
      <c r="N20" s="248">
        <f>'LATAM OTHER'!F48</f>
        <v>0.71725477353181899</v>
      </c>
      <c r="O20" s="248">
        <f>'LATAM OTHER'!G48</f>
        <v>0.67285932583422448</v>
      </c>
      <c r="P20" s="240" t="str">
        <f>'LATAM OTHER'!H48</f>
        <v>nm</v>
      </c>
      <c r="S20" s="72"/>
      <c r="T20" s="26"/>
      <c r="U20" s="26"/>
      <c r="V20" s="26"/>
      <c r="W20" s="26"/>
      <c r="X20" s="26"/>
    </row>
    <row r="21" spans="2:24" ht="12.6" thickBot="1">
      <c r="B21" s="249" t="s">
        <v>766</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2764760</v>
      </c>
      <c r="D23" s="416">
        <v>2894594.0924286181</v>
      </c>
      <c r="E23" s="416">
        <v>2980027.3149929456</v>
      </c>
      <c r="F23" s="416">
        <v>3050542.5640458385</v>
      </c>
      <c r="G23" s="416">
        <v>3120156.6907958412</v>
      </c>
      <c r="H23" s="233">
        <f t="shared" ref="H23:H32" si="3">IF(D23=0,"nm",IF(G23=0,"nm",(G23/D23)^(1/3)-1))</f>
        <v>2.532822093769016E-2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623941.91799999995</v>
      </c>
      <c r="D24" s="416">
        <v>642381.49589358363</v>
      </c>
      <c r="E24" s="416">
        <v>672691.64450409531</v>
      </c>
      <c r="F24" s="416">
        <v>699708.51857638475</v>
      </c>
      <c r="G24" s="416">
        <v>721398.26965849986</v>
      </c>
      <c r="H24" s="233">
        <f t="shared" si="3"/>
        <v>3.9427073789041867E-2</v>
      </c>
      <c r="I24" s="209"/>
      <c r="J24" s="13"/>
      <c r="K24" s="13"/>
      <c r="L24" s="13"/>
      <c r="M24" s="13"/>
      <c r="N24" s="13"/>
      <c r="O24" s="208"/>
      <c r="S24" s="72"/>
      <c r="T24" s="26"/>
      <c r="U24" s="26"/>
      <c r="V24" s="26"/>
      <c r="W24" s="26" t="s">
        <v>535</v>
      </c>
      <c r="X24" s="26" t="s">
        <v>419</v>
      </c>
    </row>
    <row r="25" spans="2:24">
      <c r="B25" s="5" t="s">
        <v>157</v>
      </c>
      <c r="C25" s="422">
        <v>146892.91799999995</v>
      </c>
      <c r="D25" s="416">
        <v>86277.495893583633</v>
      </c>
      <c r="E25" s="416">
        <v>139694.72450409527</v>
      </c>
      <c r="F25" s="416">
        <v>185977.7257763847</v>
      </c>
      <c r="G25" s="416">
        <v>238092.3102184998</v>
      </c>
      <c r="H25" s="233">
        <f t="shared" si="3"/>
        <v>0.40264988066055385</v>
      </c>
      <c r="I25" s="208"/>
      <c r="J25" s="207" t="s">
        <v>8</v>
      </c>
      <c r="K25" s="207"/>
      <c r="L25" s="252">
        <v>205272.29887868263</v>
      </c>
      <c r="M25" s="252">
        <v>241379.47826051168</v>
      </c>
      <c r="N25" s="252">
        <v>0</v>
      </c>
      <c r="O25" s="252">
        <v>0</v>
      </c>
      <c r="P25" s="233" t="str">
        <f>IF(L25=0,"nm",IF(O25=0,"nm",(O25/L25)^(1/3)-1))</f>
        <v>nm</v>
      </c>
      <c r="S25" s="72"/>
      <c r="T25" s="26"/>
      <c r="U25" s="26"/>
      <c r="V25" s="113" t="s">
        <v>225</v>
      </c>
      <c r="W25" s="242">
        <f>D37/L9</f>
        <v>0.36401245831611906</v>
      </c>
      <c r="X25" s="242">
        <v>1</v>
      </c>
    </row>
    <row r="26" spans="2:24">
      <c r="B26" s="5" t="s">
        <v>487</v>
      </c>
      <c r="C26" s="422">
        <v>107231.83013999996</v>
      </c>
      <c r="D26" s="416">
        <v>62982.572002316054</v>
      </c>
      <c r="E26" s="416">
        <v>101977.14888798955</v>
      </c>
      <c r="F26" s="416">
        <v>135763.73981676082</v>
      </c>
      <c r="G26" s="416">
        <v>173807.38645950484</v>
      </c>
      <c r="H26" s="233">
        <f t="shared" si="3"/>
        <v>0.40264988066055385</v>
      </c>
      <c r="I26" s="209"/>
      <c r="J26" s="209" t="s">
        <v>9</v>
      </c>
      <c r="K26" s="209"/>
      <c r="L26" s="235">
        <f>D11+L25</f>
        <v>1305520.6415376826</v>
      </c>
      <c r="M26" s="235">
        <f>E11+M25</f>
        <v>1341627.8209195118</v>
      </c>
      <c r="N26" s="235">
        <f>F11+N25</f>
        <v>1100248.3426590001</v>
      </c>
      <c r="O26" s="235">
        <f>G11+O25</f>
        <v>1100248.3426590001</v>
      </c>
      <c r="P26" s="233">
        <f>IF(L26=0,"nm",IF(O26=0,"nm",(O26/L26)^(1/3)-1))</f>
        <v>-5.5426711432766007E-2</v>
      </c>
      <c r="Q26" s="5"/>
      <c r="S26" s="72"/>
      <c r="T26" s="26"/>
      <c r="U26" s="26"/>
      <c r="V26" s="113" t="s">
        <v>158</v>
      </c>
      <c r="W26" s="242">
        <f t="shared" ref="W26:W33" si="5">D38/L10</f>
        <v>0.67613771381121146</v>
      </c>
      <c r="X26" s="242">
        <v>1</v>
      </c>
    </row>
    <row r="27" spans="2:24">
      <c r="B27" s="5" t="s">
        <v>488</v>
      </c>
      <c r="C27" s="423">
        <v>3020823.4330500001</v>
      </c>
      <c r="D27" s="416">
        <v>3185282.3754885625</v>
      </c>
      <c r="E27" s="416">
        <v>3348118.5897898325</v>
      </c>
      <c r="F27" s="416">
        <v>3517813.5682520401</v>
      </c>
      <c r="G27" s="416">
        <v>3653977.1328842472</v>
      </c>
      <c r="H27" s="233">
        <f t="shared" si="3"/>
        <v>4.6821488160224911E-2</v>
      </c>
      <c r="I27" s="209"/>
      <c r="J27" s="208"/>
      <c r="K27" s="208"/>
      <c r="L27" s="208"/>
      <c r="M27" s="208"/>
      <c r="N27" s="208"/>
      <c r="O27" s="208"/>
      <c r="Q27" s="25"/>
      <c r="S27" s="72"/>
      <c r="T27" s="26"/>
      <c r="U27" s="26"/>
      <c r="V27" s="113" t="s">
        <v>159</v>
      </c>
      <c r="W27" s="242">
        <f t="shared" si="5"/>
        <v>3.0136269098703026</v>
      </c>
      <c r="X27" s="242">
        <v>1</v>
      </c>
    </row>
    <row r="28" spans="2:24" ht="12.6" thickBot="1">
      <c r="B28" s="5" t="s">
        <v>492</v>
      </c>
      <c r="C28" s="422">
        <v>2056254.4679999999</v>
      </c>
      <c r="D28" s="416">
        <v>2062385.5904385624</v>
      </c>
      <c r="E28" s="416">
        <v>2058977.5937398323</v>
      </c>
      <c r="F28" s="416">
        <v>2054116.1506520396</v>
      </c>
      <c r="G28" s="416">
        <v>2006995.4726567466</v>
      </c>
      <c r="H28" s="233">
        <f t="shared" si="3"/>
        <v>-9.0337985997450687E-3</v>
      </c>
      <c r="I28" s="208"/>
      <c r="J28" s="249" t="s">
        <v>1073</v>
      </c>
      <c r="K28" s="249"/>
      <c r="L28" s="249"/>
      <c r="M28" s="249"/>
      <c r="N28" s="220"/>
      <c r="O28" s="220"/>
      <c r="P28" s="220"/>
      <c r="Q28" s="5"/>
      <c r="S28" s="72"/>
      <c r="T28" s="26"/>
      <c r="U28" s="26"/>
      <c r="V28" s="113" t="s">
        <v>381</v>
      </c>
      <c r="W28" s="242">
        <f t="shared" si="5"/>
        <v>3.1174292268723063</v>
      </c>
      <c r="X28" s="242">
        <v>1</v>
      </c>
    </row>
    <row r="29" spans="2:24" ht="12.6" thickTop="1">
      <c r="B29" s="5" t="s">
        <v>489</v>
      </c>
      <c r="C29" s="422">
        <v>-16287.082000000053</v>
      </c>
      <c r="D29" s="416">
        <v>-68342.442456095858</v>
      </c>
      <c r="E29" s="416">
        <v>-26153.264513657312</v>
      </c>
      <c r="F29" s="416">
        <v>1052.8488531084004</v>
      </c>
      <c r="G29" s="416">
        <v>44690.076952923788</v>
      </c>
      <c r="H29" s="233">
        <f t="shared" si="3"/>
        <v>-1.8679743052699187</v>
      </c>
      <c r="I29" s="212"/>
      <c r="J29" s="209"/>
      <c r="K29" s="209"/>
      <c r="L29" s="209"/>
      <c r="M29" s="209"/>
      <c r="N29" s="209"/>
      <c r="O29" s="211"/>
      <c r="Q29" s="5"/>
      <c r="S29" s="72"/>
      <c r="T29" s="26"/>
      <c r="U29" s="26"/>
      <c r="V29" s="113" t="s">
        <v>434</v>
      </c>
      <c r="W29" s="242">
        <f t="shared" si="5"/>
        <v>0.50628664069745677</v>
      </c>
      <c r="X29" s="242">
        <v>1</v>
      </c>
    </row>
    <row r="30" spans="2:24">
      <c r="B30" s="5" t="s">
        <v>490</v>
      </c>
      <c r="C30" s="423">
        <v>67673</v>
      </c>
      <c r="D30" s="416">
        <v>96116.499982466776</v>
      </c>
      <c r="E30" s="416">
        <v>136682.94978761254</v>
      </c>
      <c r="F30" s="416">
        <v>170747.82731531595</v>
      </c>
      <c r="G30" s="416">
        <v>180853.64158513088</v>
      </c>
      <c r="H30" s="233">
        <f t="shared" si="3"/>
        <v>0.23455308773700478</v>
      </c>
      <c r="I30" s="214"/>
      <c r="J30" s="208"/>
      <c r="K30" s="208"/>
      <c r="L30" s="208"/>
      <c r="M30" s="208"/>
      <c r="N30" s="208"/>
      <c r="O30" s="5"/>
      <c r="Q30" s="5"/>
      <c r="S30" s="72"/>
      <c r="T30" s="26"/>
      <c r="U30" s="26"/>
      <c r="V30" s="113" t="s">
        <v>493</v>
      </c>
      <c r="W30" s="242">
        <f t="shared" si="5"/>
        <v>0.61602261747881526</v>
      </c>
      <c r="X30" s="242">
        <v>1</v>
      </c>
    </row>
    <row r="31" spans="2:24">
      <c r="B31" s="5" t="s">
        <v>491</v>
      </c>
      <c r="C31" s="423">
        <v>45302.56695</v>
      </c>
      <c r="D31" s="416">
        <v>49832.823644999997</v>
      </c>
      <c r="E31" s="416">
        <v>54816.106009500007</v>
      </c>
      <c r="F31" s="416">
        <v>60297.716610450007</v>
      </c>
      <c r="G31" s="416">
        <v>66327.488271495022</v>
      </c>
      <c r="H31" s="233">
        <f t="shared" si="3"/>
        <v>0.10000000000000009</v>
      </c>
      <c r="I31" s="214"/>
      <c r="J31" s="212"/>
      <c r="K31" s="212"/>
      <c r="L31" s="212"/>
      <c r="M31" s="212"/>
      <c r="N31" s="212"/>
      <c r="O31" s="5"/>
      <c r="Q31" s="5"/>
      <c r="S31" s="72"/>
      <c r="T31" s="26"/>
      <c r="U31" s="26"/>
      <c r="V31" s="113" t="s">
        <v>390</v>
      </c>
      <c r="W31" s="242">
        <f t="shared" si="5"/>
        <v>-1.6460108753909823</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0.90940215172402317</v>
      </c>
      <c r="X32" s="242">
        <v>1</v>
      </c>
    </row>
    <row r="33" spans="2:24">
      <c r="B33" s="5" t="s">
        <v>3</v>
      </c>
      <c r="C33" s="423">
        <v>99685</v>
      </c>
      <c r="D33" s="416">
        <v>119070</v>
      </c>
      <c r="E33" s="416">
        <v>115294.02128808766</v>
      </c>
      <c r="F33" s="416">
        <v>121771.57092994027</v>
      </c>
      <c r="G33" s="416">
        <v>126511.1603505276</v>
      </c>
      <c r="H33" s="233">
        <f>IF(D33=0,"nm",IF(G33=0,"nm",(G33/D33)^(1/3)-1))</f>
        <v>2.0411854079891656E-2</v>
      </c>
      <c r="I33" s="5"/>
      <c r="J33" s="214"/>
      <c r="K33" s="214"/>
      <c r="L33" s="214"/>
      <c r="M33" s="214"/>
      <c r="N33" s="214"/>
      <c r="O33" s="211"/>
      <c r="Q33" s="5"/>
      <c r="S33" s="72"/>
      <c r="T33" s="26"/>
      <c r="U33" s="26"/>
      <c r="V33" s="113" t="s">
        <v>481</v>
      </c>
      <c r="W33" s="242">
        <f t="shared" si="5"/>
        <v>0.67804578798507564</v>
      </c>
      <c r="X33" s="242">
        <v>1</v>
      </c>
    </row>
    <row r="34" spans="2:24">
      <c r="D34" s="5"/>
      <c r="E34" s="5"/>
      <c r="F34" s="5"/>
      <c r="G34" s="5"/>
      <c r="I34" s="33"/>
      <c r="J34" s="214"/>
      <c r="K34" s="214"/>
      <c r="L34" s="214"/>
      <c r="M34" s="214"/>
      <c r="N34" s="214"/>
      <c r="O34" s="211"/>
      <c r="Q34" s="5"/>
      <c r="S34" s="72"/>
      <c r="T34" s="26"/>
      <c r="U34" s="26"/>
      <c r="V34" s="113" t="s">
        <v>482</v>
      </c>
      <c r="W34" s="242">
        <f>D47/L19</f>
        <v>-0.60752940029176095</v>
      </c>
      <c r="X34" s="242">
        <v>1</v>
      </c>
    </row>
    <row r="35" spans="2:24" ht="12.6" thickBot="1">
      <c r="B35" s="249" t="s">
        <v>534</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0.87798963433515287</v>
      </c>
      <c r="E37" s="406">
        <f t="shared" ref="E37:G41" si="7">E$18/E23</f>
        <v>0.86159508013765695</v>
      </c>
      <c r="F37" s="406">
        <f t="shared" si="7"/>
        <v>0.84133362198255812</v>
      </c>
      <c r="G37" s="406">
        <f t="shared" si="7"/>
        <v>0.80823952044039515</v>
      </c>
      <c r="H37" s="13">
        <f t="shared" ref="H37:H45" si="8">H23</f>
        <v>2.532822093769016E-2</v>
      </c>
      <c r="I37" s="5"/>
      <c r="J37" s="217"/>
      <c r="K37" s="217"/>
      <c r="L37" s="217"/>
      <c r="M37" s="217"/>
      <c r="N37" s="217"/>
      <c r="O37" s="14"/>
      <c r="Q37" s="5"/>
      <c r="R37" s="5"/>
      <c r="S37" s="26"/>
      <c r="T37" s="26"/>
      <c r="U37" s="26"/>
      <c r="V37" s="26"/>
      <c r="W37" s="26"/>
      <c r="X37" s="26"/>
    </row>
    <row r="38" spans="2:24">
      <c r="B38" s="5" t="s">
        <v>158</v>
      </c>
      <c r="C38" s="207"/>
      <c r="D38" s="406">
        <f>D$18/D24</f>
        <v>3.9562528264062982</v>
      </c>
      <c r="E38" s="406">
        <f t="shared" si="7"/>
        <v>3.8168704699261689</v>
      </c>
      <c r="F38" s="406">
        <f t="shared" si="7"/>
        <v>3.6679902506295794</v>
      </c>
      <c r="G38" s="406">
        <f t="shared" si="7"/>
        <v>3.4957582427547589</v>
      </c>
      <c r="H38" s="13">
        <f t="shared" si="8"/>
        <v>3.9427073789041867E-2</v>
      </c>
      <c r="I38" s="217"/>
      <c r="J38" s="13"/>
      <c r="K38" s="13"/>
      <c r="L38" s="13"/>
      <c r="M38" s="13"/>
      <c r="N38" s="13"/>
      <c r="O38" s="5"/>
      <c r="Q38" s="5"/>
      <c r="R38" s="5"/>
      <c r="S38" s="26"/>
      <c r="T38" s="26"/>
      <c r="U38" s="26"/>
      <c r="V38" s="26"/>
      <c r="W38" s="26"/>
      <c r="X38" s="26"/>
    </row>
    <row r="39" spans="2:24">
      <c r="B39" s="5" t="s">
        <v>159</v>
      </c>
      <c r="C39" s="207"/>
      <c r="D39" s="406">
        <f>D$18/D25</f>
        <v>29.456390480951583</v>
      </c>
      <c r="E39" s="406">
        <f t="shared" si="7"/>
        <v>18.379912930774154</v>
      </c>
      <c r="F39" s="406">
        <f t="shared" si="7"/>
        <v>13.800168884238181</v>
      </c>
      <c r="G39" s="406">
        <f t="shared" si="7"/>
        <v>10.591832828004431</v>
      </c>
      <c r="H39" s="13">
        <f t="shared" si="8"/>
        <v>0.40264988066055385</v>
      </c>
      <c r="I39" s="13"/>
      <c r="J39" s="5"/>
      <c r="K39" s="5"/>
      <c r="L39" s="5"/>
      <c r="M39" s="5"/>
      <c r="N39" s="5"/>
      <c r="O39" s="5"/>
      <c r="Q39" s="5"/>
      <c r="R39" s="5"/>
      <c r="S39" s="26"/>
      <c r="T39" s="26"/>
      <c r="U39" s="26"/>
      <c r="V39" s="26"/>
      <c r="W39" s="26"/>
      <c r="X39" s="26"/>
    </row>
    <row r="40" spans="2:24">
      <c r="B40" s="5" t="s">
        <v>381</v>
      </c>
      <c r="C40" s="207"/>
      <c r="D40" s="406">
        <f>D$18/D26</f>
        <v>40.351219836919974</v>
      </c>
      <c r="E40" s="406">
        <f t="shared" si="7"/>
        <v>25.177962918868701</v>
      </c>
      <c r="F40" s="406">
        <f t="shared" si="7"/>
        <v>18.904340937312579</v>
      </c>
      <c r="G40" s="406">
        <f t="shared" si="7"/>
        <v>14.509360038362235</v>
      </c>
      <c r="H40" s="13">
        <f t="shared" si="8"/>
        <v>0.40264988066055385</v>
      </c>
      <c r="I40" s="5"/>
      <c r="J40" s="217"/>
      <c r="K40" s="217"/>
      <c r="L40" s="217"/>
      <c r="M40" s="217"/>
      <c r="N40" s="217"/>
      <c r="O40" s="14"/>
      <c r="Q40" s="5"/>
      <c r="R40" s="5"/>
      <c r="S40" s="26"/>
      <c r="T40" s="26"/>
      <c r="U40" s="26"/>
      <c r="V40" s="26"/>
      <c r="W40" s="242"/>
      <c r="X40" s="242"/>
    </row>
    <row r="41" spans="2:24">
      <c r="B41" s="5" t="s">
        <v>434</v>
      </c>
      <c r="C41" s="207"/>
      <c r="D41" s="406">
        <f>D$18/D27</f>
        <v>0.79786446197577365</v>
      </c>
      <c r="E41" s="406">
        <f t="shared" si="7"/>
        <v>0.76687154424686166</v>
      </c>
      <c r="F41" s="406">
        <f t="shared" si="7"/>
        <v>0.72957931812626453</v>
      </c>
      <c r="G41" s="406">
        <f t="shared" si="7"/>
        <v>0.69016139284843447</v>
      </c>
      <c r="H41" s="13">
        <f t="shared" si="8"/>
        <v>4.6821488160224911E-2</v>
      </c>
      <c r="I41" s="207"/>
      <c r="J41" s="13"/>
      <c r="K41" s="13"/>
      <c r="L41" s="13"/>
      <c r="M41" s="13"/>
      <c r="N41" s="13"/>
      <c r="O41" s="5"/>
      <c r="Q41" s="5"/>
      <c r="R41" s="5"/>
      <c r="S41" s="26"/>
      <c r="T41" s="26"/>
      <c r="U41" s="26"/>
      <c r="V41" s="26"/>
      <c r="W41" s="242"/>
      <c r="X41" s="242"/>
    </row>
    <row r="42" spans="2:24">
      <c r="B42" s="5" t="s">
        <v>493</v>
      </c>
      <c r="C42" s="207"/>
      <c r="D42" s="406">
        <f>D18/D28</f>
        <v>1.2322737418950194</v>
      </c>
      <c r="E42" s="406">
        <f>E18/E28</f>
        <v>1.2470154512998488</v>
      </c>
      <c r="F42" s="406">
        <f>F18/F28</f>
        <v>1.2494541867099149</v>
      </c>
      <c r="G42" s="406">
        <f>G18/G28</f>
        <v>1.2565219911181267</v>
      </c>
      <c r="H42" s="13">
        <f t="shared" si="8"/>
        <v>-9.0337985997450687E-3</v>
      </c>
      <c r="I42" s="208"/>
      <c r="J42" s="5"/>
      <c r="K42" s="5"/>
      <c r="L42" s="5"/>
      <c r="M42" s="5"/>
      <c r="N42" s="5"/>
      <c r="O42" s="5"/>
      <c r="Q42" s="5"/>
      <c r="R42" s="5"/>
      <c r="S42" s="26"/>
      <c r="T42" s="26"/>
      <c r="U42" s="26"/>
      <c r="V42" s="26"/>
      <c r="W42" s="242"/>
      <c r="X42" s="242"/>
    </row>
    <row r="43" spans="2:24">
      <c r="B43" s="5" t="s">
        <v>390</v>
      </c>
      <c r="C43" s="207"/>
      <c r="D43" s="406">
        <f>L26/D29</f>
        <v>-19.10263365808688</v>
      </c>
      <c r="E43" s="406">
        <f>M26/E29</f>
        <v>-51.298675169935663</v>
      </c>
      <c r="F43" s="406">
        <f>N26/F29</f>
        <v>1045.0202224285649</v>
      </c>
      <c r="G43" s="406">
        <f>O26/G29</f>
        <v>24.619522222304383</v>
      </c>
      <c r="H43" s="13">
        <f t="shared" si="8"/>
        <v>-1.8679743052699187</v>
      </c>
      <c r="I43" s="207"/>
      <c r="J43" s="207"/>
      <c r="K43" s="207"/>
      <c r="L43" s="207"/>
      <c r="M43" s="207"/>
      <c r="N43" s="207"/>
      <c r="O43" s="14"/>
      <c r="Q43" s="5"/>
      <c r="R43" s="5"/>
      <c r="S43" s="26"/>
      <c r="T43" s="26"/>
      <c r="U43" s="26"/>
      <c r="V43" s="26"/>
      <c r="W43" s="242"/>
      <c r="X43" s="242"/>
    </row>
    <row r="44" spans="2:24">
      <c r="B44" s="5" t="s">
        <v>437</v>
      </c>
      <c r="C44" s="53"/>
      <c r="D44" s="406">
        <f>D11/D30</f>
        <v>11.447028791723621</v>
      </c>
      <c r="E44" s="406">
        <f>E11/E30</f>
        <v>8.0496385567376354</v>
      </c>
      <c r="F44" s="406">
        <f>F11/F30</f>
        <v>6.4437033252973555</v>
      </c>
      <c r="G44" s="406">
        <f>G11/G30</f>
        <v>6.0836394170204997</v>
      </c>
      <c r="H44" s="13">
        <f t="shared" si="8"/>
        <v>0.23455308773700478</v>
      </c>
      <c r="I44" s="207"/>
      <c r="J44" s="208"/>
      <c r="K44" s="208"/>
      <c r="L44" s="208"/>
      <c r="M44" s="208"/>
      <c r="N44" s="208"/>
      <c r="O44" s="208"/>
      <c r="Q44" s="5"/>
      <c r="R44" s="5"/>
      <c r="S44" s="26"/>
      <c r="T44" s="26"/>
      <c r="U44" s="26"/>
      <c r="V44" s="26"/>
      <c r="W44" s="255"/>
      <c r="X44" s="255"/>
    </row>
    <row r="45" spans="2:24">
      <c r="B45" s="5" t="s">
        <v>481</v>
      </c>
      <c r="C45" s="207"/>
      <c r="D45" s="208">
        <f>D31/D11</f>
        <v>4.5292341476804825E-2</v>
      </c>
      <c r="E45" s="208">
        <f>E31/E11</f>
        <v>4.9821575624485318E-2</v>
      </c>
      <c r="F45" s="208">
        <f>F31/F11</f>
        <v>5.4803733186933851E-2</v>
      </c>
      <c r="G45" s="208">
        <f>G31/G11</f>
        <v>6.0284106505627245E-2</v>
      </c>
      <c r="H45" s="13">
        <f t="shared" si="8"/>
        <v>0.10000000000000009</v>
      </c>
      <c r="I45" s="208"/>
      <c r="J45" s="207"/>
      <c r="K45" s="207"/>
      <c r="L45" s="207"/>
      <c r="M45" s="207"/>
      <c r="N45" s="207"/>
      <c r="O45" s="208"/>
      <c r="Q45" s="5"/>
      <c r="R45" s="5"/>
      <c r="S45" s="26"/>
      <c r="T45" s="26"/>
      <c r="U45" s="26"/>
      <c r="V45" s="26"/>
      <c r="W45" s="26"/>
      <c r="X45" s="26"/>
    </row>
    <row r="46" spans="2:24">
      <c r="B46" s="5" t="s">
        <v>505</v>
      </c>
      <c r="C46" s="207"/>
      <c r="D46" s="208">
        <f>(D31+D32)/D11</f>
        <v>4.5292341476804825E-2</v>
      </c>
      <c r="E46" s="208">
        <f>(E31+E32)/E11</f>
        <v>4.9821575624485318E-2</v>
      </c>
      <c r="F46" s="208">
        <f>(F31+F32)/F11</f>
        <v>5.4803733186933851E-2</v>
      </c>
      <c r="G46" s="208">
        <f>(G31+G32)/G11</f>
        <v>6.0284106505627245E-2</v>
      </c>
      <c r="H46" s="233">
        <f>((G31+G32)/(D31+D32))^(1/3)-1</f>
        <v>0.10000000000000009</v>
      </c>
      <c r="I46" s="207"/>
      <c r="J46" s="207"/>
      <c r="K46" s="207"/>
      <c r="L46" s="207"/>
      <c r="M46" s="207"/>
      <c r="N46" s="207"/>
      <c r="O46" s="14"/>
      <c r="Q46" s="5"/>
      <c r="R46" s="5"/>
      <c r="S46" s="26"/>
      <c r="T46" s="26"/>
      <c r="U46" s="26"/>
      <c r="V46" s="26"/>
      <c r="W46" s="26"/>
      <c r="X46" s="26"/>
    </row>
    <row r="47" spans="2:24">
      <c r="B47" s="5" t="s">
        <v>482</v>
      </c>
      <c r="C47" s="5"/>
      <c r="D47" s="208">
        <f>1/D43</f>
        <v>-5.2348802678140745E-2</v>
      </c>
      <c r="E47" s="208">
        <f>1/E43</f>
        <v>-1.9493680815095681E-2</v>
      </c>
      <c r="F47" s="208">
        <f>1/F43</f>
        <v>9.5691928111789012E-4</v>
      </c>
      <c r="G47" s="208">
        <f>1/G43</f>
        <v>4.061817247996944E-2</v>
      </c>
      <c r="H47" s="13">
        <f>H29</f>
        <v>-1.8679743052699187</v>
      </c>
      <c r="I47" s="13"/>
      <c r="J47" s="208"/>
      <c r="K47" s="208"/>
      <c r="L47" s="208"/>
      <c r="M47" s="208"/>
      <c r="N47" s="208"/>
      <c r="O47" s="208"/>
      <c r="Q47" s="5"/>
      <c r="R47" s="5"/>
      <c r="S47" s="26"/>
      <c r="T47" s="26"/>
      <c r="U47" s="26"/>
      <c r="V47" s="26"/>
      <c r="W47" s="26"/>
      <c r="X47" s="26"/>
    </row>
    <row r="48" spans="2:24">
      <c r="B48" s="5" t="s">
        <v>518</v>
      </c>
      <c r="C48" s="5"/>
      <c r="D48" s="248">
        <f>D31/D29</f>
        <v>-0.72916363322855049</v>
      </c>
      <c r="E48" s="248">
        <f>E31/E29</f>
        <v>-2.0959565480200331</v>
      </c>
      <c r="F48" s="248">
        <f>F31/F29</f>
        <v>57.27100944492534</v>
      </c>
      <c r="G48" s="248">
        <f>G31/G29</f>
        <v>1.4841658997670542</v>
      </c>
      <c r="H48" s="233" t="s">
        <v>507</v>
      </c>
      <c r="I48" s="207"/>
      <c r="J48" s="207"/>
      <c r="K48" s="207"/>
      <c r="L48" s="207"/>
      <c r="M48" s="207"/>
      <c r="N48" s="207"/>
      <c r="O48" s="208"/>
      <c r="Q48" s="5"/>
      <c r="R48" s="5"/>
      <c r="S48" s="26"/>
      <c r="T48" s="26"/>
      <c r="U48" s="26"/>
      <c r="V48" s="26"/>
      <c r="W48" s="26"/>
      <c r="X48" s="26"/>
    </row>
  </sheetData>
  <pageMargins left="0.75" right="0.75" top="1" bottom="1" header="0.5" footer="0.5"/>
  <pageSetup scale="7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D3E4-FC34-4D70-A272-1B35A702396D}">
  <sheetPr codeName="Sheet225">
    <pageSetUpPr fitToPage="1"/>
  </sheetPr>
  <dimension ref="B1:AR50"/>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1284</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c r="R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706</v>
      </c>
      <c r="C9" s="221">
        <f>Prices!C25</f>
        <v>2.8</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1178.1006822962963</v>
      </c>
      <c r="E10" s="408">
        <v>1178.1006822962963</v>
      </c>
      <c r="F10" s="408">
        <v>1178.1006822962963</v>
      </c>
      <c r="G10" s="408">
        <v>1178.1006822962963</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3298.6819104296296</v>
      </c>
      <c r="E11" s="409">
        <f>$C$9*E10</f>
        <v>3298.6819104296296</v>
      </c>
      <c r="F11" s="409">
        <f>$C$9*F10</f>
        <v>3298.6819104296296</v>
      </c>
      <c r="G11" s="409">
        <f>$C$9*G10</f>
        <v>3298.6819104296296</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1428.2728598118094</v>
      </c>
      <c r="E12" s="410">
        <v>1799.9609354322665</v>
      </c>
      <c r="F12" s="410">
        <v>2378.2749379522238</v>
      </c>
      <c r="G12" s="410">
        <v>2455.4192257766672</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0</v>
      </c>
      <c r="E13" s="410">
        <v>0</v>
      </c>
      <c r="F13" s="410">
        <v>0</v>
      </c>
      <c r="G13" s="410">
        <v>0</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0</v>
      </c>
      <c r="E14" s="410">
        <v>0</v>
      </c>
      <c r="F14" s="410">
        <v>0</v>
      </c>
      <c r="G14" s="410">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50</v>
      </c>
      <c r="E15" s="410">
        <v>50</v>
      </c>
      <c r="F15" s="410">
        <v>50</v>
      </c>
      <c r="G15" s="410">
        <v>50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0</v>
      </c>
      <c r="F16" s="410">
        <v>0</v>
      </c>
      <c r="G16" s="410">
        <v>0</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0</v>
      </c>
      <c r="E17" s="410">
        <v>0</v>
      </c>
      <c r="F17" s="410">
        <v>0</v>
      </c>
      <c r="G17" s="410">
        <v>0</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4776.9547702414393</v>
      </c>
      <c r="E18" s="411">
        <f>E11+E12+E13-E14+E15-E16-E17</f>
        <v>5148.6428458618957</v>
      </c>
      <c r="F18" s="411">
        <f>F11+F12+F13-F14+F15-F16-F17</f>
        <v>5726.956848381853</v>
      </c>
      <c r="G18" s="411">
        <f>G11+G12+G13-G14+G15-G16-G17</f>
        <v>5804.1011362062964</v>
      </c>
      <c r="H18" s="230">
        <f>IF(D18=0,"nm",IF(G18=0,"nm",(G18/D18)^(1/3)-1))</f>
        <v>6.7074186480456488E-2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765</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1243.7</v>
      </c>
      <c r="D23" s="410">
        <v>1194.0150000000001</v>
      </c>
      <c r="E23" s="410">
        <v>1228.1368486786021</v>
      </c>
      <c r="F23" s="410">
        <v>1295.3230373572039</v>
      </c>
      <c r="G23" s="410">
        <v>1327.7595569207845</v>
      </c>
      <c r="H23" s="233">
        <f>IF(D23=0,"nm",IF(G23=0,"nm",(G23/D23)^(1/3)-1))</f>
        <v>3.6024162878186994E-2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578.30000000000007</v>
      </c>
      <c r="D24" s="410">
        <v>542.1</v>
      </c>
      <c r="E24" s="410">
        <v>614.65778867860206</v>
      </c>
      <c r="F24" s="410">
        <v>709.89030215720391</v>
      </c>
      <c r="G24" s="410">
        <v>756.51825353198444</v>
      </c>
      <c r="H24" s="233">
        <f>IF(D24=0,"nm",IF(G24=0,"nm",(G24/D24)^(1/3)-1))</f>
        <v>0.11749777732434397</v>
      </c>
      <c r="I24" s="209"/>
      <c r="J24" s="13"/>
      <c r="K24" s="13"/>
      <c r="L24" s="13"/>
      <c r="M24" s="13"/>
      <c r="N24" s="13"/>
      <c r="O24" s="208"/>
      <c r="S24" s="72"/>
      <c r="T24" s="26"/>
      <c r="U24" s="26"/>
      <c r="V24" s="26"/>
      <c r="W24" s="26" t="s">
        <v>1283</v>
      </c>
      <c r="X24" s="26" t="s">
        <v>745</v>
      </c>
    </row>
    <row r="25" spans="2:24">
      <c r="B25" s="5" t="s">
        <v>157</v>
      </c>
      <c r="C25" s="422">
        <v>176.20000000000005</v>
      </c>
      <c r="D25" s="410">
        <v>-327.19999999999993</v>
      </c>
      <c r="E25" s="410">
        <v>-185.34221132139794</v>
      </c>
      <c r="F25" s="410">
        <v>-390.10969784279609</v>
      </c>
      <c r="G25" s="410">
        <v>-43.481746468015558</v>
      </c>
      <c r="H25" s="233">
        <f>IF(D25=0,"nm",IF(G25=0,"nm",(G25/D25)^(1/3)-1))</f>
        <v>-0.48969334962295685</v>
      </c>
      <c r="I25" s="208"/>
      <c r="J25" s="207" t="s">
        <v>8</v>
      </c>
      <c r="K25" s="207"/>
      <c r="L25" s="252">
        <v>0</v>
      </c>
      <c r="M25" s="252">
        <v>0</v>
      </c>
      <c r="N25" s="252">
        <v>0</v>
      </c>
      <c r="O25" s="252">
        <v>0</v>
      </c>
      <c r="P25" s="233" t="str">
        <f>IF(L25=0,"nm",IF(O25=0,"nm",(O25/L25)^(1/3)-1))</f>
        <v>nm</v>
      </c>
      <c r="S25" s="72"/>
      <c r="T25" s="26"/>
      <c r="U25" s="26"/>
      <c r="V25" s="113" t="s">
        <v>225</v>
      </c>
      <c r="W25" s="242">
        <f>D37/L9</f>
        <v>2.9711359977678735</v>
      </c>
      <c r="X25" s="242">
        <v>1</v>
      </c>
    </row>
    <row r="26" spans="2:24">
      <c r="B26" s="5" t="s">
        <v>487</v>
      </c>
      <c r="C26" s="422">
        <v>175.13616292691725</v>
      </c>
      <c r="D26" s="410">
        <v>-278.11999999999995</v>
      </c>
      <c r="E26" s="410">
        <v>-157.54087962318823</v>
      </c>
      <c r="F26" s="410">
        <v>-331.59324316637668</v>
      </c>
      <c r="G26" s="410">
        <v>-36.959484497813222</v>
      </c>
      <c r="H26" s="233">
        <f>IF(D26=0,"nm",IF(G26=0,"nm",(G26/D26)^(1/3)-1))</f>
        <v>-0.48969334962295685</v>
      </c>
      <c r="I26" s="209"/>
      <c r="J26" s="209" t="s">
        <v>9</v>
      </c>
      <c r="K26" s="209"/>
      <c r="L26" s="235">
        <f>D11+L25</f>
        <v>3298.6819104296296</v>
      </c>
      <c r="M26" s="235">
        <f>E11+M25</f>
        <v>3298.6819104296296</v>
      </c>
      <c r="N26" s="235">
        <f>F11+N25</f>
        <v>3298.6819104296296</v>
      </c>
      <c r="O26" s="235">
        <f>G11+O25</f>
        <v>3298.6819104296296</v>
      </c>
      <c r="P26" s="233">
        <f>IF(L26=0,"nm",IF(O26=0,"nm",(O26/L26)^(1/3)-1))</f>
        <v>0</v>
      </c>
      <c r="Q26" s="5"/>
      <c r="S26" s="72"/>
      <c r="T26" s="26"/>
      <c r="U26" s="26"/>
      <c r="V26" s="113" t="s">
        <v>158</v>
      </c>
      <c r="W26" s="242">
        <f t="shared" ref="W26:W33" si="4">D38/L10</f>
        <v>1.321652670050371</v>
      </c>
      <c r="X26" s="242">
        <v>1</v>
      </c>
    </row>
    <row r="27" spans="2:24">
      <c r="B27" s="5" t="s">
        <v>488</v>
      </c>
      <c r="C27" s="423">
        <v>5086.2999999999993</v>
      </c>
      <c r="D27" s="410">
        <v>5328.0695004003428</v>
      </c>
      <c r="E27" s="410">
        <v>5558.0354158250439</v>
      </c>
      <c r="F27" s="410">
        <v>6076.3738697015797</v>
      </c>
      <c r="G27" s="410">
        <v>6219.9858051597112</v>
      </c>
      <c r="H27" s="233">
        <f>IF(ISERROR((G27/D27)^(1/3)-1),"na",(G27/D27)^(1/3)-1)</f>
        <v>5.2946981957054273E-2</v>
      </c>
      <c r="I27" s="209"/>
      <c r="J27" s="208"/>
      <c r="K27" s="208"/>
      <c r="L27" s="208"/>
      <c r="M27" s="208"/>
      <c r="N27" s="208"/>
      <c r="O27" s="208"/>
      <c r="Q27" s="25"/>
      <c r="S27" s="72"/>
      <c r="T27" s="26"/>
      <c r="U27" s="26"/>
      <c r="V27" s="113" t="s">
        <v>159</v>
      </c>
      <c r="W27" s="242">
        <f t="shared" si="4"/>
        <v>-0.92877704199571043</v>
      </c>
      <c r="X27" s="242">
        <v>1</v>
      </c>
    </row>
    <row r="28" spans="2:24" ht="12.6" thickBot="1">
      <c r="B28" s="5" t="s">
        <v>492</v>
      </c>
      <c r="C28" s="422">
        <v>4300</v>
      </c>
      <c r="D28" s="410">
        <v>4475.6571428571424</v>
      </c>
      <c r="E28" s="410">
        <v>4660.6132653061222</v>
      </c>
      <c r="F28" s="410">
        <v>5148.3677988338195</v>
      </c>
      <c r="G28" s="410">
        <v>5251.9446132861312</v>
      </c>
      <c r="H28" s="233">
        <f>IF(ISERROR((G28/D28)^(1/3)-1),"na",(G28/D28)^(1/3)-1)</f>
        <v>5.4761920842581358E-2</v>
      </c>
      <c r="I28" s="208"/>
      <c r="J28" s="249" t="s">
        <v>1073</v>
      </c>
      <c r="K28" s="249"/>
      <c r="L28" s="249"/>
      <c r="M28" s="249"/>
      <c r="N28" s="220"/>
      <c r="O28" s="220"/>
      <c r="P28" s="220"/>
      <c r="Q28" s="5"/>
      <c r="S28" s="72"/>
      <c r="T28" s="26"/>
      <c r="U28" s="26"/>
      <c r="V28" s="113" t="s">
        <v>381</v>
      </c>
      <c r="W28" s="242">
        <f t="shared" si="4"/>
        <v>-0.81287056545334024</v>
      </c>
      <c r="X28" s="242">
        <v>1</v>
      </c>
    </row>
    <row r="29" spans="2:24" ht="12.6" thickTop="1">
      <c r="B29" s="5" t="s">
        <v>489</v>
      </c>
      <c r="C29" s="422">
        <v>-278.09999999999997</v>
      </c>
      <c r="D29" s="410">
        <v>-503.07285981180956</v>
      </c>
      <c r="E29" s="410">
        <v>-371.68807562045697</v>
      </c>
      <c r="F29" s="410">
        <v>-578.3140025199574</v>
      </c>
      <c r="G29" s="410">
        <v>-257.14428782444338</v>
      </c>
      <c r="H29" s="233">
        <f>IF(D29=0,"nm",IF(G29=0,"nm",(G29/D29)^(1/3)-1))</f>
        <v>-0.20044440921374029</v>
      </c>
      <c r="I29" s="212"/>
      <c r="J29" s="209"/>
      <c r="K29" s="209"/>
      <c r="L29" s="209"/>
      <c r="M29" s="209"/>
      <c r="N29" s="209"/>
      <c r="O29" s="211"/>
      <c r="Q29" s="5"/>
      <c r="S29" s="72"/>
      <c r="T29" s="26"/>
      <c r="U29" s="26"/>
      <c r="V29" s="113" t="s">
        <v>434</v>
      </c>
      <c r="W29" s="242">
        <f t="shared" si="4"/>
        <v>0.73969248591345593</v>
      </c>
      <c r="X29" s="242">
        <v>1</v>
      </c>
    </row>
    <row r="30" spans="2:24">
      <c r="B30" s="5" t="s">
        <v>490</v>
      </c>
      <c r="C30" s="423">
        <v>-1105.3999999999999</v>
      </c>
      <c r="D30" s="410">
        <v>-261.30335941146683</v>
      </c>
      <c r="E30" s="410">
        <v>-141.72216019575575</v>
      </c>
      <c r="F30" s="410">
        <v>-59.97554864342159</v>
      </c>
      <c r="G30" s="410">
        <v>-113.53235236631197</v>
      </c>
      <c r="H30" s="233">
        <f>IF(D30=0,"nm",IF(G30=0,"nm",(G30/D30)^(1/3)-1))</f>
        <v>-0.24260073196409027</v>
      </c>
      <c r="I30" s="214"/>
      <c r="J30" s="208"/>
      <c r="K30" s="208"/>
      <c r="L30" s="208"/>
      <c r="M30" s="208"/>
      <c r="N30" s="208"/>
      <c r="O30" s="5"/>
      <c r="Q30" s="5"/>
      <c r="S30" s="72"/>
      <c r="T30" s="26"/>
      <c r="U30" s="26"/>
      <c r="V30" s="113" t="s">
        <v>493</v>
      </c>
      <c r="W30" s="242">
        <f t="shared" si="4"/>
        <v>0.35619297936306943</v>
      </c>
      <c r="X30" s="242">
        <v>1</v>
      </c>
    </row>
    <row r="31" spans="2:24">
      <c r="B31" s="5" t="s">
        <v>491</v>
      </c>
      <c r="C31" s="423">
        <v>0</v>
      </c>
      <c r="D31" s="410">
        <v>0</v>
      </c>
      <c r="E31" s="410">
        <v>0</v>
      </c>
      <c r="F31" s="410">
        <v>0</v>
      </c>
      <c r="G31" s="410">
        <v>0</v>
      </c>
      <c r="H31" s="233" t="str">
        <f>IF(D31=0,"nm",IF(G31=0,"nm",(G31/D31)^(1/3)-1))</f>
        <v>nm</v>
      </c>
      <c r="I31" s="214"/>
      <c r="J31" s="212"/>
      <c r="K31" s="212"/>
      <c r="L31" s="212"/>
      <c r="M31" s="212"/>
      <c r="N31" s="212"/>
      <c r="O31" s="5"/>
      <c r="Q31" s="5"/>
      <c r="S31" s="72"/>
      <c r="T31" s="26"/>
      <c r="U31" s="26"/>
      <c r="V31" s="113" t="s">
        <v>743</v>
      </c>
      <c r="W31" s="242">
        <f t="shared" si="4"/>
        <v>-0.31987869135775954</v>
      </c>
      <c r="X31" s="242">
        <v>1</v>
      </c>
    </row>
    <row r="32" spans="2:24">
      <c r="B32" s="5" t="s">
        <v>506</v>
      </c>
      <c r="C32" s="424">
        <v>0</v>
      </c>
      <c r="D32" s="410">
        <v>0</v>
      </c>
      <c r="E32" s="410">
        <v>0</v>
      </c>
      <c r="F32" s="410">
        <v>0</v>
      </c>
      <c r="G32" s="410">
        <v>0</v>
      </c>
      <c r="H32" s="233" t="str">
        <f>IF(D32=0,"nm",IF(G32=0,"nm",(G32/D32)^(1/3)-1))</f>
        <v>nm</v>
      </c>
      <c r="I32" s="214"/>
      <c r="J32" s="214"/>
      <c r="K32" s="214"/>
      <c r="L32" s="214"/>
      <c r="M32" s="214"/>
      <c r="N32" s="214"/>
      <c r="O32" s="211"/>
      <c r="Q32" s="5"/>
      <c r="S32" s="72"/>
      <c r="T32" s="26"/>
      <c r="U32" s="26"/>
      <c r="V32" s="113" t="s">
        <v>437</v>
      </c>
      <c r="W32" s="242">
        <f t="shared" si="4"/>
        <v>-0.53512230462819999</v>
      </c>
      <c r="X32" s="242">
        <v>1</v>
      </c>
    </row>
    <row r="33" spans="2:24">
      <c r="B33" s="5" t="s">
        <v>3</v>
      </c>
      <c r="C33" s="423">
        <v>201</v>
      </c>
      <c r="D33" s="410">
        <v>181.37285981180963</v>
      </c>
      <c r="E33" s="410">
        <v>191.84586429905903</v>
      </c>
      <c r="F33" s="410">
        <v>193.7043046771613</v>
      </c>
      <c r="G33" s="410">
        <v>219.16254135642779</v>
      </c>
      <c r="H33" s="233">
        <f>IF(ISERROR((G33/D33)^(1/3)-1),"na",(G33/D33)^(1/3)-1)</f>
        <v>6.5118698619389903E-2</v>
      </c>
      <c r="I33" s="5"/>
      <c r="J33" s="214"/>
      <c r="K33" s="214"/>
      <c r="L33" s="214"/>
      <c r="M33" s="214"/>
      <c r="N33" s="214"/>
      <c r="O33" s="211"/>
      <c r="Q33" s="5"/>
      <c r="S33" s="72"/>
      <c r="T33" s="26"/>
      <c r="U33" s="26"/>
      <c r="V33" s="113" t="s">
        <v>481</v>
      </c>
      <c r="W33" s="242">
        <f t="shared" si="4"/>
        <v>0</v>
      </c>
      <c r="X33" s="242">
        <v>1</v>
      </c>
    </row>
    <row r="34" spans="2:24">
      <c r="D34" s="5"/>
      <c r="E34" s="5"/>
      <c r="F34" s="5"/>
      <c r="G34" s="5"/>
      <c r="I34" s="33"/>
      <c r="J34" s="214"/>
      <c r="K34" s="214"/>
      <c r="L34" s="214"/>
      <c r="M34" s="214"/>
      <c r="N34" s="214"/>
      <c r="O34" s="211"/>
      <c r="Q34" s="5"/>
      <c r="S34" s="72"/>
      <c r="T34" s="26"/>
      <c r="U34" s="26"/>
      <c r="V34" s="113" t="s">
        <v>124</v>
      </c>
      <c r="W34" s="242">
        <f>D47/L19</f>
        <v>-3.1261851039698594</v>
      </c>
      <c r="X34" s="242">
        <v>1</v>
      </c>
    </row>
    <row r="35" spans="2:24" ht="12.6" thickBot="1">
      <c r="B35" s="249" t="s">
        <v>746</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4.000749379397611</v>
      </c>
      <c r="E37" s="406">
        <f t="shared" ref="E37:G41" si="6">E$18/E23</f>
        <v>4.192238716232243</v>
      </c>
      <c r="F37" s="406">
        <f t="shared" si="6"/>
        <v>4.4212576193088751</v>
      </c>
      <c r="G37" s="406">
        <f t="shared" si="6"/>
        <v>4.3713495458971678</v>
      </c>
      <c r="H37" s="13">
        <f t="shared" ref="H37:H45" si="7">H23</f>
        <v>3.6024162878186994E-2</v>
      </c>
      <c r="I37" s="5"/>
      <c r="J37" s="217"/>
      <c r="K37" s="217"/>
      <c r="L37" s="217"/>
      <c r="M37" s="217"/>
      <c r="N37" s="217"/>
      <c r="O37" s="14"/>
      <c r="Q37" s="5"/>
      <c r="R37" s="5"/>
      <c r="S37" s="26"/>
      <c r="T37" s="26"/>
      <c r="U37" s="26"/>
      <c r="V37" s="26"/>
      <c r="W37" s="26"/>
      <c r="X37" s="26"/>
    </row>
    <row r="38" spans="2:24">
      <c r="B38" s="5" t="s">
        <v>158</v>
      </c>
      <c r="C38" s="207"/>
      <c r="D38" s="406">
        <f>D$18/D24</f>
        <v>8.8119438668906831</v>
      </c>
      <c r="E38" s="406">
        <f t="shared" si="6"/>
        <v>8.3764379801165525</v>
      </c>
      <c r="F38" s="406">
        <f t="shared" si="6"/>
        <v>8.0673828491231152</v>
      </c>
      <c r="G38" s="406">
        <f>G$18/G24</f>
        <v>7.6721230573201336</v>
      </c>
      <c r="H38" s="13">
        <f t="shared" si="7"/>
        <v>0.11749777732434397</v>
      </c>
      <c r="I38" s="217"/>
      <c r="J38" s="13"/>
      <c r="K38" s="13"/>
      <c r="L38" s="13"/>
      <c r="M38" s="13"/>
      <c r="N38" s="13"/>
      <c r="O38" s="5"/>
      <c r="Q38" s="5"/>
      <c r="R38" s="5"/>
      <c r="S38" s="26"/>
      <c r="T38" s="26"/>
      <c r="U38" s="26"/>
      <c r="V38" s="26"/>
      <c r="W38" s="26"/>
      <c r="X38" s="26"/>
    </row>
    <row r="39" spans="2:24">
      <c r="B39" s="5" t="s">
        <v>159</v>
      </c>
      <c r="C39" s="207"/>
      <c r="D39" s="406">
        <f>D$18/D25</f>
        <v>-14.599495019075306</v>
      </c>
      <c r="E39" s="406">
        <f t="shared" si="6"/>
        <v>-27.779116312223906</v>
      </c>
      <c r="F39" s="406">
        <f t="shared" si="6"/>
        <v>-14.680375494509407</v>
      </c>
      <c r="G39" s="406">
        <f t="shared" si="6"/>
        <v>-133.48362491547334</v>
      </c>
      <c r="H39" s="13">
        <f t="shared" si="7"/>
        <v>-0.48969334962295685</v>
      </c>
      <c r="I39" s="13"/>
      <c r="J39" s="5"/>
      <c r="K39" s="5"/>
      <c r="L39" s="5"/>
      <c r="M39" s="5"/>
      <c r="N39" s="5"/>
      <c r="O39" s="5"/>
      <c r="Q39" s="5"/>
      <c r="R39" s="5"/>
      <c r="S39" s="26"/>
      <c r="T39" s="26"/>
      <c r="U39" s="26"/>
      <c r="V39" s="26"/>
      <c r="W39" s="26"/>
      <c r="X39" s="26"/>
    </row>
    <row r="40" spans="2:24">
      <c r="B40" s="5" t="s">
        <v>381</v>
      </c>
      <c r="C40" s="207"/>
      <c r="D40" s="406">
        <f>D$18/D26</f>
        <v>-17.175876493029772</v>
      </c>
      <c r="E40" s="406">
        <f t="shared" si="6"/>
        <v>-32.681313308498716</v>
      </c>
      <c r="F40" s="406">
        <f t="shared" si="6"/>
        <v>-17.271029993540477</v>
      </c>
      <c r="G40" s="406">
        <f t="shared" si="6"/>
        <v>-157.03955872408631</v>
      </c>
      <c r="H40" s="13">
        <f t="shared" si="7"/>
        <v>-0.48969334962295685</v>
      </c>
      <c r="I40" s="5"/>
      <c r="J40" s="217"/>
      <c r="K40" s="217"/>
      <c r="L40" s="217"/>
      <c r="M40" s="217"/>
      <c r="N40" s="217"/>
      <c r="O40" s="14"/>
      <c r="Q40" s="5"/>
      <c r="R40" s="5"/>
      <c r="S40" s="26"/>
      <c r="T40" s="26"/>
      <c r="U40" s="26"/>
      <c r="V40" s="26"/>
      <c r="W40" s="242"/>
      <c r="X40" s="242"/>
    </row>
    <row r="41" spans="2:24">
      <c r="B41" s="5" t="s">
        <v>434</v>
      </c>
      <c r="C41" s="207"/>
      <c r="D41" s="406">
        <f>D$18/D27</f>
        <v>0.89656389990455387</v>
      </c>
      <c r="E41" s="406">
        <f t="shared" si="6"/>
        <v>0.92634221638863423</v>
      </c>
      <c r="F41" s="406">
        <f t="shared" si="6"/>
        <v>0.94249579949943285</v>
      </c>
      <c r="G41" s="406">
        <f t="shared" si="6"/>
        <v>0.93313736044085138</v>
      </c>
      <c r="H41" s="13">
        <f t="shared" si="7"/>
        <v>5.2946981957054273E-2</v>
      </c>
      <c r="I41" s="207"/>
      <c r="J41" s="13"/>
      <c r="K41" s="13"/>
      <c r="L41" s="13"/>
      <c r="M41" s="13"/>
      <c r="N41" s="13"/>
      <c r="O41" s="5"/>
      <c r="Q41" s="5"/>
      <c r="R41" s="5"/>
      <c r="S41" s="26"/>
      <c r="T41" s="26"/>
      <c r="U41" s="26"/>
      <c r="V41" s="26"/>
      <c r="W41" s="242"/>
      <c r="X41" s="242"/>
    </row>
    <row r="42" spans="2:24">
      <c r="B42" s="5" t="s">
        <v>493</v>
      </c>
      <c r="C42" s="207"/>
      <c r="D42" s="406">
        <f>D18/D28</f>
        <v>1.0673191930854553</v>
      </c>
      <c r="E42" s="406">
        <f>E18/E28</f>
        <v>1.1047135972831503</v>
      </c>
      <c r="F42" s="406">
        <f>F18/F28</f>
        <v>1.1123830060624442</v>
      </c>
      <c r="G42" s="406">
        <f>G18/G28</f>
        <v>1.1051337292330434</v>
      </c>
      <c r="H42" s="13">
        <f t="shared" si="7"/>
        <v>5.4761920842581358E-2</v>
      </c>
      <c r="I42" s="208"/>
      <c r="J42" s="5"/>
      <c r="K42" s="5"/>
      <c r="L42" s="5"/>
      <c r="M42" s="5"/>
      <c r="N42" s="5"/>
      <c r="O42" s="5"/>
      <c r="Q42" s="5"/>
      <c r="R42" s="5"/>
      <c r="S42" s="26"/>
      <c r="T42" s="26"/>
      <c r="U42" s="26"/>
      <c r="V42" s="26"/>
      <c r="W42" s="242"/>
      <c r="X42" s="242"/>
    </row>
    <row r="43" spans="2:24">
      <c r="B43" s="5" t="s">
        <v>390</v>
      </c>
      <c r="C43" s="207"/>
      <c r="D43" s="406">
        <f>L26/D29</f>
        <v>-6.5570659320870677</v>
      </c>
      <c r="E43" s="406">
        <f>M26/E29</f>
        <v>-8.87486612241503</v>
      </c>
      <c r="F43" s="406">
        <f>N26/F29</f>
        <v>-5.7039634109772281</v>
      </c>
      <c r="G43" s="406">
        <f>O26/G29</f>
        <v>-12.828136056756174</v>
      </c>
      <c r="H43" s="13">
        <f t="shared" si="7"/>
        <v>-0.20044440921374029</v>
      </c>
      <c r="I43" s="207"/>
      <c r="J43" s="207"/>
      <c r="K43" s="207"/>
      <c r="L43" s="207"/>
      <c r="M43" s="207"/>
      <c r="N43" s="207"/>
      <c r="O43" s="14"/>
      <c r="Q43" s="5"/>
      <c r="R43" s="5"/>
      <c r="S43" s="26"/>
      <c r="T43" s="26"/>
      <c r="U43" s="26"/>
      <c r="V43" s="26"/>
      <c r="W43" s="242"/>
      <c r="X43" s="242"/>
    </row>
    <row r="44" spans="2:24">
      <c r="B44" s="5" t="s">
        <v>437</v>
      </c>
      <c r="C44" s="53"/>
      <c r="D44" s="406">
        <f>D11/D30</f>
        <v>-12.623955229122373</v>
      </c>
      <c r="E44" s="406">
        <f>E11/E30</f>
        <v>-23.275695952371024</v>
      </c>
      <c r="F44" s="406">
        <f>F11/F30</f>
        <v>-55.000445765683629</v>
      </c>
      <c r="G44" s="406">
        <f>G11/G30</f>
        <v>-29.054994824615605</v>
      </c>
      <c r="H44" s="13">
        <f t="shared" si="7"/>
        <v>-0.24260073196409027</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7"/>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0</v>
      </c>
      <c r="H46" s="233" t="e">
        <f>((G31+G32)/(D31+D32))^(1/3)-1</f>
        <v>#DIV/0!</v>
      </c>
      <c r="I46" s="207"/>
      <c r="J46" s="207"/>
      <c r="K46" s="207"/>
      <c r="L46" s="207"/>
      <c r="M46" s="207"/>
      <c r="N46" s="207"/>
      <c r="O46" s="14"/>
      <c r="Q46" s="5"/>
      <c r="R46" s="5"/>
      <c r="S46" s="26"/>
      <c r="T46" s="26"/>
      <c r="U46" s="26"/>
      <c r="V46" s="26"/>
      <c r="W46" s="26"/>
      <c r="X46" s="26"/>
    </row>
    <row r="47" spans="2:24">
      <c r="B47" s="5" t="s">
        <v>482</v>
      </c>
      <c r="C47" s="5"/>
      <c r="D47" s="208">
        <f>1/D43</f>
        <v>-0.15250723576020336</v>
      </c>
      <c r="E47" s="208">
        <f>1/E43</f>
        <v>-0.11267775605925195</v>
      </c>
      <c r="F47" s="208">
        <f>1/F43</f>
        <v>-0.17531669261333421</v>
      </c>
      <c r="G47" s="208">
        <f>1/G43</f>
        <v>-7.7953647792294162E-2</v>
      </c>
      <c r="H47" s="13">
        <f>H29</f>
        <v>-0.20044440921374029</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row r="49" spans="2:18">
      <c r="B49" s="25"/>
      <c r="C49" s="13"/>
      <c r="D49" s="13"/>
      <c r="E49" s="13"/>
      <c r="F49" s="13"/>
      <c r="G49" s="13"/>
      <c r="H49" s="13"/>
      <c r="I49" s="214"/>
      <c r="J49" s="13"/>
      <c r="K49" s="13"/>
      <c r="L49" s="13"/>
      <c r="M49" s="13"/>
      <c r="N49" s="13"/>
      <c r="O49" s="208"/>
      <c r="Q49" s="5"/>
      <c r="R49" s="5"/>
    </row>
    <row r="50" spans="2:18">
      <c r="B50" s="5"/>
      <c r="C50" s="216"/>
      <c r="D50" s="216"/>
      <c r="E50" s="216"/>
      <c r="F50" s="5"/>
      <c r="G50" s="25"/>
      <c r="H50" s="209"/>
      <c r="I50" s="13"/>
      <c r="J50" s="209"/>
      <c r="K50" s="209"/>
      <c r="L50" s="209"/>
      <c r="M50" s="209"/>
      <c r="N50" s="209"/>
      <c r="O50" s="210"/>
      <c r="Q50" s="5"/>
      <c r="R50" s="5"/>
    </row>
  </sheetData>
  <pageMargins left="0.75" right="0.75" top="1" bottom="1" header="0.5" footer="0.5"/>
  <pageSetup scale="67"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E2ED-C93D-476B-AAF1-E0DEE7B7D3E5}">
  <sheetPr codeName="Sheet1">
    <pageSetUpPr fitToPage="1"/>
  </sheetPr>
  <dimension ref="B1:AR48"/>
  <sheetViews>
    <sheetView showGridLines="0" zoomScale="80" zoomScaleNormal="80" workbookViewId="0"/>
  </sheetViews>
  <sheetFormatPr defaultColWidth="8.886718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ustomWidth="1"/>
    <col min="45" max="16384" width="8.886718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1286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1290</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747</v>
      </c>
      <c r="C9" s="221">
        <f>Prices!C104</f>
        <v>1.9750000000000001</v>
      </c>
      <c r="D9" s="412">
        <v>0</v>
      </c>
      <c r="E9" s="413">
        <v>0</v>
      </c>
      <c r="F9" s="413">
        <v>0</v>
      </c>
      <c r="G9" s="413">
        <v>0</v>
      </c>
      <c r="H9" s="209"/>
      <c r="I9" s="209"/>
      <c r="J9" s="5" t="s">
        <v>225</v>
      </c>
      <c r="L9" s="406">
        <f>'EM TOWERS'!D37</f>
        <v>2.8753856370989439</v>
      </c>
      <c r="M9" s="406">
        <f>'EM TOWERS'!E37</f>
        <v>2.5588631440779301</v>
      </c>
      <c r="N9" s="406">
        <f>'EM TOWERS'!F37</f>
        <v>2.2791060394933726</v>
      </c>
      <c r="O9" s="406">
        <f>'EM TOWERS'!G37</f>
        <v>2.0260816488517763</v>
      </c>
      <c r="P9" s="240">
        <f>'EM TOWERS'!H37</f>
        <v>4.4299853446136295E-2</v>
      </c>
    </row>
    <row r="10" spans="2:44">
      <c r="B10" s="5" t="s">
        <v>226</v>
      </c>
      <c r="C10" s="5"/>
      <c r="D10" s="408">
        <v>1050.040649</v>
      </c>
      <c r="E10" s="408">
        <v>1043.2339386307622</v>
      </c>
      <c r="F10" s="408">
        <v>1028.5733316816345</v>
      </c>
      <c r="G10" s="408">
        <v>1012.446664037594</v>
      </c>
      <c r="H10" s="207"/>
      <c r="I10" s="207"/>
      <c r="J10" s="5" t="s">
        <v>158</v>
      </c>
      <c r="L10" s="406">
        <f>'EM TOWERS'!D38</f>
        <v>4.4484146973524972</v>
      </c>
      <c r="M10" s="406">
        <f>'EM TOWERS'!E38</f>
        <v>3.9480925890218517</v>
      </c>
      <c r="N10" s="406">
        <f>'EM TOWERS'!F38</f>
        <v>3.5183466460380162</v>
      </c>
      <c r="O10" s="406">
        <f>'EM TOWERS'!G38</f>
        <v>3.129360275503688</v>
      </c>
      <c r="P10" s="240">
        <f>'EM TOWERS'!H38</f>
        <v>4.4869532220161101E-2</v>
      </c>
    </row>
    <row r="11" spans="2:44">
      <c r="B11" s="25" t="s">
        <v>227</v>
      </c>
      <c r="C11" s="5"/>
      <c r="D11" s="409">
        <f>$C$9*D10</f>
        <v>2073.830281775</v>
      </c>
      <c r="E11" s="409">
        <f>$C$9*E10</f>
        <v>2060.3870287957552</v>
      </c>
      <c r="F11" s="409">
        <f>$C$9*F10</f>
        <v>2031.4323300712283</v>
      </c>
      <c r="G11" s="409">
        <f>$C$9*G10</f>
        <v>1999.5821614742483</v>
      </c>
      <c r="H11" s="209"/>
      <c r="I11" s="209"/>
      <c r="J11" s="5" t="s">
        <v>159</v>
      </c>
      <c r="L11" s="406">
        <f>'EM TOWERS'!D39</f>
        <v>6.467357750034668</v>
      </c>
      <c r="M11" s="406">
        <f>'EM TOWERS'!E39</f>
        <v>5.6816273495521736</v>
      </c>
      <c r="N11" s="406">
        <f>'EM TOWERS'!F39</f>
        <v>5.0275068119418096</v>
      </c>
      <c r="O11" s="406">
        <f>'EM TOWERS'!G39</f>
        <v>4.4520069956270758</v>
      </c>
      <c r="P11" s="240">
        <f>'EM TOWERS'!H39</f>
        <v>5.2452524167129866E-2</v>
      </c>
    </row>
    <row r="12" spans="2:44">
      <c r="B12" s="5" t="s">
        <v>22</v>
      </c>
      <c r="C12" s="209"/>
      <c r="D12" s="410">
        <v>1519.4931200949911</v>
      </c>
      <c r="E12" s="410">
        <v>1464.5790644615968</v>
      </c>
      <c r="F12" s="410">
        <v>1396.8660607630793</v>
      </c>
      <c r="G12" s="410">
        <v>1313.6664401906378</v>
      </c>
      <c r="H12" s="207"/>
      <c r="I12" s="207"/>
      <c r="J12" s="5" t="s">
        <v>381</v>
      </c>
      <c r="L12" s="406">
        <f>'EM TOWERS'!D40</f>
        <v>7.1880123213702038</v>
      </c>
      <c r="M12" s="406">
        <f>'EM TOWERS'!E40</f>
        <v>6.2974410157328773</v>
      </c>
      <c r="N12" s="406">
        <f>'EM TOWERS'!F40</f>
        <v>5.5805415685706015</v>
      </c>
      <c r="O12" s="406">
        <f>'EM TOWERS'!G40</f>
        <v>4.9453375933267081</v>
      </c>
      <c r="P12" s="240">
        <f>'EM TOWERS'!H40</f>
        <v>5.2647882819422342E-2</v>
      </c>
    </row>
    <row r="13" spans="2:44">
      <c r="B13" s="5" t="s">
        <v>433</v>
      </c>
      <c r="C13" s="216"/>
      <c r="D13" s="410">
        <v>0</v>
      </c>
      <c r="E13" s="410">
        <v>0</v>
      </c>
      <c r="F13" s="410">
        <v>0</v>
      </c>
      <c r="G13" s="410">
        <v>0</v>
      </c>
      <c r="H13" s="207"/>
      <c r="I13" s="207"/>
      <c r="J13" s="5" t="s">
        <v>434</v>
      </c>
      <c r="L13" s="406">
        <f>'EM TOWERS'!D41</f>
        <v>1.1929325059828397</v>
      </c>
      <c r="M13" s="406">
        <f>'EM TOWERS'!E41</f>
        <v>1.1316043698700911</v>
      </c>
      <c r="N13" s="406">
        <f>'EM TOWERS'!F41</f>
        <v>1.053443256852002</v>
      </c>
      <c r="O13" s="406">
        <f>'EM TOWERS'!G41</f>
        <v>0.96594025199218903</v>
      </c>
      <c r="P13" s="240">
        <f>'EM TOWERS'!H41</f>
        <v>-2.9872751084933924E-3</v>
      </c>
    </row>
    <row r="14" spans="2:44">
      <c r="B14" s="5" t="s">
        <v>436</v>
      </c>
      <c r="C14" s="216"/>
      <c r="D14" s="410">
        <v>0</v>
      </c>
      <c r="E14" s="410">
        <v>0</v>
      </c>
      <c r="F14" s="410">
        <v>0</v>
      </c>
      <c r="G14" s="410">
        <v>0</v>
      </c>
      <c r="H14" s="207"/>
      <c r="I14" s="207"/>
      <c r="J14" s="5" t="s">
        <v>493</v>
      </c>
      <c r="L14" s="406">
        <f>'EM TOWERS'!D42</f>
        <v>1.9987670824600938</v>
      </c>
      <c r="M14" s="406">
        <f>'EM TOWERS'!E42</f>
        <v>2.0417321035179237</v>
      </c>
      <c r="N14" s="406">
        <f>'EM TOWERS'!F42</f>
        <v>2.0361368094741659</v>
      </c>
      <c r="O14" s="406">
        <f>'EM TOWERS'!G42</f>
        <v>1.9939520283492802</v>
      </c>
      <c r="P14" s="240">
        <f>'EM TOWERS'!H42</f>
        <v>-6.9974922183852928E-2</v>
      </c>
    </row>
    <row r="15" spans="2:44">
      <c r="B15" s="5" t="s">
        <v>435</v>
      </c>
      <c r="C15" s="228"/>
      <c r="D15" s="410">
        <v>346.20091943523363</v>
      </c>
      <c r="E15" s="410">
        <v>346.20091943523363</v>
      </c>
      <c r="F15" s="410">
        <v>346.20091943523363</v>
      </c>
      <c r="G15" s="410">
        <v>346.20091943523363</v>
      </c>
      <c r="H15" s="209"/>
      <c r="I15" s="207"/>
      <c r="J15" s="5" t="s">
        <v>390</v>
      </c>
      <c r="L15" s="406">
        <f>'EM TOWERS'!D43</f>
        <v>8.1064361166140024</v>
      </c>
      <c r="M15" s="406">
        <f>'EM TOWERS'!E43</f>
        <v>7.7090040884711142</v>
      </c>
      <c r="N15" s="406">
        <f>'EM TOWERS'!F43</f>
        <v>7.368419056291093</v>
      </c>
      <c r="O15" s="406">
        <f>'EM TOWERS'!G43</f>
        <v>7.059772948743908</v>
      </c>
      <c r="P15" s="240">
        <f>'EM TOWERS'!H43</f>
        <v>4.3996397047496583E-2</v>
      </c>
    </row>
    <row r="16" spans="2:44">
      <c r="B16" s="5" t="s">
        <v>438</v>
      </c>
      <c r="C16" s="216"/>
      <c r="D16" s="410">
        <v>0</v>
      </c>
      <c r="E16" s="410">
        <v>-18.829230596776277</v>
      </c>
      <c r="F16" s="410">
        <v>-52.918248336976568</v>
      </c>
      <c r="G16" s="410">
        <v>-109.93730799115181</v>
      </c>
      <c r="H16" s="207"/>
      <c r="I16" s="207"/>
      <c r="J16" s="5" t="s">
        <v>437</v>
      </c>
      <c r="L16" s="406">
        <f>'EM TOWERS'!D44</f>
        <v>13.436863988366767</v>
      </c>
      <c r="M16" s="406">
        <f>'EM TOWERS'!E44</f>
        <v>9.7165411129508161</v>
      </c>
      <c r="N16" s="406">
        <f>'EM TOWERS'!F44</f>
        <v>7.9288649416051227</v>
      </c>
      <c r="O16" s="406">
        <f>'EM TOWERS'!G44</f>
        <v>7.0017311665269686</v>
      </c>
      <c r="P16" s="240">
        <f>'EM TOWERS'!H44</f>
        <v>0.23823898313652681</v>
      </c>
    </row>
    <row r="17" spans="2:24">
      <c r="B17" s="5" t="s">
        <v>4</v>
      </c>
      <c r="C17" s="216"/>
      <c r="D17" s="410">
        <v>0</v>
      </c>
      <c r="E17" s="410">
        <v>0</v>
      </c>
      <c r="F17" s="410">
        <v>0</v>
      </c>
      <c r="G17" s="410">
        <v>0</v>
      </c>
      <c r="H17" s="207"/>
      <c r="I17" s="207"/>
      <c r="J17" s="5" t="s">
        <v>481</v>
      </c>
      <c r="L17" s="208">
        <f>'EM TOWERS'!D45</f>
        <v>4.0111232057438634E-2</v>
      </c>
      <c r="M17" s="208">
        <f>'EM TOWERS'!E45</f>
        <v>5.7479683884391737E-2</v>
      </c>
      <c r="N17" s="208">
        <f>'EM TOWERS'!F45</f>
        <v>7.0370913013770742E-2</v>
      </c>
      <c r="O17" s="208">
        <f>'EM TOWERS'!G45</f>
        <v>7.8768143947675784E-2</v>
      </c>
      <c r="P17" s="240">
        <f>'EM TOWERS'!H45</f>
        <v>0.24777183848156481</v>
      </c>
      <c r="S17" s="72"/>
      <c r="T17" s="26"/>
      <c r="U17" s="26"/>
      <c r="V17" s="26"/>
      <c r="W17" s="26"/>
      <c r="X17" s="26"/>
    </row>
    <row r="18" spans="2:24" ht="12.6" thickBot="1">
      <c r="B18" s="25" t="s">
        <v>484</v>
      </c>
      <c r="C18" s="209"/>
      <c r="D18" s="411">
        <f>D11+D12+D13-D14+D15-D16-D17</f>
        <v>3939.5243213052249</v>
      </c>
      <c r="E18" s="411">
        <f>E11+E12+E13-E14+E15-E16-E17</f>
        <v>3889.9962432893617</v>
      </c>
      <c r="F18" s="411">
        <f>F11+F12+F13-F14+F15-F16-F17</f>
        <v>3827.4175586065176</v>
      </c>
      <c r="G18" s="411">
        <f>G11+G12+G13-G14+G15-G16-G17</f>
        <v>3769.3868290912719</v>
      </c>
      <c r="H18" s="230">
        <f>IF(D18=0,"nm",IF(G18=0,"nm",(G18/D18)^(1/3)-1))</f>
        <v>-1.4608131271401148E-2</v>
      </c>
      <c r="I18" s="214"/>
      <c r="J18" s="5" t="s">
        <v>33</v>
      </c>
      <c r="L18" s="208">
        <f>'EM TOWERS'!D46</f>
        <v>3.4149277793105323E-2</v>
      </c>
      <c r="M18" s="208">
        <f>'EM TOWERS'!E46</f>
        <v>5.0189715809664123E-2</v>
      </c>
      <c r="N18" s="208">
        <f>'EM TOWERS'!F46</f>
        <v>6.1907116223455669E-2</v>
      </c>
      <c r="O18" s="208">
        <f>'EM TOWERS'!G46</f>
        <v>6.9451969034422772E-2</v>
      </c>
      <c r="P18" s="240">
        <f>'EM TOWERS'!H46</f>
        <v>0.2624319853567012</v>
      </c>
      <c r="S18" s="72"/>
      <c r="T18" s="26"/>
      <c r="U18" s="26"/>
      <c r="V18" s="26"/>
      <c r="W18" s="26"/>
      <c r="X18" s="26"/>
    </row>
    <row r="19" spans="2:24" ht="12.6" thickTop="1">
      <c r="B19" s="25"/>
      <c r="C19" s="209"/>
      <c r="D19" s="189"/>
      <c r="E19" s="189"/>
      <c r="F19" s="189"/>
      <c r="G19" s="189"/>
      <c r="H19" s="230"/>
      <c r="I19" s="214"/>
      <c r="J19" s="5" t="s">
        <v>482</v>
      </c>
      <c r="L19" s="208">
        <f>'EM TOWERS'!D47</f>
        <v>0.12335877142737449</v>
      </c>
      <c r="M19" s="208">
        <f>'EM TOWERS'!E47</f>
        <v>0.12971844203527005</v>
      </c>
      <c r="N19" s="208">
        <f>'EM TOWERS'!F47</f>
        <v>0.13571432248362811</v>
      </c>
      <c r="O19" s="208">
        <f>'EM TOWERS'!G47</f>
        <v>0.14164761491060734</v>
      </c>
      <c r="P19" s="240">
        <f>'EM TOWERS'!H47</f>
        <v>4.3996397047496583E-2</v>
      </c>
      <c r="S19" s="72"/>
      <c r="T19" s="26"/>
      <c r="U19" s="26"/>
      <c r="V19" s="26"/>
      <c r="W19" s="26"/>
      <c r="X19" s="26"/>
    </row>
    <row r="20" spans="2:24">
      <c r="H20" s="231"/>
      <c r="I20" s="13"/>
      <c r="J20" s="5" t="s">
        <v>504</v>
      </c>
      <c r="L20" s="248">
        <f>'EM TOWERS'!D48</f>
        <v>0.34693313124747588</v>
      </c>
      <c r="M20" s="248">
        <f>'EM TOWERS'!E48</f>
        <v>0.47267097249830853</v>
      </c>
      <c r="N20" s="248">
        <f>'EM TOWERS'!F48</f>
        <v>0.55273011389769977</v>
      </c>
      <c r="O20" s="248">
        <f>'EM TOWERS'!G48</f>
        <v>0.59231716049146255</v>
      </c>
      <c r="P20" s="240" t="str">
        <f>'EM TOWERS'!H48</f>
        <v>nm</v>
      </c>
      <c r="S20" s="72"/>
      <c r="T20" s="26"/>
      <c r="U20" s="26"/>
      <c r="V20" s="26"/>
      <c r="W20" s="26"/>
      <c r="X20" s="26"/>
    </row>
    <row r="21" spans="2:24" ht="12.6" thickBot="1">
      <c r="B21" s="249" t="s">
        <v>762</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792</v>
      </c>
      <c r="D23" s="416">
        <v>850.25415993780962</v>
      </c>
      <c r="E23" s="416">
        <v>910.02997757314415</v>
      </c>
      <c r="F23" s="416">
        <v>970.03400254637052</v>
      </c>
      <c r="G23" s="416">
        <v>1033.0171568194062</v>
      </c>
      <c r="H23" s="233">
        <f t="shared" ref="H23:H32" si="3">IF(D23=0,"nm",IF(G23=0,"nm",(G23/D23)^(1/3)-1))</f>
        <v>6.7053651628707689E-2</v>
      </c>
      <c r="I23" s="207"/>
      <c r="J23" s="249" t="s">
        <v>7</v>
      </c>
      <c r="K23" s="249"/>
      <c r="L23" s="219" t="str">
        <f>L$5</f>
        <v>2025E</v>
      </c>
      <c r="M23" s="219" t="str">
        <f t="shared" ref="M23:P23" si="4">M$5</f>
        <v>2026E</v>
      </c>
      <c r="N23" s="219" t="str">
        <f t="shared" si="4"/>
        <v>2027E</v>
      </c>
      <c r="O23" s="219" t="str">
        <f t="shared" si="4"/>
        <v>2028E</v>
      </c>
      <c r="P23" s="219" t="str">
        <f t="shared" si="4"/>
        <v>2025-28</v>
      </c>
      <c r="S23" s="72"/>
      <c r="T23" s="26"/>
      <c r="U23" s="26"/>
      <c r="V23" s="26"/>
      <c r="W23" s="26"/>
      <c r="X23" s="26"/>
    </row>
    <row r="24" spans="2:24" ht="12.6" thickTop="1">
      <c r="B24" s="5" t="s">
        <v>397</v>
      </c>
      <c r="C24" s="423">
        <v>368.79999999999995</v>
      </c>
      <c r="D24" s="416">
        <v>417.28263223455377</v>
      </c>
      <c r="E24" s="416">
        <v>458.22613632044346</v>
      </c>
      <c r="F24" s="416">
        <v>498.37107558892581</v>
      </c>
      <c r="G24" s="416">
        <v>541.48597504428392</v>
      </c>
      <c r="H24" s="233">
        <f t="shared" si="3"/>
        <v>9.0734293127619603E-2</v>
      </c>
      <c r="I24" s="209"/>
      <c r="J24" s="13"/>
      <c r="K24" s="13"/>
      <c r="L24" s="13"/>
      <c r="M24" s="13"/>
      <c r="N24" s="13"/>
      <c r="O24" s="208"/>
      <c r="S24" s="72"/>
      <c r="T24" s="26"/>
      <c r="U24" s="26"/>
      <c r="V24" s="26"/>
      <c r="W24" s="26" t="s">
        <v>1289</v>
      </c>
      <c r="X24" s="26" t="s">
        <v>713</v>
      </c>
    </row>
    <row r="25" spans="2:24">
      <c r="B25" s="5" t="s">
        <v>157</v>
      </c>
      <c r="C25" s="422">
        <v>200.29999999999995</v>
      </c>
      <c r="D25" s="416">
        <v>245.56787028128912</v>
      </c>
      <c r="E25" s="416">
        <v>281.30495065996604</v>
      </c>
      <c r="F25" s="416">
        <v>317.07614270607837</v>
      </c>
      <c r="G25" s="416">
        <v>356.09288339159366</v>
      </c>
      <c r="H25" s="233">
        <f t="shared" si="3"/>
        <v>0.13187182693369337</v>
      </c>
      <c r="I25" s="208"/>
      <c r="J25" s="207" t="s">
        <v>8</v>
      </c>
      <c r="K25" s="207"/>
      <c r="L25" s="252">
        <v>0</v>
      </c>
      <c r="M25" s="252">
        <v>0</v>
      </c>
      <c r="N25" s="252">
        <v>0</v>
      </c>
      <c r="O25" s="252">
        <v>0</v>
      </c>
      <c r="P25" s="233" t="str">
        <f>IF(L25=0,"nm",IF(O25=0,"nm",(O25/L25)^(1/3)-1))</f>
        <v>nm</v>
      </c>
      <c r="S25" s="72"/>
      <c r="T25" s="26"/>
      <c r="U25" s="26"/>
      <c r="V25" s="113" t="s">
        <v>225</v>
      </c>
      <c r="W25" s="242">
        <f>D37/L9</f>
        <v>1.6113835342048128</v>
      </c>
      <c r="X25" s="242">
        <v>1</v>
      </c>
    </row>
    <row r="26" spans="2:24">
      <c r="B26" s="5" t="s">
        <v>487</v>
      </c>
      <c r="C26" s="422">
        <v>140.20999999999995</v>
      </c>
      <c r="D26" s="416">
        <v>171.89750919690238</v>
      </c>
      <c r="E26" s="416">
        <v>196.91346546197622</v>
      </c>
      <c r="F26" s="416">
        <v>221.95329989425485</v>
      </c>
      <c r="G26" s="416">
        <v>249.26501837411556</v>
      </c>
      <c r="H26" s="233">
        <f t="shared" si="3"/>
        <v>0.13187182693369337</v>
      </c>
      <c r="I26" s="209"/>
      <c r="J26" s="209" t="s">
        <v>9</v>
      </c>
      <c r="K26" s="209"/>
      <c r="L26" s="235">
        <f>D11+L25</f>
        <v>2073.830281775</v>
      </c>
      <c r="M26" s="235">
        <f>E11+M25</f>
        <v>2060.3870287957552</v>
      </c>
      <c r="N26" s="235">
        <f>F11+N25</f>
        <v>2031.4323300712283</v>
      </c>
      <c r="O26" s="235">
        <f>G11+O25</f>
        <v>1999.5821614742483</v>
      </c>
      <c r="P26" s="233">
        <f>IF(L26=0,"nm",IF(O26=0,"nm",(O26/L26)^(1/3)-1))</f>
        <v>-1.2079462281056386E-2</v>
      </c>
      <c r="Q26" s="5"/>
      <c r="S26" s="72"/>
      <c r="T26" s="26"/>
      <c r="U26" s="26"/>
      <c r="V26" s="113" t="s">
        <v>158</v>
      </c>
      <c r="W26" s="242">
        <f t="shared" ref="W26:W28" si="5">D38/L10</f>
        <v>2.1223070159834077</v>
      </c>
      <c r="X26" s="242">
        <v>1</v>
      </c>
    </row>
    <row r="27" spans="2:24">
      <c r="B27" s="5" t="s">
        <v>488</v>
      </c>
      <c r="C27" s="423">
        <v>1788.7000000000003</v>
      </c>
      <c r="D27" s="416">
        <v>1863.23188736157</v>
      </c>
      <c r="E27" s="416">
        <v>1934.5125231159163</v>
      </c>
      <c r="F27" s="416">
        <v>2001.6735578178107</v>
      </c>
      <c r="G27" s="416">
        <v>2062.8875546330592</v>
      </c>
      <c r="H27" s="233">
        <f t="shared" si="3"/>
        <v>3.4513627386044243E-2</v>
      </c>
      <c r="I27" s="209"/>
      <c r="J27" s="208"/>
      <c r="K27" s="208"/>
      <c r="L27" s="208"/>
      <c r="M27" s="208"/>
      <c r="N27" s="208"/>
      <c r="O27" s="208"/>
      <c r="Q27" s="25"/>
      <c r="S27" s="72"/>
      <c r="T27" s="26"/>
      <c r="U27" s="26"/>
      <c r="V27" s="113" t="s">
        <v>159</v>
      </c>
      <c r="W27" s="242">
        <f t="shared" si="5"/>
        <v>2.4805349876328222</v>
      </c>
      <c r="X27" s="242">
        <v>1</v>
      </c>
    </row>
    <row r="28" spans="2:24">
      <c r="B28" s="5" t="s">
        <v>492</v>
      </c>
      <c r="C28" s="422">
        <v>981</v>
      </c>
      <c r="D28" s="416">
        <v>1016.3112005101132</v>
      </c>
      <c r="E28" s="416">
        <v>1051.1093638691693</v>
      </c>
      <c r="F28" s="416">
        <v>1084.0947788192148</v>
      </c>
      <c r="G28" s="416">
        <v>1115.0942380889758</v>
      </c>
      <c r="H28" s="233">
        <f t="shared" si="3"/>
        <v>3.1402753817986628E-2</v>
      </c>
      <c r="I28" s="208"/>
      <c r="Q28" s="5"/>
      <c r="S28" s="72"/>
      <c r="T28" s="26"/>
      <c r="U28" s="26"/>
      <c r="V28" s="113" t="s">
        <v>381</v>
      </c>
      <c r="W28" s="242">
        <f t="shared" si="5"/>
        <v>3.1883455912927938</v>
      </c>
      <c r="X28" s="242">
        <v>1</v>
      </c>
    </row>
    <row r="29" spans="2:24" ht="12.6" thickBot="1">
      <c r="B29" s="5" t="s">
        <v>489</v>
      </c>
      <c r="C29" s="422">
        <v>20.099999999999937</v>
      </c>
      <c r="D29" s="416">
        <v>63.390941900344671</v>
      </c>
      <c r="E29" s="416">
        <v>103.88282232855218</v>
      </c>
      <c r="F29" s="416">
        <v>144.48638607417396</v>
      </c>
      <c r="G29" s="416">
        <v>187.8227950202872</v>
      </c>
      <c r="H29" s="233">
        <f t="shared" si="3"/>
        <v>0.43628413963684642</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390</v>
      </c>
      <c r="W29" s="242">
        <f>D43/L15</f>
        <v>4.0356736789118273</v>
      </c>
      <c r="X29" s="242">
        <v>1</v>
      </c>
    </row>
    <row r="30" spans="2:24" ht="12.6" thickTop="1">
      <c r="B30" s="5" t="s">
        <v>490</v>
      </c>
      <c r="C30" s="423">
        <v>22.399999999999938</v>
      </c>
      <c r="D30" s="416">
        <v>65.038767266578873</v>
      </c>
      <c r="E30" s="416">
        <v>102.02392198451682</v>
      </c>
      <c r="F30" s="416">
        <v>137.96305614061217</v>
      </c>
      <c r="G30" s="416">
        <v>176.23267704186554</v>
      </c>
      <c r="H30" s="233">
        <f t="shared" si="3"/>
        <v>0.39413462134660238</v>
      </c>
      <c r="I30" s="214"/>
      <c r="J30" s="208"/>
      <c r="K30" s="208"/>
      <c r="L30" s="208"/>
      <c r="M30" s="208"/>
      <c r="N30" s="208"/>
      <c r="O30" s="5"/>
      <c r="Q30" s="5"/>
      <c r="S30" s="72"/>
      <c r="T30" s="26"/>
      <c r="U30" s="26"/>
      <c r="V30" s="113" t="s">
        <v>437</v>
      </c>
      <c r="W30" s="242">
        <f>D44/L16</f>
        <v>2.3730286929980977</v>
      </c>
      <c r="X30" s="242">
        <v>1</v>
      </c>
    </row>
    <row r="31" spans="2:24">
      <c r="B31" s="5" t="s">
        <v>491</v>
      </c>
      <c r="C31" s="423">
        <v>0</v>
      </c>
      <c r="D31" s="416">
        <v>0</v>
      </c>
      <c r="E31" s="416">
        <v>0</v>
      </c>
      <c r="F31" s="416">
        <v>0</v>
      </c>
      <c r="G31" s="416">
        <v>0</v>
      </c>
      <c r="H31" s="233" t="str">
        <f t="shared" si="3"/>
        <v>nm</v>
      </c>
      <c r="I31" s="214"/>
      <c r="J31" s="5" t="s">
        <v>613</v>
      </c>
      <c r="K31" s="207"/>
      <c r="L31" s="253">
        <v>14640</v>
      </c>
      <c r="M31" s="253">
        <v>14860</v>
      </c>
      <c r="N31" s="253">
        <v>15090</v>
      </c>
      <c r="O31" s="253">
        <v>15315</v>
      </c>
      <c r="Q31" s="5"/>
      <c r="S31" s="72"/>
      <c r="T31" s="26"/>
      <c r="U31" s="26"/>
      <c r="V31" s="113" t="s">
        <v>481</v>
      </c>
      <c r="W31" s="242">
        <f>D45/L17</f>
        <v>0</v>
      </c>
      <c r="X31" s="242">
        <v>1</v>
      </c>
    </row>
    <row r="32" spans="2:24">
      <c r="B32" s="5" t="s">
        <v>506</v>
      </c>
      <c r="C32" s="424">
        <v>0</v>
      </c>
      <c r="D32" s="416">
        <v>0</v>
      </c>
      <c r="E32" s="416">
        <v>-13</v>
      </c>
      <c r="F32" s="416">
        <v>-28</v>
      </c>
      <c r="G32" s="416">
        <v>-30.800000000000004</v>
      </c>
      <c r="H32" s="233" t="str">
        <f t="shared" si="3"/>
        <v>nm</v>
      </c>
      <c r="I32" s="214"/>
      <c r="J32" s="5" t="s">
        <v>1072</v>
      </c>
      <c r="K32" s="214"/>
      <c r="L32" s="253">
        <v>31664.264673629241</v>
      </c>
      <c r="M32" s="253">
        <v>33180.025000000001</v>
      </c>
      <c r="N32" s="253">
        <v>34769.800000000003</v>
      </c>
      <c r="O32" s="253">
        <v>36194.714999999997</v>
      </c>
      <c r="Q32" s="5"/>
      <c r="S32" s="72"/>
      <c r="T32" s="26"/>
      <c r="U32" s="26"/>
      <c r="V32" s="113" t="s">
        <v>482</v>
      </c>
      <c r="W32" s="242">
        <f>D47/L19</f>
        <v>0.24779010384943673</v>
      </c>
      <c r="X32" s="242">
        <v>1</v>
      </c>
    </row>
    <row r="33" spans="2:16">
      <c r="B33" s="5" t="s">
        <v>3</v>
      </c>
      <c r="C33" s="423">
        <v>-162.5</v>
      </c>
      <c r="D33" s="416">
        <v>-150.18176198343204</v>
      </c>
      <c r="E33" s="416">
        <v>-144.57697922848806</v>
      </c>
      <c r="F33" s="416">
        <v>-138.52224903004961</v>
      </c>
      <c r="G33" s="416">
        <v>-132.91994722353024</v>
      </c>
      <c r="H33" s="233">
        <f>IF(D33=0,"nm",IF(G33=0,"nm",(G33/D33)^(1/3)-1))</f>
        <v>-3.9882641495126325E-2</v>
      </c>
      <c r="I33" s="5"/>
      <c r="J33" s="5"/>
      <c r="K33" s="5"/>
      <c r="L33" s="5"/>
      <c r="M33" s="5"/>
      <c r="N33" s="5"/>
      <c r="O33" s="5"/>
      <c r="P33" s="5"/>
    </row>
    <row r="34" spans="2:16">
      <c r="I34" s="33"/>
    </row>
    <row r="35" spans="2:16" ht="12.6" thickBot="1">
      <c r="B35" s="249" t="s">
        <v>708</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19" t="str">
        <f>L$5</f>
        <v>2025E</v>
      </c>
      <c r="M35" s="219" t="str">
        <f t="shared" ref="M35:P35" si="8">M$5</f>
        <v>2026E</v>
      </c>
      <c r="N35" s="219" t="str">
        <f t="shared" si="8"/>
        <v>2027E</v>
      </c>
      <c r="O35" s="219" t="str">
        <f t="shared" si="8"/>
        <v>2028E</v>
      </c>
      <c r="P35" s="219" t="str">
        <f t="shared" si="8"/>
        <v>2025-28</v>
      </c>
    </row>
    <row r="36" spans="2:16" ht="12.6" thickTop="1">
      <c r="B36" s="25"/>
      <c r="C36" s="209"/>
      <c r="D36" s="214"/>
      <c r="E36" s="214"/>
      <c r="F36" s="214"/>
      <c r="G36" s="214"/>
      <c r="H36" s="214"/>
      <c r="I36" s="13"/>
      <c r="J36" s="33"/>
      <c r="K36" s="33"/>
      <c r="L36" s="33"/>
      <c r="M36" s="33"/>
      <c r="N36" s="33"/>
      <c r="O36" s="33"/>
    </row>
    <row r="37" spans="2:16">
      <c r="B37" s="5" t="s">
        <v>225</v>
      </c>
      <c r="C37" s="207"/>
      <c r="D37" s="406">
        <f>D$18/D23</f>
        <v>4.6333490701102535</v>
      </c>
      <c r="E37" s="406">
        <f t="shared" ref="E37:G40" si="9">E$18/E23</f>
        <v>4.2745803315877042</v>
      </c>
      <c r="F37" s="406">
        <f t="shared" si="9"/>
        <v>3.9456529859359808</v>
      </c>
      <c r="G37" s="406">
        <f t="shared" si="9"/>
        <v>3.6489101891559796</v>
      </c>
      <c r="H37" s="13">
        <f t="shared" ref="H37:H40" si="10">H23</f>
        <v>6.7053651628707689E-2</v>
      </c>
      <c r="I37" s="5"/>
      <c r="J37" s="217"/>
      <c r="K37" s="217"/>
      <c r="L37" s="217"/>
      <c r="M37" s="217"/>
      <c r="N37" s="217"/>
      <c r="O37" s="14"/>
    </row>
    <row r="38" spans="2:16">
      <c r="B38" s="5" t="s">
        <v>158</v>
      </c>
      <c r="C38" s="207"/>
      <c r="D38" s="406">
        <f>D$18/D24</f>
        <v>9.4409017221949121</v>
      </c>
      <c r="E38" s="406">
        <f>E$18/E24</f>
        <v>8.4892500338938266</v>
      </c>
      <c r="F38" s="406">
        <f t="shared" si="9"/>
        <v>7.6798549235299278</v>
      </c>
      <c r="G38" s="406">
        <f t="shared" si="9"/>
        <v>6.9611901375340386</v>
      </c>
      <c r="H38" s="13">
        <f t="shared" si="10"/>
        <v>9.0734293127619603E-2</v>
      </c>
      <c r="I38" s="217"/>
    </row>
    <row r="39" spans="2:16">
      <c r="B39" s="5" t="s">
        <v>159</v>
      </c>
      <c r="C39" s="207"/>
      <c r="D39" s="406">
        <f>D$18/D25</f>
        <v>16.042507176499281</v>
      </c>
      <c r="E39" s="406">
        <f t="shared" si="9"/>
        <v>13.828395960195831</v>
      </c>
      <c r="F39" s="406">
        <f t="shared" si="9"/>
        <v>12.070973003334526</v>
      </c>
      <c r="G39" s="406">
        <f t="shared" si="9"/>
        <v>10.58540342954873</v>
      </c>
      <c r="H39" s="13">
        <f t="shared" si="10"/>
        <v>0.13187182693369337</v>
      </c>
      <c r="I39" s="13"/>
      <c r="J39" s="5"/>
      <c r="K39" s="5"/>
      <c r="L39" s="5"/>
      <c r="M39" s="5"/>
      <c r="N39" s="5"/>
      <c r="O39" s="5"/>
    </row>
    <row r="40" spans="2:16">
      <c r="B40" s="5" t="s">
        <v>381</v>
      </c>
      <c r="C40" s="207"/>
      <c r="D40" s="406">
        <f>D$18/D26</f>
        <v>22.917867394998972</v>
      </c>
      <c r="E40" s="406">
        <f t="shared" si="9"/>
        <v>19.75485137170833</v>
      </c>
      <c r="F40" s="406">
        <f t="shared" si="9"/>
        <v>17.244247147620751</v>
      </c>
      <c r="G40" s="406">
        <f t="shared" si="9"/>
        <v>15.12200489935533</v>
      </c>
      <c r="H40" s="13">
        <f t="shared" si="10"/>
        <v>0.13187182693369337</v>
      </c>
      <c r="I40" s="5"/>
      <c r="J40" s="217"/>
      <c r="K40" s="217"/>
      <c r="L40" s="217"/>
      <c r="M40" s="217"/>
      <c r="N40" s="217"/>
      <c r="O40" s="14"/>
    </row>
    <row r="41" spans="2:16">
      <c r="B41" s="5" t="s">
        <v>723</v>
      </c>
      <c r="D41" s="406">
        <f>D18/D27</f>
        <v>2.1143499894067341</v>
      </c>
      <c r="E41" s="406">
        <f>E18/E27</f>
        <v>2.0108405589557781</v>
      </c>
      <c r="F41" s="406">
        <f>F18/F27</f>
        <v>1.9121087670154873</v>
      </c>
      <c r="G41" s="406">
        <f>G18/G27</f>
        <v>1.827238145203586</v>
      </c>
      <c r="H41" s="13">
        <f>H27</f>
        <v>3.4513627386044243E-2</v>
      </c>
      <c r="I41" s="207"/>
      <c r="J41" s="13"/>
      <c r="K41" s="13"/>
      <c r="L41" s="13"/>
      <c r="M41" s="13"/>
      <c r="N41" s="13"/>
      <c r="O41" s="5"/>
    </row>
    <row r="42" spans="2:16">
      <c r="B42" s="5" t="s">
        <v>493</v>
      </c>
      <c r="D42" s="406">
        <f>IFERROR(D18/D28,"na")</f>
        <v>3.8762972594692204</v>
      </c>
      <c r="E42" s="406">
        <f>IFERROR(E18/E28,"na")</f>
        <v>3.7008482437737529</v>
      </c>
      <c r="F42" s="406">
        <f>IFERROR(F18/F28,"na")</f>
        <v>3.5305193174856009</v>
      </c>
      <c r="G42" s="406">
        <f>IFERROR(G18/G28,"na")</f>
        <v>3.3803302898875747</v>
      </c>
      <c r="H42" s="13">
        <f>H28</f>
        <v>3.1402753817986628E-2</v>
      </c>
      <c r="I42" s="208"/>
      <c r="J42" s="5"/>
      <c r="K42" s="5"/>
      <c r="L42" s="5"/>
      <c r="M42" s="5"/>
      <c r="N42" s="5"/>
      <c r="O42" s="5"/>
    </row>
    <row r="43" spans="2:16">
      <c r="B43" s="5" t="s">
        <v>390</v>
      </c>
      <c r="C43" s="207"/>
      <c r="D43" s="406">
        <f>L26/D29</f>
        <v>32.714930865599335</v>
      </c>
      <c r="E43" s="406">
        <f>M26/E29</f>
        <v>19.833760602684915</v>
      </c>
      <c r="F43" s="406">
        <f>N26/F29</f>
        <v>14.05967984435825</v>
      </c>
      <c r="G43" s="406">
        <f>O26/G29</f>
        <v>10.646110134066893</v>
      </c>
      <c r="H43" s="13">
        <f>H29</f>
        <v>0.43628413963684642</v>
      </c>
      <c r="I43" s="207"/>
      <c r="J43" s="207"/>
      <c r="K43" s="207"/>
      <c r="L43" s="207"/>
      <c r="M43" s="207"/>
      <c r="N43" s="207"/>
      <c r="O43" s="14"/>
    </row>
    <row r="44" spans="2:16">
      <c r="B44" s="5" t="s">
        <v>437</v>
      </c>
      <c r="C44" s="53"/>
      <c r="D44" s="406">
        <f>D11/D30</f>
        <v>31.886063788307197</v>
      </c>
      <c r="E44" s="406">
        <f>E11/E30</f>
        <v>20.195136480917096</v>
      </c>
      <c r="F44" s="406">
        <f>F11/F30</f>
        <v>14.724466004875893</v>
      </c>
      <c r="G44" s="406">
        <f>G11/G30</f>
        <v>11.346262197442707</v>
      </c>
      <c r="H44" s="13">
        <f>H30</f>
        <v>0.39413462134660238</v>
      </c>
      <c r="I44" s="207"/>
      <c r="J44" s="208"/>
      <c r="K44" s="208"/>
      <c r="L44" s="208"/>
      <c r="M44" s="208"/>
      <c r="N44" s="208"/>
      <c r="O44" s="208"/>
    </row>
    <row r="45" spans="2:16">
      <c r="B45" s="5" t="s">
        <v>481</v>
      </c>
      <c r="C45" s="207"/>
      <c r="D45" s="208">
        <f>D31/D11</f>
        <v>0</v>
      </c>
      <c r="E45" s="208">
        <f>E31/E11</f>
        <v>0</v>
      </c>
      <c r="F45" s="208">
        <f>F31/F11</f>
        <v>0</v>
      </c>
      <c r="G45" s="208">
        <f>G31/G11</f>
        <v>0</v>
      </c>
      <c r="H45" s="13" t="str">
        <f>H31</f>
        <v>nm</v>
      </c>
      <c r="I45" s="208"/>
      <c r="J45" s="207"/>
      <c r="K45" s="207"/>
      <c r="L45" s="207"/>
      <c r="M45" s="207"/>
      <c r="N45" s="207"/>
      <c r="O45" s="208"/>
    </row>
    <row r="46" spans="2:16">
      <c r="B46" s="5" t="s">
        <v>505</v>
      </c>
      <c r="C46" s="207"/>
      <c r="D46" s="208">
        <f>(D31+D32)/D11</f>
        <v>0</v>
      </c>
      <c r="E46" s="208">
        <f>(E31+E32)/E11</f>
        <v>-6.3094941961453601E-3</v>
      </c>
      <c r="F46" s="208">
        <f>(F31+F32)/F11</f>
        <v>-1.3783378154180619E-2</v>
      </c>
      <c r="G46" s="208">
        <f>(G31+G32)/G11</f>
        <v>-1.5403218028956528E-2</v>
      </c>
      <c r="H46" s="233" t="str">
        <f>IFERROR(((G31+G32)/(D31+D32))^(1/3)-1, "nm")</f>
        <v>nm</v>
      </c>
      <c r="I46" s="207"/>
      <c r="J46" s="207"/>
      <c r="K46" s="207"/>
      <c r="L46" s="207"/>
      <c r="M46" s="207"/>
      <c r="N46" s="207"/>
      <c r="O46" s="14"/>
    </row>
    <row r="47" spans="2:16">
      <c r="B47" s="5" t="s">
        <v>482</v>
      </c>
      <c r="C47" s="5"/>
      <c r="D47" s="208">
        <f>1/D43</f>
        <v>3.0567082782728051E-2</v>
      </c>
      <c r="E47" s="208">
        <f>1/E43</f>
        <v>5.041908188932305E-2</v>
      </c>
      <c r="F47" s="208">
        <f>1/F43</f>
        <v>7.1125374906831296E-2</v>
      </c>
      <c r="G47" s="208">
        <f>1/G43</f>
        <v>9.3931021509918625E-2</v>
      </c>
      <c r="H47" s="13">
        <f>H29</f>
        <v>0.43628413963684642</v>
      </c>
      <c r="I47" s="13"/>
      <c r="J47" s="208"/>
      <c r="K47" s="208"/>
      <c r="L47" s="208"/>
      <c r="M47" s="208"/>
      <c r="N47" s="208"/>
      <c r="O47" s="208"/>
    </row>
    <row r="48" spans="2:16">
      <c r="B48" s="5" t="s">
        <v>518</v>
      </c>
      <c r="C48" s="5"/>
      <c r="D48" s="248">
        <f>D31/D29</f>
        <v>0</v>
      </c>
      <c r="E48" s="248">
        <f>E31/E29</f>
        <v>0</v>
      </c>
      <c r="F48" s="248">
        <f>F31/F29</f>
        <v>0</v>
      </c>
      <c r="G48" s="248">
        <f>G31/G29</f>
        <v>0</v>
      </c>
      <c r="H48" s="13" t="s">
        <v>507</v>
      </c>
      <c r="I48" s="207"/>
      <c r="J48" s="207"/>
      <c r="K48" s="207"/>
      <c r="L48" s="207"/>
      <c r="M48" s="207"/>
      <c r="N48" s="207"/>
      <c r="O48" s="208"/>
    </row>
  </sheetData>
  <pageMargins left="0.75" right="0.75" top="1" bottom="1" header="0.5" footer="0.5"/>
  <pageSetup scale="29"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1">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58</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75</v>
      </c>
      <c r="C9" s="239">
        <f>Prices!C79</f>
        <v>9.52</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71393</v>
      </c>
      <c r="E10" s="408">
        <v>71393</v>
      </c>
      <c r="F10" s="408">
        <v>71393</v>
      </c>
      <c r="G10" s="408">
        <v>71393</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227</v>
      </c>
      <c r="C11" s="5"/>
      <c r="D11" s="409">
        <f>$C$9*D10</f>
        <v>679661.36</v>
      </c>
      <c r="E11" s="409">
        <f>$C$9*E10</f>
        <v>679661.36</v>
      </c>
      <c r="F11" s="409">
        <f>$C$9*F10</f>
        <v>679661.36</v>
      </c>
      <c r="G11" s="409">
        <f>$C$9*G10</f>
        <v>679661.36</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2305000.0792600149</v>
      </c>
      <c r="E12" s="410">
        <v>2609638.4746785806</v>
      </c>
      <c r="F12" s="410">
        <v>2897141.6762735313</v>
      </c>
      <c r="G12" s="410">
        <v>3155803.9195505483</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f>IDEASOP!R15</f>
        <v>0</v>
      </c>
      <c r="E14" s="410">
        <f t="shared" ref="E14:G15" si="2">D14</f>
        <v>0</v>
      </c>
      <c r="F14" s="410">
        <f t="shared" si="2"/>
        <v>0</v>
      </c>
      <c r="G14" s="410">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f>IDEASOP!$T$11</f>
        <v>0</v>
      </c>
      <c r="E15" s="410">
        <f t="shared" si="2"/>
        <v>0</v>
      </c>
      <c r="F15" s="410">
        <f t="shared" si="2"/>
        <v>0</v>
      </c>
      <c r="G15" s="410">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0</v>
      </c>
      <c r="F16" s="410">
        <v>0</v>
      </c>
      <c r="G16" s="410">
        <v>0</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2984661.4392600148</v>
      </c>
      <c r="E18" s="411">
        <f>E11+E12+E13-E14+E15-E16-E17</f>
        <v>3289299.8346785805</v>
      </c>
      <c r="F18" s="411">
        <f>F11+F12+F13-F14+F15-F16-F17</f>
        <v>3576803.0362735312</v>
      </c>
      <c r="G18" s="411">
        <f>G11+G12+G13-G14+G15-G16-G17</f>
        <v>3835465.2795505482</v>
      </c>
      <c r="H18" s="230">
        <f>IF(D18=0,"nm",IF(G18=0,"nm",(G18/D18)^(1/3)-1))</f>
        <v>8.7195535491703113E-2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760</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435713</v>
      </c>
      <c r="D23" s="416">
        <v>473058.9401448734</v>
      </c>
      <c r="E23" s="416">
        <v>557382.73581799364</v>
      </c>
      <c r="F23" s="416">
        <v>672857.10110427998</v>
      </c>
      <c r="G23" s="416">
        <v>792374.43503106677</v>
      </c>
      <c r="H23" s="233">
        <f t="shared" ref="H23:H32" si="4">IF(D23=0,"nm",IF(G23=0,"nm",(G23/D23)^(1/3)-1))</f>
        <v>0.18760422388902054</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181266</v>
      </c>
      <c r="D24" s="416">
        <v>199886.77723763877</v>
      </c>
      <c r="E24" s="416">
        <v>244000.77244490199</v>
      </c>
      <c r="F24" s="416">
        <v>304747.59311009006</v>
      </c>
      <c r="G24" s="416">
        <v>367418.52882493974</v>
      </c>
      <c r="H24" s="233">
        <f t="shared" si="4"/>
        <v>0.22497059193329783</v>
      </c>
      <c r="I24" s="209"/>
      <c r="J24" s="13"/>
      <c r="K24" s="13"/>
      <c r="L24" s="13"/>
      <c r="M24" s="13"/>
      <c r="N24" s="13"/>
      <c r="O24" s="208"/>
      <c r="S24" s="26"/>
      <c r="T24" s="26"/>
      <c r="U24" s="26"/>
      <c r="V24" s="26"/>
      <c r="W24" s="26" t="s">
        <v>178</v>
      </c>
      <c r="X24" s="26" t="s">
        <v>209</v>
      </c>
    </row>
    <row r="25" spans="2:24">
      <c r="B25" s="5" t="s">
        <v>157</v>
      </c>
      <c r="C25" s="422">
        <v>85666</v>
      </c>
      <c r="D25" s="416">
        <v>20124.379982586892</v>
      </c>
      <c r="E25" s="416">
        <v>60064.469624964084</v>
      </c>
      <c r="F25" s="416">
        <v>102890.46277880608</v>
      </c>
      <c r="G25" s="416">
        <v>169324.92006717305</v>
      </c>
      <c r="H25" s="233">
        <f t="shared" si="4"/>
        <v>1.0339149572837707</v>
      </c>
      <c r="I25" s="208"/>
      <c r="J25" s="207" t="s">
        <v>8</v>
      </c>
      <c r="K25" s="207"/>
      <c r="L25" s="252">
        <v>0</v>
      </c>
      <c r="M25" s="252">
        <v>0</v>
      </c>
      <c r="N25" s="252">
        <v>0</v>
      </c>
      <c r="O25" s="252">
        <v>0</v>
      </c>
      <c r="P25" s="233" t="str">
        <f>IF(L25=0,"nm",IF(O25=0,"nm",(O25/L25)^(1/3)-1))</f>
        <v>nm</v>
      </c>
      <c r="S25" s="26"/>
      <c r="T25" s="26"/>
      <c r="U25" s="26"/>
      <c r="V25" s="113" t="s">
        <v>225</v>
      </c>
      <c r="W25" s="242">
        <f>D37/L9</f>
        <v>3.041650153850052</v>
      </c>
      <c r="X25" s="242">
        <v>1</v>
      </c>
    </row>
    <row r="26" spans="2:24">
      <c r="B26" s="5" t="s">
        <v>487</v>
      </c>
      <c r="C26" s="422">
        <v>61679.519999999997</v>
      </c>
      <c r="D26" s="416">
        <v>14489.553587462562</v>
      </c>
      <c r="E26" s="416">
        <v>43246.418129974139</v>
      </c>
      <c r="F26" s="416">
        <v>74081.133200740369</v>
      </c>
      <c r="G26" s="416">
        <v>121913.94244836459</v>
      </c>
      <c r="H26" s="233">
        <f t="shared" si="4"/>
        <v>1.0339149572837707</v>
      </c>
      <c r="I26" s="209"/>
      <c r="J26" s="209" t="s">
        <v>9</v>
      </c>
      <c r="K26" s="209"/>
      <c r="L26" s="235">
        <f>D11+L25</f>
        <v>679661.36</v>
      </c>
      <c r="M26" s="235">
        <f>E11+M25</f>
        <v>679661.36</v>
      </c>
      <c r="N26" s="235">
        <f>F11+N25</f>
        <v>679661.36</v>
      </c>
      <c r="O26" s="235">
        <f>G11+O25</f>
        <v>679661.36</v>
      </c>
      <c r="P26" s="233">
        <f>IF(L26=0,"nm",IF(O26=0,"nm",(O26/L26)^(1/3)-1))</f>
        <v>0</v>
      </c>
      <c r="Q26" s="5"/>
      <c r="S26" s="26"/>
      <c r="T26" s="26"/>
      <c r="U26" s="26"/>
      <c r="V26" s="113" t="s">
        <v>158</v>
      </c>
      <c r="W26" s="242">
        <f t="shared" ref="W26:W33" si="6">D38/L10</f>
        <v>2.4038339135456166</v>
      </c>
      <c r="X26" s="242">
        <v>1</v>
      </c>
    </row>
    <row r="27" spans="2:24">
      <c r="B27" s="5" t="s">
        <v>488</v>
      </c>
      <c r="C27" s="423">
        <v>1257192</v>
      </c>
      <c r="D27" s="416">
        <v>1343807.6597035101</v>
      </c>
      <c r="E27" s="416">
        <v>1378727.5118700995</v>
      </c>
      <c r="F27" s="416">
        <v>1399618.6924703969</v>
      </c>
      <c r="G27" s="416">
        <v>1394901.7315442991</v>
      </c>
      <c r="H27" s="233">
        <f t="shared" si="4"/>
        <v>1.2516634816042149E-2</v>
      </c>
      <c r="I27" s="209"/>
      <c r="J27" s="208"/>
      <c r="K27" s="208"/>
      <c r="L27" s="208"/>
      <c r="M27" s="208"/>
      <c r="N27" s="208"/>
      <c r="O27" s="208"/>
      <c r="Q27" s="25"/>
      <c r="S27" s="26"/>
      <c r="T27" s="26"/>
      <c r="U27" s="26"/>
      <c r="V27" s="113" t="s">
        <v>159</v>
      </c>
      <c r="W27" s="242">
        <f t="shared" si="6"/>
        <v>14.337866838822647</v>
      </c>
      <c r="X27" s="242">
        <v>1</v>
      </c>
    </row>
    <row r="28" spans="2:24" ht="12.6" thickBot="1">
      <c r="B28" s="5" t="s">
        <v>492</v>
      </c>
      <c r="C28" s="422">
        <v>1413196</v>
      </c>
      <c r="D28" s="416">
        <v>1380834.7375306343</v>
      </c>
      <c r="E28" s="416">
        <v>1401873.3996896879</v>
      </c>
      <c r="F28" s="416">
        <v>1431631.3965400693</v>
      </c>
      <c r="G28" s="416">
        <v>1447135.9107200084</v>
      </c>
      <c r="H28" s="233">
        <f t="shared" si="4"/>
        <v>1.5755553754176477E-2</v>
      </c>
      <c r="I28" s="208"/>
      <c r="J28" s="249" t="s">
        <v>1073</v>
      </c>
      <c r="K28" s="249"/>
      <c r="L28" s="249"/>
      <c r="M28" s="249"/>
      <c r="N28" s="220"/>
      <c r="O28" s="220"/>
      <c r="P28" s="220"/>
      <c r="Q28" s="5"/>
      <c r="S28" s="26"/>
      <c r="T28" s="26"/>
      <c r="U28" s="26"/>
      <c r="V28" s="113" t="s">
        <v>381</v>
      </c>
      <c r="W28" s="242">
        <f t="shared" si="6"/>
        <v>15.201968264221493</v>
      </c>
      <c r="X28" s="242">
        <v>1</v>
      </c>
    </row>
    <row r="29" spans="2:24" ht="12.6" thickTop="1">
      <c r="B29" s="5" t="s">
        <v>489</v>
      </c>
      <c r="C29" s="422">
        <v>-327778.17947800679</v>
      </c>
      <c r="D29" s="416">
        <v>-344606.07926001475</v>
      </c>
      <c r="E29" s="416">
        <v>-304638.39541856584</v>
      </c>
      <c r="F29" s="416">
        <v>-287503.20159495046</v>
      </c>
      <c r="G29" s="416">
        <v>-258662.24327701688</v>
      </c>
      <c r="H29" s="233">
        <f t="shared" si="4"/>
        <v>-9.1196407734970508E-2</v>
      </c>
      <c r="I29" s="212"/>
      <c r="J29" s="209"/>
      <c r="K29" s="209"/>
      <c r="L29" s="209"/>
      <c r="M29" s="209"/>
      <c r="N29" s="209"/>
      <c r="O29" s="211"/>
      <c r="Q29" s="5"/>
      <c r="S29" s="26"/>
      <c r="T29" s="26"/>
      <c r="U29" s="26"/>
      <c r="V29" s="113" t="s">
        <v>434</v>
      </c>
      <c r="W29" s="242">
        <f t="shared" si="6"/>
        <v>1.2857349984263804</v>
      </c>
      <c r="X29" s="242">
        <v>1</v>
      </c>
    </row>
    <row r="30" spans="2:24">
      <c r="B30" s="5" t="s">
        <v>490</v>
      </c>
      <c r="C30" s="423">
        <v>-274197</v>
      </c>
      <c r="D30" s="416">
        <v>-257523.55046379962</v>
      </c>
      <c r="E30" s="416">
        <v>-271478.39794014889</v>
      </c>
      <c r="F30" s="416">
        <v>-264210.93571062258</v>
      </c>
      <c r="G30" s="416">
        <v>-256615.09003471013</v>
      </c>
      <c r="H30" s="233">
        <f t="shared" si="4"/>
        <v>-1.1772784511561163E-3</v>
      </c>
      <c r="I30" s="214"/>
      <c r="J30" s="208"/>
      <c r="K30" s="208"/>
      <c r="L30" s="208"/>
      <c r="M30" s="208"/>
      <c r="N30" s="208"/>
      <c r="O30" s="5"/>
      <c r="Q30" s="5"/>
      <c r="S30" s="26"/>
      <c r="T30" s="26"/>
      <c r="U30" s="26"/>
      <c r="V30" s="113" t="s">
        <v>493</v>
      </c>
      <c r="W30" s="242">
        <f t="shared" si="6"/>
        <v>0.66278224843922895</v>
      </c>
      <c r="X30" s="242">
        <v>1</v>
      </c>
    </row>
    <row r="31" spans="2:24">
      <c r="B31" s="5" t="s">
        <v>491</v>
      </c>
      <c r="C31" s="423">
        <v>0</v>
      </c>
      <c r="D31" s="416">
        <v>0</v>
      </c>
      <c r="E31" s="416">
        <v>0</v>
      </c>
      <c r="F31" s="416">
        <v>0</v>
      </c>
      <c r="G31" s="416">
        <v>0</v>
      </c>
      <c r="H31" s="233" t="str">
        <f t="shared" si="4"/>
        <v>nm</v>
      </c>
      <c r="I31" s="214"/>
      <c r="J31" s="212"/>
      <c r="K31" s="212"/>
      <c r="L31" s="212"/>
      <c r="M31" s="212"/>
      <c r="N31" s="212"/>
      <c r="O31" s="5"/>
      <c r="Q31" s="5"/>
      <c r="S31" s="26"/>
      <c r="T31" s="26"/>
      <c r="U31" s="26"/>
      <c r="V31" s="113" t="s">
        <v>390</v>
      </c>
      <c r="W31" s="242">
        <f t="shared" si="6"/>
        <v>-0.12258325641223852</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26"/>
      <c r="T32" s="26"/>
      <c r="U32" s="26"/>
      <c r="V32" s="113" t="s">
        <v>437</v>
      </c>
      <c r="W32" s="242">
        <f t="shared" si="6"/>
        <v>-0.15295028409297187</v>
      </c>
      <c r="X32" s="242">
        <v>1</v>
      </c>
    </row>
    <row r="33" spans="2:24">
      <c r="B33" s="5" t="s">
        <v>3</v>
      </c>
      <c r="C33" s="423">
        <v>252511.17947800679</v>
      </c>
      <c r="D33" s="416">
        <v>250175.87998471819</v>
      </c>
      <c r="E33" s="416">
        <v>278361.91937965492</v>
      </c>
      <c r="F33" s="416">
        <v>311789.05748028448</v>
      </c>
      <c r="G33" s="416">
        <v>345199.96189618832</v>
      </c>
      <c r="H33" s="233">
        <f>IF(D33=0,"nm",IF(G33=0,"nm",(G33/D33)^(1/3)-1))</f>
        <v>0.11329032365515213</v>
      </c>
      <c r="I33" s="5"/>
      <c r="J33" s="214"/>
      <c r="K33" s="214"/>
      <c r="L33" s="214"/>
      <c r="M33" s="214"/>
      <c r="N33" s="214"/>
      <c r="O33" s="211"/>
      <c r="Q33" s="5"/>
      <c r="S33" s="26"/>
      <c r="T33" s="26"/>
      <c r="U33" s="26"/>
      <c r="V33" s="113" t="s">
        <v>481</v>
      </c>
      <c r="W33" s="242">
        <f t="shared" si="6"/>
        <v>0</v>
      </c>
      <c r="X33" s="242">
        <v>1</v>
      </c>
    </row>
    <row r="34" spans="2:24">
      <c r="D34" s="5"/>
      <c r="E34" s="5"/>
      <c r="F34" s="5"/>
      <c r="G34" s="5"/>
      <c r="I34" s="33"/>
      <c r="J34" s="214"/>
      <c r="K34" s="214"/>
      <c r="L34" s="214"/>
      <c r="M34" s="214"/>
      <c r="N34" s="214"/>
      <c r="O34" s="211"/>
      <c r="Q34" s="5"/>
      <c r="S34" s="26"/>
      <c r="T34" s="26"/>
      <c r="U34" s="26"/>
      <c r="V34" s="113" t="s">
        <v>482</v>
      </c>
      <c r="W34" s="242">
        <f>D47/L19</f>
        <v>-8.1577209585383592</v>
      </c>
      <c r="X34" s="242">
        <v>1</v>
      </c>
    </row>
    <row r="35" spans="2:24" ht="12.6" thickBot="1">
      <c r="B35" s="249" t="s">
        <v>196</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6.3092802735024263</v>
      </c>
      <c r="E37" s="406">
        <f t="shared" ref="E37:G41" si="8">E$18/E23</f>
        <v>5.9013306715561065</v>
      </c>
      <c r="F37" s="406">
        <f t="shared" si="8"/>
        <v>5.3158434835618911</v>
      </c>
      <c r="G37" s="406">
        <f t="shared" si="8"/>
        <v>4.8404707547135466</v>
      </c>
      <c r="H37" s="13">
        <f t="shared" ref="H37:H45" si="9">H23</f>
        <v>0.18760422388902054</v>
      </c>
      <c r="I37" s="5"/>
      <c r="J37" s="217"/>
      <c r="K37" s="217"/>
      <c r="L37" s="217"/>
      <c r="M37" s="217"/>
      <c r="N37" s="217"/>
      <c r="O37" s="14"/>
      <c r="Q37" s="5"/>
      <c r="R37" s="5"/>
      <c r="S37" s="26"/>
      <c r="T37" s="26"/>
      <c r="U37" s="26"/>
      <c r="V37" s="26"/>
      <c r="W37" s="26"/>
      <c r="X37" s="26"/>
    </row>
    <row r="38" spans="2:24">
      <c r="B38" s="5" t="s">
        <v>158</v>
      </c>
      <c r="C38" s="207"/>
      <c r="D38" s="406">
        <f>D$18/D24</f>
        <v>14.931760272024645</v>
      </c>
      <c r="E38" s="406">
        <f>E$18/E24</f>
        <v>13.480694350758009</v>
      </c>
      <c r="F38" s="406">
        <f t="shared" si="8"/>
        <v>11.736936130555135</v>
      </c>
      <c r="G38" s="406">
        <f t="shared" si="8"/>
        <v>10.438954431114153</v>
      </c>
      <c r="H38" s="13">
        <f t="shared" si="9"/>
        <v>0.22497059193329783</v>
      </c>
      <c r="I38" s="217"/>
      <c r="J38" s="13"/>
      <c r="K38" s="13"/>
      <c r="L38" s="13"/>
      <c r="M38" s="13"/>
      <c r="N38" s="13"/>
      <c r="O38" s="5"/>
      <c r="Q38" s="5"/>
      <c r="R38" s="5"/>
      <c r="S38" s="26"/>
      <c r="T38" s="26"/>
      <c r="U38" s="26"/>
      <c r="V38" s="26"/>
      <c r="W38" s="26"/>
      <c r="X38" s="26"/>
    </row>
    <row r="39" spans="2:24">
      <c r="B39" s="5" t="s">
        <v>159</v>
      </c>
      <c r="C39" s="207"/>
      <c r="D39" s="406">
        <f>D$18/D25</f>
        <v>148.31072767670685</v>
      </c>
      <c r="E39" s="406">
        <f t="shared" si="8"/>
        <v>54.762821601798962</v>
      </c>
      <c r="F39" s="406">
        <f t="shared" si="8"/>
        <v>34.76321264064039</v>
      </c>
      <c r="G39" s="406">
        <f t="shared" si="8"/>
        <v>22.651510941384039</v>
      </c>
      <c r="H39" s="13">
        <f t="shared" si="9"/>
        <v>1.0339149572837707</v>
      </c>
      <c r="I39" s="13"/>
      <c r="J39" s="5"/>
      <c r="K39" s="5"/>
      <c r="L39" s="5"/>
      <c r="M39" s="5"/>
      <c r="N39" s="5"/>
      <c r="O39" s="5"/>
      <c r="Q39" s="5"/>
      <c r="R39" s="5"/>
      <c r="S39" s="26"/>
      <c r="T39" s="26"/>
      <c r="U39" s="26"/>
      <c r="V39" s="26"/>
      <c r="W39" s="26"/>
      <c r="X39" s="26"/>
    </row>
    <row r="40" spans="2:24">
      <c r="B40" s="5" t="s">
        <v>381</v>
      </c>
      <c r="C40" s="207"/>
      <c r="D40" s="406">
        <f>D$18/D26</f>
        <v>205.98712177320394</v>
      </c>
      <c r="E40" s="406">
        <f t="shared" si="8"/>
        <v>76.059474446943</v>
      </c>
      <c r="F40" s="406">
        <f t="shared" si="8"/>
        <v>48.282239778667218</v>
      </c>
      <c r="G40" s="406">
        <f t="shared" si="8"/>
        <v>31.460431863033389</v>
      </c>
      <c r="H40" s="13">
        <f t="shared" si="9"/>
        <v>1.0339149572837707</v>
      </c>
      <c r="I40" s="5"/>
      <c r="J40" s="217"/>
      <c r="K40" s="217"/>
      <c r="L40" s="217"/>
      <c r="M40" s="217"/>
      <c r="N40" s="217"/>
      <c r="O40" s="14"/>
      <c r="Q40" s="5"/>
      <c r="R40" s="5"/>
      <c r="S40" s="26"/>
      <c r="T40" s="26"/>
      <c r="U40" s="26"/>
      <c r="V40" s="26"/>
      <c r="W40" s="242"/>
      <c r="X40" s="242"/>
    </row>
    <row r="41" spans="2:24">
      <c r="B41" s="5" t="s">
        <v>434</v>
      </c>
      <c r="C41" s="207"/>
      <c r="D41" s="406">
        <f>D$18/D27</f>
        <v>2.2210480924915497</v>
      </c>
      <c r="E41" s="406">
        <f t="shared" si="8"/>
        <v>2.3857504883013396</v>
      </c>
      <c r="F41" s="406">
        <f t="shared" si="8"/>
        <v>2.5555553491217635</v>
      </c>
      <c r="G41" s="406">
        <f t="shared" si="8"/>
        <v>2.7496311695765803</v>
      </c>
      <c r="H41" s="13">
        <f t="shared" si="9"/>
        <v>1.2516634816042149E-2</v>
      </c>
      <c r="I41" s="207"/>
      <c r="J41" s="13"/>
      <c r="K41" s="13"/>
      <c r="L41" s="13"/>
      <c r="M41" s="13"/>
      <c r="N41" s="13"/>
      <c r="O41" s="5"/>
      <c r="Q41" s="5"/>
      <c r="R41" s="5"/>
      <c r="S41" s="26"/>
      <c r="T41" s="26"/>
      <c r="U41" s="26"/>
      <c r="V41" s="26"/>
      <c r="W41" s="242"/>
      <c r="X41" s="242"/>
    </row>
    <row r="42" spans="2:24">
      <c r="B42" s="5" t="s">
        <v>493</v>
      </c>
      <c r="C42" s="207"/>
      <c r="D42" s="406">
        <f>D18/D28</f>
        <v>2.1614906969950116</v>
      </c>
      <c r="E42" s="406">
        <f>E18/E28</f>
        <v>2.3463601174019599</v>
      </c>
      <c r="F42" s="406">
        <f>F18/F28</f>
        <v>2.4984105859356389</v>
      </c>
      <c r="G42" s="406">
        <f>G18/G28</f>
        <v>2.6503835964116527</v>
      </c>
      <c r="H42" s="13">
        <f t="shared" si="9"/>
        <v>1.5755553754176477E-2</v>
      </c>
      <c r="I42" s="208"/>
      <c r="J42" s="5"/>
      <c r="K42" s="5"/>
      <c r="L42" s="5"/>
      <c r="M42" s="5"/>
      <c r="N42" s="5"/>
      <c r="O42" s="5"/>
      <c r="Q42" s="5"/>
      <c r="R42" s="5"/>
      <c r="S42" s="26"/>
      <c r="T42" s="26"/>
      <c r="U42" s="26"/>
      <c r="V42" s="26"/>
      <c r="W42" s="242"/>
      <c r="X42" s="242"/>
    </row>
    <row r="43" spans="2:24">
      <c r="B43" s="5" t="s">
        <v>390</v>
      </c>
      <c r="C43" s="207"/>
      <c r="D43" s="406">
        <f>L26/D29</f>
        <v>-1.9722848809268301</v>
      </c>
      <c r="E43" s="406">
        <f>M26/E29</f>
        <v>-2.2310430012151343</v>
      </c>
      <c r="F43" s="406">
        <f>N26/F29</f>
        <v>-2.3640131874341437</v>
      </c>
      <c r="G43" s="406">
        <f>O26/G29</f>
        <v>-2.6276017380399423</v>
      </c>
      <c r="H43" s="13">
        <f t="shared" si="9"/>
        <v>-9.1196407734970508E-2</v>
      </c>
      <c r="I43" s="207"/>
      <c r="J43" s="207"/>
      <c r="K43" s="207"/>
      <c r="L43" s="207"/>
      <c r="M43" s="207"/>
      <c r="N43" s="207"/>
      <c r="O43" s="14"/>
      <c r="Q43" s="5"/>
      <c r="R43" s="5"/>
      <c r="S43" s="26"/>
      <c r="T43" s="26"/>
      <c r="U43" s="26"/>
      <c r="V43" s="26"/>
      <c r="W43" s="242"/>
      <c r="X43" s="242"/>
    </row>
    <row r="44" spans="2:24">
      <c r="B44" s="5" t="s">
        <v>437</v>
      </c>
      <c r="C44" s="53"/>
      <c r="D44" s="406">
        <f>D11/D30</f>
        <v>-2.6392202141354866</v>
      </c>
      <c r="E44" s="406">
        <f>E11/E30</f>
        <v>-2.5035559556743832</v>
      </c>
      <c r="F44" s="406">
        <f>F11/F30</f>
        <v>-2.5724194881335269</v>
      </c>
      <c r="G44" s="406">
        <f>G11/G30</f>
        <v>-2.6485634960440869</v>
      </c>
      <c r="H44" s="13">
        <f t="shared" si="9"/>
        <v>-1.1772784511561163E-3</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9"/>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0</v>
      </c>
      <c r="H46" s="233" t="e">
        <f>((G31+G32)/(D31+D32))^(1/3)-1</f>
        <v>#DIV/0!</v>
      </c>
      <c r="I46" s="207"/>
      <c r="J46" s="207"/>
      <c r="K46" s="207"/>
      <c r="L46" s="207"/>
      <c r="M46" s="207"/>
      <c r="N46" s="207"/>
      <c r="O46" s="14"/>
      <c r="Q46" s="5"/>
      <c r="R46" s="5"/>
      <c r="S46" s="26"/>
      <c r="T46" s="26"/>
      <c r="U46" s="26"/>
      <c r="V46" s="26"/>
      <c r="W46" s="26"/>
      <c r="X46" s="26"/>
    </row>
    <row r="47" spans="2:24">
      <c r="B47" s="5" t="s">
        <v>482</v>
      </c>
      <c r="C47" s="5"/>
      <c r="D47" s="208">
        <f>1/D43</f>
        <v>-0.50702614499081533</v>
      </c>
      <c r="E47" s="208">
        <f>1/E43</f>
        <v>-0.4482208543068652</v>
      </c>
      <c r="F47" s="208">
        <f>1/F43</f>
        <v>-0.42300948459825705</v>
      </c>
      <c r="G47" s="208">
        <f>1/G43</f>
        <v>-0.38057517831676779</v>
      </c>
      <c r="H47" s="13">
        <f>H29</f>
        <v>-9.1196407734970508E-2</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IDEASOP!A1" display="Jump to IDEA SOP" xr:uid="{00000000-0004-0000-2B00-000001000000}"/>
  </hyperlinks>
  <pageMargins left="0.75" right="0.75" top="1" bottom="1" header="0.5" footer="0.5"/>
  <pageSetup scale="7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7201-061A-4438-9BB7-FD5993DCBEB5}">
  <sheetPr codeName="Sheet136">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1102</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1103</v>
      </c>
      <c r="C9" s="239">
        <f>Prices!$C$103</f>
        <v>8.2104999999999997</v>
      </c>
      <c r="D9" s="412">
        <v>0</v>
      </c>
      <c r="E9" s="413">
        <v>0</v>
      </c>
      <c r="F9" s="413">
        <v>0</v>
      </c>
      <c r="G9" s="413">
        <v>0</v>
      </c>
      <c r="H9" s="209"/>
      <c r="I9" s="209"/>
      <c r="J9" s="5" t="s">
        <v>225</v>
      </c>
      <c r="L9" s="406">
        <f>'EM TOWERS'!D37</f>
        <v>2.8753856370989439</v>
      </c>
      <c r="M9" s="406">
        <f>'EM TOWERS'!E37</f>
        <v>2.5588631440779301</v>
      </c>
      <c r="N9" s="406">
        <f>'EM TOWERS'!F37</f>
        <v>2.2791060394933726</v>
      </c>
      <c r="O9" s="406">
        <f>'EM TOWERS'!G37</f>
        <v>2.0260816488517763</v>
      </c>
      <c r="P9" s="240">
        <f>'EM TOWERS'!H37</f>
        <v>4.4299853446136295E-2</v>
      </c>
    </row>
    <row r="10" spans="2:27">
      <c r="B10" s="5" t="s">
        <v>226</v>
      </c>
      <c r="C10" s="5"/>
      <c r="D10" s="408">
        <v>326.61138709677419</v>
      </c>
      <c r="E10" s="408">
        <v>318.54687096774194</v>
      </c>
      <c r="F10" s="408">
        <v>308.86945161290322</v>
      </c>
      <c r="G10" s="408">
        <v>297.57912903225804</v>
      </c>
      <c r="H10" s="207"/>
      <c r="I10" s="207"/>
      <c r="J10" s="5" t="s">
        <v>158</v>
      </c>
      <c r="L10" s="406">
        <f>'EM TOWERS'!D38</f>
        <v>4.4484146973524972</v>
      </c>
      <c r="M10" s="406">
        <f>'EM TOWERS'!E38</f>
        <v>3.9480925890218517</v>
      </c>
      <c r="N10" s="406">
        <f>'EM TOWERS'!F38</f>
        <v>3.5183466460380162</v>
      </c>
      <c r="O10" s="406">
        <f>'EM TOWERS'!G38</f>
        <v>3.129360275503688</v>
      </c>
      <c r="P10" s="240">
        <f>'EM TOWERS'!H38</f>
        <v>4.4869532220161101E-2</v>
      </c>
    </row>
    <row r="11" spans="2:27">
      <c r="B11" s="25" t="s">
        <v>227</v>
      </c>
      <c r="C11" s="5"/>
      <c r="D11" s="409">
        <f>$C$9*D10</f>
        <v>2681.6427937580643</v>
      </c>
      <c r="E11" s="409">
        <f>$C$9*E10</f>
        <v>2615.4290840806452</v>
      </c>
      <c r="F11" s="409">
        <f>$C$9*F10</f>
        <v>2535.9726324677417</v>
      </c>
      <c r="G11" s="409">
        <f>$C$9*G10</f>
        <v>2443.2734389193547</v>
      </c>
      <c r="H11" s="209"/>
      <c r="I11" s="209"/>
      <c r="J11" s="5" t="s">
        <v>159</v>
      </c>
      <c r="L11" s="406">
        <f>'EM TOWERS'!D39</f>
        <v>6.467357750034668</v>
      </c>
      <c r="M11" s="406">
        <f>'EM TOWERS'!E39</f>
        <v>5.6816273495521736</v>
      </c>
      <c r="N11" s="406">
        <f>'EM TOWERS'!F39</f>
        <v>5.0275068119418096</v>
      </c>
      <c r="O11" s="406">
        <f>'EM TOWERS'!G39</f>
        <v>4.4520069956270758</v>
      </c>
      <c r="P11" s="240">
        <f>'EM TOWERS'!H39</f>
        <v>5.2452524167129866E-2</v>
      </c>
    </row>
    <row r="12" spans="2:27">
      <c r="B12" s="5" t="s">
        <v>22</v>
      </c>
      <c r="C12" s="209"/>
      <c r="D12" s="410">
        <v>2489.9069725287682</v>
      </c>
      <c r="E12" s="410">
        <v>2356.1710740143267</v>
      </c>
      <c r="F12" s="410">
        <v>2226.7627204416794</v>
      </c>
      <c r="G12" s="410">
        <v>2121.7720527522024</v>
      </c>
      <c r="H12" s="207"/>
      <c r="I12" s="207"/>
      <c r="J12" s="5" t="s">
        <v>381</v>
      </c>
      <c r="L12" s="406">
        <f>'EM TOWERS'!D40</f>
        <v>7.1880123213702038</v>
      </c>
      <c r="M12" s="406">
        <f>'EM TOWERS'!E40</f>
        <v>6.2974410157328773</v>
      </c>
      <c r="N12" s="406">
        <f>'EM TOWERS'!F40</f>
        <v>5.5805415685706015</v>
      </c>
      <c r="O12" s="406">
        <f>'EM TOWERS'!G40</f>
        <v>4.9453375933267081</v>
      </c>
      <c r="P12" s="240">
        <f>'EM TOWERS'!H40</f>
        <v>5.2647882819422342E-2</v>
      </c>
    </row>
    <row r="13" spans="2:27">
      <c r="B13" s="5" t="s">
        <v>433</v>
      </c>
      <c r="C13" s="216"/>
      <c r="D13" s="410">
        <v>0</v>
      </c>
      <c r="E13" s="410">
        <v>0</v>
      </c>
      <c r="F13" s="410">
        <v>0</v>
      </c>
      <c r="G13" s="410">
        <v>0</v>
      </c>
      <c r="H13" s="207"/>
      <c r="I13" s="207"/>
      <c r="J13" s="5" t="s">
        <v>434</v>
      </c>
      <c r="L13" s="406">
        <f>'EM TOWERS'!D41</f>
        <v>1.1929325059828397</v>
      </c>
      <c r="M13" s="406">
        <f>'EM TOWERS'!E41</f>
        <v>1.1316043698700911</v>
      </c>
      <c r="N13" s="406">
        <f>'EM TOWERS'!F41</f>
        <v>1.053443256852002</v>
      </c>
      <c r="O13" s="406">
        <f>'EM TOWERS'!G41</f>
        <v>0.96594025199218903</v>
      </c>
      <c r="P13" s="240">
        <f>'EM TOWERS'!H41</f>
        <v>-2.9872751084933924E-3</v>
      </c>
    </row>
    <row r="14" spans="2:27">
      <c r="B14" s="5" t="s">
        <v>436</v>
      </c>
      <c r="C14" s="216"/>
      <c r="D14" s="410">
        <v>0</v>
      </c>
      <c r="E14" s="410">
        <v>0</v>
      </c>
      <c r="F14" s="410">
        <v>0</v>
      </c>
      <c r="G14" s="410">
        <v>0</v>
      </c>
      <c r="H14" s="207"/>
      <c r="I14" s="207"/>
      <c r="J14" s="5" t="s">
        <v>493</v>
      </c>
      <c r="L14" s="406">
        <f>'EM TOWERS'!D42</f>
        <v>1.9987670824600938</v>
      </c>
      <c r="M14" s="406">
        <f>'EM TOWERS'!E42</f>
        <v>2.0417321035179237</v>
      </c>
      <c r="N14" s="406">
        <f>'EM TOWERS'!F42</f>
        <v>2.0361368094741659</v>
      </c>
      <c r="O14" s="406">
        <f>'EM TOWERS'!G42</f>
        <v>1.9939520283492802</v>
      </c>
      <c r="P14" s="240">
        <f>'EM TOWERS'!H42</f>
        <v>-6.9974922183852928E-2</v>
      </c>
    </row>
    <row r="15" spans="2:27">
      <c r="B15" s="5" t="s">
        <v>435</v>
      </c>
      <c r="C15" s="228"/>
      <c r="D15" s="410">
        <v>0</v>
      </c>
      <c r="E15" s="410">
        <v>0</v>
      </c>
      <c r="F15" s="410">
        <v>0</v>
      </c>
      <c r="G15" s="410">
        <v>0</v>
      </c>
      <c r="H15" s="207"/>
      <c r="I15" s="207"/>
      <c r="J15" s="5" t="s">
        <v>390</v>
      </c>
      <c r="L15" s="406">
        <f>'EM TOWERS'!D43</f>
        <v>8.1064361166140024</v>
      </c>
      <c r="M15" s="406">
        <f>'EM TOWERS'!E43</f>
        <v>7.7090040884711142</v>
      </c>
      <c r="N15" s="406">
        <f>'EM TOWERS'!F43</f>
        <v>7.368419056291093</v>
      </c>
      <c r="O15" s="406">
        <f>'EM TOWERS'!G43</f>
        <v>7.059772948743908</v>
      </c>
      <c r="P15" s="240">
        <f>'EM TOWERS'!H43</f>
        <v>4.3996397047496583E-2</v>
      </c>
    </row>
    <row r="16" spans="2:27">
      <c r="B16" s="5" t="s">
        <v>438</v>
      </c>
      <c r="C16" s="216"/>
      <c r="D16" s="410">
        <v>0</v>
      </c>
      <c r="E16" s="410">
        <v>-57.831694664433989</v>
      </c>
      <c r="F16" s="410">
        <v>-134.41930987430456</v>
      </c>
      <c r="G16" s="410">
        <v>-237.21953263650008</v>
      </c>
      <c r="H16" s="207"/>
      <c r="I16" s="207"/>
      <c r="J16" s="5" t="s">
        <v>437</v>
      </c>
      <c r="L16" s="406">
        <f>'EM TOWERS'!D44</f>
        <v>13.436863988366767</v>
      </c>
      <c r="M16" s="406">
        <f>'EM TOWERS'!E44</f>
        <v>9.7165411129508161</v>
      </c>
      <c r="N16" s="406">
        <f>'EM TOWERS'!F44</f>
        <v>7.9288649416051227</v>
      </c>
      <c r="O16" s="406">
        <f>'EM TOWERS'!G44</f>
        <v>7.0017311665269686</v>
      </c>
      <c r="P16" s="240">
        <f>'EM TOWERS'!H44</f>
        <v>0.23823898313652681</v>
      </c>
    </row>
    <row r="17" spans="2:24">
      <c r="B17" s="5" t="s">
        <v>4</v>
      </c>
      <c r="C17" s="216"/>
      <c r="D17" s="410">
        <v>0</v>
      </c>
      <c r="E17" s="410">
        <v>0</v>
      </c>
      <c r="F17" s="410">
        <v>0</v>
      </c>
      <c r="G17" s="410">
        <v>0</v>
      </c>
      <c r="H17" s="207"/>
      <c r="I17" s="207"/>
      <c r="J17" s="5" t="s">
        <v>481</v>
      </c>
      <c r="L17" s="208">
        <f>'EM TOWERS'!D45</f>
        <v>4.0111232057438634E-2</v>
      </c>
      <c r="M17" s="208">
        <f>'EM TOWERS'!E45</f>
        <v>5.7479683884391737E-2</v>
      </c>
      <c r="N17" s="208">
        <f>'EM TOWERS'!F45</f>
        <v>7.0370913013770742E-2</v>
      </c>
      <c r="O17" s="208">
        <f>'EM TOWERS'!G45</f>
        <v>7.8768143947675784E-2</v>
      </c>
      <c r="P17" s="240">
        <f>'EM TOWERS'!H45</f>
        <v>0.24777183848156481</v>
      </c>
      <c r="S17" s="72"/>
      <c r="T17" s="26"/>
      <c r="U17" s="26"/>
      <c r="V17" s="26"/>
      <c r="W17" s="26"/>
      <c r="X17" s="26"/>
    </row>
    <row r="18" spans="2:24" ht="12.6" thickBot="1">
      <c r="B18" s="25" t="s">
        <v>484</v>
      </c>
      <c r="C18" s="209"/>
      <c r="D18" s="411">
        <f>D11+D12+D13-D14+D15-D16-D17</f>
        <v>5171.5497662868329</v>
      </c>
      <c r="E18" s="411">
        <f>E11+E12+E13-E14+E15-E16-E17</f>
        <v>5029.431852759406</v>
      </c>
      <c r="F18" s="411">
        <f>F11+F12+F13-F14+F15-F16-F17</f>
        <v>4897.1546627837261</v>
      </c>
      <c r="G18" s="411">
        <f>G11+G12+G13-G14+G15-G16-G17</f>
        <v>4802.265024308057</v>
      </c>
      <c r="H18" s="230">
        <f>IF(D18=0,"nm",IF(G18=0,"nm",(G18/D18)^(1/3)-1))</f>
        <v>-2.4392481468290095E-2</v>
      </c>
      <c r="I18" s="214"/>
      <c r="J18" s="5" t="s">
        <v>33</v>
      </c>
      <c r="L18" s="208">
        <f>'EM TOWERS'!D46</f>
        <v>3.4149277793105323E-2</v>
      </c>
      <c r="M18" s="208">
        <f>'EM TOWERS'!E46</f>
        <v>5.0189715809664123E-2</v>
      </c>
      <c r="N18" s="208">
        <f>'EM TOWERS'!F46</f>
        <v>6.1907116223455669E-2</v>
      </c>
      <c r="O18" s="208">
        <f>'EM TOWERS'!G46</f>
        <v>6.9451969034422772E-2</v>
      </c>
      <c r="P18" s="240">
        <f>'EM TOWERS'!H46</f>
        <v>0.2624319853567012</v>
      </c>
      <c r="S18" s="72"/>
      <c r="T18" s="26"/>
      <c r="U18" s="26"/>
      <c r="V18" s="26"/>
      <c r="W18" s="26"/>
      <c r="X18" s="26"/>
    </row>
    <row r="19" spans="2:24" ht="12.6" thickTop="1">
      <c r="B19" s="25"/>
      <c r="C19" s="209"/>
      <c r="D19" s="189"/>
      <c r="E19" s="189"/>
      <c r="F19" s="189"/>
      <c r="G19" s="189"/>
      <c r="H19" s="230"/>
      <c r="I19" s="214"/>
      <c r="J19" s="5" t="s">
        <v>482</v>
      </c>
      <c r="L19" s="208">
        <f>'EM TOWERS'!D47</f>
        <v>0.12335877142737449</v>
      </c>
      <c r="M19" s="208">
        <f>'EM TOWERS'!E47</f>
        <v>0.12971844203527005</v>
      </c>
      <c r="N19" s="208">
        <f>'EM TOWERS'!F47</f>
        <v>0.13571432248362811</v>
      </c>
      <c r="O19" s="208">
        <f>'EM TOWERS'!G47</f>
        <v>0.14164761491060734</v>
      </c>
      <c r="P19" s="240">
        <f>'EM TOWERS'!H47</f>
        <v>4.3996397047496583E-2</v>
      </c>
      <c r="S19" s="72"/>
      <c r="T19" s="26"/>
      <c r="U19" s="26"/>
      <c r="V19" s="26"/>
      <c r="W19" s="26"/>
      <c r="X19" s="26"/>
    </row>
    <row r="20" spans="2:24">
      <c r="H20" s="231"/>
      <c r="I20" s="13"/>
      <c r="J20" s="5" t="s">
        <v>504</v>
      </c>
      <c r="L20" s="248">
        <f>'EM TOWERS'!D48</f>
        <v>0.34693313124747588</v>
      </c>
      <c r="M20" s="248">
        <f>'EM TOWERS'!E48</f>
        <v>0.47267097249830853</v>
      </c>
      <c r="N20" s="248">
        <f>'EM TOWERS'!F48</f>
        <v>0.55273011389769977</v>
      </c>
      <c r="O20" s="248">
        <f>'EM TOWERS'!G48</f>
        <v>0.59231716049146255</v>
      </c>
      <c r="P20" s="240" t="str">
        <f>'EM TOWERS'!H48</f>
        <v>nm</v>
      </c>
      <c r="S20" s="72"/>
      <c r="T20" s="26"/>
      <c r="U20" s="26"/>
      <c r="V20" s="26"/>
      <c r="W20" s="26"/>
      <c r="X20" s="26"/>
    </row>
    <row r="21" spans="2:24" ht="12.6" thickBot="1">
      <c r="B21" s="249" t="s">
        <v>1104</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1711.2249999999999</v>
      </c>
      <c r="D23" s="416">
        <v>1725.2777405198199</v>
      </c>
      <c r="E23" s="416">
        <v>1796.0098554388017</v>
      </c>
      <c r="F23" s="416">
        <v>1918.6694654405651</v>
      </c>
      <c r="G23" s="416">
        <v>2034.8467963783773</v>
      </c>
      <c r="H23" s="233">
        <f t="shared" ref="H23:H32" si="3">IF(D23=0,"nm",IF(G23=0,"nm",(G23/D23)^(1/3)-1))</f>
        <v>5.6552055383884525E-2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764.93999999999994</v>
      </c>
      <c r="D24" s="416">
        <v>836.59517499308117</v>
      </c>
      <c r="E24" s="416">
        <v>880.14741391778989</v>
      </c>
      <c r="F24" s="416">
        <v>957.18085853292189</v>
      </c>
      <c r="G24" s="416">
        <v>1027.0208931125928</v>
      </c>
      <c r="H24" s="233">
        <f t="shared" si="3"/>
        <v>7.0749732105317431E-2</v>
      </c>
      <c r="I24" s="209"/>
      <c r="J24" s="13"/>
      <c r="K24" s="13"/>
      <c r="L24" s="13"/>
      <c r="M24" s="13"/>
      <c r="N24" s="13"/>
      <c r="O24" s="208"/>
      <c r="S24" s="72"/>
      <c r="T24" s="26"/>
      <c r="U24" s="26"/>
      <c r="V24" s="26"/>
      <c r="W24" s="26" t="s">
        <v>1102</v>
      </c>
      <c r="X24" s="26" t="s">
        <v>209</v>
      </c>
    </row>
    <row r="25" spans="2:24">
      <c r="B25" s="5" t="s">
        <v>157</v>
      </c>
      <c r="C25" s="422">
        <v>507.93999999999994</v>
      </c>
      <c r="D25" s="416">
        <v>577.80351391510817</v>
      </c>
      <c r="E25" s="416">
        <v>610.74593560196968</v>
      </c>
      <c r="F25" s="416">
        <v>678.97378604404003</v>
      </c>
      <c r="G25" s="416">
        <v>731.96810763772805</v>
      </c>
      <c r="H25" s="233">
        <f t="shared" si="3"/>
        <v>8.2025078663917839E-2</v>
      </c>
      <c r="I25" s="208"/>
      <c r="J25" s="207" t="s">
        <v>8</v>
      </c>
      <c r="K25" s="207"/>
      <c r="L25" s="252">
        <v>0</v>
      </c>
      <c r="M25" s="252">
        <v>0</v>
      </c>
      <c r="N25" s="252">
        <v>0</v>
      </c>
      <c r="O25" s="252">
        <v>0</v>
      </c>
      <c r="P25" s="233" t="str">
        <f>IF(L25=0,"nm",IF(O25=0,"nm",(O25/L25)^(1/3)-1))</f>
        <v>nm</v>
      </c>
      <c r="S25" s="72"/>
      <c r="T25" s="26"/>
      <c r="U25" s="26"/>
      <c r="V25" s="113" t="s">
        <v>225</v>
      </c>
      <c r="W25" s="242">
        <f>D37/L9</f>
        <v>1.0424748592312403</v>
      </c>
      <c r="X25" s="242">
        <v>1</v>
      </c>
    </row>
    <row r="26" spans="2:24">
      <c r="B26" s="5" t="s">
        <v>487</v>
      </c>
      <c r="C26" s="422">
        <v>355.55799999999994</v>
      </c>
      <c r="D26" s="416">
        <v>404.4624597405757</v>
      </c>
      <c r="E26" s="416">
        <v>427.52215492137873</v>
      </c>
      <c r="F26" s="416">
        <v>475.28165023082801</v>
      </c>
      <c r="G26" s="416">
        <v>512.37767534640966</v>
      </c>
      <c r="H26" s="233">
        <f t="shared" si="3"/>
        <v>8.2025078663918061E-2</v>
      </c>
      <c r="I26" s="209"/>
      <c r="J26" s="209" t="s">
        <v>9</v>
      </c>
      <c r="K26" s="209"/>
      <c r="L26" s="235">
        <f>D11+L25</f>
        <v>2681.6427937580643</v>
      </c>
      <c r="M26" s="235">
        <f>E11+M25</f>
        <v>2615.4290840806452</v>
      </c>
      <c r="N26" s="235">
        <f>F11+N25</f>
        <v>2535.9726324677417</v>
      </c>
      <c r="O26" s="235">
        <f>G11+O25</f>
        <v>2443.2734389193547</v>
      </c>
      <c r="P26" s="233">
        <f>IF(L26=0,"nm",IF(O26=0,"nm",(O26/L26)^(1/3)-1))</f>
        <v>-3.0553793815097485E-2</v>
      </c>
      <c r="Q26" s="5"/>
      <c r="S26" s="72"/>
      <c r="T26" s="26"/>
      <c r="U26" s="26"/>
      <c r="V26" s="113" t="s">
        <v>158</v>
      </c>
      <c r="W26" s="242">
        <f t="shared" ref="W26:W33" si="5">D38/L10</f>
        <v>1.3896328943012333</v>
      </c>
      <c r="X26" s="242">
        <v>1</v>
      </c>
    </row>
    <row r="27" spans="2:24">
      <c r="B27" s="5" t="s">
        <v>488</v>
      </c>
      <c r="C27" s="423">
        <v>3185.498000000001</v>
      </c>
      <c r="D27" s="416">
        <v>3296.4177618576359</v>
      </c>
      <c r="E27" s="416">
        <v>3393.1099190985028</v>
      </c>
      <c r="F27" s="416">
        <v>3512.0781418403753</v>
      </c>
      <c r="G27" s="416">
        <v>3656.2718075772709</v>
      </c>
      <c r="H27" s="233">
        <f t="shared" si="3"/>
        <v>3.5139169984826468E-2</v>
      </c>
      <c r="I27" s="209"/>
      <c r="J27" s="208"/>
      <c r="K27" s="208"/>
      <c r="L27" s="208"/>
      <c r="M27" s="208"/>
      <c r="N27" s="208"/>
      <c r="O27" s="208"/>
      <c r="Q27" s="25"/>
      <c r="S27" s="72"/>
      <c r="T27" s="26"/>
      <c r="U27" s="26"/>
      <c r="V27" s="113" t="s">
        <v>159</v>
      </c>
      <c r="W27" s="242">
        <f t="shared" si="5"/>
        <v>1.383928472506105</v>
      </c>
      <c r="X27" s="242">
        <v>1</v>
      </c>
    </row>
    <row r="28" spans="2:24">
      <c r="B28" s="5" t="s">
        <v>492</v>
      </c>
      <c r="C28" s="422">
        <v>1352.645</v>
      </c>
      <c r="D28" s="416">
        <v>1269.1280225370128</v>
      </c>
      <c r="E28" s="416">
        <v>1296.9630947381597</v>
      </c>
      <c r="F28" s="416">
        <v>1326.9448910205624</v>
      </c>
      <c r="G28" s="416">
        <v>1360.3255062917374</v>
      </c>
      <c r="H28" s="233">
        <f t="shared" si="3"/>
        <v>2.3400918869435294E-2</v>
      </c>
      <c r="I28" s="208"/>
      <c r="Q28" s="5"/>
      <c r="S28" s="72"/>
      <c r="T28" s="26"/>
      <c r="U28" s="26"/>
      <c r="V28" s="113" t="s">
        <v>381</v>
      </c>
      <c r="W28" s="242">
        <f t="shared" si="5"/>
        <v>1.7788268522631121</v>
      </c>
      <c r="X28" s="242">
        <v>1</v>
      </c>
    </row>
    <row r="29" spans="2:24" ht="12.6" thickBot="1">
      <c r="B29" s="5" t="s">
        <v>489</v>
      </c>
      <c r="C29" s="422">
        <v>56.635999999999918</v>
      </c>
      <c r="D29" s="416">
        <v>125.24362747123251</v>
      </c>
      <c r="E29" s="416">
        <v>155.98307317887515</v>
      </c>
      <c r="F29" s="416">
        <v>225.13222278251806</v>
      </c>
      <c r="G29" s="416">
        <v>260.60895715167254</v>
      </c>
      <c r="H29" s="233">
        <f t="shared" si="3"/>
        <v>0.27666778655675617</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1.3151115439643577</v>
      </c>
      <c r="X29" s="242">
        <v>1</v>
      </c>
    </row>
    <row r="30" spans="2:24" ht="12.6" thickTop="1">
      <c r="B30" s="5" t="s">
        <v>490</v>
      </c>
      <c r="C30" s="423">
        <v>121.13599999999991</v>
      </c>
      <c r="D30" s="416">
        <v>202.13838932886802</v>
      </c>
      <c r="E30" s="416">
        <v>239.65023041974123</v>
      </c>
      <c r="F30" s="416">
        <v>292.07544552439111</v>
      </c>
      <c r="G30" s="416">
        <v>335.77762288856792</v>
      </c>
      <c r="H30" s="233">
        <f t="shared" si="3"/>
        <v>0.18431614506313876</v>
      </c>
      <c r="I30" s="214"/>
      <c r="J30" s="208"/>
      <c r="K30" s="208"/>
      <c r="L30" s="208"/>
      <c r="M30" s="208"/>
      <c r="N30" s="208"/>
      <c r="O30" s="5"/>
      <c r="Q30" s="5"/>
      <c r="S30" s="72"/>
      <c r="T30" s="26"/>
      <c r="U30" s="26"/>
      <c r="V30" s="113" t="s">
        <v>493</v>
      </c>
      <c r="W30" s="242">
        <f t="shared" si="5"/>
        <v>2.0386988893610716</v>
      </c>
      <c r="X30" s="242">
        <v>1</v>
      </c>
    </row>
    <row r="31" spans="2:24">
      <c r="B31" s="5" t="s">
        <v>491</v>
      </c>
      <c r="C31" s="423">
        <v>0</v>
      </c>
      <c r="D31" s="416">
        <v>0</v>
      </c>
      <c r="E31" s="416">
        <v>-57.831694664433989</v>
      </c>
      <c r="F31" s="416">
        <v>-76.587615209870577</v>
      </c>
      <c r="G31" s="416">
        <v>-102.80022276219552</v>
      </c>
      <c r="H31" s="233" t="str">
        <f t="shared" si="3"/>
        <v>nm</v>
      </c>
      <c r="I31" s="214"/>
      <c r="J31" s="5" t="s">
        <v>613</v>
      </c>
      <c r="K31" s="207"/>
      <c r="L31" s="253">
        <v>34377.335761055001</v>
      </c>
      <c r="M31" s="253">
        <v>35029.280255833524</v>
      </c>
      <c r="N31" s="253">
        <v>35640.223170306483</v>
      </c>
      <c r="O31" s="253">
        <v>36234.082355572798</v>
      </c>
      <c r="Q31" s="5"/>
      <c r="S31" s="72"/>
      <c r="T31" s="26"/>
      <c r="U31" s="26"/>
      <c r="V31" s="113" t="s">
        <v>390</v>
      </c>
      <c r="W31" s="242">
        <f t="shared" si="5"/>
        <v>2.6412853661640399</v>
      </c>
      <c r="X31" s="242">
        <v>1</v>
      </c>
    </row>
    <row r="32" spans="2:24">
      <c r="B32" s="5" t="s">
        <v>506</v>
      </c>
      <c r="C32" s="424">
        <v>0</v>
      </c>
      <c r="D32" s="416">
        <v>-40</v>
      </c>
      <c r="E32" s="416">
        <v>-50</v>
      </c>
      <c r="F32" s="416">
        <v>-60</v>
      </c>
      <c r="G32" s="416">
        <v>-70</v>
      </c>
      <c r="H32" s="233">
        <f t="shared" si="3"/>
        <v>0.20507113208761507</v>
      </c>
      <c r="I32" s="214"/>
      <c r="J32" s="5" t="s">
        <v>1072</v>
      </c>
      <c r="K32" s="214"/>
      <c r="L32" s="253">
        <v>52389.579990127277</v>
      </c>
      <c r="M32" s="253">
        <v>54563.324321384389</v>
      </c>
      <c r="N32" s="253">
        <v>56036.285915828907</v>
      </c>
      <c r="O32" s="253">
        <v>57505.646388379108</v>
      </c>
      <c r="Q32" s="5"/>
      <c r="S32" s="72"/>
      <c r="T32" s="26"/>
      <c r="U32" s="26"/>
      <c r="V32" s="113" t="s">
        <v>437</v>
      </c>
      <c r="W32" s="242">
        <f t="shared" si="5"/>
        <v>0.98731152248103304</v>
      </c>
      <c r="X32" s="242">
        <v>1</v>
      </c>
    </row>
    <row r="33" spans="2:24">
      <c r="B33" s="5" t="s">
        <v>3</v>
      </c>
      <c r="C33" s="423">
        <v>427.99599999999998</v>
      </c>
      <c r="D33" s="416">
        <v>416.65439179946799</v>
      </c>
      <c r="E33" s="416">
        <v>416.65439179946821</v>
      </c>
      <c r="F33" s="416">
        <v>416.65439179946821</v>
      </c>
      <c r="G33" s="416">
        <v>416.65439179946821</v>
      </c>
      <c r="H33" s="233">
        <f>IF(D33=0,"nm",IF(G33=0,"nm",(G33/D33)^(1/3)-1))</f>
        <v>2.2204460492503131E-16</v>
      </c>
      <c r="I33" s="5"/>
      <c r="Q33" s="5"/>
      <c r="S33" s="72"/>
      <c r="T33" s="26"/>
      <c r="U33" s="26"/>
      <c r="V33" s="113" t="s">
        <v>481</v>
      </c>
      <c r="W33" s="242">
        <f t="shared" si="5"/>
        <v>0</v>
      </c>
      <c r="X33" s="242">
        <v>1</v>
      </c>
    </row>
    <row r="34" spans="2:24">
      <c r="H34" s="231"/>
      <c r="I34" s="33"/>
      <c r="Q34" s="5"/>
      <c r="S34" s="72"/>
      <c r="T34" s="26"/>
      <c r="U34" s="26"/>
      <c r="V34" s="113" t="s">
        <v>482</v>
      </c>
      <c r="W34" s="242">
        <f>D47/L19</f>
        <v>0.3786035438693654</v>
      </c>
      <c r="X34" s="242">
        <v>1</v>
      </c>
    </row>
    <row r="35" spans="2:24" ht="12.6" thickBot="1">
      <c r="B35" s="249" t="s">
        <v>639</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42"/>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2.9975172372702517</v>
      </c>
      <c r="E37" s="406">
        <f t="shared" ref="E37:G41" si="8">E$18/E23</f>
        <v>2.8003364444403975</v>
      </c>
      <c r="F37" s="406">
        <f t="shared" si="8"/>
        <v>2.5523701455577399</v>
      </c>
      <c r="G37" s="406">
        <f t="shared" si="8"/>
        <v>2.3600130647944275</v>
      </c>
      <c r="H37" s="13">
        <f t="shared" ref="H37:H45" si="9">H23</f>
        <v>5.6552055383884525E-2</v>
      </c>
      <c r="I37" s="5"/>
      <c r="J37" s="208"/>
      <c r="K37" s="208"/>
      <c r="L37" s="208"/>
      <c r="M37" s="208"/>
      <c r="N37" s="208"/>
      <c r="O37" s="5"/>
      <c r="Q37" s="5"/>
      <c r="R37" s="5"/>
      <c r="S37" s="26"/>
      <c r="T37" s="26"/>
      <c r="U37" s="26"/>
      <c r="V37" s="26"/>
      <c r="W37" s="26"/>
      <c r="X37" s="26"/>
    </row>
    <row r="38" spans="2:24">
      <c r="B38" s="5" t="s">
        <v>158</v>
      </c>
      <c r="C38" s="207"/>
      <c r="D38" s="406">
        <f>D$18/D24</f>
        <v>6.1816633909340952</v>
      </c>
      <c r="E38" s="406">
        <f>E$18/E24</f>
        <v>5.7143062323752734</v>
      </c>
      <c r="F38" s="406">
        <f t="shared" si="8"/>
        <v>5.1162271154164438</v>
      </c>
      <c r="G38" s="406">
        <f t="shared" si="8"/>
        <v>4.6759175558287129</v>
      </c>
      <c r="H38" s="13">
        <f t="shared" si="9"/>
        <v>7.0749732105317431E-2</v>
      </c>
      <c r="I38" s="217"/>
      <c r="J38" s="212"/>
      <c r="K38" s="212"/>
      <c r="L38" s="212"/>
      <c r="M38" s="212"/>
      <c r="N38" s="212"/>
      <c r="O38" s="5"/>
      <c r="Q38" s="5"/>
      <c r="R38" s="5"/>
      <c r="S38" s="26"/>
      <c r="T38" s="26"/>
      <c r="U38" s="26"/>
      <c r="V38" s="26"/>
      <c r="W38" s="26"/>
      <c r="X38" s="26"/>
    </row>
    <row r="39" spans="2:24">
      <c r="B39" s="5" t="s">
        <v>159</v>
      </c>
      <c r="C39" s="207"/>
      <c r="D39" s="406">
        <f>D$18/D25</f>
        <v>8.9503605321559974</v>
      </c>
      <c r="E39" s="406">
        <f t="shared" si="8"/>
        <v>8.2349002417875212</v>
      </c>
      <c r="F39" s="406">
        <f t="shared" si="8"/>
        <v>7.2125828175435389</v>
      </c>
      <c r="G39" s="406">
        <f t="shared" si="8"/>
        <v>6.5607571890069769</v>
      </c>
      <c r="H39" s="13">
        <f t="shared" si="9"/>
        <v>8.2025078663917839E-2</v>
      </c>
      <c r="I39" s="13"/>
      <c r="J39" s="217"/>
      <c r="K39" s="217"/>
      <c r="L39" s="217"/>
      <c r="M39" s="217"/>
      <c r="N39" s="217"/>
      <c r="O39" s="14"/>
      <c r="Q39" s="5"/>
      <c r="R39" s="5"/>
      <c r="S39" s="26"/>
      <c r="T39" s="26"/>
      <c r="U39" s="26"/>
      <c r="V39" s="26"/>
      <c r="W39" s="26"/>
      <c r="X39" s="26"/>
    </row>
    <row r="40" spans="2:24">
      <c r="B40" s="5" t="s">
        <v>381</v>
      </c>
      <c r="C40" s="207"/>
      <c r="D40" s="406">
        <f>D$18/D26</f>
        <v>12.786229331651425</v>
      </c>
      <c r="E40" s="406">
        <f t="shared" si="8"/>
        <v>11.764143202553603</v>
      </c>
      <c r="F40" s="406">
        <f t="shared" si="8"/>
        <v>10.303689739347913</v>
      </c>
      <c r="G40" s="406">
        <f t="shared" si="8"/>
        <v>9.3725102700099665</v>
      </c>
      <c r="H40" s="13">
        <f t="shared" si="9"/>
        <v>8.2025078663918061E-2</v>
      </c>
      <c r="I40" s="5"/>
      <c r="J40" s="217"/>
      <c r="K40" s="217"/>
      <c r="L40" s="217"/>
      <c r="M40" s="217"/>
      <c r="N40" s="217"/>
      <c r="O40" s="14"/>
      <c r="Q40" s="5"/>
      <c r="R40" s="5"/>
      <c r="S40" s="26"/>
      <c r="T40" s="26"/>
      <c r="U40" s="26"/>
      <c r="V40" s="26"/>
      <c r="W40" s="242"/>
      <c r="X40" s="242"/>
    </row>
    <row r="41" spans="2:24">
      <c r="B41" s="5" t="s">
        <v>434</v>
      </c>
      <c r="C41" s="207"/>
      <c r="D41" s="406">
        <f>D$18/D27</f>
        <v>1.5688393097883626</v>
      </c>
      <c r="E41" s="406">
        <f t="shared" si="8"/>
        <v>1.4822484306950034</v>
      </c>
      <c r="F41" s="406">
        <f t="shared" si="8"/>
        <v>1.3943752003813765</v>
      </c>
      <c r="G41" s="406">
        <f t="shared" si="8"/>
        <v>1.3134321727273737</v>
      </c>
      <c r="H41" s="13">
        <f t="shared" si="9"/>
        <v>3.5139169984826468E-2</v>
      </c>
      <c r="I41" s="207"/>
      <c r="J41" s="217"/>
      <c r="K41" s="217"/>
      <c r="L41" s="217"/>
      <c r="M41" s="217"/>
      <c r="N41" s="217"/>
      <c r="O41" s="14"/>
      <c r="Q41" s="5"/>
      <c r="R41" s="5"/>
      <c r="S41" s="26"/>
      <c r="T41" s="26"/>
      <c r="U41" s="26"/>
      <c r="V41" s="26"/>
      <c r="W41" s="242"/>
      <c r="X41" s="242"/>
    </row>
    <row r="42" spans="2:24">
      <c r="B42" s="5" t="s">
        <v>493</v>
      </c>
      <c r="C42" s="207"/>
      <c r="D42" s="406">
        <f>D18/D28</f>
        <v>4.074884231102863</v>
      </c>
      <c r="E42" s="406">
        <f>E18/E28</f>
        <v>3.8778527108165588</v>
      </c>
      <c r="F42" s="406">
        <f>F18/F28</f>
        <v>3.6905486399041716</v>
      </c>
      <c r="G42" s="406">
        <f>G18/G28</f>
        <v>3.5302322878581358</v>
      </c>
      <c r="H42" s="13">
        <f t="shared" si="9"/>
        <v>2.3400918869435294E-2</v>
      </c>
      <c r="I42" s="208"/>
      <c r="J42" s="5"/>
      <c r="K42" s="5"/>
      <c r="L42" s="5"/>
      <c r="M42" s="5"/>
      <c r="N42" s="5"/>
      <c r="O42" s="5"/>
      <c r="Q42" s="5"/>
      <c r="R42" s="5"/>
      <c r="S42" s="26"/>
      <c r="T42" s="26"/>
      <c r="U42" s="26"/>
      <c r="V42" s="26"/>
      <c r="W42" s="242"/>
      <c r="X42" s="242"/>
    </row>
    <row r="43" spans="2:24">
      <c r="B43" s="5" t="s">
        <v>390</v>
      </c>
      <c r="C43" s="207"/>
      <c r="D43" s="406">
        <f>L26/D29</f>
        <v>21.411411086556214</v>
      </c>
      <c r="E43" s="406">
        <f>M26/E29</f>
        <v>16.767390401914803</v>
      </c>
      <c r="F43" s="406">
        <f>N26/F29</f>
        <v>11.264369893942453</v>
      </c>
      <c r="G43" s="406">
        <f>O26/G29</f>
        <v>9.3752473653366692</v>
      </c>
      <c r="H43" s="13">
        <f t="shared" si="9"/>
        <v>0.27666778655675617</v>
      </c>
      <c r="I43" s="207"/>
      <c r="J43" s="53"/>
      <c r="K43" s="53"/>
      <c r="L43" s="53"/>
      <c r="M43" s="53"/>
      <c r="N43" s="53"/>
      <c r="O43" s="53"/>
      <c r="Q43" s="5"/>
      <c r="R43" s="5"/>
      <c r="S43" s="26"/>
      <c r="T43" s="26"/>
      <c r="U43" s="26"/>
      <c r="V43" s="26"/>
      <c r="W43" s="242"/>
      <c r="X43" s="242"/>
    </row>
    <row r="44" spans="2:24">
      <c r="B44" s="5" t="s">
        <v>437</v>
      </c>
      <c r="C44" s="53"/>
      <c r="D44" s="406">
        <f>D11/D30</f>
        <v>13.266370641724958</v>
      </c>
      <c r="E44" s="406">
        <f>E11/E30</f>
        <v>10.913526264922792</v>
      </c>
      <c r="F44" s="406">
        <f>F11/F30</f>
        <v>8.682594416366177</v>
      </c>
      <c r="G44" s="406">
        <f>G11/G30</f>
        <v>7.276462969452214</v>
      </c>
      <c r="H44" s="13">
        <f t="shared" si="9"/>
        <v>0.18431614506313876</v>
      </c>
      <c r="I44" s="207"/>
      <c r="J44" s="217"/>
      <c r="K44" s="217"/>
      <c r="L44" s="217"/>
      <c r="M44" s="217"/>
      <c r="N44" s="217"/>
      <c r="O44" s="14"/>
      <c r="Q44" s="5"/>
      <c r="R44" s="5"/>
      <c r="S44" s="26"/>
      <c r="T44" s="26"/>
      <c r="U44" s="26"/>
      <c r="V44" s="26"/>
      <c r="W44" s="255"/>
      <c r="X44" s="255"/>
    </row>
    <row r="45" spans="2:24">
      <c r="B45" s="5" t="s">
        <v>481</v>
      </c>
      <c r="C45" s="207"/>
      <c r="D45" s="208">
        <f>D31/D11</f>
        <v>0</v>
      </c>
      <c r="E45" s="208">
        <f>E31/E11</f>
        <v>-2.2111742588028352E-2</v>
      </c>
      <c r="F45" s="208">
        <f>F31/F11</f>
        <v>-3.0200489638306377E-2</v>
      </c>
      <c r="G45" s="208">
        <f>G31/G11</f>
        <v>-4.207479241769331E-2</v>
      </c>
      <c r="H45" s="13" t="str">
        <f t="shared" si="9"/>
        <v>nm</v>
      </c>
      <c r="I45" s="208"/>
      <c r="J45" s="13"/>
      <c r="K45" s="13"/>
      <c r="L45" s="13"/>
      <c r="M45" s="13"/>
      <c r="N45" s="13"/>
      <c r="O45" s="5"/>
      <c r="Q45" s="5"/>
      <c r="R45" s="5"/>
      <c r="S45" s="26"/>
      <c r="T45" s="26"/>
      <c r="U45" s="26"/>
      <c r="V45" s="26"/>
      <c r="W45" s="26"/>
      <c r="X45" s="26"/>
    </row>
    <row r="46" spans="2:24">
      <c r="B46" s="5" t="s">
        <v>505</v>
      </c>
      <c r="C46" s="207"/>
      <c r="D46" s="208">
        <f>(D31+D32)/D11</f>
        <v>-1.4916229742867375E-2</v>
      </c>
      <c r="E46" s="208">
        <f>(E31+E32)/E11</f>
        <v>-4.1229064600058977E-2</v>
      </c>
      <c r="F46" s="208">
        <f>(F31+F32)/F11</f>
        <v>-5.3860050956842501E-2</v>
      </c>
      <c r="G46" s="208">
        <f>(G31+G32)/G11</f>
        <v>-7.0724880813432006E-2</v>
      </c>
      <c r="H46" s="233">
        <f>((G31+G32)/(D31+D32))^(1/3)-1</f>
        <v>0.62865126980574937</v>
      </c>
      <c r="I46" s="207"/>
      <c r="J46" s="5"/>
      <c r="K46" s="5"/>
      <c r="L46" s="5"/>
      <c r="M46" s="5"/>
      <c r="N46" s="5"/>
      <c r="O46" s="5"/>
      <c r="Q46" s="5"/>
      <c r="R46" s="5"/>
      <c r="S46" s="26"/>
      <c r="T46" s="26"/>
      <c r="U46" s="26"/>
      <c r="V46" s="26"/>
      <c r="W46" s="26"/>
      <c r="X46" s="26"/>
    </row>
    <row r="47" spans="2:24">
      <c r="B47" s="5" t="s">
        <v>482</v>
      </c>
      <c r="C47" s="5"/>
      <c r="D47" s="208">
        <f>1/D43</f>
        <v>4.6704068029774996E-2</v>
      </c>
      <c r="E47" s="208">
        <f>1/E43</f>
        <v>5.9639572767733851E-2</v>
      </c>
      <c r="F47" s="208">
        <f>1/F43</f>
        <v>8.8775493828355354E-2</v>
      </c>
      <c r="G47" s="208">
        <f>1/G43</f>
        <v>0.10666385227309569</v>
      </c>
      <c r="H47" s="13">
        <f>H29</f>
        <v>0.27666778655675617</v>
      </c>
      <c r="I47" s="13"/>
      <c r="J47" s="217"/>
      <c r="K47" s="217"/>
      <c r="L47" s="217"/>
      <c r="M47" s="217"/>
      <c r="N47" s="217"/>
      <c r="O47" s="14"/>
      <c r="Q47" s="5"/>
      <c r="R47" s="5"/>
      <c r="S47" s="26"/>
      <c r="T47" s="26"/>
      <c r="U47" s="26"/>
      <c r="V47" s="26"/>
      <c r="W47" s="26"/>
      <c r="X47" s="26"/>
    </row>
    <row r="48" spans="2:24">
      <c r="B48" s="5" t="s">
        <v>518</v>
      </c>
      <c r="C48" s="5"/>
      <c r="D48" s="248">
        <f>D31/D29</f>
        <v>0</v>
      </c>
      <c r="E48" s="248">
        <f>E31/E29</f>
        <v>-0.37075622044011736</v>
      </c>
      <c r="F48" s="248">
        <f>F31/F29</f>
        <v>-0.34018948626405937</v>
      </c>
      <c r="G48" s="248">
        <f>G31/G29</f>
        <v>-0.39446158676106641</v>
      </c>
      <c r="H48" s="233" t="s">
        <v>507</v>
      </c>
      <c r="I48" s="207"/>
      <c r="J48" s="13"/>
      <c r="K48" s="13"/>
      <c r="L48" s="13"/>
      <c r="M48" s="13"/>
      <c r="N48" s="13"/>
      <c r="O48" s="5"/>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3">
    <pageSetUpPr fitToPage="1"/>
  </sheetPr>
  <dimension ref="B1:AR48"/>
  <sheetViews>
    <sheetView showGridLines="0" zoomScale="80" zoomScaleNormal="80" workbookViewId="0"/>
  </sheetViews>
  <sheetFormatPr defaultColWidth="8.886718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ustomWidth="1"/>
    <col min="45" max="16384" width="8.886718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703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714</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747</v>
      </c>
      <c r="C9" s="221">
        <f>Prices!C41</f>
        <v>7.2949999999999999</v>
      </c>
      <c r="D9" s="412">
        <v>0</v>
      </c>
      <c r="E9" s="413">
        <v>0</v>
      </c>
      <c r="F9" s="413">
        <v>0</v>
      </c>
      <c r="G9" s="413">
        <v>0</v>
      </c>
      <c r="H9" s="209"/>
      <c r="I9" s="209"/>
      <c r="J9" s="5" t="s">
        <v>225</v>
      </c>
      <c r="L9" s="406">
        <f>'W.EUR TOWERS'!D37</f>
        <v>9.6515924426168933</v>
      </c>
      <c r="M9" s="406">
        <f>'W.EUR TOWERS'!E37</f>
        <v>9.2640818769375191</v>
      </c>
      <c r="N9" s="406">
        <f>'W.EUR TOWERS'!F37</f>
        <v>8.6688601490096513</v>
      </c>
      <c r="O9" s="406">
        <f>'W.EUR TOWERS'!G37</f>
        <v>8.1277389588493261</v>
      </c>
      <c r="P9" s="240">
        <f>'W.EUR TOWERS'!H37</f>
        <v>3.2601099234879305E-2</v>
      </c>
    </row>
    <row r="10" spans="2:44">
      <c r="B10" s="5" t="s">
        <v>226</v>
      </c>
      <c r="C10" s="5"/>
      <c r="D10" s="408">
        <v>901.88310999999999</v>
      </c>
      <c r="E10" s="408">
        <v>887.59739571428565</v>
      </c>
      <c r="F10" s="408">
        <v>887.59739571428565</v>
      </c>
      <c r="G10" s="408">
        <v>887.59739571428565</v>
      </c>
      <c r="H10" s="207"/>
      <c r="I10" s="207"/>
      <c r="J10" s="5" t="s">
        <v>158</v>
      </c>
      <c r="L10" s="406">
        <f>'W.EUR TOWERS'!D38</f>
        <v>15.890717938973459</v>
      </c>
      <c r="M10" s="406">
        <f>'W.EUR TOWERS'!E38</f>
        <v>15.265224328430731</v>
      </c>
      <c r="N10" s="406">
        <f>'W.EUR TOWERS'!F38</f>
        <v>14.039548031395084</v>
      </c>
      <c r="O10" s="406">
        <f>'W.EUR TOWERS'!G38</f>
        <v>13.115976549035533</v>
      </c>
      <c r="P10" s="240">
        <f>'W.EUR TOWERS'!H38</f>
        <v>3.9530260874000689E-2</v>
      </c>
    </row>
    <row r="11" spans="2:44">
      <c r="B11" s="25" t="s">
        <v>227</v>
      </c>
      <c r="C11" s="5"/>
      <c r="D11" s="409">
        <f>$C$9*D10</f>
        <v>6579.2372874499997</v>
      </c>
      <c r="E11" s="409">
        <f>$C$9*E10</f>
        <v>6475.0230017357135</v>
      </c>
      <c r="F11" s="409">
        <f>$C$9*F10</f>
        <v>6475.0230017357135</v>
      </c>
      <c r="G11" s="409">
        <f>$C$9*G10</f>
        <v>6475.0230017357135</v>
      </c>
      <c r="H11" s="209"/>
      <c r="I11" s="209"/>
      <c r="J11" s="5" t="s">
        <v>159</v>
      </c>
      <c r="L11" s="406">
        <f>'W.EUR TOWERS'!D39</f>
        <v>39.961837084593569</v>
      </c>
      <c r="M11" s="406">
        <f>'W.EUR TOWERS'!E39</f>
        <v>28.349712215026148</v>
      </c>
      <c r="N11" s="406">
        <f>'W.EUR TOWERS'!F39</f>
        <v>21.456842350279452</v>
      </c>
      <c r="O11" s="406">
        <f>'W.EUR TOWERS'!G39</f>
        <v>17.363267470658663</v>
      </c>
      <c r="P11" s="240">
        <f>'W.EUR TOWERS'!H39</f>
        <v>0.28744149801120633</v>
      </c>
    </row>
    <row r="12" spans="2:44">
      <c r="B12" s="5" t="s">
        <v>22</v>
      </c>
      <c r="C12" s="209"/>
      <c r="D12" s="410">
        <v>4180.2869999999994</v>
      </c>
      <c r="E12" s="410">
        <v>4377.9093845882917</v>
      </c>
      <c r="F12" s="410">
        <v>4555.1140013422801</v>
      </c>
      <c r="G12" s="410">
        <v>4710.8213023131093</v>
      </c>
      <c r="H12" s="207"/>
      <c r="I12" s="207"/>
      <c r="J12" s="5" t="s">
        <v>381</v>
      </c>
      <c r="L12" s="406">
        <f>'W.EUR TOWERS'!D40</f>
        <v>53.980584992150021</v>
      </c>
      <c r="M12" s="406">
        <f>'W.EUR TOWERS'!E40</f>
        <v>38.152489094691539</v>
      </c>
      <c r="N12" s="406">
        <f>'W.EUR TOWERS'!F40</f>
        <v>28.75966798467476</v>
      </c>
      <c r="O12" s="406">
        <f>'W.EUR TOWERS'!G40</f>
        <v>23.224686799033947</v>
      </c>
      <c r="P12" s="240">
        <f>'W.EUR TOWERS'!H40</f>
        <v>0.29167151022956883</v>
      </c>
    </row>
    <row r="13" spans="2:44">
      <c r="B13" s="5" t="s">
        <v>433</v>
      </c>
      <c r="C13" s="216"/>
      <c r="D13" s="410">
        <v>0</v>
      </c>
      <c r="E13" s="410">
        <v>0</v>
      </c>
      <c r="F13" s="410">
        <v>0</v>
      </c>
      <c r="G13" s="410">
        <v>0</v>
      </c>
      <c r="H13" s="207"/>
      <c r="I13" s="207"/>
      <c r="J13" s="5" t="s">
        <v>434</v>
      </c>
      <c r="L13" s="406">
        <f>'W.EUR TOWERS'!D41</f>
        <v>1.276219015729023</v>
      </c>
      <c r="M13" s="406">
        <f>'W.EUR TOWERS'!E41</f>
        <v>1.2848104441199599</v>
      </c>
      <c r="N13" s="406">
        <f>'W.EUR TOWERS'!F41</f>
        <v>1.2752269413285597</v>
      </c>
      <c r="O13" s="406">
        <f>'W.EUR TOWERS'!G41</f>
        <v>1.2664618132586791</v>
      </c>
      <c r="P13" s="240">
        <f>'W.EUR TOWERS'!H41</f>
        <v>-2.2386452970280968E-2</v>
      </c>
    </row>
    <row r="14" spans="2:44">
      <c r="B14" s="5" t="s">
        <v>436</v>
      </c>
      <c r="C14" s="216"/>
      <c r="D14" s="410">
        <v>0</v>
      </c>
      <c r="E14" s="410">
        <v>0</v>
      </c>
      <c r="F14" s="410">
        <v>0</v>
      </c>
      <c r="G14" s="410">
        <v>0</v>
      </c>
      <c r="H14" s="207"/>
      <c r="I14" s="207"/>
      <c r="J14" s="5" t="s">
        <v>493</v>
      </c>
      <c r="L14" s="406">
        <f>'W.EUR TOWERS'!D42</f>
        <v>34.149195195320424</v>
      </c>
      <c r="M14" s="406">
        <f>'W.EUR TOWERS'!E42</f>
        <v>32.347085305741714</v>
      </c>
      <c r="N14" s="406">
        <f>'W.EUR TOWERS'!F42</f>
        <v>30.508851183560388</v>
      </c>
      <c r="O14" s="406">
        <f>'W.EUR TOWERS'!G42</f>
        <v>28.706907332906475</v>
      </c>
      <c r="P14" s="240">
        <f>'W.EUR TOWERS'!H42</f>
        <v>3.3207449798022148E-2</v>
      </c>
    </row>
    <row r="15" spans="2:44">
      <c r="B15" s="5" t="s">
        <v>435</v>
      </c>
      <c r="C15" s="228"/>
      <c r="D15" s="410">
        <v>0</v>
      </c>
      <c r="E15" s="410">
        <v>0</v>
      </c>
      <c r="F15" s="410">
        <v>0</v>
      </c>
      <c r="G15" s="410">
        <v>0</v>
      </c>
      <c r="H15" s="209"/>
      <c r="I15" s="207"/>
      <c r="J15" s="5" t="s">
        <v>390</v>
      </c>
      <c r="L15" s="406">
        <f>'W.EUR TOWERS'!D43</f>
        <v>42.118917510231931</v>
      </c>
      <c r="M15" s="406">
        <f>'W.EUR TOWERS'!E43</f>
        <v>26.887459137927952</v>
      </c>
      <c r="N15" s="406">
        <f>'W.EUR TOWERS'!F43</f>
        <v>18.475937899070573</v>
      </c>
      <c r="O15" s="406">
        <f>'W.EUR TOWERS'!G43</f>
        <v>15.216154585354261</v>
      </c>
      <c r="P15" s="240">
        <f>'W.EUR TOWERS'!H43</f>
        <v>0.38611601408518781</v>
      </c>
    </row>
    <row r="16" spans="2:44">
      <c r="B16" s="5" t="s">
        <v>438</v>
      </c>
      <c r="C16" s="216"/>
      <c r="D16" s="410">
        <v>0</v>
      </c>
      <c r="E16" s="410">
        <v>491.96860852255702</v>
      </c>
      <c r="F16" s="410">
        <v>983.93721704511404</v>
      </c>
      <c r="G16" s="410">
        <v>1475.9058255676709</v>
      </c>
      <c r="H16" s="207"/>
      <c r="I16" s="207"/>
      <c r="J16" s="5" t="s">
        <v>437</v>
      </c>
      <c r="L16" s="406">
        <f>'W.EUR TOWERS'!D44</f>
        <v>18049.224758198343</v>
      </c>
      <c r="M16" s="406">
        <f>'W.EUR TOWERS'!E44</f>
        <v>85.561636521055618</v>
      </c>
      <c r="N16" s="406">
        <f>'W.EUR TOWERS'!F44</f>
        <v>57.630706218143303</v>
      </c>
      <c r="O16" s="406">
        <f>'W.EUR TOWERS'!G44</f>
        <v>50.355447861146388</v>
      </c>
      <c r="P16" s="240">
        <f>'W.EUR TOWERS'!H44</f>
        <v>6.0126072227694722</v>
      </c>
    </row>
    <row r="17" spans="2:24">
      <c r="B17" s="5" t="s">
        <v>4</v>
      </c>
      <c r="C17" s="216"/>
      <c r="D17" s="410">
        <v>227.42763144416085</v>
      </c>
      <c r="E17" s="410">
        <v>119.09328933081052</v>
      </c>
      <c r="F17" s="410">
        <v>118.25888669065915</v>
      </c>
      <c r="G17" s="410">
        <v>117.37441989209871</v>
      </c>
      <c r="H17" s="207"/>
      <c r="I17" s="207"/>
      <c r="J17" s="5" t="s">
        <v>481</v>
      </c>
      <c r="L17" s="208">
        <f>'W.EUR TOWERS'!D45</f>
        <v>2.9159778054119814E-2</v>
      </c>
      <c r="M17" s="208">
        <f>'W.EUR TOWERS'!E45</f>
        <v>3.993705140289424E-2</v>
      </c>
      <c r="N17" s="208">
        <f>'W.EUR TOWERS'!F45</f>
        <v>4.1954792687509644E-2</v>
      </c>
      <c r="O17" s="208">
        <f>'W.EUR TOWERS'!G45</f>
        <v>4.4113210661324218E-2</v>
      </c>
      <c r="P17" s="240">
        <f>'W.EUR TOWERS'!H45</f>
        <v>0.13327933404207037</v>
      </c>
      <c r="S17" s="72"/>
      <c r="T17" s="26"/>
      <c r="U17" s="26"/>
      <c r="V17" s="26"/>
      <c r="W17" s="26"/>
      <c r="X17" s="26"/>
    </row>
    <row r="18" spans="2:24" ht="12.6" thickBot="1">
      <c r="B18" s="25" t="s">
        <v>484</v>
      </c>
      <c r="C18" s="209"/>
      <c r="D18" s="411">
        <f>D11+D12+D13-D14+D15-D16-D17</f>
        <v>10532.096656005839</v>
      </c>
      <c r="E18" s="411">
        <f>E11+E12+E13-E14+E15-E16-E17</f>
        <v>10241.870488470639</v>
      </c>
      <c r="F18" s="411">
        <f>F11+F12+F13-F14+F15-F16-F17</f>
        <v>9927.9408993422221</v>
      </c>
      <c r="G18" s="411">
        <f>G11+G12+G13-G14+G15-G16-G17</f>
        <v>9592.5640585890524</v>
      </c>
      <c r="H18" s="230">
        <f>IF(D18=0,"nm",IF(G18=0,"nm",(G18/D18)^(1/3)-1))</f>
        <v>-3.0666347065354094E-2</v>
      </c>
      <c r="I18" s="214"/>
      <c r="J18" s="5" t="s">
        <v>33</v>
      </c>
      <c r="L18" s="208">
        <f>'W.EUR TOWERS'!D46</f>
        <v>2.9159778054119814E-2</v>
      </c>
      <c r="M18" s="208">
        <f>'W.EUR TOWERS'!E46</f>
        <v>3.993705140289424E-2</v>
      </c>
      <c r="N18" s="208">
        <f>'W.EUR TOWERS'!F46</f>
        <v>4.1954792687509644E-2</v>
      </c>
      <c r="O18" s="208">
        <f>'W.EUR TOWERS'!G46</f>
        <v>4.4113210661324218E-2</v>
      </c>
      <c r="P18" s="240">
        <f>'W.EUR TOWERS'!H46</f>
        <v>0.13327933404207037</v>
      </c>
      <c r="S18" s="72"/>
      <c r="T18" s="26"/>
      <c r="U18" s="26"/>
      <c r="V18" s="26"/>
      <c r="W18" s="26"/>
      <c r="X18" s="26"/>
    </row>
    <row r="19" spans="2:24" ht="12.6" thickTop="1">
      <c r="B19" s="25"/>
      <c r="C19" s="209"/>
      <c r="D19" s="189"/>
      <c r="E19" s="189"/>
      <c r="F19" s="189"/>
      <c r="G19" s="189"/>
      <c r="H19" s="230"/>
      <c r="I19" s="214"/>
      <c r="J19" s="5" t="s">
        <v>482</v>
      </c>
      <c r="L19" s="208">
        <f>'W.EUR TOWERS'!D47</f>
        <v>2.3742300588733563E-2</v>
      </c>
      <c r="M19" s="208">
        <f>'W.EUR TOWERS'!E47</f>
        <v>3.719206024154887E-2</v>
      </c>
      <c r="N19" s="208">
        <f>'W.EUR TOWERS'!F47</f>
        <v>5.4124451243706809E-2</v>
      </c>
      <c r="O19" s="208">
        <f>'W.EUR TOWERS'!G47</f>
        <v>6.5719626755271834E-2</v>
      </c>
      <c r="P19" s="240">
        <f>'W.EUR TOWERS'!H47</f>
        <v>0.38611601408518781</v>
      </c>
      <c r="S19" s="72"/>
      <c r="T19" s="26"/>
      <c r="U19" s="26"/>
      <c r="V19" s="26"/>
      <c r="W19" s="26"/>
      <c r="X19" s="26"/>
    </row>
    <row r="20" spans="2:24">
      <c r="H20" s="231"/>
      <c r="I20" s="13"/>
      <c r="J20" s="5" t="s">
        <v>504</v>
      </c>
      <c r="L20" s="248">
        <f>'W.EUR TOWERS'!D48</f>
        <v>1.2281782864781439</v>
      </c>
      <c r="M20" s="248">
        <f>'W.EUR TOWERS'!E48</f>
        <v>1.0738058376846471</v>
      </c>
      <c r="N20" s="248">
        <f>'W.EUR TOWERS'!F48</f>
        <v>0.77515414426280826</v>
      </c>
      <c r="O20" s="248">
        <f>'W.EUR TOWERS'!G48</f>
        <v>0.67123343267900692</v>
      </c>
      <c r="P20" s="240" t="str">
        <f>'W.EUR TOWERS'!H48</f>
        <v>nm</v>
      </c>
      <c r="S20" s="72"/>
      <c r="T20" s="26"/>
      <c r="U20" s="26"/>
      <c r="V20" s="26"/>
      <c r="W20" s="26"/>
      <c r="X20" s="26"/>
    </row>
    <row r="21" spans="2:24" ht="12.6" thickBot="1">
      <c r="B21" s="249" t="s">
        <v>762</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1036.0360000000001</v>
      </c>
      <c r="D23" s="416">
        <v>1077.1633740163438</v>
      </c>
      <c r="E23" s="416">
        <v>1063.4886177601804</v>
      </c>
      <c r="F23" s="416">
        <v>1086.3579222251301</v>
      </c>
      <c r="G23" s="416">
        <v>1113.3189950823091</v>
      </c>
      <c r="H23" s="233">
        <f t="shared" ref="H23:H32" si="3">IF(D23=0,"nm",IF(G23=0,"nm",(G23/D23)^(1/3)-1))</f>
        <v>1.1065629232234864E-2</v>
      </c>
      <c r="I23" s="207"/>
      <c r="J23" s="249" t="s">
        <v>7</v>
      </c>
      <c r="K23" s="249"/>
      <c r="L23" s="219" t="str">
        <f>L$5</f>
        <v>2025E</v>
      </c>
      <c r="M23" s="219" t="str">
        <f t="shared" ref="M23:P23" si="4">M$5</f>
        <v>2026E</v>
      </c>
      <c r="N23" s="219" t="str">
        <f t="shared" si="4"/>
        <v>2027E</v>
      </c>
      <c r="O23" s="219" t="str">
        <f t="shared" si="4"/>
        <v>2028E</v>
      </c>
      <c r="P23" s="219" t="str">
        <f t="shared" si="4"/>
        <v>2025-28</v>
      </c>
      <c r="S23" s="72"/>
      <c r="T23" s="26"/>
      <c r="U23" s="26"/>
      <c r="V23" s="26"/>
      <c r="W23" s="26"/>
      <c r="X23" s="26"/>
    </row>
    <row r="24" spans="2:24" ht="12.6" thickTop="1">
      <c r="B24" s="5" t="s">
        <v>397</v>
      </c>
      <c r="C24" s="423">
        <v>750.25915240000006</v>
      </c>
      <c r="D24" s="416">
        <v>785.89734827634379</v>
      </c>
      <c r="E24" s="416">
        <v>767.49346768587452</v>
      </c>
      <c r="F24" s="416">
        <v>792.41587757550792</v>
      </c>
      <c r="G24" s="416">
        <v>821.9926509931247</v>
      </c>
      <c r="H24" s="233">
        <f t="shared" si="3"/>
        <v>1.5081011531194344E-2</v>
      </c>
      <c r="I24" s="209"/>
      <c r="J24" s="13"/>
      <c r="K24" s="13"/>
      <c r="L24" s="13"/>
      <c r="M24" s="13"/>
      <c r="N24" s="13"/>
      <c r="O24" s="208"/>
      <c r="S24" s="72"/>
      <c r="T24" s="26"/>
      <c r="U24" s="26"/>
      <c r="V24" s="26"/>
      <c r="W24" s="26" t="s">
        <v>709</v>
      </c>
      <c r="X24" s="26" t="s">
        <v>713</v>
      </c>
    </row>
    <row r="25" spans="2:24">
      <c r="B25" s="5" t="s">
        <v>157</v>
      </c>
      <c r="C25" s="422">
        <v>438.61415240000008</v>
      </c>
      <c r="D25" s="416">
        <v>499.71539591794374</v>
      </c>
      <c r="E25" s="416">
        <v>584.32671671192247</v>
      </c>
      <c r="F25" s="416">
        <v>611.63111159909568</v>
      </c>
      <c r="G25" s="416">
        <v>656.65753201383291</v>
      </c>
      <c r="H25" s="233">
        <f t="shared" si="3"/>
        <v>9.5314238659590211E-2</v>
      </c>
      <c r="I25" s="208"/>
      <c r="J25" s="207" t="s">
        <v>8</v>
      </c>
      <c r="K25" s="207"/>
      <c r="L25" s="252">
        <v>0</v>
      </c>
      <c r="M25" s="252">
        <v>0</v>
      </c>
      <c r="N25" s="252">
        <v>0</v>
      </c>
      <c r="O25" s="252">
        <v>0</v>
      </c>
      <c r="P25" s="233" t="str">
        <f>IF(L25=0,"nm",IF(O25=0,"nm",(O25/L25)^(1/3)-1))</f>
        <v>nm</v>
      </c>
      <c r="S25" s="72"/>
      <c r="T25" s="26"/>
      <c r="U25" s="26"/>
      <c r="V25" s="113" t="s">
        <v>225</v>
      </c>
      <c r="W25" s="242">
        <f>D37/L9</f>
        <v>1.0130579368638861</v>
      </c>
      <c r="X25" s="242">
        <v>1</v>
      </c>
    </row>
    <row r="26" spans="2:24">
      <c r="B26" s="5" t="s">
        <v>487</v>
      </c>
      <c r="C26" s="422">
        <v>313.6091189660001</v>
      </c>
      <c r="D26" s="416">
        <v>357.29650808132982</v>
      </c>
      <c r="E26" s="416">
        <v>417.7936024490246</v>
      </c>
      <c r="F26" s="416">
        <v>437.31624479335346</v>
      </c>
      <c r="G26" s="416">
        <v>469.51013538989059</v>
      </c>
      <c r="H26" s="233">
        <f t="shared" si="3"/>
        <v>9.5314238659590211E-2</v>
      </c>
      <c r="I26" s="209"/>
      <c r="J26" s="209" t="s">
        <v>9</v>
      </c>
      <c r="K26" s="209"/>
      <c r="L26" s="235">
        <f>D11+L25</f>
        <v>6579.2372874499997</v>
      </c>
      <c r="M26" s="235">
        <f>E11+M25</f>
        <v>6475.0230017357135</v>
      </c>
      <c r="N26" s="235">
        <f>F11+N25</f>
        <v>6475.0230017357135</v>
      </c>
      <c r="O26" s="235">
        <f>G11+O25</f>
        <v>6475.0230017357135</v>
      </c>
      <c r="P26" s="233">
        <f>IF(L26=0,"nm",IF(O26=0,"nm",(O26/L26)^(1/3)-1))</f>
        <v>-5.308083700117372E-3</v>
      </c>
      <c r="Q26" s="5"/>
      <c r="S26" s="72"/>
      <c r="T26" s="26"/>
      <c r="U26" s="26"/>
      <c r="V26" s="113" t="s">
        <v>158</v>
      </c>
      <c r="W26" s="242">
        <f t="shared" ref="W26:W28" si="5">D38/L10</f>
        <v>0.84334542579610328</v>
      </c>
      <c r="X26" s="242">
        <v>1</v>
      </c>
    </row>
    <row r="27" spans="2:24">
      <c r="B27" s="5" t="s">
        <v>488</v>
      </c>
      <c r="C27" s="423">
        <v>7634.6980000000003</v>
      </c>
      <c r="D27" s="416">
        <v>7658.4989999999998</v>
      </c>
      <c r="E27" s="416">
        <v>7622.0731501395085</v>
      </c>
      <c r="F27" s="416">
        <v>7639.442323836427</v>
      </c>
      <c r="G27" s="416">
        <v>7660.8942831551567</v>
      </c>
      <c r="H27" s="233">
        <f t="shared" si="3"/>
        <v>1.0424294547961566E-4</v>
      </c>
      <c r="I27" s="209"/>
      <c r="J27" s="208"/>
      <c r="K27" s="208"/>
      <c r="L27" s="208"/>
      <c r="M27" s="208"/>
      <c r="N27" s="208"/>
      <c r="O27" s="208"/>
      <c r="Q27" s="25"/>
      <c r="S27" s="72"/>
      <c r="T27" s="26"/>
      <c r="U27" s="26"/>
      <c r="V27" s="113" t="s">
        <v>159</v>
      </c>
      <c r="W27" s="242">
        <f t="shared" si="5"/>
        <v>0.52740793689844723</v>
      </c>
      <c r="X27" s="242">
        <v>1</v>
      </c>
    </row>
    <row r="28" spans="2:24">
      <c r="B28" s="5" t="s">
        <v>492</v>
      </c>
      <c r="C28" s="422">
        <v>1340.425</v>
      </c>
      <c r="D28" s="416">
        <v>1433.5820000000001</v>
      </c>
      <c r="E28" s="416">
        <v>1491.7404243273797</v>
      </c>
      <c r="F28" s="416">
        <v>1544.3424429944725</v>
      </c>
      <c r="G28" s="416">
        <v>1581.1938851847447</v>
      </c>
      <c r="H28" s="233">
        <f t="shared" si="3"/>
        <v>3.3207449798022148E-2</v>
      </c>
      <c r="I28" s="208"/>
      <c r="Q28" s="5"/>
      <c r="S28" s="72"/>
      <c r="T28" s="26"/>
      <c r="U28" s="26"/>
      <c r="V28" s="113" t="s">
        <v>381</v>
      </c>
      <c r="W28" s="242">
        <f t="shared" si="5"/>
        <v>0.54607020074798696</v>
      </c>
      <c r="X28" s="242">
        <v>1</v>
      </c>
    </row>
    <row r="29" spans="2:24" ht="12.6" thickBot="1">
      <c r="B29" s="5" t="s">
        <v>489</v>
      </c>
      <c r="C29" s="422">
        <v>257.207228966</v>
      </c>
      <c r="D29" s="416">
        <v>283.66875587246489</v>
      </c>
      <c r="E29" s="416">
        <v>351.09809893426439</v>
      </c>
      <c r="F29" s="416">
        <v>351.01715746277375</v>
      </c>
      <c r="G29" s="416">
        <v>362.47984268840958</v>
      </c>
      <c r="H29" s="233">
        <f t="shared" si="3"/>
        <v>8.5152525738868556E-2</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390</v>
      </c>
      <c r="W29" s="242">
        <f>D43/L15</f>
        <v>0.55066420284041073</v>
      </c>
      <c r="X29" s="242">
        <v>1</v>
      </c>
    </row>
    <row r="30" spans="2:24" ht="12.6" thickTop="1">
      <c r="B30" s="5" t="s">
        <v>490</v>
      </c>
      <c r="C30" s="423">
        <v>354.07515240000009</v>
      </c>
      <c r="D30" s="416">
        <v>362.2005967063439</v>
      </c>
      <c r="E30" s="416">
        <v>357.92037407377404</v>
      </c>
      <c r="F30" s="416">
        <v>332.13316546548737</v>
      </c>
      <c r="G30" s="416">
        <v>357.71326687045752</v>
      </c>
      <c r="H30" s="233">
        <f t="shared" si="3"/>
        <v>-4.1468638961827953E-3</v>
      </c>
      <c r="I30" s="214"/>
      <c r="J30" s="208"/>
      <c r="K30" s="208"/>
      <c r="L30" s="208"/>
      <c r="M30" s="208"/>
      <c r="N30" s="208"/>
      <c r="O30" s="5"/>
      <c r="Q30" s="5"/>
      <c r="S30" s="72"/>
      <c r="T30" s="26"/>
      <c r="U30" s="26"/>
      <c r="V30" s="113" t="s">
        <v>437</v>
      </c>
      <c r="W30" s="242">
        <f>D44/L16</f>
        <v>1.0063935286729144E-3</v>
      </c>
      <c r="X30" s="242">
        <v>1</v>
      </c>
    </row>
    <row r="31" spans="2:24">
      <c r="B31" s="5" t="s">
        <v>491</v>
      </c>
      <c r="C31" s="423">
        <v>680.55927430299994</v>
      </c>
      <c r="D31" s="416">
        <v>499.88675137969994</v>
      </c>
      <c r="E31" s="416">
        <v>491.96860852255702</v>
      </c>
      <c r="F31" s="416">
        <v>491.96860852255702</v>
      </c>
      <c r="G31" s="416">
        <v>491.96860852255702</v>
      </c>
      <c r="H31" s="233">
        <f t="shared" si="3"/>
        <v>-5.308083700117372E-3</v>
      </c>
      <c r="I31" s="214"/>
      <c r="J31" s="5" t="s">
        <v>613</v>
      </c>
      <c r="K31" s="207"/>
      <c r="L31" s="253">
        <v>23650</v>
      </c>
      <c r="M31" s="253">
        <v>24050</v>
      </c>
      <c r="N31" s="253">
        <v>24450</v>
      </c>
      <c r="O31" s="253">
        <v>24750</v>
      </c>
      <c r="Q31" s="5"/>
      <c r="S31" s="72"/>
      <c r="T31" s="26"/>
      <c r="U31" s="26"/>
      <c r="V31" s="113" t="s">
        <v>481</v>
      </c>
      <c r="W31" s="242">
        <f>D45/L17</f>
        <v>2.605624700921839</v>
      </c>
      <c r="X31" s="242">
        <v>1</v>
      </c>
    </row>
    <row r="32" spans="2:24">
      <c r="B32" s="5" t="s">
        <v>506</v>
      </c>
      <c r="C32" s="424">
        <v>0</v>
      </c>
      <c r="D32" s="416">
        <v>0</v>
      </c>
      <c r="E32" s="416">
        <v>0</v>
      </c>
      <c r="F32" s="416">
        <v>0</v>
      </c>
      <c r="G32" s="416">
        <v>0</v>
      </c>
      <c r="H32" s="233" t="str">
        <f t="shared" si="3"/>
        <v>nm</v>
      </c>
      <c r="I32" s="214"/>
      <c r="J32" s="5" t="s">
        <v>1072</v>
      </c>
      <c r="K32" s="214"/>
      <c r="L32" s="253">
        <v>54320.911999999997</v>
      </c>
      <c r="M32" s="253">
        <v>58191.024640000003</v>
      </c>
      <c r="N32" s="253">
        <v>62159.878412799997</v>
      </c>
      <c r="O32" s="253">
        <v>64752.238157055996</v>
      </c>
      <c r="Q32" s="5"/>
      <c r="S32" s="72"/>
      <c r="T32" s="26"/>
      <c r="U32" s="26"/>
      <c r="V32" s="113" t="s">
        <v>482</v>
      </c>
      <c r="W32" s="242">
        <f>D47/L19</f>
        <v>1.8159887547471691</v>
      </c>
      <c r="X32" s="242">
        <v>1</v>
      </c>
    </row>
    <row r="33" spans="2:16">
      <c r="B33" s="5" t="s">
        <v>3</v>
      </c>
      <c r="C33" s="423">
        <v>134.62299999999999</v>
      </c>
      <c r="D33" s="416">
        <v>140.57100000000003</v>
      </c>
      <c r="E33" s="416">
        <v>161.03262999999998</v>
      </c>
      <c r="F33" s="416">
        <v>168.76671384588295</v>
      </c>
      <c r="G33" s="416">
        <v>182.46901001342283</v>
      </c>
      <c r="H33" s="233">
        <f>IF(D33=0,"nm",IF(G33=0,"nm",(G33/D33)^(1/3)-1))</f>
        <v>9.0848554507764412E-2</v>
      </c>
      <c r="I33" s="5"/>
      <c r="J33" s="5"/>
      <c r="K33" s="5"/>
      <c r="L33" s="5"/>
      <c r="M33" s="5"/>
      <c r="N33" s="5"/>
      <c r="O33" s="5"/>
      <c r="P33" s="5"/>
    </row>
    <row r="34" spans="2:16">
      <c r="I34" s="33"/>
    </row>
    <row r="35" spans="2:16" ht="12.6" thickBot="1">
      <c r="B35" s="249" t="s">
        <v>708</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19" t="str">
        <f>L$5</f>
        <v>2025E</v>
      </c>
      <c r="M35" s="219" t="str">
        <f t="shared" ref="M35:P35" si="8">M$5</f>
        <v>2026E</v>
      </c>
      <c r="N35" s="219" t="str">
        <f t="shared" si="8"/>
        <v>2027E</v>
      </c>
      <c r="O35" s="219" t="str">
        <f t="shared" si="8"/>
        <v>2028E</v>
      </c>
      <c r="P35" s="219" t="str">
        <f t="shared" si="8"/>
        <v>2025-28</v>
      </c>
    </row>
    <row r="36" spans="2:16" ht="12.6" thickTop="1">
      <c r="B36" s="25"/>
      <c r="C36" s="209"/>
      <c r="D36" s="214"/>
      <c r="E36" s="214"/>
      <c r="F36" s="214"/>
      <c r="G36" s="214"/>
      <c r="H36" s="214"/>
      <c r="I36" s="13"/>
      <c r="J36" s="33"/>
      <c r="K36" s="33"/>
      <c r="L36" s="33"/>
      <c r="M36" s="33"/>
      <c r="N36" s="33"/>
      <c r="O36" s="33"/>
    </row>
    <row r="37" spans="2:16">
      <c r="B37" s="5" t="s">
        <v>225</v>
      </c>
      <c r="C37" s="207"/>
      <c r="D37" s="406">
        <f>D$18/D23</f>
        <v>9.7776223273685456</v>
      </c>
      <c r="E37" s="406">
        <f t="shared" ref="E37:G40" si="9">E$18/E23</f>
        <v>9.6304467367418578</v>
      </c>
      <c r="F37" s="406">
        <f t="shared" si="9"/>
        <v>9.1387384362304278</v>
      </c>
      <c r="G37" s="406">
        <f t="shared" si="9"/>
        <v>8.6161864667366626</v>
      </c>
      <c r="H37" s="13">
        <f t="shared" ref="H37:H40" si="10">H23</f>
        <v>1.1065629232234864E-2</v>
      </c>
      <c r="I37" s="5"/>
      <c r="J37" s="217"/>
      <c r="K37" s="217"/>
      <c r="L37" s="217"/>
      <c r="M37" s="217"/>
      <c r="N37" s="217"/>
      <c r="O37" s="14"/>
    </row>
    <row r="38" spans="2:16">
      <c r="B38" s="5" t="s">
        <v>158</v>
      </c>
      <c r="C38" s="207"/>
      <c r="D38" s="406">
        <f>D$18/D24</f>
        <v>13.401364286449349</v>
      </c>
      <c r="E38" s="406">
        <f>E$18/E24</f>
        <v>13.344570240254486</v>
      </c>
      <c r="F38" s="406">
        <f t="shared" si="9"/>
        <v>12.52870011857657</v>
      </c>
      <c r="G38" s="406">
        <f t="shared" si="9"/>
        <v>11.669890292813927</v>
      </c>
      <c r="H38" s="13">
        <f t="shared" si="10"/>
        <v>1.5081011531194344E-2</v>
      </c>
      <c r="I38" s="217"/>
    </row>
    <row r="39" spans="2:16">
      <c r="B39" s="5" t="s">
        <v>159</v>
      </c>
      <c r="C39" s="207"/>
      <c r="D39" s="406">
        <f>D$18/D25</f>
        <v>21.076190051457353</v>
      </c>
      <c r="E39" s="406">
        <f t="shared" si="9"/>
        <v>17.527643688967174</v>
      </c>
      <c r="F39" s="406">
        <f t="shared" si="9"/>
        <v>16.23190957926559</v>
      </c>
      <c r="G39" s="406">
        <f t="shared" si="9"/>
        <v>14.608168780415328</v>
      </c>
      <c r="H39" s="13">
        <f t="shared" si="10"/>
        <v>9.5314238659590211E-2</v>
      </c>
      <c r="I39" s="13"/>
      <c r="J39" s="5"/>
      <c r="K39" s="5"/>
      <c r="L39" s="5"/>
      <c r="M39" s="5"/>
      <c r="N39" s="5"/>
      <c r="O39" s="5"/>
    </row>
    <row r="40" spans="2:16">
      <c r="B40" s="5" t="s">
        <v>381</v>
      </c>
      <c r="C40" s="207"/>
      <c r="D40" s="406">
        <f>D$18/D26</f>
        <v>29.477188883157133</v>
      </c>
      <c r="E40" s="406">
        <f t="shared" si="9"/>
        <v>24.514186977576468</v>
      </c>
      <c r="F40" s="406">
        <f t="shared" si="9"/>
        <v>22.70197143953229</v>
      </c>
      <c r="G40" s="406">
        <f t="shared" si="9"/>
        <v>20.431005287294163</v>
      </c>
      <c r="H40" s="13">
        <f t="shared" si="10"/>
        <v>9.5314238659590211E-2</v>
      </c>
      <c r="I40" s="5"/>
      <c r="J40" s="217"/>
      <c r="K40" s="217"/>
      <c r="L40" s="217"/>
      <c r="M40" s="217"/>
      <c r="N40" s="217"/>
      <c r="O40" s="14"/>
    </row>
    <row r="41" spans="2:16">
      <c r="B41" s="5" t="s">
        <v>723</v>
      </c>
      <c r="D41" s="406">
        <f>D18/D27</f>
        <v>1.375216821991599</v>
      </c>
      <c r="E41" s="406">
        <f>E18/E27</f>
        <v>1.3437119123270522</v>
      </c>
      <c r="F41" s="406">
        <f>F18/F27</f>
        <v>1.2995635647860406</v>
      </c>
      <c r="G41" s="406">
        <f>G18/G27</f>
        <v>1.2521467734754241</v>
      </c>
      <c r="H41" s="13">
        <f>H27</f>
        <v>1.0424294547961566E-4</v>
      </c>
      <c r="I41" s="207"/>
      <c r="J41" s="13"/>
      <c r="K41" s="13"/>
      <c r="L41" s="13"/>
      <c r="M41" s="13"/>
      <c r="N41" s="13"/>
      <c r="O41" s="5"/>
    </row>
    <row r="42" spans="2:16">
      <c r="B42" s="5" t="s">
        <v>493</v>
      </c>
      <c r="D42" s="406">
        <f>IFERROR(D18/D28,"na")</f>
        <v>7.3466998441706428</v>
      </c>
      <c r="E42" s="406">
        <f>IFERROR(E18/E28,"na")</f>
        <v>6.8657189424149712</v>
      </c>
      <c r="F42" s="406">
        <f>IFERROR(F18/F28,"na")</f>
        <v>6.4285877425553313</v>
      </c>
      <c r="G42" s="406">
        <f>IFERROR(G18/G28,"na")</f>
        <v>6.0666589647658986</v>
      </c>
      <c r="H42" s="13">
        <f>H28</f>
        <v>3.3207449798022148E-2</v>
      </c>
      <c r="I42" s="208"/>
      <c r="J42" s="5"/>
      <c r="K42" s="5"/>
      <c r="L42" s="5"/>
      <c r="M42" s="5"/>
      <c r="N42" s="5"/>
      <c r="O42" s="5"/>
    </row>
    <row r="43" spans="2:16">
      <c r="B43" s="5" t="s">
        <v>390</v>
      </c>
      <c r="C43" s="207"/>
      <c r="D43" s="406">
        <f>L26/D29</f>
        <v>23.193380135272882</v>
      </c>
      <c r="E43" s="406">
        <f>M26/E29</f>
        <v>18.442204675531503</v>
      </c>
      <c r="F43" s="406">
        <f>N26/F29</f>
        <v>18.446457285844797</v>
      </c>
      <c r="G43" s="406">
        <f>O26/G29</f>
        <v>17.863125722281037</v>
      </c>
      <c r="H43" s="13">
        <f>H29</f>
        <v>8.5152525738868556E-2</v>
      </c>
      <c r="I43" s="207"/>
      <c r="J43" s="207"/>
      <c r="K43" s="207"/>
      <c r="L43" s="207"/>
      <c r="M43" s="207"/>
      <c r="N43" s="207"/>
      <c r="O43" s="14"/>
    </row>
    <row r="44" spans="2:16">
      <c r="B44" s="5" t="s">
        <v>437</v>
      </c>
      <c r="C44" s="53"/>
      <c r="D44" s="406">
        <f>D11/D30</f>
        <v>18.164622994213762</v>
      </c>
      <c r="E44" s="406">
        <f>E11/E30</f>
        <v>18.090680136585604</v>
      </c>
      <c r="F44" s="406">
        <f>F11/F30</f>
        <v>19.495261765445541</v>
      </c>
      <c r="G44" s="406">
        <f>G11/G30</f>
        <v>18.101154196443549</v>
      </c>
      <c r="H44" s="13">
        <f>H30</f>
        <v>-4.1468638961827953E-3</v>
      </c>
      <c r="I44" s="207"/>
      <c r="J44" s="208"/>
      <c r="K44" s="208"/>
      <c r="L44" s="208"/>
      <c r="M44" s="208"/>
      <c r="N44" s="208"/>
      <c r="O44" s="208"/>
    </row>
    <row r="45" spans="2:16">
      <c r="B45" s="5" t="s">
        <v>481</v>
      </c>
      <c r="C45" s="207"/>
      <c r="D45" s="208">
        <f>D31/D11</f>
        <v>7.5979437971213148E-2</v>
      </c>
      <c r="E45" s="208">
        <f>E31/E11</f>
        <v>7.5979437971213148E-2</v>
      </c>
      <c r="F45" s="208">
        <f>F31/F11</f>
        <v>7.5979437971213148E-2</v>
      </c>
      <c r="G45" s="208">
        <f>G31/G11</f>
        <v>7.5979437971213148E-2</v>
      </c>
      <c r="H45" s="13">
        <f>H31</f>
        <v>-5.308083700117372E-3</v>
      </c>
      <c r="I45" s="208"/>
      <c r="J45" s="207"/>
      <c r="K45" s="207"/>
      <c r="L45" s="207"/>
      <c r="M45" s="207"/>
      <c r="N45" s="207"/>
      <c r="O45" s="208"/>
    </row>
    <row r="46" spans="2:16">
      <c r="B46" s="5" t="s">
        <v>505</v>
      </c>
      <c r="C46" s="207"/>
      <c r="D46" s="208">
        <f>(D31+D32)/D11</f>
        <v>7.5979437971213148E-2</v>
      </c>
      <c r="E46" s="208">
        <f>(E31+E32)/E11</f>
        <v>7.5979437971213148E-2</v>
      </c>
      <c r="F46" s="208">
        <f>(F31+F32)/F11</f>
        <v>7.5979437971213148E-2</v>
      </c>
      <c r="G46" s="208">
        <f>(G31+G32)/G11</f>
        <v>7.5979437971213148E-2</v>
      </c>
      <c r="H46" s="233">
        <f>IFERROR(((G31+G32)/(D31+D32))^(1/3)-1, "nm")</f>
        <v>-5.308083700117372E-3</v>
      </c>
      <c r="I46" s="207"/>
      <c r="J46" s="207"/>
      <c r="K46" s="207"/>
      <c r="L46" s="207"/>
      <c r="M46" s="207"/>
      <c r="N46" s="207"/>
      <c r="O46" s="14"/>
    </row>
    <row r="47" spans="2:16">
      <c r="B47" s="5" t="s">
        <v>482</v>
      </c>
      <c r="C47" s="5"/>
      <c r="D47" s="208">
        <f>1/D43</f>
        <v>4.3115750880967245E-2</v>
      </c>
      <c r="E47" s="208">
        <f>1/E43</f>
        <v>5.4223452000116149E-2</v>
      </c>
      <c r="F47" s="208">
        <f>1/F43</f>
        <v>5.421095143116543E-2</v>
      </c>
      <c r="G47" s="208">
        <f>1/G43</f>
        <v>5.5981244018938961E-2</v>
      </c>
      <c r="H47" s="13">
        <f>H29</f>
        <v>8.5152525738868556E-2</v>
      </c>
      <c r="I47" s="13"/>
      <c r="J47" s="208"/>
      <c r="K47" s="208"/>
      <c r="L47" s="208"/>
      <c r="M47" s="208"/>
      <c r="N47" s="208"/>
      <c r="O47" s="208"/>
    </row>
    <row r="48" spans="2:16">
      <c r="B48" s="5" t="s">
        <v>518</v>
      </c>
      <c r="C48" s="5"/>
      <c r="D48" s="248">
        <f>D31/D29</f>
        <v>1.7622199873307334</v>
      </c>
      <c r="E48" s="248">
        <f>E31/E29</f>
        <v>1.401228346196963</v>
      </c>
      <c r="F48" s="248">
        <f>F31/F29</f>
        <v>1.4015514571384777</v>
      </c>
      <c r="G48" s="248">
        <f>G31/G29</f>
        <v>1.3572302527880342</v>
      </c>
      <c r="H48" s="13" t="s">
        <v>507</v>
      </c>
      <c r="I48" s="207"/>
      <c r="J48" s="207"/>
      <c r="K48" s="207"/>
      <c r="L48" s="207"/>
      <c r="M48" s="207"/>
      <c r="N48" s="207"/>
      <c r="O48" s="208"/>
    </row>
  </sheetData>
  <pageMargins left="0.75" right="0.75" top="1" bottom="1" header="0.5" footer="0.5"/>
  <pageSetup scale="2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8">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126</v>
      </c>
      <c r="C9" s="239">
        <f>Prices!C80</f>
        <v>1970</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32.250727357000002</v>
      </c>
      <c r="E10" s="408">
        <v>32.250727357000002</v>
      </c>
      <c r="F10" s="408">
        <v>32.250727357000002</v>
      </c>
      <c r="G10" s="408">
        <v>32.250727357000002</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727</v>
      </c>
      <c r="C11" s="5"/>
      <c r="D11" s="409">
        <f>$C$9*D10</f>
        <v>63533.932893290003</v>
      </c>
      <c r="E11" s="409">
        <f>$C$9*E10</f>
        <v>63533.932893290003</v>
      </c>
      <c r="F11" s="409">
        <f>$C$9*F10</f>
        <v>63533.932893290003</v>
      </c>
      <c r="G11" s="409">
        <f>$C$9*G10</f>
        <v>63533.932893290003</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51603.491400391693</v>
      </c>
      <c r="E12" s="410">
        <v>60007.303442411037</v>
      </c>
      <c r="F12" s="410">
        <v>59099.195828250842</v>
      </c>
      <c r="G12" s="410">
        <v>58052.523815630739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4">
        <v>0</v>
      </c>
      <c r="E14" s="407">
        <f t="shared" ref="E14:G15" si="2">D14</f>
        <v>0</v>
      </c>
      <c r="F14" s="407">
        <f t="shared" si="2"/>
        <v>0</v>
      </c>
      <c r="G14" s="407">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4">
        <v>0</v>
      </c>
      <c r="E15" s="407">
        <f t="shared" si="2"/>
        <v>0</v>
      </c>
      <c r="F15" s="407">
        <f t="shared" si="2"/>
        <v>0</v>
      </c>
      <c r="G15" s="407">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3179.6783447536873</v>
      </c>
      <c r="F16" s="410">
        <v>7633.3695382339183</v>
      </c>
      <c r="G16" s="410">
        <v>12749.326990365502</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115137.42429368169</v>
      </c>
      <c r="E18" s="411">
        <f>E11+E12+E13-E14+E15-E16-E17</f>
        <v>120361.55799094736</v>
      </c>
      <c r="F18" s="411">
        <f>F11+F12+F13-F14+F15-F16-F17</f>
        <v>114999.75918330693</v>
      </c>
      <c r="G18" s="411">
        <f>G11+G12+G13-G14+G15-G16-G17</f>
        <v>108837.12971855524</v>
      </c>
      <c r="H18" s="230">
        <f>IF(D18=0,"nm",IF(G18=0,"nm",(G18/D18)^(1/3)-1))</f>
        <v>-1.858312003851792E-2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769</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55886.9</v>
      </c>
      <c r="D23" s="416">
        <v>56494.3498696553</v>
      </c>
      <c r="E23" s="416">
        <v>59504.153719772345</v>
      </c>
      <c r="F23" s="416">
        <v>62155.036779839618</v>
      </c>
      <c r="G23" s="416">
        <v>64648.507201130444</v>
      </c>
      <c r="H23" s="233">
        <f t="shared" ref="H23:H32" si="4">IF(D23=0,"nm",IF(G23=0,"nm",(G23/D23)^(1/3)-1))</f>
        <v>4.5966628498044004E-2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26375.048000000003</v>
      </c>
      <c r="D24" s="416">
        <v>26157.930868700121</v>
      </c>
      <c r="E24" s="416">
        <v>28192.634140749502</v>
      </c>
      <c r="F24" s="416">
        <v>30172.95750179774</v>
      </c>
      <c r="G24" s="416">
        <v>31613.586729396811</v>
      </c>
      <c r="H24" s="233">
        <f t="shared" si="4"/>
        <v>6.5181123004306674E-2</v>
      </c>
      <c r="I24" s="209"/>
      <c r="J24" s="13"/>
      <c r="K24" s="13"/>
      <c r="L24" s="13"/>
      <c r="M24" s="13"/>
      <c r="N24" s="13"/>
      <c r="O24" s="208"/>
      <c r="S24" s="72"/>
      <c r="T24" s="26"/>
      <c r="U24" s="26"/>
      <c r="V24" s="26"/>
      <c r="W24" s="26" t="s">
        <v>460</v>
      </c>
      <c r="X24" s="26" t="s">
        <v>209</v>
      </c>
    </row>
    <row r="25" spans="2:24">
      <c r="B25" s="5" t="s">
        <v>157</v>
      </c>
      <c r="C25" s="422">
        <v>16437.148000000005</v>
      </c>
      <c r="D25" s="416">
        <v>13214.660859972955</v>
      </c>
      <c r="E25" s="416">
        <v>16955.846135632539</v>
      </c>
      <c r="F25" s="416">
        <v>19021.000857522813</v>
      </c>
      <c r="G25" s="416">
        <v>20361.497044569449</v>
      </c>
      <c r="H25" s="233">
        <f t="shared" si="4"/>
        <v>0.15500685352320409</v>
      </c>
      <c r="I25" s="208"/>
      <c r="J25" s="207" t="s">
        <v>8</v>
      </c>
      <c r="K25" s="207"/>
      <c r="L25" s="252">
        <v>0</v>
      </c>
      <c r="M25" s="252">
        <v>0</v>
      </c>
      <c r="N25" s="252">
        <v>0</v>
      </c>
      <c r="O25" s="252">
        <v>0</v>
      </c>
      <c r="P25" s="233" t="str">
        <f>IF(L25=0,"nm",IF(O25=0,"nm",(O25/L25)^(1/3)-1))</f>
        <v>nm</v>
      </c>
      <c r="S25" s="72"/>
      <c r="T25" s="26"/>
      <c r="U25" s="26"/>
      <c r="V25" s="113" t="s">
        <v>225</v>
      </c>
      <c r="W25" s="242">
        <f>D37/L9</f>
        <v>0.98251894896935854</v>
      </c>
      <c r="X25" s="242">
        <v>1</v>
      </c>
    </row>
    <row r="26" spans="2:24">
      <c r="B26" s="5" t="s">
        <v>487</v>
      </c>
      <c r="C26" s="422">
        <v>11506.003600000002</v>
      </c>
      <c r="D26" s="416">
        <v>9250.2626019810687</v>
      </c>
      <c r="E26" s="416">
        <v>11869.092294942777</v>
      </c>
      <c r="F26" s="416">
        <v>13314.700600265969</v>
      </c>
      <c r="G26" s="416">
        <v>14253.047931198613</v>
      </c>
      <c r="H26" s="233">
        <f t="shared" si="4"/>
        <v>0.15500685352320409</v>
      </c>
      <c r="I26" s="209"/>
      <c r="J26" s="209" t="s">
        <v>9</v>
      </c>
      <c r="K26" s="209"/>
      <c r="L26" s="235">
        <f>D11+L25</f>
        <v>63533.932893290003</v>
      </c>
      <c r="M26" s="235">
        <f>E11+M25</f>
        <v>63533.932893290003</v>
      </c>
      <c r="N26" s="235">
        <f>F11+N25</f>
        <v>63533.932893290003</v>
      </c>
      <c r="O26" s="235">
        <f>G11+O25</f>
        <v>63533.932893290003</v>
      </c>
      <c r="P26" s="233">
        <f>IF(L26=0,"nm",IF(O26=0,"nm",(O26/L26)^(1/3)-1))</f>
        <v>0</v>
      </c>
      <c r="Q26" s="5"/>
      <c r="S26" s="72"/>
      <c r="T26" s="26"/>
      <c r="U26" s="26"/>
      <c r="V26" s="113" t="s">
        <v>158</v>
      </c>
      <c r="W26" s="242">
        <f t="shared" ref="W26:W33" si="6">D38/L10</f>
        <v>0.70860884874958452</v>
      </c>
      <c r="X26" s="242">
        <v>1</v>
      </c>
    </row>
    <row r="27" spans="2:24">
      <c r="B27" s="5" t="s">
        <v>488</v>
      </c>
      <c r="C27" s="423">
        <v>87046.133000000002</v>
      </c>
      <c r="D27" s="416">
        <v>90883.86154399073</v>
      </c>
      <c r="E27" s="416">
        <v>101799.36099378142</v>
      </c>
      <c r="F27" s="416">
        <v>103270.48662941763</v>
      </c>
      <c r="G27" s="416">
        <v>104956.84112130103</v>
      </c>
      <c r="H27" s="233">
        <f t="shared" si="4"/>
        <v>4.9159038994948112E-2</v>
      </c>
      <c r="I27" s="209"/>
      <c r="J27" s="208"/>
      <c r="K27" s="208"/>
      <c r="L27" s="208"/>
      <c r="M27" s="208"/>
      <c r="N27" s="208"/>
      <c r="O27" s="208"/>
      <c r="Q27" s="25"/>
      <c r="S27" s="72"/>
      <c r="T27" s="26"/>
      <c r="U27" s="26"/>
      <c r="V27" s="113" t="s">
        <v>159</v>
      </c>
      <c r="W27" s="242">
        <f t="shared" si="6"/>
        <v>0.84231098524647663</v>
      </c>
      <c r="X27" s="242">
        <v>1</v>
      </c>
    </row>
    <row r="28" spans="2:24" ht="12.6" thickBot="1">
      <c r="B28" s="5" t="s">
        <v>492</v>
      </c>
      <c r="C28" s="422">
        <v>74143.085000000006</v>
      </c>
      <c r="D28" s="416">
        <v>77110.955335692706</v>
      </c>
      <c r="E28" s="416">
        <v>78013.287402673814</v>
      </c>
      <c r="F28" s="416">
        <v>78897.69882677545</v>
      </c>
      <c r="G28" s="416">
        <v>79942.589959729739</v>
      </c>
      <c r="H28" s="233">
        <f t="shared" si="4"/>
        <v>1.2093673682820327E-2</v>
      </c>
      <c r="I28" s="208"/>
      <c r="J28" s="249" t="s">
        <v>1073</v>
      </c>
      <c r="K28" s="249"/>
      <c r="L28" s="249"/>
      <c r="M28" s="249"/>
      <c r="N28" s="220"/>
      <c r="O28" s="220"/>
      <c r="P28" s="220"/>
      <c r="Q28" s="5"/>
      <c r="S28" s="72"/>
      <c r="T28" s="26"/>
      <c r="U28" s="26"/>
      <c r="V28" s="113" t="s">
        <v>381</v>
      </c>
      <c r="W28" s="242">
        <f t="shared" si="6"/>
        <v>0.91859102965307038</v>
      </c>
      <c r="X28" s="242">
        <v>1</v>
      </c>
    </row>
    <row r="29" spans="2:24" ht="12.6" thickTop="1">
      <c r="B29" s="5" t="s">
        <v>489</v>
      </c>
      <c r="C29" s="422">
        <v>1229.1280000000052</v>
      </c>
      <c r="D29" s="416">
        <v>1172.5835707208917</v>
      </c>
      <c r="E29" s="416">
        <v>3498.5996832901246</v>
      </c>
      <c r="F29" s="416">
        <v>4501.1266586443635</v>
      </c>
      <c r="G29" s="416">
        <v>5251.9345903982694</v>
      </c>
      <c r="H29" s="233">
        <f t="shared" si="4"/>
        <v>0.64838442061756352</v>
      </c>
      <c r="I29" s="212"/>
      <c r="J29" s="209"/>
      <c r="K29" s="209"/>
      <c r="L29" s="209"/>
      <c r="M29" s="209"/>
      <c r="N29" s="209"/>
      <c r="O29" s="211"/>
      <c r="Q29" s="5"/>
      <c r="S29" s="72"/>
      <c r="T29" s="26"/>
      <c r="U29" s="26"/>
      <c r="V29" s="113" t="s">
        <v>434</v>
      </c>
      <c r="W29" s="242">
        <f t="shared" si="6"/>
        <v>0.73337017125446124</v>
      </c>
      <c r="X29" s="242">
        <v>1</v>
      </c>
    </row>
    <row r="30" spans="2:24">
      <c r="B30" s="5" t="s">
        <v>490</v>
      </c>
      <c r="C30" s="423">
        <v>4910.7480000000014</v>
      </c>
      <c r="D30" s="416">
        <v>4579.7848874563842</v>
      </c>
      <c r="E30" s="416">
        <v>5299.4639079228127</v>
      </c>
      <c r="F30" s="416">
        <v>6362.415990686045</v>
      </c>
      <c r="G30" s="416">
        <v>7308.5106459022627</v>
      </c>
      <c r="H30" s="233">
        <f t="shared" si="4"/>
        <v>0.16858758499956239</v>
      </c>
      <c r="I30" s="214"/>
      <c r="J30" s="208"/>
      <c r="K30" s="208"/>
      <c r="L30" s="208"/>
      <c r="M30" s="208"/>
      <c r="N30" s="208"/>
      <c r="O30" s="5"/>
      <c r="Q30" s="5"/>
      <c r="S30" s="72"/>
      <c r="T30" s="26"/>
      <c r="U30" s="26"/>
      <c r="V30" s="113" t="s">
        <v>493</v>
      </c>
      <c r="W30" s="242">
        <f t="shared" si="6"/>
        <v>0.45784441772500079</v>
      </c>
      <c r="X30" s="242">
        <v>1</v>
      </c>
    </row>
    <row r="31" spans="2:24">
      <c r="B31" s="5" t="s">
        <v>491</v>
      </c>
      <c r="C31" s="423">
        <v>2164.0238056547</v>
      </c>
      <c r="D31" s="416">
        <v>2289.8924437281926</v>
      </c>
      <c r="E31" s="416">
        <v>3179.6783447536877</v>
      </c>
      <c r="F31" s="416">
        <v>4453.691193480232</v>
      </c>
      <c r="G31" s="416">
        <v>5115.9574521315844</v>
      </c>
      <c r="H31" s="233">
        <f t="shared" si="4"/>
        <v>0.30728600919261484</v>
      </c>
      <c r="I31" s="214"/>
      <c r="J31" s="212"/>
      <c r="K31" s="212"/>
      <c r="L31" s="212"/>
      <c r="M31" s="212"/>
      <c r="N31" s="212"/>
      <c r="O31" s="5"/>
      <c r="Q31" s="5"/>
      <c r="S31" s="72"/>
      <c r="T31" s="26"/>
      <c r="U31" s="26"/>
      <c r="V31" s="113" t="s">
        <v>390</v>
      </c>
      <c r="W31" s="242">
        <f t="shared" si="6"/>
        <v>3.3676228193872126</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0.80396162516824077</v>
      </c>
      <c r="X32" s="242">
        <v>1</v>
      </c>
    </row>
    <row r="33" spans="2:24">
      <c r="B33" s="5" t="s">
        <v>3</v>
      </c>
      <c r="C33" s="423">
        <v>4114.8</v>
      </c>
      <c r="D33" s="416">
        <v>4361.7873681834781</v>
      </c>
      <c r="E33" s="416">
        <v>4751.5827466650417</v>
      </c>
      <c r="F33" s="416">
        <v>5075.4994888183519</v>
      </c>
      <c r="G33" s="416">
        <v>5029.4805122750322</v>
      </c>
      <c r="H33" s="233">
        <f>IF(D33=0,"nm",IF(G33=0,"nm",(G33/D33)^(1/3)-1))</f>
        <v>4.8623404050120778E-2</v>
      </c>
      <c r="I33" s="5"/>
      <c r="J33" s="214"/>
      <c r="K33" s="214"/>
      <c r="L33" s="214"/>
      <c r="M33" s="214"/>
      <c r="N33" s="214"/>
      <c r="O33" s="211"/>
      <c r="Q33" s="5"/>
      <c r="S33" s="72"/>
      <c r="T33" s="26"/>
      <c r="U33" s="26"/>
      <c r="V33" s="113" t="s">
        <v>481</v>
      </c>
      <c r="W33" s="242">
        <f t="shared" si="6"/>
        <v>0.84478330903934851</v>
      </c>
      <c r="X33" s="242">
        <v>1</v>
      </c>
    </row>
    <row r="34" spans="2:24">
      <c r="I34" s="33"/>
      <c r="J34" s="214"/>
      <c r="K34" s="214"/>
      <c r="L34" s="214"/>
      <c r="M34" s="214"/>
      <c r="N34" s="214"/>
      <c r="O34" s="211"/>
      <c r="Q34" s="5"/>
      <c r="S34" s="72"/>
      <c r="T34" s="26"/>
      <c r="U34" s="26"/>
      <c r="V34" s="113" t="s">
        <v>482</v>
      </c>
      <c r="W34" s="242">
        <f>D47/L19</f>
        <v>0.2969453687755817</v>
      </c>
      <c r="X34" s="242">
        <v>1</v>
      </c>
    </row>
    <row r="35" spans="2:24" ht="12.6" thickBot="1">
      <c r="B35" s="249" t="s">
        <v>60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2.0380343266066192</v>
      </c>
      <c r="E37" s="406">
        <f t="shared" ref="E37:G41" si="8">E$18/E23</f>
        <v>2.0227421191094597</v>
      </c>
      <c r="F37" s="406">
        <f t="shared" si="8"/>
        <v>1.8502082074321584</v>
      </c>
      <c r="G37" s="406">
        <f t="shared" si="8"/>
        <v>1.6835211581908285</v>
      </c>
      <c r="H37" s="13">
        <f t="shared" ref="H37:H45" si="9">H23</f>
        <v>4.5966628498044004E-2</v>
      </c>
      <c r="I37" s="5"/>
      <c r="J37" s="217"/>
      <c r="K37" s="217"/>
      <c r="L37" s="217"/>
      <c r="M37" s="217"/>
      <c r="N37" s="217"/>
      <c r="O37" s="14"/>
      <c r="Q37" s="5"/>
      <c r="R37" s="5"/>
      <c r="S37" s="26"/>
      <c r="T37" s="26"/>
      <c r="U37" s="26"/>
      <c r="V37" s="26"/>
      <c r="W37" s="26"/>
      <c r="X37" s="26"/>
    </row>
    <row r="38" spans="2:24">
      <c r="B38" s="5" t="s">
        <v>158</v>
      </c>
      <c r="C38" s="207"/>
      <c r="D38" s="406">
        <f>D$18/D24</f>
        <v>4.4016258346890904</v>
      </c>
      <c r="E38" s="406">
        <f t="shared" si="8"/>
        <v>4.2692554867364212</v>
      </c>
      <c r="F38" s="406">
        <f t="shared" si="8"/>
        <v>3.8113519092868211</v>
      </c>
      <c r="G38" s="406">
        <f t="shared" si="8"/>
        <v>3.442732729132246</v>
      </c>
      <c r="H38" s="13">
        <f t="shared" si="9"/>
        <v>6.5181123004306674E-2</v>
      </c>
      <c r="I38" s="217"/>
      <c r="J38" s="13"/>
      <c r="K38" s="13"/>
      <c r="L38" s="13"/>
      <c r="M38" s="13"/>
      <c r="N38" s="13"/>
      <c r="O38" s="5"/>
      <c r="Q38" s="5"/>
      <c r="R38" s="5"/>
      <c r="S38" s="26"/>
      <c r="T38" s="26"/>
      <c r="U38" s="26"/>
      <c r="V38" s="26"/>
      <c r="W38" s="26"/>
      <c r="X38" s="26"/>
    </row>
    <row r="39" spans="2:24">
      <c r="B39" s="5" t="s">
        <v>159</v>
      </c>
      <c r="C39" s="207"/>
      <c r="D39" s="406">
        <f>D$18/D25</f>
        <v>8.7128550262255704</v>
      </c>
      <c r="E39" s="406">
        <f t="shared" si="8"/>
        <v>7.0985285563548945</v>
      </c>
      <c r="F39" s="406">
        <f t="shared" si="8"/>
        <v>6.0459362808884203</v>
      </c>
      <c r="G39" s="406">
        <f t="shared" si="8"/>
        <v>5.3452420261791529</v>
      </c>
      <c r="H39" s="13">
        <f t="shared" si="9"/>
        <v>0.15500685352320409</v>
      </c>
      <c r="I39" s="13"/>
      <c r="J39" s="5"/>
      <c r="K39" s="5"/>
      <c r="L39" s="5"/>
      <c r="M39" s="5"/>
      <c r="N39" s="5"/>
      <c r="O39" s="5"/>
      <c r="Q39" s="5"/>
      <c r="R39" s="5"/>
      <c r="S39" s="26"/>
      <c r="T39" s="26"/>
      <c r="U39" s="26"/>
      <c r="V39" s="26"/>
      <c r="W39" s="26"/>
      <c r="X39" s="26"/>
    </row>
    <row r="40" spans="2:24">
      <c r="B40" s="5" t="s">
        <v>381</v>
      </c>
      <c r="C40" s="207"/>
      <c r="D40" s="406">
        <f>D$18/D26</f>
        <v>12.446935751750816</v>
      </c>
      <c r="E40" s="406">
        <f t="shared" si="8"/>
        <v>10.140755080506992</v>
      </c>
      <c r="F40" s="406">
        <f t="shared" si="8"/>
        <v>8.6370518298406012</v>
      </c>
      <c r="G40" s="406">
        <f t="shared" si="8"/>
        <v>7.6360600373987912</v>
      </c>
      <c r="H40" s="13">
        <f t="shared" si="9"/>
        <v>0.15500685352320409</v>
      </c>
      <c r="I40" s="5"/>
      <c r="J40" s="217"/>
      <c r="K40" s="217"/>
      <c r="L40" s="217"/>
      <c r="M40" s="217"/>
      <c r="N40" s="217"/>
      <c r="O40" s="14"/>
      <c r="Q40" s="5"/>
      <c r="R40" s="5"/>
      <c r="S40" s="26"/>
      <c r="T40" s="26"/>
      <c r="U40" s="26"/>
      <c r="V40" s="26"/>
      <c r="W40" s="242"/>
      <c r="X40" s="242"/>
    </row>
    <row r="41" spans="2:24">
      <c r="B41" s="5" t="s">
        <v>434</v>
      </c>
      <c r="C41" s="207"/>
      <c r="D41" s="406">
        <f>D$18/D27</f>
        <v>1.2668632509408884</v>
      </c>
      <c r="E41" s="406">
        <f t="shared" si="8"/>
        <v>1.1823409971925054</v>
      </c>
      <c r="F41" s="406">
        <f t="shared" si="8"/>
        <v>1.1135781667804023</v>
      </c>
      <c r="G41" s="406">
        <f t="shared" si="8"/>
        <v>1.0369703256671918</v>
      </c>
      <c r="H41" s="13">
        <f t="shared" si="9"/>
        <v>4.9159038994948112E-2</v>
      </c>
      <c r="I41" s="207"/>
      <c r="J41" s="13"/>
      <c r="K41" s="13"/>
      <c r="L41" s="13"/>
      <c r="M41" s="13"/>
      <c r="N41" s="13"/>
      <c r="O41" s="5"/>
      <c r="Q41" s="5"/>
      <c r="R41" s="5"/>
      <c r="S41" s="26"/>
      <c r="T41" s="26"/>
      <c r="U41" s="26"/>
      <c r="V41" s="26"/>
      <c r="W41" s="242"/>
      <c r="X41" s="242"/>
    </row>
    <row r="42" spans="2:24">
      <c r="B42" s="5" t="s">
        <v>493</v>
      </c>
      <c r="C42" s="207"/>
      <c r="D42" s="406">
        <f>D18/D28</f>
        <v>1.4931396426415104</v>
      </c>
      <c r="E42" s="406">
        <f>E18/E28</f>
        <v>1.5428340735045363</v>
      </c>
      <c r="F42" s="406">
        <f>F18/F28</f>
        <v>1.4575806505560533</v>
      </c>
      <c r="G42" s="406">
        <f>G18/G28</f>
        <v>1.3614411263555612</v>
      </c>
      <c r="H42" s="13">
        <f t="shared" si="9"/>
        <v>1.2093673682820327E-2</v>
      </c>
      <c r="I42" s="208"/>
      <c r="J42" s="5"/>
      <c r="K42" s="5"/>
      <c r="L42" s="5"/>
      <c r="M42" s="5"/>
      <c r="N42" s="5"/>
      <c r="O42" s="5"/>
      <c r="Q42" s="5"/>
      <c r="R42" s="5"/>
      <c r="S42" s="26"/>
      <c r="T42" s="26"/>
      <c r="U42" s="26"/>
      <c r="V42" s="26"/>
      <c r="W42" s="242"/>
      <c r="X42" s="242"/>
    </row>
    <row r="43" spans="2:24">
      <c r="B43" s="5" t="s">
        <v>390</v>
      </c>
      <c r="C43" s="207"/>
      <c r="D43" s="406">
        <f>L26/D29</f>
        <v>54.182861230291699</v>
      </c>
      <c r="E43" s="406">
        <f>M26/E29</f>
        <v>18.159817825611285</v>
      </c>
      <c r="F43" s="406">
        <f>N26/F29</f>
        <v>14.115117771963558</v>
      </c>
      <c r="G43" s="406">
        <f>O26/G29</f>
        <v>12.097243748892927</v>
      </c>
      <c r="H43" s="13">
        <f t="shared" si="9"/>
        <v>0.64838442061756352</v>
      </c>
      <c r="I43" s="207"/>
      <c r="J43" s="207"/>
      <c r="K43" s="207"/>
      <c r="L43" s="207"/>
      <c r="M43" s="207"/>
      <c r="N43" s="207"/>
      <c r="O43" s="14"/>
      <c r="Q43" s="5"/>
      <c r="R43" s="5"/>
      <c r="S43" s="26"/>
      <c r="T43" s="26"/>
      <c r="U43" s="26"/>
      <c r="V43" s="26"/>
      <c r="W43" s="242"/>
      <c r="X43" s="242"/>
    </row>
    <row r="44" spans="2:24">
      <c r="B44" s="5" t="s">
        <v>437</v>
      </c>
      <c r="C44" s="53"/>
      <c r="D44" s="406">
        <f>D11/D30</f>
        <v>13.872689319383468</v>
      </c>
      <c r="E44" s="406">
        <f>E11/E30</f>
        <v>11.988747163332013</v>
      </c>
      <c r="F44" s="406">
        <f>F11/F30</f>
        <v>9.9858187497166906</v>
      </c>
      <c r="G44" s="406">
        <f>G11/G30</f>
        <v>8.6931436473876147</v>
      </c>
      <c r="H44" s="13">
        <f t="shared" si="9"/>
        <v>0.16858758499956239</v>
      </c>
      <c r="I44" s="207"/>
      <c r="J44" s="208"/>
      <c r="K44" s="208"/>
      <c r="L44" s="208"/>
      <c r="M44" s="208"/>
      <c r="N44" s="208"/>
      <c r="O44" s="208"/>
      <c r="Q44" s="5"/>
      <c r="R44" s="5"/>
      <c r="S44" s="26"/>
      <c r="T44" s="26"/>
      <c r="U44" s="26"/>
      <c r="V44" s="26"/>
      <c r="W44" s="255"/>
      <c r="X44" s="255"/>
    </row>
    <row r="45" spans="2:24">
      <c r="B45" s="5" t="s">
        <v>481</v>
      </c>
      <c r="C45" s="207"/>
      <c r="D45" s="208">
        <f>D31/D11</f>
        <v>3.6042038316347239E-2</v>
      </c>
      <c r="E45" s="208">
        <f>E31/E11</f>
        <v>5.0046930828195314E-2</v>
      </c>
      <c r="F45" s="208">
        <f>F31/F11</f>
        <v>7.0099409727405665E-2</v>
      </c>
      <c r="G45" s="208">
        <f>G31/G11</f>
        <v>8.0523229385535092E-2</v>
      </c>
      <c r="H45" s="13">
        <f t="shared" si="9"/>
        <v>0.30728600919261484</v>
      </c>
      <c r="I45" s="208"/>
      <c r="J45" s="207"/>
      <c r="K45" s="207"/>
      <c r="L45" s="207"/>
      <c r="M45" s="207"/>
      <c r="N45" s="207"/>
      <c r="O45" s="208"/>
      <c r="Q45" s="5"/>
      <c r="R45" s="5"/>
      <c r="S45" s="26"/>
      <c r="T45" s="26"/>
      <c r="U45" s="26"/>
      <c r="V45" s="26"/>
      <c r="W45" s="26"/>
      <c r="X45" s="26"/>
    </row>
    <row r="46" spans="2:24">
      <c r="B46" s="5" t="s">
        <v>505</v>
      </c>
      <c r="C46" s="207"/>
      <c r="D46" s="208">
        <f>(D31+D32)/D11</f>
        <v>3.6042038316347239E-2</v>
      </c>
      <c r="E46" s="208">
        <f>(E31+E32)/E11</f>
        <v>5.0046930828195314E-2</v>
      </c>
      <c r="F46" s="208">
        <f>(F31+F32)/F11</f>
        <v>7.0099409727405665E-2</v>
      </c>
      <c r="G46" s="208">
        <f>(G31+G32)/G11</f>
        <v>8.0523229385535092E-2</v>
      </c>
      <c r="H46" s="233">
        <f>((G31+G32)/(D31+D32))^(1/3)-1</f>
        <v>0.30728600919261484</v>
      </c>
      <c r="I46" s="207"/>
      <c r="J46" s="207"/>
      <c r="K46" s="207"/>
      <c r="L46" s="207"/>
      <c r="M46" s="207"/>
      <c r="N46" s="207"/>
      <c r="O46" s="14"/>
      <c r="Q46" s="5"/>
      <c r="R46" s="5"/>
      <c r="S46" s="26"/>
      <c r="T46" s="26"/>
      <c r="U46" s="26"/>
      <c r="V46" s="26"/>
      <c r="W46" s="26"/>
      <c r="X46" s="26"/>
    </row>
    <row r="47" spans="2:24">
      <c r="B47" s="5" t="s">
        <v>482</v>
      </c>
      <c r="C47" s="5"/>
      <c r="D47" s="208">
        <f>1/D43</f>
        <v>1.8456020544019108E-2</v>
      </c>
      <c r="E47" s="208">
        <f>1/E43</f>
        <v>5.5066631703192134E-2</v>
      </c>
      <c r="F47" s="208">
        <f>1/F43</f>
        <v>7.0846025952845434E-2</v>
      </c>
      <c r="G47" s="208">
        <f>1/G43</f>
        <v>8.2663457954338937E-2</v>
      </c>
      <c r="H47" s="13">
        <f>H29</f>
        <v>0.64838442061756352</v>
      </c>
      <c r="I47" s="13"/>
      <c r="J47" s="208"/>
      <c r="K47" s="208"/>
      <c r="L47" s="208"/>
      <c r="M47" s="208"/>
      <c r="N47" s="208"/>
      <c r="O47" s="208"/>
      <c r="Q47" s="5"/>
      <c r="R47" s="5"/>
      <c r="S47" s="26"/>
      <c r="T47" s="26"/>
      <c r="U47" s="26"/>
      <c r="V47" s="26"/>
      <c r="W47" s="26"/>
      <c r="X47" s="26"/>
    </row>
    <row r="48" spans="2:24">
      <c r="B48" s="5" t="s">
        <v>518</v>
      </c>
      <c r="C48" s="5"/>
      <c r="D48" s="248">
        <f>D31/D29</f>
        <v>1.9528607605514987</v>
      </c>
      <c r="E48" s="248">
        <f>E31/E29</f>
        <v>0.90884314657099619</v>
      </c>
      <c r="F48" s="248">
        <f>F31/F29</f>
        <v>0.98946142404745885</v>
      </c>
      <c r="G48" s="248">
        <f>G31/G29</f>
        <v>0.97410913332483573</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INDOSOP!A1" display="Jump to Indo SOP" xr:uid="{00000000-0004-0000-2D00-000001000000}"/>
  </hyperlinks>
  <pageMargins left="0.75" right="0.75" top="1" bottom="1" header="0.5" footer="0.5"/>
  <pageSetup scale="7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1">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253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440</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795</v>
      </c>
      <c r="C9" s="239">
        <f>Prices!C64</f>
        <v>2565</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10">
        <v>3800.6773222222218</v>
      </c>
      <c r="E10" s="410">
        <v>3689.5662111111105</v>
      </c>
      <c r="F10" s="410">
        <v>3578.4550999999992</v>
      </c>
      <c r="G10" s="410">
        <v>3467.3439888888879</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9748.7373314999986</v>
      </c>
      <c r="E11" s="409">
        <f>($C$9*E10)/1000</f>
        <v>9463.7373314999986</v>
      </c>
      <c r="F11" s="409">
        <f>($C$9*F10)/1000</f>
        <v>9178.7373314999968</v>
      </c>
      <c r="G11" s="409">
        <f>($C$9*G10)/1000</f>
        <v>8893.7373314999968</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2599.7069433451552</v>
      </c>
      <c r="E12" s="410">
        <v>2366.8388711612101</v>
      </c>
      <c r="F12" s="410">
        <v>2073.4388209805938</v>
      </c>
      <c r="G12" s="410">
        <v>1727.4030556042449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v>0</v>
      </c>
      <c r="F15" s="410">
        <v>0</v>
      </c>
      <c r="G15" s="410">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318.33535016666661</v>
      </c>
      <c r="F16" s="410">
        <v>645.39630916666647</v>
      </c>
      <c r="G16" s="410">
        <v>980.07176588888865</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12348.444274845155</v>
      </c>
      <c r="E18" s="411">
        <f>E11+E12+E13-E14+E15-E16-E17</f>
        <v>11512.240852494542</v>
      </c>
      <c r="F18" s="411">
        <f>F11+F12+F13-F14+F15-F16-F17</f>
        <v>10606.779843313925</v>
      </c>
      <c r="G18" s="411">
        <f>G11+G12+G13-G14+G15-G16-G17</f>
        <v>9641.0686212153541</v>
      </c>
      <c r="H18" s="230">
        <f>IF(D18=0,"nm",IF(G18=0,"nm",(G18/D18)^(1/3)-1))</f>
        <v>-7.9187988228587636E-2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770</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5917.9529999999995</v>
      </c>
      <c r="D23" s="416">
        <v>6178.8676690549837</v>
      </c>
      <c r="E23" s="416">
        <v>6419.7068607513193</v>
      </c>
      <c r="F23" s="416">
        <v>6624.613686840532</v>
      </c>
      <c r="G23" s="416">
        <v>6815.0275781004784</v>
      </c>
      <c r="H23" s="233">
        <f>IF(D23=0,"nm",IF(G23=0,"nm",(G23/D23)^(1/3)-1))</f>
        <v>3.3204386111499673E-2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1831.223</v>
      </c>
      <c r="D24" s="416">
        <v>1923.4295159851927</v>
      </c>
      <c r="E24" s="416">
        <v>1998.4960193250076</v>
      </c>
      <c r="F24" s="416">
        <v>2065.3357412634455</v>
      </c>
      <c r="G24" s="416">
        <v>2127.3312389926746</v>
      </c>
      <c r="H24" s="233">
        <f>IF(D24=0,"nm",IF(G24=0,"nm",(G24/D24)^(1/3)-1))</f>
        <v>3.4156534467740363E-2</v>
      </c>
      <c r="I24" s="209"/>
      <c r="J24" s="13"/>
      <c r="K24" s="13"/>
      <c r="L24" s="13"/>
      <c r="M24" s="13"/>
      <c r="N24" s="13"/>
      <c r="O24" s="208"/>
      <c r="S24" s="72"/>
      <c r="T24" s="26"/>
      <c r="U24" s="26"/>
      <c r="V24" s="26"/>
      <c r="W24" s="26" t="s">
        <v>253</v>
      </c>
      <c r="X24" s="26" t="s">
        <v>209</v>
      </c>
    </row>
    <row r="25" spans="2:24">
      <c r="B25" s="5" t="s">
        <v>157</v>
      </c>
      <c r="C25" s="422">
        <v>1152.3159999999998</v>
      </c>
      <c r="D25" s="416">
        <v>1221.6788012584684</v>
      </c>
      <c r="E25" s="416">
        <v>1342.3028934570802</v>
      </c>
      <c r="F25" s="416">
        <v>1422.0548634493039</v>
      </c>
      <c r="G25" s="416">
        <v>1498.6488322128225</v>
      </c>
      <c r="H25" s="233">
        <f>IF(D25=0,"nm",IF(G25=0,"nm",(G25/D25)^(1/3)-1))</f>
        <v>7.0485889852950789E-2</v>
      </c>
      <c r="I25" s="208"/>
      <c r="J25" s="207" t="s">
        <v>8</v>
      </c>
      <c r="K25" s="207"/>
      <c r="L25" s="252">
        <v>0</v>
      </c>
      <c r="M25" s="252">
        <v>0</v>
      </c>
      <c r="N25" s="252">
        <v>0</v>
      </c>
      <c r="O25" s="252">
        <v>0</v>
      </c>
      <c r="P25" s="233" t="str">
        <f>IF(L25=0,"nm",IF(O25=0,"nm",(O25/L25)^(1/3)-1))</f>
        <v>nm</v>
      </c>
      <c r="S25" s="72"/>
      <c r="T25" s="26"/>
      <c r="U25" s="26"/>
      <c r="V25" s="113" t="s">
        <v>225</v>
      </c>
      <c r="W25" s="242">
        <f>D37/L9</f>
        <v>0.96345801170759715</v>
      </c>
      <c r="X25" s="242">
        <v>1</v>
      </c>
    </row>
    <row r="26" spans="2:24">
      <c r="B26" s="5" t="s">
        <v>487</v>
      </c>
      <c r="C26" s="422">
        <v>713.76770813559415</v>
      </c>
      <c r="D26" s="416">
        <v>758.22788217833647</v>
      </c>
      <c r="E26" s="416">
        <v>838.88594686430656</v>
      </c>
      <c r="F26" s="416">
        <v>891.49730973601856</v>
      </c>
      <c r="G26" s="416">
        <v>942.12546787705219</v>
      </c>
      <c r="H26" s="233">
        <f>IF(D26=0,"nm",IF(G26=0,"nm",(G26/D26)^(1/3)-1))</f>
        <v>7.5068980470980762E-2</v>
      </c>
      <c r="I26" s="209"/>
      <c r="J26" s="209" t="s">
        <v>9</v>
      </c>
      <c r="K26" s="209"/>
      <c r="L26" s="235">
        <f>D11+L25</f>
        <v>9748.7373314999986</v>
      </c>
      <c r="M26" s="235">
        <f>E11+M25</f>
        <v>9463.7373314999986</v>
      </c>
      <c r="N26" s="235">
        <f>F11+N25</f>
        <v>9178.7373314999968</v>
      </c>
      <c r="O26" s="235">
        <f>G11+O25</f>
        <v>8893.7373314999968</v>
      </c>
      <c r="P26" s="233">
        <f>IF(L26=0,"nm",IF(O26=0,"nm",(O26/L26)^(1/3)-1))</f>
        <v>-3.013345999844308E-2</v>
      </c>
      <c r="Q26" s="5"/>
      <c r="S26" s="72"/>
      <c r="T26" s="26"/>
      <c r="U26" s="26"/>
      <c r="V26" s="113" t="s">
        <v>158</v>
      </c>
      <c r="W26" s="242">
        <f t="shared" ref="W26:W33" si="4">D38/L10</f>
        <v>1.0335450687180208</v>
      </c>
      <c r="X26" s="242">
        <v>1</v>
      </c>
    </row>
    <row r="27" spans="2:24">
      <c r="B27" s="5" t="s">
        <v>488</v>
      </c>
      <c r="C27" s="423">
        <v>8237.6049999999996</v>
      </c>
      <c r="D27" s="416">
        <v>8683.3725042529968</v>
      </c>
      <c r="E27" s="416">
        <v>9089.6511797586336</v>
      </c>
      <c r="F27" s="416">
        <v>9485.6620552931818</v>
      </c>
      <c r="G27" s="416">
        <v>9875.8581914434108</v>
      </c>
      <c r="H27" s="233">
        <f>IF(ISERROR((G27/D27)^(1/3)-1),"na",(G27/D27)^(1/3)-1)</f>
        <v>4.3827668451490442E-2</v>
      </c>
      <c r="I27" s="209"/>
      <c r="J27" s="208"/>
      <c r="K27" s="208"/>
      <c r="L27" s="208"/>
      <c r="M27" s="208"/>
      <c r="N27" s="208"/>
      <c r="O27" s="208"/>
      <c r="Q27" s="25"/>
      <c r="S27" s="72"/>
      <c r="T27" s="26"/>
      <c r="U27" s="26"/>
      <c r="V27" s="113" t="s">
        <v>159</v>
      </c>
      <c r="W27" s="242">
        <f t="shared" si="4"/>
        <v>0.97716338456067675</v>
      </c>
      <c r="X27" s="242">
        <v>1</v>
      </c>
    </row>
    <row r="28" spans="2:24" ht="12.6" thickBot="1">
      <c r="B28" s="5" t="s">
        <v>492</v>
      </c>
      <c r="C28" s="422">
        <v>2878.5160000000001</v>
      </c>
      <c r="D28" s="416">
        <v>2892.8616563087071</v>
      </c>
      <c r="E28" s="416">
        <v>2877.8236326562564</v>
      </c>
      <c r="F28" s="416">
        <v>2856.1833579597555</v>
      </c>
      <c r="G28" s="416">
        <v>2826.689964716436</v>
      </c>
      <c r="H28" s="233">
        <f>IF(ISERROR((G28/D28)^(1/3)-1),"na",(G28/D28)^(1/3)-1)</f>
        <v>-7.6835962124383039E-3</v>
      </c>
      <c r="I28" s="208"/>
      <c r="J28" s="249" t="s">
        <v>1073</v>
      </c>
      <c r="K28" s="249"/>
      <c r="L28" s="249"/>
      <c r="M28" s="249"/>
      <c r="N28" s="220"/>
      <c r="O28" s="220"/>
      <c r="P28" s="220"/>
      <c r="Q28" s="5"/>
      <c r="S28" s="72"/>
      <c r="T28" s="26"/>
      <c r="U28" s="26"/>
      <c r="V28" s="113" t="s">
        <v>381</v>
      </c>
      <c r="W28" s="242">
        <f t="shared" si="4"/>
        <v>1.2019108283045674</v>
      </c>
      <c r="X28" s="242">
        <v>1</v>
      </c>
    </row>
    <row r="29" spans="2:24" ht="12.6" thickTop="1">
      <c r="B29" s="5" t="s">
        <v>489</v>
      </c>
      <c r="C29" s="422">
        <v>608.70915447942025</v>
      </c>
      <c r="D29" s="416">
        <v>650.6840613798596</v>
      </c>
      <c r="E29" s="416">
        <v>739.83777140829284</v>
      </c>
      <c r="F29" s="416">
        <v>792.17887734639703</v>
      </c>
      <c r="G29" s="416">
        <v>843.66337183626547</v>
      </c>
      <c r="H29" s="233">
        <f>IF(D29=0,"nm",IF(G29=0,"nm",(G29/D29)^(1/3)-1))</f>
        <v>9.043473003779301E-2</v>
      </c>
      <c r="I29" s="212"/>
      <c r="J29" s="209"/>
      <c r="K29" s="209"/>
      <c r="L29" s="209"/>
      <c r="M29" s="209"/>
      <c r="N29" s="209"/>
      <c r="O29" s="211"/>
      <c r="Q29" s="5"/>
      <c r="S29" s="72"/>
      <c r="T29" s="26"/>
      <c r="U29" s="26"/>
      <c r="V29" s="113" t="s">
        <v>434</v>
      </c>
      <c r="W29" s="242">
        <f t="shared" si="4"/>
        <v>0.82322266236222408</v>
      </c>
      <c r="X29" s="242">
        <v>1</v>
      </c>
    </row>
    <row r="30" spans="2:24">
      <c r="B30" s="5" t="s">
        <v>490</v>
      </c>
      <c r="C30" s="423">
        <v>685.67799999999988</v>
      </c>
      <c r="D30" s="416">
        <v>745.63106853885711</v>
      </c>
      <c r="E30" s="416">
        <v>795.79950041286259</v>
      </c>
      <c r="F30" s="416">
        <v>840.78668376067333</v>
      </c>
      <c r="G30" s="416">
        <v>882.69215016021383</v>
      </c>
      <c r="H30" s="233">
        <f>IF(D30=0,"nm",IF(G30=0,"nm",(G30/D30)^(1/3)-1))</f>
        <v>5.7860553156127592E-2</v>
      </c>
      <c r="I30" s="214"/>
      <c r="J30" s="208"/>
      <c r="K30" s="208"/>
      <c r="L30" s="208"/>
      <c r="M30" s="208"/>
      <c r="N30" s="208"/>
      <c r="O30" s="5"/>
      <c r="Q30" s="5"/>
      <c r="S30" s="72"/>
      <c r="T30" s="26"/>
      <c r="U30" s="26"/>
      <c r="V30" s="113" t="s">
        <v>493</v>
      </c>
      <c r="W30" s="242">
        <f t="shared" si="4"/>
        <v>1.3088867714680237</v>
      </c>
      <c r="X30" s="242">
        <v>1</v>
      </c>
    </row>
    <row r="31" spans="2:24">
      <c r="B31" s="5" t="s">
        <v>491</v>
      </c>
      <c r="C31" s="423">
        <v>576.87598949999995</v>
      </c>
      <c r="D31" s="416">
        <v>304.05418577777778</v>
      </c>
      <c r="E31" s="416">
        <v>313.61312794444444</v>
      </c>
      <c r="F31" s="416">
        <v>322.06095899999991</v>
      </c>
      <c r="G31" s="416">
        <v>329.39767894444435</v>
      </c>
      <c r="H31" s="233">
        <f>IF(D31=0,"nm",IF(G31=0,"nm",(G31/D31)^(1/3)-1))</f>
        <v>2.7045890929571659E-2</v>
      </c>
      <c r="I31" s="214"/>
      <c r="J31" s="212"/>
      <c r="K31" s="212"/>
      <c r="L31" s="212"/>
      <c r="M31" s="212"/>
      <c r="N31" s="212"/>
      <c r="O31" s="5"/>
      <c r="Q31" s="5"/>
      <c r="S31" s="72"/>
      <c r="T31" s="26"/>
      <c r="U31" s="26"/>
      <c r="V31" s="113" t="s">
        <v>390</v>
      </c>
      <c r="W31" s="242">
        <f t="shared" si="4"/>
        <v>0.93119301338401439</v>
      </c>
      <c r="X31" s="242">
        <v>1</v>
      </c>
    </row>
    <row r="32" spans="2:24">
      <c r="B32" s="5" t="s">
        <v>506</v>
      </c>
      <c r="C32" s="424">
        <v>150</v>
      </c>
      <c r="D32" s="416">
        <v>180</v>
      </c>
      <c r="E32" s="416">
        <v>-150</v>
      </c>
      <c r="F32" s="416">
        <v>150</v>
      </c>
      <c r="G32" s="416">
        <v>150</v>
      </c>
      <c r="H32" s="233">
        <f>IF(D32=0,"nm",IF(G32=0,"nm",(G32/D32)^(1/3)-1))</f>
        <v>-5.8963971118971448E-2</v>
      </c>
      <c r="I32" s="214"/>
      <c r="J32" s="214"/>
      <c r="K32" s="214"/>
      <c r="L32" s="214"/>
      <c r="M32" s="214"/>
      <c r="N32" s="214"/>
      <c r="O32" s="211"/>
      <c r="Q32" s="5"/>
      <c r="S32" s="72"/>
      <c r="T32" s="26"/>
      <c r="U32" s="26"/>
      <c r="V32" s="113" t="s">
        <v>437</v>
      </c>
      <c r="W32" s="242">
        <f t="shared" si="4"/>
        <v>0.75770304478668926</v>
      </c>
      <c r="X32" s="242">
        <v>1</v>
      </c>
    </row>
    <row r="33" spans="2:24">
      <c r="B33" s="5" t="s">
        <v>3</v>
      </c>
      <c r="C33" s="423">
        <v>0</v>
      </c>
      <c r="D33" s="416">
        <v>0</v>
      </c>
      <c r="E33" s="416">
        <v>0</v>
      </c>
      <c r="F33" s="416">
        <v>0</v>
      </c>
      <c r="G33" s="416">
        <v>0</v>
      </c>
      <c r="H33" s="233" t="str">
        <f>IF(ISERROR((G33/D33)^(1/3)-1),"na",(G33/D33)^(1/3)-1)</f>
        <v>na</v>
      </c>
      <c r="I33" s="5"/>
      <c r="J33" s="214"/>
      <c r="K33" s="214"/>
      <c r="L33" s="214"/>
      <c r="M33" s="214"/>
      <c r="N33" s="214"/>
      <c r="O33" s="211"/>
      <c r="Q33" s="5"/>
      <c r="S33" s="72"/>
      <c r="T33" s="26"/>
      <c r="U33" s="26"/>
      <c r="V33" s="113" t="s">
        <v>481</v>
      </c>
      <c r="W33" s="242">
        <f t="shared" si="4"/>
        <v>0.73103572014057505</v>
      </c>
      <c r="X33" s="242">
        <v>1</v>
      </c>
    </row>
    <row r="34" spans="2:24">
      <c r="D34" s="5"/>
      <c r="E34" s="5"/>
      <c r="F34" s="5"/>
      <c r="G34" s="5"/>
      <c r="I34" s="33"/>
      <c r="J34" s="214"/>
      <c r="K34" s="214"/>
      <c r="L34" s="214"/>
      <c r="M34" s="214"/>
      <c r="N34" s="214"/>
      <c r="O34" s="211"/>
      <c r="Q34" s="5"/>
      <c r="S34" s="72"/>
      <c r="T34" s="26"/>
      <c r="U34" s="26"/>
      <c r="V34" s="113" t="s">
        <v>482</v>
      </c>
      <c r="W34" s="242">
        <f>D47/L19</f>
        <v>1.0738912187130107</v>
      </c>
      <c r="X34" s="242">
        <v>1</v>
      </c>
    </row>
    <row r="35" spans="2:24" ht="12.6" thickBot="1">
      <c r="B35" s="249" t="s">
        <v>537</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1.998496316192149</v>
      </c>
      <c r="E37" s="406">
        <f t="shared" ref="E37:G41" si="6">E$18/E23</f>
        <v>1.7932658144997025</v>
      </c>
      <c r="F37" s="406">
        <f t="shared" si="6"/>
        <v>1.6011167359666225</v>
      </c>
      <c r="G37" s="406">
        <f t="shared" si="6"/>
        <v>1.4146778587068558</v>
      </c>
      <c r="H37" s="13">
        <f t="shared" ref="H37:H45" si="7">H23</f>
        <v>3.3204386111499673E-2</v>
      </c>
      <c r="I37" s="5"/>
      <c r="J37" s="217"/>
      <c r="K37" s="217"/>
      <c r="L37" s="217"/>
      <c r="M37" s="217"/>
      <c r="N37" s="217"/>
      <c r="O37" s="14"/>
      <c r="Q37" s="5"/>
      <c r="R37" s="5"/>
      <c r="S37" s="26"/>
      <c r="T37" s="26"/>
      <c r="U37" s="26"/>
      <c r="V37" s="26"/>
      <c r="W37" s="26"/>
      <c r="X37" s="26"/>
    </row>
    <row r="38" spans="2:24">
      <c r="B38" s="5" t="s">
        <v>158</v>
      </c>
      <c r="C38" s="207"/>
      <c r="D38" s="406">
        <f>D$18/D24</f>
        <v>6.4200139242015348</v>
      </c>
      <c r="E38" s="406">
        <f t="shared" si="6"/>
        <v>5.7604522306643391</v>
      </c>
      <c r="F38" s="406">
        <f t="shared" si="6"/>
        <v>5.1356201470785319</v>
      </c>
      <c r="G38" s="406">
        <f t="shared" si="6"/>
        <v>4.5320016199172422</v>
      </c>
      <c r="H38" s="13">
        <f t="shared" si="7"/>
        <v>3.4156534467740363E-2</v>
      </c>
      <c r="I38" s="217"/>
      <c r="J38" s="13"/>
      <c r="K38" s="13"/>
      <c r="L38" s="13"/>
      <c r="M38" s="13"/>
      <c r="N38" s="13"/>
      <c r="O38" s="5"/>
      <c r="Q38" s="5"/>
      <c r="R38" s="5"/>
      <c r="S38" s="26"/>
      <c r="T38" s="26"/>
      <c r="U38" s="26"/>
      <c r="V38" s="26"/>
      <c r="W38" s="26"/>
      <c r="X38" s="26"/>
    </row>
    <row r="39" spans="2:24">
      <c r="B39" s="5" t="s">
        <v>159</v>
      </c>
      <c r="C39" s="207"/>
      <c r="D39" s="406">
        <f>D$18/D25</f>
        <v>10.107766674943406</v>
      </c>
      <c r="E39" s="406">
        <f t="shared" si="6"/>
        <v>8.5764851648683731</v>
      </c>
      <c r="F39" s="406">
        <f t="shared" si="6"/>
        <v>7.4587697816287912</v>
      </c>
      <c r="G39" s="406">
        <f t="shared" si="6"/>
        <v>6.4331739457467707</v>
      </c>
      <c r="H39" s="13">
        <f t="shared" si="7"/>
        <v>7.0485889852950789E-2</v>
      </c>
      <c r="I39" s="13"/>
      <c r="J39" s="5"/>
      <c r="K39" s="5"/>
      <c r="L39" s="5"/>
      <c r="M39" s="5"/>
      <c r="N39" s="5"/>
      <c r="O39" s="5"/>
      <c r="Q39" s="5"/>
      <c r="R39" s="5"/>
      <c r="S39" s="26"/>
      <c r="T39" s="26"/>
      <c r="U39" s="26"/>
      <c r="V39" s="26"/>
      <c r="W39" s="26"/>
      <c r="X39" s="26"/>
    </row>
    <row r="40" spans="2:24">
      <c r="B40" s="5" t="s">
        <v>381</v>
      </c>
      <c r="C40" s="207"/>
      <c r="D40" s="406">
        <f>D$18/D26</f>
        <v>16.285927443566074</v>
      </c>
      <c r="E40" s="406">
        <f t="shared" si="6"/>
        <v>13.723249144328195</v>
      </c>
      <c r="F40" s="406">
        <f t="shared" si="6"/>
        <v>11.897713798435017</v>
      </c>
      <c r="G40" s="406">
        <f t="shared" si="6"/>
        <v>10.233317058013677</v>
      </c>
      <c r="H40" s="13">
        <f t="shared" si="7"/>
        <v>7.5068980470980762E-2</v>
      </c>
      <c r="I40" s="5"/>
      <c r="J40" s="217"/>
      <c r="K40" s="217"/>
      <c r="L40" s="217"/>
      <c r="M40" s="217"/>
      <c r="N40" s="217"/>
      <c r="O40" s="14"/>
      <c r="Q40" s="5"/>
      <c r="R40" s="5"/>
      <c r="S40" s="26"/>
      <c r="T40" s="26"/>
      <c r="U40" s="26"/>
      <c r="V40" s="26"/>
      <c r="W40" s="242"/>
      <c r="X40" s="242"/>
    </row>
    <row r="41" spans="2:24">
      <c r="B41" s="5" t="s">
        <v>434</v>
      </c>
      <c r="C41" s="207"/>
      <c r="D41" s="406">
        <f>D$18/D27</f>
        <v>1.4220792979682786</v>
      </c>
      <c r="E41" s="406">
        <f t="shared" si="6"/>
        <v>1.2665217426748645</v>
      </c>
      <c r="F41" s="406">
        <f t="shared" si="6"/>
        <v>1.1181907790395229</v>
      </c>
      <c r="G41" s="406">
        <f t="shared" si="6"/>
        <v>0.97622590708810686</v>
      </c>
      <c r="H41" s="13">
        <f t="shared" si="7"/>
        <v>4.3827668451490442E-2</v>
      </c>
      <c r="I41" s="207"/>
      <c r="J41" s="13"/>
      <c r="K41" s="13"/>
      <c r="L41" s="13"/>
      <c r="M41" s="13"/>
      <c r="N41" s="13"/>
      <c r="O41" s="5"/>
      <c r="Q41" s="5"/>
      <c r="R41" s="5"/>
      <c r="S41" s="26"/>
      <c r="T41" s="26"/>
      <c r="U41" s="26"/>
      <c r="V41" s="26"/>
      <c r="W41" s="242"/>
      <c r="X41" s="242"/>
    </row>
    <row r="42" spans="2:24">
      <c r="B42" s="5" t="s">
        <v>493</v>
      </c>
      <c r="C42" s="207"/>
      <c r="D42" s="406">
        <f>D18/D28</f>
        <v>4.2685913610544981</v>
      </c>
      <c r="E42" s="406">
        <f>E18/E28</f>
        <v>4.000328832475617</v>
      </c>
      <c r="F42" s="406">
        <f>F18/F28</f>
        <v>3.7136200705582914</v>
      </c>
      <c r="G42" s="406">
        <f>G18/G28</f>
        <v>3.4107272964343345</v>
      </c>
      <c r="H42" s="13">
        <f t="shared" si="7"/>
        <v>-7.6835962124383039E-3</v>
      </c>
      <c r="I42" s="208"/>
      <c r="J42" s="5"/>
      <c r="K42" s="5"/>
      <c r="L42" s="5"/>
      <c r="M42" s="5"/>
      <c r="N42" s="5"/>
      <c r="O42" s="5"/>
      <c r="Q42" s="5"/>
      <c r="R42" s="5"/>
      <c r="S42" s="26"/>
      <c r="T42" s="26"/>
      <c r="U42" s="26"/>
      <c r="V42" s="26"/>
      <c r="W42" s="242"/>
      <c r="X42" s="242"/>
    </row>
    <row r="43" spans="2:24">
      <c r="B43" s="5" t="s">
        <v>390</v>
      </c>
      <c r="C43" s="207"/>
      <c r="D43" s="406">
        <f>L26/D29</f>
        <v>14.982290039234313</v>
      </c>
      <c r="E43" s="406">
        <f>M26/E29</f>
        <v>12.791638514867422</v>
      </c>
      <c r="F43" s="406">
        <f>N26/F29</f>
        <v>11.586697896119741</v>
      </c>
      <c r="G43" s="406">
        <f>O26/G29</f>
        <v>10.541808058043861</v>
      </c>
      <c r="H43" s="13">
        <f t="shared" si="7"/>
        <v>9.043473003779301E-2</v>
      </c>
      <c r="I43" s="207"/>
      <c r="J43" s="207"/>
      <c r="K43" s="207"/>
      <c r="L43" s="207"/>
      <c r="M43" s="207"/>
      <c r="N43" s="207"/>
      <c r="O43" s="14"/>
      <c r="Q43" s="5"/>
      <c r="R43" s="5"/>
      <c r="S43" s="26"/>
      <c r="T43" s="26"/>
      <c r="U43" s="26"/>
      <c r="V43" s="26"/>
      <c r="W43" s="242"/>
      <c r="X43" s="242"/>
    </row>
    <row r="44" spans="2:24">
      <c r="B44" s="5" t="s">
        <v>437</v>
      </c>
      <c r="C44" s="53"/>
      <c r="D44" s="406">
        <f>D11/D30</f>
        <v>13.074478442272637</v>
      </c>
      <c r="E44" s="406">
        <f>E11/E30</f>
        <v>11.892112682390716</v>
      </c>
      <c r="F44" s="406">
        <f>F11/F30</f>
        <v>10.916844318282148</v>
      </c>
      <c r="G44" s="406">
        <f>G11/G30</f>
        <v>10.075695507075407</v>
      </c>
      <c r="H44" s="13">
        <f t="shared" si="7"/>
        <v>5.7860553156127592E-2</v>
      </c>
      <c r="I44" s="207"/>
      <c r="J44" s="208"/>
      <c r="K44" s="208"/>
      <c r="L44" s="208"/>
      <c r="M44" s="208"/>
      <c r="N44" s="208"/>
      <c r="O44" s="208"/>
      <c r="Q44" s="5"/>
      <c r="R44" s="5"/>
      <c r="S44" s="26"/>
      <c r="T44" s="26"/>
      <c r="U44" s="26"/>
      <c r="V44" s="26"/>
      <c r="W44" s="255"/>
      <c r="X44" s="255"/>
    </row>
    <row r="45" spans="2:24">
      <c r="B45" s="5" t="s">
        <v>481</v>
      </c>
      <c r="C45" s="207"/>
      <c r="D45" s="208">
        <f>D31/D11</f>
        <v>3.1189083820662773E-2</v>
      </c>
      <c r="E45" s="208">
        <f>E31/E11</f>
        <v>3.3138401559454196E-2</v>
      </c>
      <c r="F45" s="208">
        <f>F31/F11</f>
        <v>3.5087719298245619E-2</v>
      </c>
      <c r="G45" s="208">
        <f>G31/G11</f>
        <v>3.7037037037037042E-2</v>
      </c>
      <c r="H45" s="13">
        <f t="shared" si="7"/>
        <v>2.7045890929571659E-2</v>
      </c>
      <c r="I45" s="208"/>
      <c r="J45" s="207"/>
      <c r="K45" s="207"/>
      <c r="L45" s="207"/>
      <c r="M45" s="207"/>
      <c r="N45" s="207"/>
      <c r="O45" s="208"/>
      <c r="Q45" s="5"/>
      <c r="R45" s="5"/>
      <c r="S45" s="26"/>
      <c r="T45" s="26"/>
      <c r="U45" s="26"/>
      <c r="V45" s="26"/>
      <c r="W45" s="26"/>
      <c r="X45" s="26"/>
    </row>
    <row r="46" spans="2:24">
      <c r="B46" s="5" t="s">
        <v>505</v>
      </c>
      <c r="C46" s="207"/>
      <c r="D46" s="208">
        <f>(D31+D32)/D11</f>
        <v>4.965301344346492E-2</v>
      </c>
      <c r="E46" s="208">
        <f>(E31+E32)/E11</f>
        <v>1.728842657116645E-2</v>
      </c>
      <c r="F46" s="208">
        <f>(F31+F32)/F11</f>
        <v>5.1429836365396386E-2</v>
      </c>
      <c r="G46" s="208">
        <f>(G31+G32)/G11</f>
        <v>5.3902837589604222E-2</v>
      </c>
      <c r="H46" s="233">
        <f>((G31+G32)/(D31+D32))^(1/3)-1</f>
        <v>-3.2169392378770256E-3</v>
      </c>
      <c r="I46" s="207"/>
      <c r="J46" s="207"/>
      <c r="K46" s="207"/>
      <c r="L46" s="207"/>
      <c r="M46" s="207"/>
      <c r="N46" s="207"/>
      <c r="O46" s="14"/>
      <c r="Q46" s="5"/>
      <c r="R46" s="5"/>
      <c r="S46" s="26"/>
      <c r="T46" s="26"/>
      <c r="U46" s="26"/>
      <c r="V46" s="26"/>
      <c r="W46" s="26"/>
      <c r="X46" s="26"/>
    </row>
    <row r="47" spans="2:24">
      <c r="B47" s="5" t="s">
        <v>482</v>
      </c>
      <c r="C47" s="5"/>
      <c r="D47" s="208">
        <f>1/D43</f>
        <v>6.674547064442668E-2</v>
      </c>
      <c r="E47" s="208">
        <f>1/E43</f>
        <v>7.8176067814746591E-2</v>
      </c>
      <c r="F47" s="208">
        <f>1/F43</f>
        <v>8.6305866344792606E-2</v>
      </c>
      <c r="G47" s="208">
        <f>1/G43</f>
        <v>9.4860387752645173E-2</v>
      </c>
      <c r="H47" s="13">
        <f>H29</f>
        <v>9.043473003779301E-2</v>
      </c>
      <c r="I47" s="13"/>
      <c r="J47" s="208"/>
      <c r="K47" s="208"/>
      <c r="L47" s="208"/>
      <c r="M47" s="208"/>
      <c r="N47" s="208"/>
      <c r="O47" s="208"/>
      <c r="Q47" s="5"/>
      <c r="R47" s="5"/>
      <c r="S47" s="26"/>
      <c r="T47" s="26"/>
      <c r="U47" s="26"/>
      <c r="V47" s="26"/>
      <c r="W47" s="26"/>
      <c r="X47" s="26"/>
    </row>
    <row r="48" spans="2:24">
      <c r="B48" s="5" t="s">
        <v>518</v>
      </c>
      <c r="C48" s="5"/>
      <c r="D48" s="248">
        <f>D31/D29</f>
        <v>0.46728389985915991</v>
      </c>
      <c r="E48" s="248">
        <f>E31/E29</f>
        <v>0.42389445370905693</v>
      </c>
      <c r="F48" s="248">
        <f>F31/F29</f>
        <v>0.4065508033726225</v>
      </c>
      <c r="G48" s="248">
        <f>G31/G29</f>
        <v>0.39043733548310594</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KDDISOP!A1" display="Jump to KDDI SOP" xr:uid="{00000000-0004-0000-3100-000001000000}"/>
  </hyperlinks>
  <pageMargins left="0.75" right="0.75" top="1" bottom="1" header="0.5" footer="0.5"/>
  <pageSetup scale="7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6">
    <tabColor theme="3" tint="0.79998168889431442"/>
    <pageSetUpPr autoPageBreaks="0"/>
  </sheetPr>
  <dimension ref="A1:DI772"/>
  <sheetViews>
    <sheetView showGridLines="0" zoomScale="80" zoomScaleNormal="80" zoomScaleSheetLayoutView="80" workbookViewId="0">
      <pane ySplit="5" topLeftCell="A6" activePane="bottomLeft" state="frozen"/>
      <selection pane="bottomLeft" activeCell="I36" sqref="I36"/>
    </sheetView>
  </sheetViews>
  <sheetFormatPr defaultColWidth="8.88671875" defaultRowHeight="12"/>
  <cols>
    <col min="1" max="1" width="20" style="112" customWidth="1"/>
    <col min="2" max="2" width="2.33203125" style="26" customWidth="1"/>
    <col min="3" max="3" width="26.6640625" style="23" customWidth="1"/>
    <col min="4" max="4" width="11.109375" style="23" customWidth="1"/>
    <col min="5" max="7" width="11.109375" style="5" customWidth="1"/>
    <col min="8" max="8" width="2.33203125" style="23" customWidth="1"/>
    <col min="9" max="12" width="11.109375" style="23" customWidth="1"/>
    <col min="13" max="13" width="11.109375" style="53" customWidth="1"/>
    <col min="14" max="14" width="2.33203125" style="23" customWidth="1"/>
    <col min="15" max="18" width="11.109375" style="23" customWidth="1"/>
    <col min="19" max="19" width="11.109375" style="53" customWidth="1"/>
    <col min="20" max="20" width="2.33203125" style="23" customWidth="1"/>
    <col min="21" max="21" width="11.109375" style="23" customWidth="1"/>
    <col min="22" max="22" width="26.6640625" style="23" customWidth="1"/>
    <col min="23" max="23" width="9.44140625" style="5" bestFit="1" customWidth="1"/>
    <col min="24" max="24" width="9.44140625" style="5" customWidth="1"/>
    <col min="25" max="25" width="10.33203125" style="5" customWidth="1"/>
    <col min="26" max="26" width="3.6640625" style="5" customWidth="1"/>
    <col min="27" max="27" width="10.5546875" style="5" customWidth="1"/>
    <col min="28" max="28" width="8.6640625" style="47"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6384" width="8.88671875" style="23"/>
  </cols>
  <sheetData>
    <row r="1" spans="1:69" s="115" customFormat="1">
      <c r="A1" s="102"/>
      <c r="B1" s="114"/>
      <c r="F1" s="116"/>
      <c r="M1" s="117"/>
      <c r="S1" s="117"/>
      <c r="AB1" s="118"/>
      <c r="AC1" s="118"/>
    </row>
    <row r="2" spans="1:69" s="115" customFormat="1">
      <c r="A2" s="102"/>
      <c r="B2" s="114"/>
      <c r="M2" s="117"/>
      <c r="S2" s="117"/>
      <c r="AB2" s="118"/>
      <c r="AC2" s="118"/>
    </row>
    <row r="3" spans="1:69" s="115" customFormat="1">
      <c r="A3" s="102"/>
      <c r="B3" s="114"/>
      <c r="U3" s="119"/>
      <c r="AB3" s="118"/>
      <c r="AC3" s="118"/>
    </row>
    <row r="4" spans="1:69" s="122" customFormat="1" ht="21">
      <c r="A4" s="99"/>
      <c r="B4" s="120"/>
      <c r="C4" s="121" t="s">
        <v>172</v>
      </c>
      <c r="AB4" s="123"/>
      <c r="AC4" s="123"/>
    </row>
    <row r="5" spans="1:69" s="102" customFormat="1">
      <c r="B5" s="124"/>
      <c r="D5" s="119"/>
      <c r="E5" s="119"/>
      <c r="F5" s="119"/>
      <c r="G5" s="119"/>
      <c r="H5" s="119"/>
      <c r="I5" s="119" t="str" cm="1">
        <f t="array" ref="I5:M5">headings</f>
        <v>2025E</v>
      </c>
      <c r="J5" s="119" t="str">
        <v>2026E</v>
      </c>
      <c r="K5" s="119" t="str">
        <v>2027E</v>
      </c>
      <c r="L5" s="119" t="str">
        <v>2028E</v>
      </c>
      <c r="M5" s="119" t="str">
        <v>2025-28</v>
      </c>
      <c r="O5" s="119" t="str" cm="1">
        <f t="array" ref="O5:S5">headings</f>
        <v>2025E</v>
      </c>
      <c r="P5" s="119" t="str">
        <v>2026E</v>
      </c>
      <c r="Q5" s="119" t="str">
        <v>2027E</v>
      </c>
      <c r="R5" s="119" t="str">
        <v>2028E</v>
      </c>
      <c r="S5" s="119" t="str">
        <v>2025-28</v>
      </c>
      <c r="T5" s="119"/>
      <c r="U5" s="126"/>
      <c r="V5" s="127"/>
      <c r="Z5" s="119"/>
      <c r="AC5" s="127"/>
      <c r="AD5" s="128"/>
      <c r="AE5" s="128"/>
      <c r="AF5" s="128"/>
      <c r="AG5" s="128"/>
      <c r="AH5" s="128"/>
      <c r="AI5" s="128"/>
      <c r="AJ5" s="128"/>
      <c r="AK5" s="128"/>
      <c r="AL5" s="128"/>
      <c r="AM5" s="128"/>
      <c r="AN5" s="128"/>
      <c r="AO5" s="128"/>
      <c r="AP5" s="128"/>
      <c r="AQ5" s="128"/>
      <c r="AR5" s="128"/>
      <c r="AS5" s="128"/>
      <c r="AT5" s="128"/>
      <c r="AU5" s="128"/>
      <c r="AV5" s="128"/>
      <c r="AW5" s="128"/>
      <c r="BC5" s="129"/>
      <c r="BD5" s="129"/>
      <c r="BE5" s="129"/>
      <c r="BG5" s="129"/>
      <c r="BH5" s="129"/>
      <c r="BI5" s="129"/>
      <c r="BK5" s="129"/>
      <c r="BL5" s="129"/>
      <c r="BM5" s="129"/>
      <c r="BO5" s="129"/>
      <c r="BP5" s="129"/>
      <c r="BQ5" s="129"/>
    </row>
    <row r="6" spans="1:69" s="5" customFormat="1">
      <c r="A6" s="25"/>
      <c r="B6" s="26"/>
      <c r="D6" s="33"/>
      <c r="E6" s="53"/>
      <c r="F6" s="53"/>
      <c r="G6" s="53"/>
      <c r="H6" s="105"/>
      <c r="I6" s="34"/>
      <c r="J6" s="34"/>
      <c r="K6" s="34"/>
      <c r="L6" s="34"/>
      <c r="M6" s="34"/>
      <c r="N6" s="40"/>
      <c r="O6" s="34"/>
      <c r="P6" s="34"/>
      <c r="Q6" s="34"/>
      <c r="R6" s="34"/>
      <c r="S6" s="34"/>
      <c r="T6" s="30"/>
      <c r="U6" s="105"/>
      <c r="V6" s="47"/>
      <c r="Z6" s="33"/>
      <c r="AT6" s="53"/>
      <c r="AU6" s="53"/>
      <c r="AV6" s="53"/>
      <c r="AW6" s="53"/>
      <c r="BC6" s="49"/>
      <c r="BD6" s="49"/>
      <c r="BE6" s="49"/>
      <c r="BG6" s="49"/>
      <c r="BH6" s="49"/>
      <c r="BI6" s="49"/>
      <c r="BK6" s="49"/>
      <c r="BL6" s="49"/>
      <c r="BM6" s="49"/>
      <c r="BO6" s="49"/>
      <c r="BP6" s="49"/>
      <c r="BQ6" s="49"/>
    </row>
    <row r="7" spans="1:69" s="25" customFormat="1">
      <c r="B7" s="113"/>
      <c r="C7" s="130"/>
      <c r="D7" s="131" t="s">
        <v>379</v>
      </c>
      <c r="E7" s="131" t="s">
        <v>50</v>
      </c>
      <c r="F7" s="131" t="s">
        <v>52</v>
      </c>
      <c r="G7" s="131" t="s">
        <v>49</v>
      </c>
      <c r="H7" s="33"/>
      <c r="I7" s="132" t="s">
        <v>158</v>
      </c>
      <c r="J7" s="132"/>
      <c r="K7" s="132"/>
      <c r="L7" s="132"/>
      <c r="M7" s="132"/>
      <c r="O7" s="132" t="s">
        <v>159</v>
      </c>
      <c r="P7" s="132"/>
      <c r="Q7" s="132"/>
      <c r="R7" s="132"/>
      <c r="S7" s="132"/>
      <c r="T7" s="33"/>
      <c r="U7" s="133" t="s">
        <v>379</v>
      </c>
      <c r="V7" s="131"/>
      <c r="Z7" s="33"/>
      <c r="AC7" s="106"/>
      <c r="AD7" s="107"/>
      <c r="AE7" s="107"/>
      <c r="AF7" s="107"/>
      <c r="AG7" s="107"/>
      <c r="AH7" s="107"/>
      <c r="AI7" s="107"/>
      <c r="AJ7" s="107"/>
      <c r="AK7" s="107"/>
      <c r="AL7" s="107"/>
      <c r="AM7" s="107"/>
      <c r="AN7" s="107"/>
      <c r="AO7" s="107"/>
      <c r="AP7" s="107"/>
      <c r="AQ7" s="107"/>
      <c r="AR7" s="107"/>
      <c r="AS7" s="107"/>
      <c r="AT7" s="107"/>
      <c r="AU7" s="107"/>
      <c r="AV7" s="107"/>
      <c r="AW7" s="107"/>
      <c r="BC7" s="108"/>
      <c r="BD7" s="108"/>
      <c r="BE7" s="108"/>
      <c r="BG7" s="108"/>
      <c r="BH7" s="108"/>
      <c r="BI7" s="108"/>
      <c r="BK7" s="108"/>
      <c r="BL7" s="108"/>
      <c r="BM7" s="108"/>
      <c r="BO7" s="108"/>
      <c r="BP7" s="108"/>
      <c r="BQ7" s="108"/>
    </row>
    <row r="8" spans="1:69" s="5" customFormat="1">
      <c r="A8" s="25" t="s">
        <v>415</v>
      </c>
      <c r="B8" s="26" t="s">
        <v>1123</v>
      </c>
      <c r="C8" s="32" t="s">
        <v>160</v>
      </c>
      <c r="D8" s="28" t="str">
        <f>B8&amp;TEXT(Prices!C8/100,"0.00")</f>
        <v>GBP2.24</v>
      </c>
      <c r="E8" s="28" t="str">
        <f>B8&amp;TEXT(Prices!E8/100,"0.00")</f>
        <v>GBP2.40</v>
      </c>
      <c r="F8" s="29">
        <f>Prices!F8</f>
        <v>7.1189466636911503E-2</v>
      </c>
      <c r="G8" s="28" t="str">
        <f>Prices!D8</f>
        <v>Neutral</v>
      </c>
      <c r="H8" s="30"/>
      <c r="I8" s="31">
        <f>BT!$D$38</f>
        <v>5.7264352279946653</v>
      </c>
      <c r="J8" s="31">
        <f>BT!$E$38</f>
        <v>5.4209928156222578</v>
      </c>
      <c r="K8" s="31">
        <f>BT!$F$38</f>
        <v>5.1360885119240871</v>
      </c>
      <c r="L8" s="31">
        <f>BT!$G$38</f>
        <v>4.8873473130173997</v>
      </c>
      <c r="M8" s="29">
        <f>BT!$H$38</f>
        <v>8.8597740191094232E-3</v>
      </c>
      <c r="N8" s="30"/>
      <c r="O8" s="31">
        <f>BT!$D$39</f>
        <v>19.949902723059925</v>
      </c>
      <c r="P8" s="31">
        <f>BT!$E$39</f>
        <v>13.338890293203644</v>
      </c>
      <c r="Q8" s="31">
        <f>BT!$F$39</f>
        <v>11.184808253830193</v>
      </c>
      <c r="R8" s="31">
        <f>BT!$G$39</f>
        <v>9.7577813126541599</v>
      </c>
      <c r="S8" s="29">
        <f>BT!$H$39</f>
        <v>0.21457309486903919</v>
      </c>
      <c r="T8" s="30"/>
      <c r="U8" s="32" t="str">
        <f t="shared" ref="U8:U18" si="0">D8</f>
        <v>GBP2.24</v>
      </c>
      <c r="V8" s="53" t="s">
        <v>160</v>
      </c>
      <c r="Z8" s="30"/>
      <c r="AF8" s="19"/>
      <c r="AG8" s="19"/>
      <c r="AJ8" s="48"/>
      <c r="AK8" s="48"/>
      <c r="AN8" s="48"/>
      <c r="AO8" s="48"/>
      <c r="AR8" s="48"/>
      <c r="AS8" s="48"/>
      <c r="AU8" s="53"/>
      <c r="AV8" s="53"/>
      <c r="AW8" s="53"/>
      <c r="BC8" s="49"/>
      <c r="BD8" s="49"/>
      <c r="BE8" s="49"/>
      <c r="BG8" s="49"/>
      <c r="BH8" s="49"/>
      <c r="BI8" s="49"/>
      <c r="BK8" s="49"/>
      <c r="BL8" s="49"/>
      <c r="BM8" s="49"/>
      <c r="BO8" s="49"/>
      <c r="BP8" s="49"/>
      <c r="BQ8" s="49"/>
    </row>
    <row r="9" spans="1:69" s="5" customFormat="1">
      <c r="A9" s="25"/>
      <c r="B9" s="26" t="s">
        <v>1119</v>
      </c>
      <c r="C9" s="32" t="s">
        <v>161</v>
      </c>
      <c r="D9" s="28" t="str">
        <f>B9&amp;TEXT(Prices!C9,"0.00")</f>
        <v>EUR 27.67</v>
      </c>
      <c r="E9" s="28" t="str">
        <f>B9&amp;TEXT(Prices!E9,"0.00")</f>
        <v>EUR 43.00</v>
      </c>
      <c r="F9" s="29">
        <f>Prices!F9</f>
        <v>0.55402963498373681</v>
      </c>
      <c r="G9" s="28" t="str">
        <f>Prices!D9</f>
        <v>Buy</v>
      </c>
      <c r="H9" s="30"/>
      <c r="I9" s="31">
        <f>DT!$D$38</f>
        <v>7.6591153539572936</v>
      </c>
      <c r="J9" s="31">
        <f>DT!$E$38</f>
        <v>6.994730933204373</v>
      </c>
      <c r="K9" s="31">
        <f>DT!$F$38</f>
        <v>6.2597334568387266</v>
      </c>
      <c r="L9" s="31">
        <f>DT!$G$38</f>
        <v>5.6674074679281965</v>
      </c>
      <c r="M9" s="29">
        <f>DT!$H$38</f>
        <v>5.977782216933325E-2</v>
      </c>
      <c r="N9" s="30"/>
      <c r="O9" s="31">
        <f>DT!$D$39</f>
        <v>12.982829116011281</v>
      </c>
      <c r="P9" s="31">
        <f>DT!$E$39</f>
        <v>11.373828405957466</v>
      </c>
      <c r="Q9" s="31">
        <f>DT!$F$39</f>
        <v>9.6889063583237487</v>
      </c>
      <c r="R9" s="31">
        <f>DT!$G$39</f>
        <v>8.584034350160044</v>
      </c>
      <c r="S9" s="29">
        <f>DT!$H$39</f>
        <v>0.1002956619741584</v>
      </c>
      <c r="T9" s="30"/>
      <c r="U9" s="32" t="str">
        <f t="shared" si="0"/>
        <v>EUR 27.67</v>
      </c>
      <c r="V9" s="53" t="s">
        <v>161</v>
      </c>
      <c r="Z9" s="30"/>
      <c r="AF9" s="19"/>
      <c r="AG9" s="19"/>
      <c r="AJ9" s="48"/>
      <c r="AK9" s="48"/>
      <c r="AN9" s="48"/>
      <c r="AO9" s="48"/>
      <c r="AR9" s="48"/>
      <c r="AS9" s="48"/>
      <c r="BC9" s="49"/>
      <c r="BD9" s="49"/>
      <c r="BE9" s="49"/>
      <c r="BG9" s="49"/>
      <c r="BH9" s="49"/>
      <c r="BI9" s="49"/>
      <c r="BK9" s="49"/>
      <c r="BL9" s="49"/>
      <c r="BM9" s="49"/>
      <c r="BO9" s="49"/>
      <c r="BP9" s="49"/>
      <c r="BQ9" s="49"/>
    </row>
    <row r="10" spans="1:69" s="5" customFormat="1">
      <c r="A10" s="25"/>
      <c r="B10" s="26" t="s">
        <v>1119</v>
      </c>
      <c r="C10" s="32" t="s">
        <v>373</v>
      </c>
      <c r="D10" s="28" t="str">
        <f>B10&amp;TEXT(Prices!C10,"0.00")</f>
        <v>EUR 4.66</v>
      </c>
      <c r="E10" s="28" t="str">
        <f>B10&amp;TEXT(Prices!E10,"0.00")</f>
        <v>EUR 4.33</v>
      </c>
      <c r="F10" s="29">
        <f>Prices!F10</f>
        <v>-7.2021498159240971E-2</v>
      </c>
      <c r="G10" s="28" t="str">
        <f>Prices!D10</f>
        <v>Neutral</v>
      </c>
      <c r="H10" s="30"/>
      <c r="I10" s="31">
        <f>KPN!$D$38</f>
        <v>9.507194679252521</v>
      </c>
      <c r="J10" s="31">
        <f>KPN!$E$38</f>
        <v>9.1893189470719996</v>
      </c>
      <c r="K10" s="31">
        <f>KPN!$F$38</f>
        <v>8.590764228714578</v>
      </c>
      <c r="L10" s="31">
        <f>KPN!$G$38</f>
        <v>7.9625122743836032</v>
      </c>
      <c r="M10" s="29">
        <f>KPN!$H$38</f>
        <v>2.0230967832902902E-2</v>
      </c>
      <c r="N10" s="30"/>
      <c r="O10" s="31">
        <f>KPN!$D$39</f>
        <v>18.253260235711899</v>
      </c>
      <c r="P10" s="31">
        <f>KPN!$E$39</f>
        <v>17.261714786754787</v>
      </c>
      <c r="Q10" s="31">
        <f>KPN!$F$39</f>
        <v>13.544019719949882</v>
      </c>
      <c r="R10" s="31">
        <f>KPN!$G$39</f>
        <v>12.380612222115412</v>
      </c>
      <c r="S10" s="29">
        <f>KPN!$H$39</f>
        <v>9.4537181734261511E-2</v>
      </c>
      <c r="T10" s="30"/>
      <c r="U10" s="32" t="str">
        <f t="shared" si="0"/>
        <v>EUR 4.66</v>
      </c>
      <c r="V10" s="53" t="s">
        <v>373</v>
      </c>
      <c r="Z10" s="30"/>
      <c r="AF10" s="19"/>
      <c r="AG10" s="19"/>
      <c r="AJ10" s="48"/>
      <c r="AK10" s="48"/>
      <c r="AN10" s="48"/>
      <c r="AO10" s="48"/>
      <c r="AR10" s="48"/>
      <c r="AS10" s="48"/>
      <c r="AT10" s="53"/>
      <c r="BC10" s="49"/>
      <c r="BD10" s="49"/>
      <c r="BE10" s="49"/>
      <c r="BG10" s="49"/>
      <c r="BH10" s="49"/>
      <c r="BI10" s="49"/>
      <c r="BK10" s="49"/>
      <c r="BL10" s="49"/>
      <c r="BM10" s="49"/>
      <c r="BO10" s="49"/>
      <c r="BP10" s="49"/>
      <c r="BQ10" s="49"/>
    </row>
    <row r="11" spans="1:69" s="5" customFormat="1">
      <c r="A11" s="25"/>
      <c r="B11" s="26" t="s">
        <v>1119</v>
      </c>
      <c r="C11" s="32" t="s">
        <v>604</v>
      </c>
      <c r="D11" s="28" t="str">
        <f>B11&amp;TEXT(Prices!C11,"0.00")</f>
        <v>EUR 17.64</v>
      </c>
      <c r="E11" s="28" t="str">
        <f>B11&amp;TEXT(Prices!E11,"0.00")</f>
        <v>EUR 18.80</v>
      </c>
      <c r="F11" s="29">
        <f>Prices!F11</f>
        <v>6.5759637188208542E-2</v>
      </c>
      <c r="G11" s="28" t="str">
        <f>Prices!D11</f>
        <v>Neutral</v>
      </c>
      <c r="H11" s="30"/>
      <c r="I11" s="31">
        <f>ORA!$D$38</f>
        <v>8.1352132442180096</v>
      </c>
      <c r="J11" s="31">
        <f>ORA!$E$38</f>
        <v>7.321447289318292</v>
      </c>
      <c r="K11" s="31">
        <f>ORA!$F$38</f>
        <v>6.9615651953334101</v>
      </c>
      <c r="L11" s="31">
        <f>ORA!$G$38</f>
        <v>6.4661643426142925</v>
      </c>
      <c r="M11" s="29">
        <f>ORA!$H$38</f>
        <v>9.0729798533138561E-2</v>
      </c>
      <c r="N11" s="30"/>
      <c r="O11" s="31">
        <f>ORA!$D$39</f>
        <v>16.200272940817406</v>
      </c>
      <c r="P11" s="31">
        <f>ORA!$E$39</f>
        <v>13.810734794106656</v>
      </c>
      <c r="Q11" s="31">
        <f>ORA!$F$39</f>
        <v>12.663670932252547</v>
      </c>
      <c r="R11" s="31">
        <f>ORA!$G$39</f>
        <v>11.67910068537291</v>
      </c>
      <c r="S11" s="29">
        <f>ORA!$H$39</f>
        <v>0.12680150962284586</v>
      </c>
      <c r="T11" s="30"/>
      <c r="U11" s="32" t="str">
        <f t="shared" si="0"/>
        <v>EUR 17.64</v>
      </c>
      <c r="V11" s="53" t="s">
        <v>604</v>
      </c>
      <c r="Z11" s="30"/>
      <c r="AF11" s="19"/>
      <c r="AG11" s="19"/>
      <c r="AJ11" s="48"/>
      <c r="AK11" s="48"/>
      <c r="AN11" s="48"/>
      <c r="AO11" s="48"/>
      <c r="AR11" s="48"/>
      <c r="AS11" s="48"/>
      <c r="BC11" s="49"/>
      <c r="BD11" s="49"/>
      <c r="BE11" s="49"/>
      <c r="BG11" s="49"/>
      <c r="BH11" s="49"/>
      <c r="BI11" s="49"/>
      <c r="BK11" s="49"/>
      <c r="BL11" s="49"/>
      <c r="BM11" s="49"/>
      <c r="BO11" s="49"/>
      <c r="BP11" s="49"/>
      <c r="BQ11" s="49"/>
    </row>
    <row r="12" spans="1:69" s="5" customFormat="1">
      <c r="A12" s="25"/>
      <c r="B12" s="26" t="s">
        <v>1119</v>
      </c>
      <c r="C12" s="32" t="s">
        <v>374</v>
      </c>
      <c r="D12" s="28" t="str">
        <f>B12&amp;TEXT(Prices!C12,"0.00")</f>
        <v>EUR 18.29</v>
      </c>
      <c r="E12" s="28" t="str">
        <f>B12&amp;TEXT(Prices!E12,"0.00")</f>
        <v>EUR 22.10</v>
      </c>
      <c r="F12" s="29">
        <f>Prices!F12</f>
        <v>0.20831055221432493</v>
      </c>
      <c r="G12" s="28" t="str">
        <f>Prices!D12</f>
        <v>Buy</v>
      </c>
      <c r="H12" s="30"/>
      <c r="I12" s="31">
        <f>OTE!$D$38</f>
        <v>5.9818843717690431</v>
      </c>
      <c r="J12" s="31">
        <f>OTE!$E$38</f>
        <v>5.3019587197631752</v>
      </c>
      <c r="K12" s="31">
        <f>OTE!$F$38</f>
        <v>4.8630376276097822</v>
      </c>
      <c r="L12" s="31">
        <f>OTE!$G$38</f>
        <v>4.3707449213643779</v>
      </c>
      <c r="M12" s="29">
        <f>OTE!$H$38</f>
        <v>2.3258925503916172E-2</v>
      </c>
      <c r="N12" s="30"/>
      <c r="O12" s="31">
        <f>OTE!$D$39</f>
        <v>11.015067953342271</v>
      </c>
      <c r="P12" s="31">
        <f>OTE!$E$39</f>
        <v>9.2771371087384473</v>
      </c>
      <c r="Q12" s="31">
        <f>OTE!$F$39</f>
        <v>8.3679480811652667</v>
      </c>
      <c r="R12" s="31">
        <f>OTE!$G$39</f>
        <v>7.2339164248315333</v>
      </c>
      <c r="S12" s="29">
        <f>OTE!$H$39</f>
        <v>6.0301205854351947E-2</v>
      </c>
      <c r="T12" s="30"/>
      <c r="U12" s="32" t="str">
        <f t="shared" si="0"/>
        <v>EUR 18.29</v>
      </c>
      <c r="V12" s="53" t="s">
        <v>374</v>
      </c>
      <c r="Z12" s="30"/>
      <c r="AF12" s="19"/>
      <c r="AG12" s="19"/>
      <c r="AJ12" s="48"/>
      <c r="AK12" s="48"/>
      <c r="AN12" s="48"/>
      <c r="AO12" s="48"/>
      <c r="AR12" s="48"/>
      <c r="AS12" s="48"/>
      <c r="BC12" s="49"/>
      <c r="BD12" s="49"/>
      <c r="BE12" s="49"/>
      <c r="BG12" s="49"/>
      <c r="BH12" s="49"/>
      <c r="BI12" s="49"/>
      <c r="BK12" s="49"/>
      <c r="BL12" s="49"/>
      <c r="BM12" s="49"/>
      <c r="BO12" s="49"/>
      <c r="BP12" s="49"/>
      <c r="BQ12" s="49"/>
    </row>
    <row r="13" spans="1:69" s="5" customFormat="1">
      <c r="A13" s="25"/>
      <c r="B13" s="26" t="s">
        <v>1119</v>
      </c>
      <c r="C13" s="32" t="s">
        <v>686</v>
      </c>
      <c r="D13" s="28" t="str">
        <f>B13&amp;TEXT(Prices!C13,"0.0")</f>
        <v>EUR 6.6</v>
      </c>
      <c r="E13" s="28" t="str">
        <f>B13&amp;TEXT(Prices!E13,"0.0")</f>
        <v>EUR 13.3</v>
      </c>
      <c r="F13" s="29">
        <f>Prices!F13</f>
        <v>1.0060331825037707</v>
      </c>
      <c r="G13" s="28" t="str">
        <f>Prices!D13</f>
        <v>Neutral</v>
      </c>
      <c r="H13" s="30"/>
      <c r="I13" s="31">
        <f>PROX!$D$38</f>
        <v>4.2416945126970145</v>
      </c>
      <c r="J13" s="31">
        <f>PROX!$E$38</f>
        <v>4.3729849687510098</v>
      </c>
      <c r="K13" s="31">
        <f>PROX!$F$38</f>
        <v>4.2737099393665954</v>
      </c>
      <c r="L13" s="31">
        <f>PROX!$G$38</f>
        <v>4.2016958952313272</v>
      </c>
      <c r="M13" s="29">
        <f>PROX!$H$38</f>
        <v>-5.7045247471647631E-3</v>
      </c>
      <c r="N13" s="30"/>
      <c r="O13" s="31">
        <f>PROX!$D$39</f>
        <v>12.604656880001855</v>
      </c>
      <c r="P13" s="31">
        <f>PROX!$E$39</f>
        <v>13.171161333387543</v>
      </c>
      <c r="Q13" s="31">
        <f>PROX!$F$39</f>
        <v>12.689715494924277</v>
      </c>
      <c r="R13" s="31">
        <f>PROX!$G$39</f>
        <v>11.810721450092943</v>
      </c>
      <c r="S13" s="29">
        <f>PROX!$H$39</f>
        <v>1.28895092621375E-2</v>
      </c>
      <c r="T13" s="30"/>
      <c r="U13" s="32" t="str">
        <f t="shared" si="0"/>
        <v>EUR 6.6</v>
      </c>
      <c r="V13" s="53" t="s">
        <v>686</v>
      </c>
      <c r="Z13" s="30"/>
      <c r="AF13" s="19"/>
      <c r="AG13" s="19"/>
      <c r="AJ13" s="48"/>
      <c r="AK13" s="48"/>
      <c r="AN13" s="48"/>
      <c r="AO13" s="48"/>
      <c r="AR13" s="48"/>
      <c r="AS13" s="48"/>
      <c r="BC13" s="49"/>
      <c r="BD13" s="49"/>
      <c r="BE13" s="49"/>
      <c r="BG13" s="49"/>
      <c r="BH13" s="49"/>
      <c r="BI13" s="49"/>
      <c r="BK13" s="49"/>
      <c r="BL13" s="49"/>
      <c r="BM13" s="49"/>
      <c r="BO13" s="49"/>
      <c r="BP13" s="49"/>
      <c r="BQ13" s="49"/>
    </row>
    <row r="14" spans="1:69">
      <c r="B14" s="26" t="s">
        <v>414</v>
      </c>
      <c r="C14" s="32" t="s">
        <v>378</v>
      </c>
      <c r="D14" s="28" t="str">
        <f>B14&amp;TEXT(Prices!C14,"00")</f>
        <v>CHF673</v>
      </c>
      <c r="E14" s="28" t="str">
        <f>B14&amp;TEXT(Prices!E14,"00")</f>
        <v>CHF570</v>
      </c>
      <c r="F14" s="29">
        <f>Prices!F14</f>
        <v>-0.15241635687732347</v>
      </c>
      <c r="G14" s="28" t="str">
        <f>Prices!D14</f>
        <v>Sell</v>
      </c>
      <c r="H14" s="30"/>
      <c r="I14" s="31">
        <f>SWISS!$D$38</f>
        <v>10.020130465021477</v>
      </c>
      <c r="J14" s="31">
        <f>SWISS!$E$38</f>
        <v>9.8727727150388009</v>
      </c>
      <c r="K14" s="31">
        <f>SWISS!$F$38</f>
        <v>9.4116515587737268</v>
      </c>
      <c r="L14" s="31">
        <f>SWISS!$G$38</f>
        <v>8.8092689386367784</v>
      </c>
      <c r="M14" s="29">
        <f>SWISS!$H$38</f>
        <v>1.9020741921777162E-2</v>
      </c>
      <c r="N14" s="30"/>
      <c r="O14" s="31">
        <f>SWISS!$D$39</f>
        <v>26.014913586160116</v>
      </c>
      <c r="P14" s="31">
        <f>SWISS!$E$39</f>
        <v>24.799207808926269</v>
      </c>
      <c r="Q14" s="31">
        <f>SWISS!$F$39</f>
        <v>21.965444838032429</v>
      </c>
      <c r="R14" s="31">
        <f>SWISS!$G$39</f>
        <v>19.079923969375116</v>
      </c>
      <c r="S14" s="29">
        <f>SWISS!$H$39</f>
        <v>8.2481387083385149E-2</v>
      </c>
      <c r="T14" s="30"/>
      <c r="U14" s="32" t="str">
        <f t="shared" si="0"/>
        <v>CHF673</v>
      </c>
      <c r="V14" s="53" t="s">
        <v>378</v>
      </c>
    </row>
    <row r="15" spans="1:69" s="5" customFormat="1">
      <c r="A15" s="25"/>
      <c r="B15" s="26" t="s">
        <v>1119</v>
      </c>
      <c r="C15" s="32" t="s">
        <v>222</v>
      </c>
      <c r="D15" s="28" t="str">
        <f>B15&amp;TEXT(Prices!C15,"0.00")</f>
        <v>EUR 0.66</v>
      </c>
      <c r="E15" s="28" t="str">
        <f>B15&amp;TEXT(Prices!E15,"0.00")</f>
        <v>EUR 0.55</v>
      </c>
      <c r="F15" s="29">
        <f>Prices!F15</f>
        <v>-0.16641406486814181</v>
      </c>
      <c r="G15" s="28" t="str">
        <f>Prices!D15</f>
        <v>Neutral</v>
      </c>
      <c r="H15" s="30"/>
      <c r="I15" s="31">
        <f>TI!$D$38</f>
        <v>7.1730122311715769</v>
      </c>
      <c r="J15" s="31">
        <f>TI!$E$38</f>
        <v>6.1523700634049412</v>
      </c>
      <c r="K15" s="31">
        <f>TI!$F$38</f>
        <v>5.5997806431161203</v>
      </c>
      <c r="L15" s="31">
        <f>TI!$G$38</f>
        <v>5.1418496178758888</v>
      </c>
      <c r="M15" s="29">
        <f>TI!$H$38</f>
        <v>6.3596471305999991E-2</v>
      </c>
      <c r="N15" s="30"/>
      <c r="O15" s="31">
        <f>TI!$D$39</f>
        <v>14.815925039637149</v>
      </c>
      <c r="P15" s="31">
        <f>TI!$E$39</f>
        <v>11.839514033533456</v>
      </c>
      <c r="Q15" s="31">
        <f>TI!$F$39</f>
        <v>10.07614205226735</v>
      </c>
      <c r="R15" s="31">
        <f>TI!$G$39</f>
        <v>8.8048896550660753</v>
      </c>
      <c r="S15" s="29">
        <f>TI!$H$39</f>
        <v>0.13218597935818788</v>
      </c>
      <c r="T15" s="30"/>
      <c r="U15" s="32" t="str">
        <f t="shared" si="0"/>
        <v>EUR 0.66</v>
      </c>
      <c r="V15" s="53" t="s">
        <v>222</v>
      </c>
      <c r="Z15" s="30"/>
      <c r="AF15" s="19"/>
      <c r="AG15" s="19"/>
      <c r="AJ15" s="48"/>
      <c r="AK15" s="48"/>
      <c r="AN15" s="48"/>
      <c r="AO15" s="48"/>
      <c r="AR15" s="48"/>
      <c r="AS15" s="48"/>
      <c r="BC15" s="49"/>
      <c r="BD15" s="49"/>
      <c r="BE15" s="49"/>
      <c r="BG15" s="49"/>
      <c r="BH15" s="49"/>
      <c r="BI15" s="49"/>
      <c r="BK15" s="49"/>
      <c r="BL15" s="49"/>
      <c r="BM15" s="49"/>
      <c r="BO15" s="49"/>
      <c r="BP15" s="49"/>
      <c r="BQ15" s="49"/>
    </row>
    <row r="16" spans="1:69" s="5" customFormat="1">
      <c r="A16" s="25"/>
      <c r="B16" s="26" t="s">
        <v>1119</v>
      </c>
      <c r="C16" s="32" t="s">
        <v>376</v>
      </c>
      <c r="D16" s="28" t="str">
        <f>B16&amp;TEXT(Prices!C17,"0.00")</f>
        <v>EUR 3.88</v>
      </c>
      <c r="E16" s="28" t="str">
        <f>B16&amp;TEXT(Prices!E17,"0.00")</f>
        <v>EUR 3.30</v>
      </c>
      <c r="F16" s="29">
        <f>Prices!F17</f>
        <v>-0.14992272024729525</v>
      </c>
      <c r="G16" s="28" t="str">
        <f>Prices!D17</f>
        <v>Sell</v>
      </c>
      <c r="H16" s="30"/>
      <c r="I16" s="31">
        <f>TEF!$D$38</f>
        <v>7.2246041050171952</v>
      </c>
      <c r="J16" s="31">
        <f>TEF!$E$38</f>
        <v>6.9666529869146654</v>
      </c>
      <c r="K16" s="31">
        <f>TEF!$F$38</f>
        <v>6.7101359203753619</v>
      </c>
      <c r="L16" s="31">
        <f>TEF!$G$38</f>
        <v>6.4990218400958497</v>
      </c>
      <c r="M16" s="29">
        <f>TEF!$H$38</f>
        <v>8.0826443028532147E-3</v>
      </c>
      <c r="N16" s="30"/>
      <c r="O16" s="31">
        <f>TEF!$D$39</f>
        <v>13.405263298432811</v>
      </c>
      <c r="P16" s="31">
        <f>TEF!$E$39</f>
        <v>12.617977280433621</v>
      </c>
      <c r="Q16" s="31">
        <f>TEF!$F$39</f>
        <v>12.010187377515717</v>
      </c>
      <c r="R16" s="31">
        <f>TEF!$G$39</f>
        <v>11.536453733593516</v>
      </c>
      <c r="S16" s="29">
        <f>TEF!$H$39</f>
        <v>2.3077323581837339E-2</v>
      </c>
      <c r="T16" s="30"/>
      <c r="U16" s="32" t="str">
        <f t="shared" si="0"/>
        <v>EUR 3.88</v>
      </c>
      <c r="V16" s="53" t="s">
        <v>376</v>
      </c>
      <c r="Z16" s="30"/>
      <c r="AF16" s="19"/>
      <c r="AG16" s="19"/>
      <c r="AJ16" s="48"/>
      <c r="AK16" s="48"/>
      <c r="AN16" s="48"/>
      <c r="AO16" s="48"/>
      <c r="AR16" s="48"/>
      <c r="AS16" s="48"/>
      <c r="BC16" s="49"/>
      <c r="BD16" s="49"/>
      <c r="BE16" s="49"/>
      <c r="BG16" s="49"/>
      <c r="BH16" s="49"/>
      <c r="BI16" s="49"/>
      <c r="BK16" s="49"/>
      <c r="BL16" s="49"/>
      <c r="BM16" s="49"/>
      <c r="BO16" s="49"/>
      <c r="BP16" s="49"/>
      <c r="BQ16" s="49"/>
    </row>
    <row r="17" spans="1:26" s="5" customFormat="1">
      <c r="A17" s="25"/>
      <c r="B17" s="26" t="s">
        <v>162</v>
      </c>
      <c r="C17" s="32" t="s">
        <v>377</v>
      </c>
      <c r="D17" s="28" t="str">
        <f>B17&amp;TEXT(Prices!C18," 0,0")</f>
        <v>NOK 164</v>
      </c>
      <c r="E17" s="28" t="str">
        <f>B17&amp;TEXT(Prices!E18," 0,0")</f>
        <v>NOK 160</v>
      </c>
      <c r="F17" s="29">
        <f>Prices!F18</f>
        <v>-2.6171637248934898E-2</v>
      </c>
      <c r="G17" s="28" t="str">
        <f>Prices!D18</f>
        <v>Neutral</v>
      </c>
      <c r="H17" s="30"/>
      <c r="I17" s="31">
        <f>TNOR!$D$38</f>
        <v>9.3659934745088425</v>
      </c>
      <c r="J17" s="31">
        <f>TNOR!$E$38</f>
        <v>8.2937653124594188</v>
      </c>
      <c r="K17" s="31">
        <f>TNOR!$F$38</f>
        <v>7.8195277833070538</v>
      </c>
      <c r="L17" s="31">
        <f>TNOR!$G$38</f>
        <v>7.048204132999115</v>
      </c>
      <c r="M17" s="29">
        <f>TNOR!$H$38</f>
        <v>7.3316449902876002E-3</v>
      </c>
      <c r="N17" s="30"/>
      <c r="O17" s="31">
        <f>TNOR!$D$39</f>
        <v>14.288592715407642</v>
      </c>
      <c r="P17" s="31">
        <f>TNOR!$E$39</f>
        <v>12.733513900510673</v>
      </c>
      <c r="Q17" s="31">
        <f>TNOR!$F$39</f>
        <v>12.073096939567431</v>
      </c>
      <c r="R17" s="31">
        <f>TNOR!$G$39</f>
        <v>10.59183050115981</v>
      </c>
      <c r="S17" s="29">
        <f>TNOR!$H$39</f>
        <v>1.2403170817929521E-2</v>
      </c>
      <c r="T17" s="30"/>
      <c r="U17" s="32" t="str">
        <f t="shared" si="0"/>
        <v>NOK 164</v>
      </c>
      <c r="V17" s="28" t="s">
        <v>377</v>
      </c>
      <c r="Z17" s="30"/>
    </row>
    <row r="18" spans="1:26" s="5" customFormat="1">
      <c r="A18" s="25"/>
      <c r="B18" s="26" t="s">
        <v>312</v>
      </c>
      <c r="C18" s="32" t="s">
        <v>846</v>
      </c>
      <c r="D18" s="28" t="str">
        <f>B18&amp;TEXT(Prices!C19,"0.0")</f>
        <v>SEK48.7</v>
      </c>
      <c r="E18" s="28" t="str">
        <f>B18&amp;TEXT(Prices!E19,"0.0")</f>
        <v>SEK45.0</v>
      </c>
      <c r="F18" s="29">
        <f>Prices!F19</f>
        <v>-7.6165058509546357E-2</v>
      </c>
      <c r="G18" s="28" t="str">
        <f>Prices!D19</f>
        <v>Neutral</v>
      </c>
      <c r="H18" s="30"/>
      <c r="I18" s="31">
        <f>TELIA!$D$38</f>
        <v>9.8573407977850351</v>
      </c>
      <c r="J18" s="31">
        <f>TELIA!$E$38</f>
        <v>9.7047816878604163</v>
      </c>
      <c r="K18" s="31">
        <f>TELIA!$F$38</f>
        <v>8.9894294879920267</v>
      </c>
      <c r="L18" s="31">
        <f>TELIA!$G$38</f>
        <v>8.4054503832258103</v>
      </c>
      <c r="M18" s="29">
        <f>TELIA!$H$38</f>
        <v>2.1360458733081122E-2</v>
      </c>
      <c r="N18" s="30"/>
      <c r="O18" s="31">
        <f>TELIA!$D$39</f>
        <v>18.139429596019831</v>
      </c>
      <c r="P18" s="31">
        <f>TELIA!$E$39</f>
        <v>17.289199215330296</v>
      </c>
      <c r="Q18" s="31">
        <f>TELIA!$F$39</f>
        <v>15.528663126543847</v>
      </c>
      <c r="R18" s="31">
        <f>TELIA!$G$39</f>
        <v>14.146093246380072</v>
      </c>
      <c r="S18" s="29">
        <f>TELIA!$H$39</f>
        <v>5.2224677085112248E-2</v>
      </c>
      <c r="T18" s="30"/>
      <c r="U18" s="32" t="str">
        <f t="shared" si="0"/>
        <v>SEK48.7</v>
      </c>
      <c r="V18" s="28" t="s">
        <v>375</v>
      </c>
      <c r="Z18" s="30"/>
    </row>
    <row r="19" spans="1:26" s="5" customFormat="1">
      <c r="A19" s="25"/>
      <c r="B19" s="26"/>
      <c r="C19" s="35" t="s">
        <v>266</v>
      </c>
      <c r="D19" s="36"/>
      <c r="E19" s="36"/>
      <c r="F19" s="37"/>
      <c r="G19" s="36"/>
      <c r="H19" s="30"/>
      <c r="I19" s="38">
        <f>'W.EUR INCUMB'!$D$38</f>
        <v>7.6973273740849635</v>
      </c>
      <c r="J19" s="38">
        <f>'W.EUR INCUMB'!$E$38</f>
        <v>7.1257427248361216</v>
      </c>
      <c r="K19" s="38">
        <f>'W.EUR INCUMB'!$F$38</f>
        <v>6.5752020208821156</v>
      </c>
      <c r="L19" s="38">
        <f>'W.EUR INCUMB'!$G$38</f>
        <v>6.0690884599678281</v>
      </c>
      <c r="M19" s="39">
        <f>'W.EUR INCUMB'!$H$38</f>
        <v>4.7138939293228432E-2</v>
      </c>
      <c r="N19" s="30"/>
      <c r="O19" s="38">
        <f>'W.EUR INCUMB'!$D$39</f>
        <v>14.687022482686716</v>
      </c>
      <c r="P19" s="38">
        <f>'W.EUR INCUMB'!$E$39</f>
        <v>12.847769073776606</v>
      </c>
      <c r="Q19" s="38">
        <f>'W.EUR INCUMB'!$F$39</f>
        <v>11.242069500118653</v>
      </c>
      <c r="R19" s="38">
        <f>'W.EUR INCUMB'!$G$39</f>
        <v>10.086772600154154</v>
      </c>
      <c r="S19" s="39">
        <f>'W.EUR INCUMB'!$H$39</f>
        <v>9.6459655096736707E-2</v>
      </c>
      <c r="T19" s="30"/>
      <c r="U19" s="41"/>
      <c r="V19" s="42" t="s">
        <v>266</v>
      </c>
      <c r="Z19" s="30"/>
    </row>
    <row r="20" spans="1:26" s="5" customFormat="1">
      <c r="A20" s="111"/>
      <c r="B20" s="26"/>
      <c r="C20" s="32"/>
      <c r="D20" s="28"/>
      <c r="E20" s="28"/>
      <c r="F20" s="29"/>
      <c r="G20" s="28"/>
      <c r="H20" s="30"/>
      <c r="I20" s="31"/>
      <c r="J20" s="31"/>
      <c r="K20" s="31"/>
      <c r="L20" s="31"/>
      <c r="M20" s="29"/>
      <c r="N20" s="30"/>
      <c r="O20" s="31"/>
      <c r="P20" s="31"/>
      <c r="Q20" s="31"/>
      <c r="R20" s="31"/>
      <c r="S20" s="29"/>
      <c r="T20" s="30"/>
      <c r="U20" s="32"/>
      <c r="V20" s="28"/>
      <c r="Z20" s="30"/>
    </row>
    <row r="21" spans="1:26" s="5" customFormat="1">
      <c r="A21" s="25"/>
      <c r="B21" s="26" t="s">
        <v>331</v>
      </c>
      <c r="C21" s="32" t="s">
        <v>403</v>
      </c>
      <c r="D21" s="28" t="str">
        <f>B21&amp;TEXT(Prices!$C$45,"0.0")</f>
        <v>USD26.3</v>
      </c>
      <c r="E21" s="28" t="str">
        <f>B21&amp;TEXT(Prices!$E$45,"0.0")</f>
        <v>USD32.0</v>
      </c>
      <c r="F21" s="29">
        <f>Prices!$F$45</f>
        <v>0.21765601217656005</v>
      </c>
      <c r="G21" s="28" t="str">
        <f>Prices!$D$45</f>
        <v>Buy</v>
      </c>
      <c r="H21" s="30"/>
      <c r="I21" s="31">
        <f>ATT!$D$38</f>
        <v>6.8642498052027836</v>
      </c>
      <c r="J21" s="31">
        <f>ATT!$E$38</f>
        <v>7.0002627158212798</v>
      </c>
      <c r="K21" s="31">
        <f>ATT!$F$38</f>
        <v>6.3613509464461515</v>
      </c>
      <c r="L21" s="31">
        <f>ATT!$G$38</f>
        <v>5.8639145172431109</v>
      </c>
      <c r="M21" s="29">
        <f>ATT!$H$38</f>
        <v>3.3494732747037181E-2</v>
      </c>
      <c r="N21" s="30"/>
      <c r="O21" s="31">
        <f>ATT!$D$39</f>
        <v>13.187934518370501</v>
      </c>
      <c r="P21" s="31">
        <f>ATT!$E$39</f>
        <v>13.936887002255963</v>
      </c>
      <c r="Q21" s="31">
        <f>ATT!$F$39</f>
        <v>12.314379889814914</v>
      </c>
      <c r="R21" s="31">
        <f>ATT!$G$39</f>
        <v>10.795722906143807</v>
      </c>
      <c r="S21" s="29">
        <f>ATT!$H$39</f>
        <v>4.8290062420434543E-2</v>
      </c>
      <c r="T21" s="30"/>
      <c r="U21" s="32" t="str">
        <f>D21</f>
        <v>USD26.3</v>
      </c>
      <c r="V21" s="28" t="s">
        <v>330</v>
      </c>
      <c r="Z21" s="30"/>
    </row>
    <row r="22" spans="1:26" s="5" customFormat="1">
      <c r="A22" s="112"/>
      <c r="B22" s="26" t="s">
        <v>331</v>
      </c>
      <c r="C22" s="32" t="s">
        <v>570</v>
      </c>
      <c r="D22" s="28" t="str">
        <f>B22&amp;TEXT(Prices!$C$46,"0.0")</f>
        <v>USD191.5</v>
      </c>
      <c r="E22" s="28" t="str">
        <f>B22&amp;TEXT(Prices!$E$46,"0.0")</f>
        <v>USD296.0</v>
      </c>
      <c r="F22" s="29">
        <f>Prices!$F$46</f>
        <v>0.54593408889121009</v>
      </c>
      <c r="G22" s="28" t="str">
        <f>Prices!$D$46</f>
        <v>Buy</v>
      </c>
      <c r="H22" s="30"/>
      <c r="I22" s="31">
        <f>TMUS!$D$38</f>
        <v>8.7499262281604899</v>
      </c>
      <c r="J22" s="31">
        <f>TMUS!$E$38</f>
        <v>7.8181497148315104</v>
      </c>
      <c r="K22" s="31">
        <f>TMUS!$F$38</f>
        <v>7.0746617143968367</v>
      </c>
      <c r="L22" s="31">
        <f>TMUS!$G$38</f>
        <v>6.5064020547320434</v>
      </c>
      <c r="M22" s="29">
        <f>TMUS!$H$38</f>
        <v>8.1607616837773289E-2</v>
      </c>
      <c r="N22" s="30"/>
      <c r="O22" s="31">
        <f>TMUS!$D$39</f>
        <v>12.402854472996886</v>
      </c>
      <c r="P22" s="31">
        <f>TMUS!$E$39</f>
        <v>10.716605948321853</v>
      </c>
      <c r="Q22" s="31">
        <f>TMUS!$F$39</f>
        <v>9.4281396097248393</v>
      </c>
      <c r="R22" s="31">
        <f>TMUS!$G$39</f>
        <v>8.5233674262436736</v>
      </c>
      <c r="S22" s="29">
        <f>TMUS!$H$39</f>
        <v>0.11041516539179752</v>
      </c>
      <c r="T22" s="30"/>
      <c r="U22" s="32" t="str">
        <f>D22</f>
        <v>USD191.5</v>
      </c>
      <c r="V22" s="28" t="s">
        <v>570</v>
      </c>
      <c r="Z22" s="30"/>
    </row>
    <row r="23" spans="1:26" s="5" customFormat="1">
      <c r="A23" s="25"/>
      <c r="B23" s="26" t="s">
        <v>331</v>
      </c>
      <c r="C23" s="32" t="s">
        <v>30</v>
      </c>
      <c r="D23" s="28" t="str">
        <f>B23&amp;TEXT(Prices!$C$44,"0.0")</f>
        <v>USD46.9</v>
      </c>
      <c r="E23" s="28" t="str">
        <f>B23&amp;TEXT(Prices!$E$44,"0.0")</f>
        <v>USD42.0</v>
      </c>
      <c r="F23" s="29">
        <f>Prices!$F$44</f>
        <v>-0.10371318822023046</v>
      </c>
      <c r="G23" s="28" t="str">
        <f>Prices!$D$44</f>
        <v>Neutral</v>
      </c>
      <c r="H23" s="30"/>
      <c r="I23" s="31">
        <f>VZN!$D$38</f>
        <v>5.9590063304050815</v>
      </c>
      <c r="J23" s="31">
        <f>VZN!$E$38</f>
        <v>5.5168437515456041</v>
      </c>
      <c r="K23" s="31">
        <f>VZN!$F$38</f>
        <v>4.9877493061741145</v>
      </c>
      <c r="L23" s="31">
        <f>VZN!$G$38</f>
        <v>4.4324691201713735</v>
      </c>
      <c r="M23" s="29">
        <f>VZN!$H$38</f>
        <v>1.7563255651657173E-2</v>
      </c>
      <c r="N23" s="30"/>
      <c r="O23" s="31">
        <f>VZN!$D$39</f>
        <v>9.1912415066282414</v>
      </c>
      <c r="P23" s="31">
        <f>VZN!$E$39</f>
        <v>8.0682706370873003</v>
      </c>
      <c r="Q23" s="31">
        <f>VZN!$F$39</f>
        <v>7.2329814816373039</v>
      </c>
      <c r="R23" s="31">
        <f>VZN!$G$39</f>
        <v>6.3633349562817196</v>
      </c>
      <c r="S23" s="29">
        <f>VZN!$H$39</f>
        <v>4.2193846308071992E-2</v>
      </c>
      <c r="T23" s="30"/>
      <c r="U23" s="32" t="str">
        <f>D23</f>
        <v>USD46.9</v>
      </c>
      <c r="V23" s="28" t="str">
        <f>C23</f>
        <v>Verizon</v>
      </c>
      <c r="Z23" s="30"/>
    </row>
    <row r="24" spans="1:26" s="5" customFormat="1">
      <c r="A24" s="25"/>
      <c r="B24" s="26"/>
      <c r="C24" s="35" t="s">
        <v>214</v>
      </c>
      <c r="D24" s="36"/>
      <c r="E24" s="36"/>
      <c r="F24" s="37"/>
      <c r="G24" s="36"/>
      <c r="H24" s="30"/>
      <c r="I24" s="38">
        <f>'US TELCO'!$D$38</f>
        <v>7.0076377857560876</v>
      </c>
      <c r="J24" s="38">
        <f>'US TELCO'!$E$38</f>
        <v>6.6721556234523973</v>
      </c>
      <c r="K24" s="38">
        <f>'US TELCO'!$F$38</f>
        <v>6.0644964269488959</v>
      </c>
      <c r="L24" s="38">
        <f>'US TELCO'!$G$38</f>
        <v>5.5379250833598066</v>
      </c>
      <c r="M24" s="39">
        <f>'US TELCO'!$H$38</f>
        <v>4.0541340228376743E-2</v>
      </c>
      <c r="N24" s="30"/>
      <c r="O24" s="38">
        <f>'US TELCO'!$D$39</f>
        <v>11.344474517594159</v>
      </c>
      <c r="P24" s="38">
        <f>'US TELCO'!$E$39</f>
        <v>10.541500567041032</v>
      </c>
      <c r="Q24" s="38">
        <f>'US TELCO'!$F$39</f>
        <v>9.3775630727872166</v>
      </c>
      <c r="R24" s="38">
        <f>'US TELCO'!$G$39</f>
        <v>8.3578168223796521</v>
      </c>
      <c r="S24" s="39">
        <f>'US TELCO'!$H$39</f>
        <v>6.51603570146575E-2</v>
      </c>
      <c r="T24" s="30"/>
      <c r="U24" s="41"/>
      <c r="V24" s="42" t="s">
        <v>214</v>
      </c>
      <c r="Z24" s="30"/>
    </row>
    <row r="25" spans="1:26" s="5" customFormat="1">
      <c r="A25" s="25"/>
      <c r="B25" s="26"/>
      <c r="C25" s="32"/>
      <c r="D25" s="28"/>
      <c r="E25" s="28"/>
      <c r="F25" s="29"/>
      <c r="G25" s="28"/>
      <c r="H25" s="30"/>
      <c r="I25" s="31"/>
      <c r="J25" s="31"/>
      <c r="K25" s="31"/>
      <c r="L25" s="31"/>
      <c r="M25" s="29"/>
      <c r="N25" s="30"/>
      <c r="O25" s="31"/>
      <c r="P25" s="31"/>
      <c r="Q25" s="31"/>
      <c r="R25" s="31"/>
      <c r="S25" s="29"/>
      <c r="T25" s="30"/>
      <c r="U25" s="32"/>
      <c r="V25" s="28"/>
      <c r="Z25" s="30"/>
    </row>
    <row r="26" spans="1:26" s="5" customFormat="1">
      <c r="A26" s="25"/>
      <c r="B26" s="26" t="s">
        <v>1124</v>
      </c>
      <c r="C26" s="32" t="s">
        <v>332</v>
      </c>
      <c r="D26" s="28" t="str">
        <f>B26&amp;TEXT(Prices!C60,"0,0")</f>
        <v>JPY 152</v>
      </c>
      <c r="E26" s="28" t="str">
        <f>B26&amp;TEXT(Prices!E60,"0,0")</f>
        <v>JPY 215</v>
      </c>
      <c r="F26" s="29">
        <f>Prices!F60</f>
        <v>0.41914191419141922</v>
      </c>
      <c r="G26" s="28" t="str">
        <f>Prices!D60</f>
        <v>Buy</v>
      </c>
      <c r="H26" s="30"/>
      <c r="I26" s="31">
        <f>NTT!$D$38</f>
        <v>6.4712440853329101</v>
      </c>
      <c r="J26" s="31">
        <f>NTT!$E$38</f>
        <v>5.731159693995405</v>
      </c>
      <c r="K26" s="31">
        <f>NTT!$F$38</f>
        <v>5.1741548738322258</v>
      </c>
      <c r="L26" s="31">
        <f>NTT!$G$38</f>
        <v>4.6397751120118231</v>
      </c>
      <c r="M26" s="29">
        <f>NTT!$H$38</f>
        <v>6.0847971687951974E-2</v>
      </c>
      <c r="N26" s="30"/>
      <c r="O26" s="31">
        <f>NTT!$D$39</f>
        <v>19.606414102841377</v>
      </c>
      <c r="P26" s="31">
        <f>NTT!$E$39</f>
        <v>14.988686506967882</v>
      </c>
      <c r="Q26" s="31">
        <f>NTT!$F$39</f>
        <v>12.491449787526804</v>
      </c>
      <c r="R26" s="31">
        <f>NTT!$G$39</f>
        <v>10.492888808248294</v>
      </c>
      <c r="S26" s="29">
        <f>NTT!$H$39</f>
        <v>0.16947398973519467</v>
      </c>
      <c r="T26" s="30"/>
      <c r="U26" s="32" t="str">
        <f t="shared" ref="U26:U27" si="1">D26</f>
        <v>JPY 152</v>
      </c>
      <c r="V26" s="28" t="s">
        <v>332</v>
      </c>
      <c r="Z26" s="30"/>
    </row>
    <row r="27" spans="1:26" s="5" customFormat="1">
      <c r="A27" s="25"/>
      <c r="B27" s="26" t="s">
        <v>1125</v>
      </c>
      <c r="C27" s="32" t="s">
        <v>478</v>
      </c>
      <c r="D27" s="28" t="str">
        <f>B27&amp;TEXT(Prices!C61,"0.00")</f>
        <v>SGD 4.63</v>
      </c>
      <c r="E27" s="28" t="str">
        <f>B27&amp;TEXT(Prices!E61,"0.00")</f>
        <v>SGD 6.20</v>
      </c>
      <c r="F27" s="29">
        <f>Prices!F61</f>
        <v>0.33909287257019449</v>
      </c>
      <c r="G27" s="28" t="str">
        <f>Prices!D61</f>
        <v>Buy</v>
      </c>
      <c r="H27" s="30"/>
      <c r="I27" s="31">
        <f>PROPORTIONATES!$G$67</f>
        <v>8.5867030516622371</v>
      </c>
      <c r="J27" s="31">
        <f>PROPORTIONATES!$H$67</f>
        <v>7.6232653627497013</v>
      </c>
      <c r="K27" s="31">
        <f>PROPORTIONATES!$I$67</f>
        <v>6.7898463208508799</v>
      </c>
      <c r="L27" s="31">
        <f>PROPORTIONATES!$J$67</f>
        <v>6.0121839447352752</v>
      </c>
      <c r="M27" s="29">
        <f>SINGTEL!$H$38</f>
        <v>4.7585410738177014E-2</v>
      </c>
      <c r="N27" s="30"/>
      <c r="O27" s="31">
        <f>PROPORTIONATES!$G$68</f>
        <v>16.265459015494766</v>
      </c>
      <c r="P27" s="31">
        <f>PROPORTIONATES!$H$68</f>
        <v>13.190419448389438</v>
      </c>
      <c r="Q27" s="31">
        <f>PROPORTIONATES!$I$68</f>
        <v>11.096056095047917</v>
      </c>
      <c r="R27" s="31">
        <f>PROPORTIONATES!$J$68</f>
        <v>9.5401194512504741</v>
      </c>
      <c r="S27" s="29">
        <f>SINGTEL!$H$39</f>
        <v>0.12820773084308579</v>
      </c>
      <c r="T27" s="30"/>
      <c r="U27" s="32" t="str">
        <f t="shared" si="1"/>
        <v>SGD 4.63</v>
      </c>
      <c r="V27" s="28" t="s">
        <v>478</v>
      </c>
      <c r="Z27" s="30"/>
    </row>
    <row r="28" spans="1:26" s="5" customFormat="1">
      <c r="A28" s="25"/>
      <c r="B28" s="26"/>
      <c r="C28" s="35" t="s">
        <v>737</v>
      </c>
      <c r="D28" s="42"/>
      <c r="E28" s="42"/>
      <c r="F28" s="39"/>
      <c r="G28" s="42"/>
      <c r="H28" s="40"/>
      <c r="I28" s="38">
        <f>'DM ASIA INCUMB'!D38</f>
        <v>8.3008997362642329</v>
      </c>
      <c r="J28" s="38">
        <f>'DM ASIA INCUMB'!E38</f>
        <v>7.3870295800793651</v>
      </c>
      <c r="K28" s="38">
        <f>'DM ASIA INCUMB'!F38</f>
        <v>6.6873881715911292</v>
      </c>
      <c r="L28" s="38">
        <f>'DM ASIA INCUMB'!G38</f>
        <v>6.031550579205903</v>
      </c>
      <c r="M28" s="39">
        <f>'DM ASIA INCUMB'!H38</f>
        <v>5.9209761744593692E-2</v>
      </c>
      <c r="N28" s="40"/>
      <c r="O28" s="38">
        <f>'DM ASIA INCUMB'!D39</f>
        <v>24.008449426384562</v>
      </c>
      <c r="P28" s="38">
        <f>'DM ASIA INCUMB'!E39</f>
        <v>18.639546940098942</v>
      </c>
      <c r="Q28" s="38">
        <f>'DM ASIA INCUMB'!F39</f>
        <v>15.456967501451503</v>
      </c>
      <c r="R28" s="38">
        <f>'DM ASIA INCUMB'!G39</f>
        <v>13.182802369276743</v>
      </c>
      <c r="S28" s="39">
        <f>'DM ASIA INCUMB'!H39</f>
        <v>0.16288124660676906</v>
      </c>
      <c r="T28" s="40"/>
      <c r="U28" s="35"/>
      <c r="V28" s="42" t="s">
        <v>738</v>
      </c>
      <c r="Z28" s="30"/>
    </row>
    <row r="29" spans="1:26" s="5" customFormat="1">
      <c r="A29" s="25"/>
      <c r="B29" s="26"/>
      <c r="C29" s="27"/>
      <c r="D29" s="34"/>
      <c r="E29" s="34"/>
      <c r="F29" s="45"/>
      <c r="G29" s="34"/>
      <c r="H29" s="40"/>
      <c r="I29" s="46"/>
      <c r="J29" s="46"/>
      <c r="K29" s="46"/>
      <c r="L29" s="46"/>
      <c r="M29" s="45"/>
      <c r="N29" s="40"/>
      <c r="O29" s="46"/>
      <c r="P29" s="46"/>
      <c r="Q29" s="46"/>
      <c r="R29" s="46"/>
      <c r="S29" s="45"/>
      <c r="T29" s="40"/>
      <c r="U29" s="27"/>
      <c r="V29" s="34"/>
      <c r="Z29" s="30"/>
    </row>
    <row r="30" spans="1:26" s="5" customFormat="1">
      <c r="A30" s="25"/>
      <c r="B30" s="26"/>
      <c r="C30" s="35" t="s">
        <v>717</v>
      </c>
      <c r="D30" s="42"/>
      <c r="E30" s="42"/>
      <c r="F30" s="39"/>
      <c r="G30" s="42"/>
      <c r="H30" s="40"/>
      <c r="I30" s="38">
        <f>'AGG DM INCUMB'!D38</f>
        <v>7.4162899409503646</v>
      </c>
      <c r="J30" s="38">
        <f>'AGG DM INCUMB'!E38</f>
        <v>6.9316661549785561</v>
      </c>
      <c r="K30" s="38">
        <f>'AGG DM INCUMB'!F38</f>
        <v>6.3395710922104787</v>
      </c>
      <c r="L30" s="38">
        <f>'AGG DM INCUMB'!G38</f>
        <v>5.8086307370301418</v>
      </c>
      <c r="M30" s="39">
        <f>'AGG DM INCUMB'!H38</f>
        <v>4.50720347564042E-2</v>
      </c>
      <c r="N30" s="40"/>
      <c r="O30" s="38">
        <f>'AGG DM INCUMB'!D39</f>
        <v>13.406776542193803</v>
      </c>
      <c r="P30" s="38">
        <f>'AGG DM INCUMB'!E39</f>
        <v>12.008991736768529</v>
      </c>
      <c r="Q30" s="38">
        <f>'AGG DM INCUMB'!F39</f>
        <v>10.567297936739303</v>
      </c>
      <c r="R30" s="38">
        <f>'AGG DM INCUMB'!G39</f>
        <v>9.4139508781799552</v>
      </c>
      <c r="S30" s="39">
        <f>'AGG DM INCUMB'!H39</f>
        <v>8.38255803885537E-2</v>
      </c>
      <c r="T30" s="40"/>
      <c r="U30" s="35"/>
      <c r="V30" s="42" t="str">
        <f>C30</f>
        <v>Agg. DM Incumbent total</v>
      </c>
      <c r="Z30" s="30"/>
    </row>
    <row r="31" spans="1:26" s="5" customFormat="1">
      <c r="A31" s="112"/>
      <c r="B31" s="26"/>
      <c r="C31" s="25"/>
      <c r="D31" s="28"/>
      <c r="E31" s="28"/>
      <c r="F31" s="29"/>
      <c r="G31" s="28"/>
      <c r="H31" s="30"/>
      <c r="I31" s="31"/>
      <c r="J31" s="31"/>
      <c r="K31" s="31"/>
      <c r="L31" s="31"/>
      <c r="M31" s="29"/>
      <c r="N31" s="30"/>
      <c r="O31" s="31"/>
      <c r="P31" s="31"/>
      <c r="Q31" s="31"/>
      <c r="R31" s="31"/>
      <c r="S31" s="29"/>
      <c r="T31" s="30"/>
      <c r="U31" s="32"/>
      <c r="V31" s="34"/>
      <c r="Z31" s="30"/>
    </row>
    <row r="32" spans="1:26">
      <c r="A32" s="25" t="s">
        <v>1091</v>
      </c>
      <c r="B32" s="26" t="s">
        <v>1119</v>
      </c>
      <c r="C32" s="32" t="s">
        <v>1088</v>
      </c>
      <c r="D32" s="28" t="str">
        <f>B32&amp;TEXT(Prices!C22,"0.0")</f>
        <v>EUR 23.2</v>
      </c>
      <c r="E32" s="28" t="str">
        <f>B32&amp;TEXT(Prices!E22,"0.0")</f>
        <v>EUR 10.0</v>
      </c>
      <c r="F32" s="29">
        <f>Prices!F22</f>
        <v>-0.56803455723542107</v>
      </c>
      <c r="G32" s="28" t="str">
        <f>Prices!D22</f>
        <v>Sell</v>
      </c>
      <c r="H32" s="30"/>
      <c r="I32" s="31">
        <f>DRI!$D$38</f>
        <v>15.787088636404629</v>
      </c>
      <c r="J32" s="31">
        <f>DRI!E$38</f>
        <v>12.691478465825069</v>
      </c>
      <c r="K32" s="31">
        <f>DRI!F$38</f>
        <v>11.432900498032151</v>
      </c>
      <c r="L32" s="31">
        <f>DRI!$G$38</f>
        <v>10.36355013799883</v>
      </c>
      <c r="M32" s="29">
        <f>DRI!$H$38</f>
        <v>0.16738286137637948</v>
      </c>
      <c r="N32" s="30"/>
      <c r="O32" s="31">
        <f>DRI!$D$39</f>
        <v>172.51733239080568</v>
      </c>
      <c r="P32" s="31">
        <f>DRI!$E$39</f>
        <v>143.33905090814224</v>
      </c>
      <c r="Q32" s="31">
        <f>DRI!$F$39</f>
        <v>60.172019804162318</v>
      </c>
      <c r="R32" s="31">
        <f>DRI!$G$39</f>
        <v>38.311264199662581</v>
      </c>
      <c r="S32" s="29">
        <f>DRI!$H$39</f>
        <v>0.67539635094445916</v>
      </c>
      <c r="T32" s="30"/>
      <c r="U32" s="32" t="str">
        <f>D32</f>
        <v>EUR 23.2</v>
      </c>
      <c r="V32" s="28" t="s">
        <v>1088</v>
      </c>
    </row>
    <row r="33" spans="1:28">
      <c r="A33" s="25"/>
      <c r="B33" s="26" t="s">
        <v>1119</v>
      </c>
      <c r="C33" s="32" t="s">
        <v>1313</v>
      </c>
      <c r="D33" s="28" t="str">
        <f>B33&amp;TEXT(Prices!C23,"0.0")</f>
        <v>EUR 51.8</v>
      </c>
      <c r="E33" s="28" t="str">
        <f>B33&amp;TEXT(Prices!E23,"0.0")</f>
        <v>EUR 64.0</v>
      </c>
      <c r="F33" s="29">
        <f>Prices!F23</f>
        <v>0.23599845500193117</v>
      </c>
      <c r="G33" s="28" t="str">
        <f>Prices!D23</f>
        <v>Buy</v>
      </c>
      <c r="H33" s="30"/>
      <c r="I33" s="31">
        <f>BOUY!$D$38</f>
        <v>5.5439392734118496</v>
      </c>
      <c r="J33" s="31">
        <f>BOUY!E$38</f>
        <v>5.1191217497058696</v>
      </c>
      <c r="K33" s="31">
        <f>BOUY!F$38</f>
        <v>4.5491951358607752</v>
      </c>
      <c r="L33" s="31">
        <f>BOUY!$G$38</f>
        <v>3.8826556893369966</v>
      </c>
      <c r="M33" s="29">
        <f>BOUY!$H$38</f>
        <v>4.3971767355378111E-2</v>
      </c>
      <c r="N33" s="30"/>
      <c r="O33" s="31">
        <f>BOUY!$D$39</f>
        <v>9.8464973438344252</v>
      </c>
      <c r="P33" s="31">
        <f>BOUY!$E$39</f>
        <v>8.7353390873081391</v>
      </c>
      <c r="Q33" s="31">
        <f>BOUY!$F$39</f>
        <v>7.4669726070207396</v>
      </c>
      <c r="R33" s="31">
        <f>BOUY!$G$39</f>
        <v>6.0124312395892838</v>
      </c>
      <c r="S33" s="29">
        <f>BOUY!$H$39</f>
        <v>9.2788478291361498E-2</v>
      </c>
      <c r="T33" s="30"/>
      <c r="U33" s="32" t="str">
        <f>D33</f>
        <v>EUR 51.8</v>
      </c>
      <c r="V33" s="28" t="s">
        <v>1313</v>
      </c>
    </row>
    <row r="34" spans="1:28" s="5" customFormat="1">
      <c r="A34" s="25"/>
      <c r="B34" s="26" t="s">
        <v>1119</v>
      </c>
      <c r="C34" s="32" t="s">
        <v>286</v>
      </c>
      <c r="D34" s="28" t="str">
        <f>B34&amp;TEXT(Prices!C24,"0.0")</f>
        <v>EUR 41.9</v>
      </c>
      <c r="E34" s="28" t="str">
        <f>B34&amp;TEXT(Prices!E24,"0.0")</f>
        <v>EUR 39.0</v>
      </c>
      <c r="F34" s="29">
        <f>Prices!F24</f>
        <v>-6.9256376181545454E-2</v>
      </c>
      <c r="G34" s="28" t="str">
        <f>Prices!D24</f>
        <v>Neutral</v>
      </c>
      <c r="H34" s="30"/>
      <c r="I34" s="31">
        <f>ELISA!$D$38</f>
        <v>10.622101486934207</v>
      </c>
      <c r="J34" s="31">
        <f>ELISA!$E$38</f>
        <v>9.9848656560307845</v>
      </c>
      <c r="K34" s="31">
        <f>ELISA!$F$38</f>
        <v>9.1819073576696191</v>
      </c>
      <c r="L34" s="31">
        <f>ELISA!$G$38</f>
        <v>8.3787792378447836</v>
      </c>
      <c r="M34" s="29">
        <f>ELISA!$H$38</f>
        <v>3.2798676558669415E-2</v>
      </c>
      <c r="N34" s="30"/>
      <c r="O34" s="31">
        <f>ELISA!$D$39</f>
        <v>16.243675348609699</v>
      </c>
      <c r="P34" s="31">
        <f>ELISA!$E$39</f>
        <v>15.326689021846887</v>
      </c>
      <c r="Q34" s="31">
        <f>ELISA!$F$39</f>
        <v>14.034210511200996</v>
      </c>
      <c r="R34" s="31">
        <f>ELISA!$G$39</f>
        <v>12.758168947478724</v>
      </c>
      <c r="S34" s="29">
        <f>ELISA!$H$39</f>
        <v>3.4279119950668679E-2</v>
      </c>
      <c r="T34" s="30"/>
      <c r="U34" s="32" t="str">
        <f t="shared" ref="U34:U43" si="2">D34</f>
        <v>EUR 41.9</v>
      </c>
      <c r="V34" s="28" t="s">
        <v>286</v>
      </c>
      <c r="Z34" s="30"/>
    </row>
    <row r="35" spans="1:28" s="5" customFormat="1">
      <c r="A35" s="25"/>
      <c r="B35" s="26" t="s">
        <v>1119</v>
      </c>
      <c r="C35" s="32" t="s">
        <v>1283</v>
      </c>
      <c r="D35" s="28" t="str">
        <f>B35&amp;TEXT(Prices!C25,"0.0")</f>
        <v>EUR 2.8</v>
      </c>
      <c r="E35" s="28" t="str">
        <f>B35&amp;TEXT(Prices!E25,"0.0")</f>
        <v>EUR 1.4</v>
      </c>
      <c r="F35" s="29">
        <f>Prices!F25</f>
        <v>-0.5</v>
      </c>
      <c r="G35" s="28" t="str">
        <f>Prices!D25</f>
        <v>Sell</v>
      </c>
      <c r="H35" s="30"/>
      <c r="I35" s="31">
        <f>ETL!$D$38</f>
        <v>8.8119438668906831</v>
      </c>
      <c r="J35" s="31">
        <f>ETL!$E$38</f>
        <v>8.3764379801165525</v>
      </c>
      <c r="K35" s="31">
        <f>ETL!$F$38</f>
        <v>8.0673828491231152</v>
      </c>
      <c r="L35" s="31">
        <f>ETL!$G$38</f>
        <v>7.6721230573201336</v>
      </c>
      <c r="M35" s="29">
        <f>ETL!$H$38</f>
        <v>0.11749777732434397</v>
      </c>
      <c r="N35" s="30"/>
      <c r="O35" s="31">
        <f>ETL!$D$39</f>
        <v>-14.599495019075306</v>
      </c>
      <c r="P35" s="31">
        <f>ETL!$E$39</f>
        <v>-27.779116312223906</v>
      </c>
      <c r="Q35" s="31">
        <f>ETL!$F$39</f>
        <v>-14.680375494509407</v>
      </c>
      <c r="R35" s="31">
        <f>ETL!$G$39</f>
        <v>-133.48362491547334</v>
      </c>
      <c r="S35" s="29">
        <f>ETL!$H$39</f>
        <v>-0.48969334962295685</v>
      </c>
      <c r="T35" s="30"/>
      <c r="U35" s="32" t="str">
        <f t="shared" ref="U35" si="3">D35</f>
        <v>EUR 2.8</v>
      </c>
      <c r="V35" s="28" t="s">
        <v>1283</v>
      </c>
      <c r="Z35" s="30"/>
    </row>
    <row r="36" spans="1:28">
      <c r="A36" s="25"/>
      <c r="B36" s="26" t="s">
        <v>1118</v>
      </c>
      <c r="C36" s="32" t="s">
        <v>1131</v>
      </c>
      <c r="D36" s="28" t="str">
        <f>B36&amp;TEXT(Prices!C26,"0.0")</f>
        <v>USD 12.0</v>
      </c>
      <c r="E36" s="28" t="str">
        <f>B36&amp;TEXT(AVERAGE(Prices!E26,Prices!E27,Prices!E28),"0.0")</f>
        <v>USD 12.5</v>
      </c>
      <c r="F36" s="29">
        <f>Prices!F26</f>
        <v>4.4277360066833804E-2</v>
      </c>
      <c r="G36" s="28" t="str">
        <f>Prices!D26</f>
        <v>Neutral</v>
      </c>
      <c r="H36" s="30"/>
      <c r="I36" s="31">
        <f>PROPORTIONATES!G33</f>
        <v>5.718146274344071</v>
      </c>
      <c r="J36" s="31">
        <f>PROPORTIONATES!H33</f>
        <v>4.3906896335896262</v>
      </c>
      <c r="K36" s="31">
        <f>PROPORTIONATES!I33</f>
        <v>5.716611935968519</v>
      </c>
      <c r="L36" s="31">
        <f>PROPORTIONATES!J33</f>
        <v>5.7126626793921664</v>
      </c>
      <c r="M36" s="29">
        <f>LBTY!$H$38</f>
        <v>0.29355381567250971</v>
      </c>
      <c r="N36" s="30"/>
      <c r="O36" s="31">
        <f>PROPORTIONATES!G34</f>
        <v>17.277999062267096</v>
      </c>
      <c r="P36" s="31">
        <f>PROPORTIONATES!H34</f>
        <v>15.274060607163857</v>
      </c>
      <c r="Q36" s="31">
        <f>PROPORTIONATES!I34</f>
        <v>20.835063047365729</v>
      </c>
      <c r="R36" s="31">
        <f>PROPORTIONATES!J34</f>
        <v>19.479551587982098</v>
      </c>
      <c r="S36" s="29">
        <f>LBTY!$H$39</f>
        <v>-3.4326602794785916</v>
      </c>
      <c r="T36" s="30"/>
      <c r="U36" s="32" t="str">
        <f>D36</f>
        <v>USD 12.0</v>
      </c>
      <c r="V36" s="28" t="s">
        <v>221</v>
      </c>
      <c r="Z36" s="30"/>
    </row>
    <row r="37" spans="1:28">
      <c r="A37" s="25"/>
      <c r="B37" s="26" t="s">
        <v>1119</v>
      </c>
      <c r="C37" s="32" t="s">
        <v>642</v>
      </c>
      <c r="D37" s="28" t="str">
        <f>B37&amp;TEXT(Prices!C29,"0.00")</f>
        <v>EUR 5.65</v>
      </c>
      <c r="E37" s="28" t="str">
        <f>B37&amp;TEXT(Prices!E29,"0.00")</f>
        <v>EUR 5.50</v>
      </c>
      <c r="F37" s="29">
        <f>Prices!F29</f>
        <v>-2.6548672566371723E-2</v>
      </c>
      <c r="G37" s="28" t="str">
        <f>Prices!D29</f>
        <v>Neutral</v>
      </c>
      <c r="H37" s="30"/>
      <c r="I37" s="31">
        <f>NOS!$D$38</f>
        <v>6.4101239972786628</v>
      </c>
      <c r="J37" s="31">
        <f>NOS!$E$38</f>
        <v>5.8288104741037374</v>
      </c>
      <c r="K37" s="31">
        <f>NOS!$F$38</f>
        <v>5.5765696720113516</v>
      </c>
      <c r="L37" s="31">
        <f>NOS!$G$38</f>
        <v>5.4102405130973912</v>
      </c>
      <c r="M37" s="29">
        <f>NOS!$H$38</f>
        <v>-1.5733830763602685E-2</v>
      </c>
      <c r="N37" s="30"/>
      <c r="O37" s="31">
        <f>NOS!$D$39</f>
        <v>13.885373965769455</v>
      </c>
      <c r="P37" s="31">
        <f>NOS!$E$39</f>
        <v>11.656371184482072</v>
      </c>
      <c r="Q37" s="31">
        <f>NOS!$F$39</f>
        <v>11.402336841455734</v>
      </c>
      <c r="R37" s="31">
        <f>NOS!$G$39</f>
        <v>11.443592535872529</v>
      </c>
      <c r="S37" s="29">
        <f>NOS!$H$39</f>
        <v>-7.8873126453591347E-3</v>
      </c>
      <c r="T37" s="30"/>
      <c r="U37" s="32" t="str">
        <f>D37</f>
        <v>EUR 5.65</v>
      </c>
      <c r="V37" s="28" t="s">
        <v>642</v>
      </c>
      <c r="Z37" s="30"/>
    </row>
    <row r="38" spans="1:28" s="5" customFormat="1">
      <c r="A38" s="112"/>
      <c r="B38" s="26" t="s">
        <v>1119</v>
      </c>
      <c r="C38" s="32" t="s">
        <v>751</v>
      </c>
      <c r="D38" s="28" t="str">
        <f>B38&amp;TEXT(Prices!C30,"0.0")</f>
        <v>EUR 21.0</v>
      </c>
      <c r="E38" s="28" t="str">
        <f>B38&amp;TEXT(Prices!E30,"0.0")</f>
        <v>EUR 21.1</v>
      </c>
      <c r="F38" s="29">
        <f>Prices!F30</f>
        <v>5.150744566468024E-3</v>
      </c>
      <c r="G38" s="28" t="str">
        <f>Prices!D30</f>
        <v>Neutral</v>
      </c>
      <c r="H38" s="30"/>
      <c r="I38" s="31">
        <f>OBEL!$D$38</f>
        <v>6.1741441818318687</v>
      </c>
      <c r="J38" s="31">
        <f>OBEL!$E$38</f>
        <v>5.8117265470785648</v>
      </c>
      <c r="K38" s="31">
        <f>OBEL!$F$38</f>
        <v>5.6132218123976791</v>
      </c>
      <c r="L38" s="31">
        <f>OBEL!$G$38</f>
        <v>5.6731793360450391</v>
      </c>
      <c r="M38" s="29">
        <f>OBEL!$H$38</f>
        <v>1.5142145595676837E-2</v>
      </c>
      <c r="N38" s="30"/>
      <c r="O38" s="31">
        <f>OBEL!$D$39</f>
        <v>19.711117770822963</v>
      </c>
      <c r="P38" s="31">
        <f>OBEL!$E$39</f>
        <v>16.177488668907326</v>
      </c>
      <c r="Q38" s="31">
        <f>OBEL!$F$39</f>
        <v>15.615494699608398</v>
      </c>
      <c r="R38" s="31">
        <f>OBEL!$G$39</f>
        <v>17.281235048487744</v>
      </c>
      <c r="S38" s="29">
        <f>OBEL!$H$39</f>
        <v>3.1150996116782403E-2</v>
      </c>
      <c r="T38" s="30"/>
      <c r="U38" s="32" t="str">
        <f t="shared" si="2"/>
        <v>EUR 21.0</v>
      </c>
      <c r="V38" s="28" t="s">
        <v>751</v>
      </c>
      <c r="Z38" s="30"/>
    </row>
    <row r="39" spans="1:28" s="5" customFormat="1">
      <c r="A39" s="112"/>
      <c r="B39" s="26" t="s">
        <v>1119</v>
      </c>
      <c r="C39" s="32" t="s">
        <v>1339</v>
      </c>
      <c r="D39" s="28" t="str">
        <f>B39&amp;TEXT(Prices!C31,"0.0")</f>
        <v>EUR 6.6</v>
      </c>
      <c r="E39" s="28" t="str">
        <f>B39&amp;TEXT(Prices!E31,"0.0")</f>
        <v>EUR 6.0</v>
      </c>
      <c r="F39" s="404">
        <f>Prices!F31</f>
        <v>-9.297052154195018E-2</v>
      </c>
      <c r="G39" s="28" t="str">
        <f>Prices!D31</f>
        <v>Neutral</v>
      </c>
      <c r="H39" s="30"/>
      <c r="I39" s="528">
        <f>SES!$D$38</f>
        <v>6.5681509083952125</v>
      </c>
      <c r="J39" s="528">
        <f>SES!$E$38</f>
        <v>5.1313289059976155</v>
      </c>
      <c r="K39" s="528">
        <f>SES!$F$38</f>
        <v>4.7469853631730174</v>
      </c>
      <c r="L39" s="528">
        <f>SES!$G$38</f>
        <v>4.8726198197443162</v>
      </c>
      <c r="M39" s="404">
        <f>SES!$H$38</f>
        <v>5.2273965190706928E-2</v>
      </c>
      <c r="N39" s="30"/>
      <c r="O39" s="528">
        <f>SES!$D$39</f>
        <v>10.598391118466949</v>
      </c>
      <c r="P39" s="528">
        <f>SES!$E$39</f>
        <v>8.5694052249239903</v>
      </c>
      <c r="Q39" s="528">
        <f>SES!$F$39</f>
        <v>9.5379449639724498</v>
      </c>
      <c r="R39" s="528">
        <f>SES!$G$39</f>
        <v>31.785585311574319</v>
      </c>
      <c r="S39" s="404">
        <f>SES!$H$39</f>
        <v>-0.33945075036748218</v>
      </c>
      <c r="T39" s="30"/>
      <c r="U39" s="32" t="str">
        <f>D39</f>
        <v>EUR 6.6</v>
      </c>
      <c r="V39" s="28" t="s">
        <v>1339</v>
      </c>
      <c r="Z39" s="30"/>
    </row>
    <row r="40" spans="1:28" s="5" customFormat="1">
      <c r="A40" s="112"/>
      <c r="B40" s="26" t="s">
        <v>414</v>
      </c>
      <c r="C40" s="32" t="s">
        <v>1293</v>
      </c>
      <c r="D40" s="28" t="str">
        <f>B40&amp;TEXT(Prices!C32,"0.0")</f>
        <v>CHF46.1</v>
      </c>
      <c r="E40" s="28" t="str">
        <f>B40&amp;TEXT(Prices!E32,"0.0")</f>
        <v>CHF38.7</v>
      </c>
      <c r="F40" s="29">
        <f>Prices!F32</f>
        <v>-0.15959504533103386</v>
      </c>
      <c r="G40" s="28" t="str">
        <f>Prices!D32</f>
        <v>Sell</v>
      </c>
      <c r="H40" s="30"/>
      <c r="I40" s="31">
        <f>SUNN!$D$38</f>
        <v>8.4575406617932103</v>
      </c>
      <c r="J40" s="31">
        <f>SUNN!$E$38</f>
        <v>8.2294972987787336</v>
      </c>
      <c r="K40" s="31">
        <f>SUNN!$F$38</f>
        <v>7.8343412928587304</v>
      </c>
      <c r="L40" s="31">
        <f>SUNN!$G$38</f>
        <v>7.9118904318683372</v>
      </c>
      <c r="M40" s="29">
        <f>SUNN!$H$38</f>
        <v>4.0166232677041336E-4</v>
      </c>
      <c r="N40" s="30"/>
      <c r="O40" s="31">
        <f>SUNN!$D$39</f>
        <v>16.119435344235438</v>
      </c>
      <c r="P40" s="31">
        <f>SUNN!$E$39</f>
        <v>14.739127698858141</v>
      </c>
      <c r="Q40" s="31">
        <f>SUNN!$F$39</f>
        <v>13.886654115452185</v>
      </c>
      <c r="R40" s="31">
        <f>SUNN!$G$39</f>
        <v>13.951440043423418</v>
      </c>
      <c r="S40" s="29">
        <f>SUNN!$H$39</f>
        <v>2.6668074180640877E-2</v>
      </c>
      <c r="T40" s="30"/>
      <c r="U40" s="32" t="str">
        <f t="shared" ref="U40" si="4">D40</f>
        <v>CHF46.1</v>
      </c>
      <c r="V40" s="28" t="s">
        <v>1293</v>
      </c>
      <c r="Z40" s="30"/>
    </row>
    <row r="41" spans="1:28" s="5" customFormat="1">
      <c r="A41" s="112"/>
      <c r="B41" s="26" t="s">
        <v>323</v>
      </c>
      <c r="C41" s="32" t="s">
        <v>317</v>
      </c>
      <c r="D41" s="28" t="str">
        <f>B41&amp;TEXT(Prices!C34,"0.0")</f>
        <v>SEK 189.7</v>
      </c>
      <c r="E41" s="28" t="str">
        <f>B41&amp;TEXT(Prices!E34,"0.0")</f>
        <v>SEK 170.0</v>
      </c>
      <c r="F41" s="29">
        <f>Prices!F34</f>
        <v>-0.10361191668863701</v>
      </c>
      <c r="G41" s="28" t="str">
        <f>Prices!D34</f>
        <v>Neutral</v>
      </c>
      <c r="H41" s="30"/>
      <c r="I41" s="31">
        <f>TELE2!$D$38</f>
        <v>13.508279834375417</v>
      </c>
      <c r="J41" s="31">
        <f>TELE2!$E$38</f>
        <v>12.313997387506408</v>
      </c>
      <c r="K41" s="31">
        <f>TELE2!$F$38</f>
        <v>11.422335737701607</v>
      </c>
      <c r="L41" s="31">
        <f>TELE2!$G$38</f>
        <v>10.581354970633514</v>
      </c>
      <c r="M41" s="29">
        <f>TELE2!$H$38</f>
        <v>2.664277163225548E-2</v>
      </c>
      <c r="N41" s="30"/>
      <c r="O41" s="31">
        <f>TELE2!$D$39</f>
        <v>18.66349595467674</v>
      </c>
      <c r="P41" s="31">
        <f>TELE2!$E$39</f>
        <v>16.875968720075054</v>
      </c>
      <c r="Q41" s="31">
        <f>TELE2!$F$39</f>
        <v>15.511022442228084</v>
      </c>
      <c r="R41" s="31">
        <f>TELE2!$G$39</f>
        <v>14.247924571585816</v>
      </c>
      <c r="S41" s="29">
        <f>TELE2!$H$39</f>
        <v>3.5492351228082031E-2</v>
      </c>
      <c r="T41" s="30"/>
      <c r="U41" s="32" t="str">
        <f t="shared" si="2"/>
        <v>SEK 189.7</v>
      </c>
      <c r="V41" s="28" t="s">
        <v>317</v>
      </c>
      <c r="Z41" s="30"/>
    </row>
    <row r="42" spans="1:28">
      <c r="A42" s="25"/>
      <c r="B42" s="26" t="s">
        <v>1119</v>
      </c>
      <c r="C42" s="32" t="s">
        <v>741</v>
      </c>
      <c r="D42" s="28" t="str">
        <f>B42&amp;TEXT(Prices!C35,"0.0")</f>
        <v>EUR 26.7</v>
      </c>
      <c r="E42" s="28" t="str">
        <f>B42&amp;TEXT(Prices!E35,"0.0")</f>
        <v>EUR 33.0</v>
      </c>
      <c r="F42" s="29">
        <f>Prices!F35</f>
        <v>0.23688155922038989</v>
      </c>
      <c r="G42" s="28" t="str">
        <f>Prices!D35</f>
        <v>Neutral</v>
      </c>
      <c r="H42" s="30"/>
      <c r="I42" s="31">
        <f>UTDI!$D$38</f>
        <v>10.413748959740978</v>
      </c>
      <c r="J42" s="31">
        <f>UTDI!E$38</f>
        <v>9.1808792803184165</v>
      </c>
      <c r="K42" s="31">
        <f>UTDI!F$38</f>
        <v>8.2380643322446101</v>
      </c>
      <c r="L42" s="31">
        <f>UTDI!$G$38</f>
        <v>7.3910727116401853</v>
      </c>
      <c r="M42" s="29">
        <f>UTDI!$H$38</f>
        <v>9.7235591687371947E-2</v>
      </c>
      <c r="N42" s="30"/>
      <c r="O42" s="31">
        <f>UTDI!$D$39</f>
        <v>32.456429578698227</v>
      </c>
      <c r="P42" s="31">
        <f>UTDI!$E$39</f>
        <v>19.201525462839449</v>
      </c>
      <c r="Q42" s="31">
        <f>UTDI!$F$39</f>
        <v>15.984540683997698</v>
      </c>
      <c r="R42" s="31">
        <f>UTDI!$G$39</f>
        <v>13.445826742902907</v>
      </c>
      <c r="S42" s="29">
        <f>UTDI!$H$39</f>
        <v>0.31291845859545808</v>
      </c>
      <c r="T42" s="30"/>
      <c r="U42" s="32" t="str">
        <f t="shared" ref="U42" si="5">D42</f>
        <v>EUR 26.7</v>
      </c>
      <c r="V42" s="28" t="str">
        <f>C42</f>
        <v>United Internet</v>
      </c>
    </row>
    <row r="43" spans="1:28" s="5" customFormat="1">
      <c r="A43" s="112"/>
      <c r="B43" s="26" t="s">
        <v>1122</v>
      </c>
      <c r="C43" s="32" t="s">
        <v>233</v>
      </c>
      <c r="D43" s="28" t="str">
        <f>B43&amp;TEXT(Prices!C36/100,"0.00")</f>
        <v>GBP 1.16</v>
      </c>
      <c r="E43" s="28" t="str">
        <f>B43&amp;TEXT(Prices!E36/100,"0.00")</f>
        <v>GBP 1.30</v>
      </c>
      <c r="F43" s="29">
        <f>Prices!F36</f>
        <v>0.12117291936179386</v>
      </c>
      <c r="G43" s="28" t="str">
        <f>Prices!D36</f>
        <v>Buy</v>
      </c>
      <c r="H43" s="30"/>
      <c r="I43" s="31">
        <f>VOD!$D$38</f>
        <v>5.8025377362186914</v>
      </c>
      <c r="J43" s="31">
        <f>VOD!$E$38</f>
        <v>5.326875804792798</v>
      </c>
      <c r="K43" s="31">
        <f>VOD!$F$38</f>
        <v>4.9386153954668837</v>
      </c>
      <c r="L43" s="31">
        <f>VOD!$G$38</f>
        <v>4.5263720384853903</v>
      </c>
      <c r="M43" s="29">
        <f>VOD!$H$38</f>
        <v>4.8499719491322812E-2</v>
      </c>
      <c r="N43" s="30"/>
      <c r="O43" s="31">
        <f>VOD!$D$39</f>
        <v>15.441898577227127</v>
      </c>
      <c r="P43" s="31">
        <f>VOD!$E$39</f>
        <v>13.469171043657742</v>
      </c>
      <c r="Q43" s="31">
        <f>VOD!$F$39</f>
        <v>11.867091410083194</v>
      </c>
      <c r="R43" s="31">
        <f>VOD!$G$39</f>
        <v>10.199265344434883</v>
      </c>
      <c r="S43" s="29">
        <f>VOD!$H$39</f>
        <v>0.10829747782754473</v>
      </c>
      <c r="T43" s="30"/>
      <c r="U43" s="32" t="str">
        <f t="shared" si="2"/>
        <v>GBP 1.16</v>
      </c>
      <c r="V43" s="28" t="s">
        <v>233</v>
      </c>
      <c r="Z43" s="30"/>
    </row>
    <row r="44" spans="1:28" s="5" customFormat="1">
      <c r="A44" s="112"/>
      <c r="B44" s="26" t="s">
        <v>1122</v>
      </c>
      <c r="C44" s="32" t="s">
        <v>1309</v>
      </c>
      <c r="D44" s="28" t="str">
        <f>B44&amp;TEXT(Prices!C37/100,"0.00")</f>
        <v>GBP 17.92</v>
      </c>
      <c r="E44" s="28" t="str">
        <f>B44&amp;TEXT(Prices!E37/100,"0.00")</f>
        <v>GBP 14.75</v>
      </c>
      <c r="F44" s="29">
        <f>Prices!F37</f>
        <v>-0.17689732142857151</v>
      </c>
      <c r="G44" s="28" t="str">
        <f>Prices!D37</f>
        <v>Neutral</v>
      </c>
      <c r="H44" s="30"/>
      <c r="I44" s="31">
        <f>ZEG!$D$38</f>
        <v>8.8755602143300738</v>
      </c>
      <c r="J44" s="31">
        <f>ZEG!$E$38</f>
        <v>8.2070510162518708</v>
      </c>
      <c r="K44" s="31">
        <f>ZEG!$F$38</f>
        <v>7.5720557130741497</v>
      </c>
      <c r="L44" s="31">
        <f>ZEG!$G$38</f>
        <v>7.214068767509195</v>
      </c>
      <c r="M44" s="29">
        <f>ZEG!$H$38</f>
        <v>3.2603493272179707E-2</v>
      </c>
      <c r="N44" s="30"/>
      <c r="O44" s="31">
        <f>ZEG!$D$39</f>
        <v>13.163918966354874</v>
      </c>
      <c r="P44" s="31">
        <f>ZEG!$E$39</f>
        <v>12.00201125788319</v>
      </c>
      <c r="Q44" s="31">
        <f>ZEG!$F$39</f>
        <v>11.060485876543904</v>
      </c>
      <c r="R44" s="31">
        <f>ZEG!$G$39</f>
        <v>10.660790506951923</v>
      </c>
      <c r="S44" s="29">
        <f>ZEG!$H$39</f>
        <v>3.3856719209723884E-2</v>
      </c>
      <c r="T44" s="30"/>
      <c r="U44" s="32" t="str">
        <f t="shared" ref="U44" si="6">D44</f>
        <v>GBP 17.92</v>
      </c>
      <c r="V44" s="28" t="s">
        <v>1309</v>
      </c>
      <c r="Z44" s="30"/>
    </row>
    <row r="45" spans="1:28" s="5" customFormat="1">
      <c r="A45" s="112"/>
      <c r="B45" s="26"/>
      <c r="C45" s="35" t="s">
        <v>1090</v>
      </c>
      <c r="D45" s="36"/>
      <c r="E45" s="36"/>
      <c r="F45" s="37"/>
      <c r="G45" s="36"/>
      <c r="H45" s="30"/>
      <c r="I45" s="38">
        <f>'W.EUR OTHER'!$D$38</f>
        <v>6.667367354960847</v>
      </c>
      <c r="J45" s="38">
        <f>'W.EUR OTHER'!$E$38</f>
        <v>6.1251275377702257</v>
      </c>
      <c r="K45" s="38">
        <f>'W.EUR OTHER'!$F$38</f>
        <v>5.693173880990817</v>
      </c>
      <c r="L45" s="38">
        <f>'W.EUR OTHER'!$G$38</f>
        <v>5.2531257055567684</v>
      </c>
      <c r="M45" s="39">
        <f>'W.EUR OTHER'!$H$38</f>
        <v>5.8382923375347229E-2</v>
      </c>
      <c r="N45" s="40"/>
      <c r="O45" s="38">
        <f>'W.EUR OTHER'!$D$39</f>
        <v>15.71905243017703</v>
      </c>
      <c r="P45" s="38">
        <f>'W.EUR OTHER'!$E$39</f>
        <v>13.415100889859009</v>
      </c>
      <c r="Q45" s="38">
        <f>'W.EUR OTHER'!$F$39</f>
        <v>12.045703081903499</v>
      </c>
      <c r="R45" s="38">
        <f>'W.EUR OTHER'!$G$39</f>
        <v>10.673746267054129</v>
      </c>
      <c r="S45" s="39">
        <f>'W.EUR OTHER'!$H$39</f>
        <v>0.11215962069465446</v>
      </c>
      <c r="T45" s="30"/>
      <c r="U45" s="41"/>
      <c r="V45" s="42" t="str">
        <f>C45</f>
        <v>Agg. W. Europe Other</v>
      </c>
      <c r="Z45" s="30"/>
    </row>
    <row r="46" spans="1:28" s="5" customFormat="1">
      <c r="A46" s="112"/>
      <c r="B46" s="26"/>
      <c r="C46" s="32"/>
      <c r="D46" s="28"/>
      <c r="E46" s="28"/>
      <c r="F46" s="29"/>
      <c r="G46" s="28"/>
      <c r="H46" s="30"/>
      <c r="I46" s="31"/>
      <c r="J46" s="31"/>
      <c r="K46" s="31"/>
      <c r="L46" s="31"/>
      <c r="M46" s="29"/>
      <c r="N46" s="30"/>
      <c r="O46" s="31"/>
      <c r="P46" s="31"/>
      <c r="Q46" s="31"/>
      <c r="R46" s="31"/>
      <c r="S46" s="29"/>
      <c r="T46" s="30"/>
      <c r="U46" s="32"/>
      <c r="V46" s="28"/>
      <c r="Z46" s="30"/>
    </row>
    <row r="47" spans="1:28" s="5" customFormat="1">
      <c r="A47" s="112"/>
      <c r="B47" s="26" t="s">
        <v>1124</v>
      </c>
      <c r="C47" s="32" t="s">
        <v>253</v>
      </c>
      <c r="D47" s="28" t="str">
        <f>B47&amp;TEXT(Prices!C64,"0,0")</f>
        <v>JPY 2,565</v>
      </c>
      <c r="E47" s="28" t="str">
        <f>B47&amp;TEXT(Prices!E64,"0,0")</f>
        <v>JPY 3,150</v>
      </c>
      <c r="F47" s="29">
        <f>Prices!F64</f>
        <v>0.22807017543859653</v>
      </c>
      <c r="G47" s="28" t="str">
        <f>Prices!D64</f>
        <v>Buy</v>
      </c>
      <c r="H47" s="30"/>
      <c r="I47" s="31">
        <f>KDDI!$D$38</f>
        <v>6.4200139242015348</v>
      </c>
      <c r="J47" s="31">
        <f>KDDI!$E$38</f>
        <v>5.7604522306643391</v>
      </c>
      <c r="K47" s="31">
        <f>KDDI!$F$38</f>
        <v>5.1356201470785319</v>
      </c>
      <c r="L47" s="31">
        <f>KDDI!$G$38</f>
        <v>4.5320016199172422</v>
      </c>
      <c r="M47" s="29">
        <f>KDDI!$H$38</f>
        <v>3.4156534467740363E-2</v>
      </c>
      <c r="N47" s="30"/>
      <c r="O47" s="31">
        <f>KDDI!$D$39</f>
        <v>10.107766674943406</v>
      </c>
      <c r="P47" s="31">
        <f>KDDI!$E$39</f>
        <v>8.5764851648683731</v>
      </c>
      <c r="Q47" s="31">
        <f>KDDI!$F$39</f>
        <v>7.4587697816287912</v>
      </c>
      <c r="R47" s="31">
        <f>KDDI!$G$39</f>
        <v>6.4331739457467707</v>
      </c>
      <c r="S47" s="29">
        <f>KDDI!$H$39</f>
        <v>7.0485889852950789E-2</v>
      </c>
      <c r="T47" s="30"/>
      <c r="U47" s="32" t="str">
        <f t="shared" ref="U47:U49" si="7">D47</f>
        <v>JPY 2,565</v>
      </c>
      <c r="V47" s="28" t="s">
        <v>253</v>
      </c>
      <c r="Z47" s="30"/>
    </row>
    <row r="48" spans="1:28" s="5" customFormat="1">
      <c r="A48" s="112"/>
      <c r="B48" s="26" t="s">
        <v>1124</v>
      </c>
      <c r="C48" s="32" t="s">
        <v>855</v>
      </c>
      <c r="D48" s="28" t="str">
        <f>B48&amp;TEXT(Prices!C65,"0,0")</f>
        <v>JPY 775</v>
      </c>
      <c r="E48" s="28" t="str">
        <f>B48&amp;TEXT(Prices!E65,"0,0")</f>
        <v>JPY 510</v>
      </c>
      <c r="F48" s="29">
        <f>Prices!F65</f>
        <v>-0.3421901199535663</v>
      </c>
      <c r="G48" s="28" t="str">
        <f>Prices!D65</f>
        <v>Reduce</v>
      </c>
      <c r="H48" s="30"/>
      <c r="I48" s="31">
        <f>RAK!$D$38</f>
        <v>5.7317333521178977</v>
      </c>
      <c r="J48" s="31">
        <f>RAK!$E$38</f>
        <v>4.079627441950664</v>
      </c>
      <c r="K48" s="31">
        <f>RAK!$F$38</f>
        <v>3.308514526203493</v>
      </c>
      <c r="L48" s="31">
        <f>RAK!$G$38</f>
        <v>2.827921910133643</v>
      </c>
      <c r="M48" s="29">
        <f>RAK!$H$38</f>
        <v>0.26314373139908542</v>
      </c>
      <c r="N48" s="30"/>
      <c r="O48" s="31">
        <f>RAK!$D$39</f>
        <v>18.408478776054814</v>
      </c>
      <c r="P48" s="31">
        <f>RAK!$E$39</f>
        <v>10.154224220673202</v>
      </c>
      <c r="Q48" s="31">
        <f>RAK!$F$39</f>
        <v>6.2516456753420639</v>
      </c>
      <c r="R48" s="31">
        <f>RAK!$G$39</f>
        <v>4.9390845018378515</v>
      </c>
      <c r="S48" s="29">
        <f>RAK!$H$39</f>
        <v>0.54752282813769182</v>
      </c>
      <c r="T48" s="30"/>
      <c r="U48" s="32" t="str">
        <f>D48</f>
        <v>JPY 775</v>
      </c>
      <c r="V48" s="28" t="str">
        <f>C48</f>
        <v>Rakuten</v>
      </c>
      <c r="Z48" s="30"/>
      <c r="AB48" s="47"/>
    </row>
    <row r="49" spans="1:28">
      <c r="B49" s="26" t="s">
        <v>1124</v>
      </c>
      <c r="C49" s="32" t="s">
        <v>852</v>
      </c>
      <c r="D49" s="28" t="str">
        <f>B49&amp;TEXT(Prices!C66,"0,0")</f>
        <v>JPY 220</v>
      </c>
      <c r="E49" s="28" t="str">
        <f>B49&amp;TEXT(Prices!E66,"0,0")</f>
        <v>JPY 270</v>
      </c>
      <c r="F49" s="29">
        <f>Prices!F66</f>
        <v>0.22615803814713908</v>
      </c>
      <c r="G49" s="28" t="str">
        <f>Prices!D66</f>
        <v>Buy</v>
      </c>
      <c r="H49" s="30"/>
      <c r="I49" s="31">
        <f>SBKK!$D$38</f>
        <v>8.0655421448596716</v>
      </c>
      <c r="J49" s="31">
        <f>SBKK!$E$38</f>
        <v>6.982161597177079</v>
      </c>
      <c r="K49" s="31">
        <f>SBKK!$F$38</f>
        <v>6.0011904005045027</v>
      </c>
      <c r="L49" s="31">
        <f>SBKK!$G$38</f>
        <v>5.1334676886974835</v>
      </c>
      <c r="M49" s="29">
        <f>SBKK!$H$38</f>
        <v>7.1220269421736537E-2</v>
      </c>
      <c r="N49" s="30"/>
      <c r="O49" s="31">
        <f>SBKK!$D$39</f>
        <v>11.777653306118584</v>
      </c>
      <c r="P49" s="31">
        <f>SBKK!$E$39</f>
        <v>9.922725080203513</v>
      </c>
      <c r="Q49" s="31">
        <f>SBKK!$F$39</f>
        <v>8.3224125749059894</v>
      </c>
      <c r="R49" s="31">
        <f>SBKK!$G$39</f>
        <v>6.986050391330199</v>
      </c>
      <c r="S49" s="29">
        <f>SBKK!$H$39</f>
        <v>9.6680753411503284E-2</v>
      </c>
      <c r="T49" s="30"/>
      <c r="U49" s="32" t="str">
        <f t="shared" si="7"/>
        <v>JPY 220</v>
      </c>
      <c r="V49" s="28" t="s">
        <v>852</v>
      </c>
      <c r="Z49" s="30"/>
      <c r="AB49" s="5"/>
    </row>
    <row r="50" spans="1:28">
      <c r="C50" s="35" t="s">
        <v>1098</v>
      </c>
      <c r="D50" s="36"/>
      <c r="E50" s="36"/>
      <c r="F50" s="37"/>
      <c r="G50" s="36"/>
      <c r="H50" s="30"/>
      <c r="I50" s="38">
        <f>'DM ASIA OTHER'!D$38</f>
        <v>7.0614940559791775</v>
      </c>
      <c r="J50" s="38">
        <f>'DM ASIA OTHER'!E$38</f>
        <v>6.0637958934647092</v>
      </c>
      <c r="K50" s="38">
        <f>'DM ASIA OTHER'!F$38</f>
        <v>5.2331896033020939</v>
      </c>
      <c r="L50" s="38">
        <f>'DM ASIA OTHER'!G$38</f>
        <v>4.5104499027613318</v>
      </c>
      <c r="M50" s="39">
        <f>'DM ASIA OTHER'!H$38</f>
        <v>7.7493269443907886E-2</v>
      </c>
      <c r="N50" s="40"/>
      <c r="O50" s="38">
        <f>'DM ASIA OTHER'!D$39</f>
        <v>11.317310406216853</v>
      </c>
      <c r="P50" s="38">
        <f>'DM ASIA OTHER'!E$39</f>
        <v>9.3236784642716053</v>
      </c>
      <c r="Q50" s="38">
        <f>'DM ASIA OTHER'!F$39</f>
        <v>7.7096146658334446</v>
      </c>
      <c r="R50" s="38">
        <f>'DM ASIA OTHER'!G$39</f>
        <v>6.4812658439843434</v>
      </c>
      <c r="S50" s="39">
        <f>'DM ASIA OTHER'!H$39</f>
        <v>0.11742088784493321</v>
      </c>
      <c r="T50" s="30"/>
      <c r="U50" s="41"/>
      <c r="V50" s="42" t="s">
        <v>80</v>
      </c>
      <c r="Z50" s="30"/>
      <c r="AB50" s="5"/>
    </row>
    <row r="51" spans="1:28">
      <c r="A51" s="25"/>
      <c r="C51" s="32"/>
      <c r="D51" s="28"/>
      <c r="E51" s="28"/>
      <c r="F51" s="29"/>
      <c r="G51" s="28"/>
      <c r="H51" s="30"/>
      <c r="I51" s="31"/>
      <c r="J51" s="31"/>
      <c r="K51" s="31"/>
      <c r="L51" s="31"/>
      <c r="M51" s="29"/>
      <c r="N51" s="30"/>
      <c r="O51" s="31"/>
      <c r="P51" s="31"/>
      <c r="Q51" s="31"/>
      <c r="R51" s="31"/>
      <c r="S51" s="29"/>
      <c r="T51" s="30"/>
      <c r="U51" s="32"/>
      <c r="V51" s="28"/>
      <c r="Z51" s="30"/>
    </row>
    <row r="52" spans="1:28">
      <c r="A52" s="25"/>
      <c r="B52" s="26" t="s">
        <v>1118</v>
      </c>
      <c r="C52" s="32" t="s">
        <v>809</v>
      </c>
      <c r="D52" s="28" t="str">
        <f>B52&amp;TEXT(Prices!$C$49,"0.0")</f>
        <v>USD 1.7</v>
      </c>
      <c r="E52" s="28" t="str">
        <f>B52&amp;TEXT(Prices!$E$49,"0.0")</f>
        <v>USD 2.5</v>
      </c>
      <c r="F52" s="29">
        <f>Prices!$F$49</f>
        <v>0.49700598802395213</v>
      </c>
      <c r="G52" s="28" t="str">
        <f>Prices!$D$49</f>
        <v>Neutral</v>
      </c>
      <c r="H52" s="30"/>
      <c r="I52" s="31">
        <f>ATCUS!$D$38</f>
        <v>6.9777437667814759</v>
      </c>
      <c r="J52" s="31">
        <f>ATCUS!$E$38</f>
        <v>7.4449617834506867</v>
      </c>
      <c r="K52" s="31">
        <f>ATCUS!$F$38</f>
        <v>32.143766617355887</v>
      </c>
      <c r="L52" s="31">
        <f>ATCUS!$G$38</f>
        <v>32.073584967629252</v>
      </c>
      <c r="M52" s="29">
        <f>ATCUS!$H$38</f>
        <v>-0.39383115197016383</v>
      </c>
      <c r="N52" s="30"/>
      <c r="O52" s="31">
        <f>ATCUS!$D$39</f>
        <v>13.225244174480157</v>
      </c>
      <c r="P52" s="31">
        <f>ATCUS!$E$39</f>
        <v>12.832750607524209</v>
      </c>
      <c r="Q52" s="31">
        <f>ATCUS!$F$39</f>
        <v>57.990290004289989</v>
      </c>
      <c r="R52" s="31">
        <f>ATCUS!$G$39</f>
        <v>61.340856212213879</v>
      </c>
      <c r="S52" s="29">
        <f>ATCUS!$H$39</f>
        <v>-0.39564925120086247</v>
      </c>
      <c r="T52" s="30"/>
      <c r="U52" s="32" t="str">
        <f>D52</f>
        <v>USD 1.7</v>
      </c>
      <c r="V52" s="28" t="str">
        <f>C52</f>
        <v>Altice US</v>
      </c>
      <c r="Z52" s="30"/>
    </row>
    <row r="53" spans="1:28">
      <c r="A53" s="25"/>
      <c r="B53" s="26" t="s">
        <v>1118</v>
      </c>
      <c r="C53" s="32" t="s">
        <v>258</v>
      </c>
      <c r="D53" s="28" t="str">
        <f>B53&amp;TEXT(Prices!$C$50,"0.0")</f>
        <v>USD 222.0</v>
      </c>
      <c r="E53" s="28" t="str">
        <f>B53&amp;TEXT(Prices!$E$50,"0.0")</f>
        <v>USD 328.0</v>
      </c>
      <c r="F53" s="29">
        <f>Prices!$F$50</f>
        <v>0.47747747747747749</v>
      </c>
      <c r="G53" s="28" t="str">
        <f>Prices!$D$50</f>
        <v>Buy</v>
      </c>
      <c r="H53" s="30"/>
      <c r="I53" s="31">
        <f>CHTR!$D$38</f>
        <v>6.1127991441490819</v>
      </c>
      <c r="J53" s="31">
        <f>CHTR!$E$38</f>
        <v>5.7312706582480395</v>
      </c>
      <c r="K53" s="31">
        <f>CHTR!$F$38</f>
        <v>22.288184937011973</v>
      </c>
      <c r="L53" s="31">
        <f>CHTR!$G$38</f>
        <v>22.556348665729843</v>
      </c>
      <c r="M53" s="29">
        <f>CHTR!$H$38</f>
        <v>-0.36172864127266646</v>
      </c>
      <c r="N53" s="30"/>
      <c r="O53" s="31">
        <f>CHTR!$D$39</f>
        <v>12.416144768716951</v>
      </c>
      <c r="P53" s="31">
        <f>CHTR!$E$39</f>
        <v>11.44681836159292</v>
      </c>
      <c r="Q53" s="31">
        <f>CHTR!$F$39</f>
        <v>38.18276153151011</v>
      </c>
      <c r="R53" s="31">
        <f>CHTR!$G$39</f>
        <v>45.55278217594892</v>
      </c>
      <c r="S53" s="29">
        <f>CHTR!$H$39</f>
        <v>-0.36050247502601085</v>
      </c>
      <c r="T53" s="30"/>
      <c r="U53" s="32" t="str">
        <f>D53</f>
        <v>USD 222.0</v>
      </c>
      <c r="V53" s="28" t="str">
        <f>C53</f>
        <v>Charter</v>
      </c>
      <c r="Z53" s="30"/>
    </row>
    <row r="54" spans="1:28">
      <c r="A54" s="25"/>
      <c r="B54" s="26" t="s">
        <v>1118</v>
      </c>
      <c r="C54" s="32" t="s">
        <v>257</v>
      </c>
      <c r="D54" s="28" t="str">
        <f>B54&amp;TEXT(Prices!$C$51,"0.0")</f>
        <v>USD 30.2</v>
      </c>
      <c r="E54" s="28" t="str">
        <f>B54&amp;TEXT(Prices!$E$51,"0.0")</f>
        <v>USD 36.0</v>
      </c>
      <c r="F54" s="29">
        <f>Prices!$F$51</f>
        <v>0.19027938502231767</v>
      </c>
      <c r="G54" s="28" t="str">
        <f>Prices!$D$51</f>
        <v>Buy</v>
      </c>
      <c r="H54" s="30"/>
      <c r="I54" s="31">
        <f>CMCSA!$D$38</f>
        <v>4.4293000465476036</v>
      </c>
      <c r="J54" s="31">
        <f>CMCSA!$E$38</f>
        <v>4.0979044319892646</v>
      </c>
      <c r="K54" s="31">
        <f>CMCSA!$F$38</f>
        <v>15.747639509890474</v>
      </c>
      <c r="L54" s="31">
        <f>CMCSA!$G$38</f>
        <v>14.565150361642139</v>
      </c>
      <c r="M54" s="29">
        <f>CMCSA!$H$38</f>
        <v>-0.35110556083741551</v>
      </c>
      <c r="N54" s="30"/>
      <c r="O54" s="31">
        <f>CMCSA!$D$39</f>
        <v>6.5641902421218381</v>
      </c>
      <c r="P54" s="31">
        <f>CMCSA!$E$39</f>
        <v>6.026456683870923</v>
      </c>
      <c r="Q54" s="31">
        <f>CMCSA!$F$39</f>
        <v>20.619693937184518</v>
      </c>
      <c r="R54" s="31">
        <f>CMCSA!$G$39</f>
        <v>19.694075104374242</v>
      </c>
      <c r="S54" s="29">
        <f>CMCSA!$H$39</f>
        <v>-0.33096444351986132</v>
      </c>
      <c r="T54" s="30"/>
      <c r="U54" s="32" t="str">
        <f>D54</f>
        <v>USD 30.2</v>
      </c>
      <c r="V54" s="28" t="str">
        <f>C54</f>
        <v>Comcast</v>
      </c>
      <c r="Z54" s="30"/>
    </row>
    <row r="55" spans="1:28">
      <c r="A55" s="25"/>
      <c r="B55" s="26" t="s">
        <v>1118</v>
      </c>
      <c r="C55" s="32" t="s">
        <v>1264</v>
      </c>
      <c r="D55" s="28" t="str">
        <f>B55&amp;TEXT(Prices!C52,"0.0")</f>
        <v>USD 119.1</v>
      </c>
      <c r="E55" s="28" t="str">
        <f>B55&amp;TEXT(Prices!E52,"0.0")</f>
        <v>USD 0.0</v>
      </c>
      <c r="F55" s="29">
        <f>Prices!F52</f>
        <v>-1</v>
      </c>
      <c r="G55" s="28" t="str">
        <f>Prices!D52</f>
        <v>Buy</v>
      </c>
      <c r="H55" s="30"/>
      <c r="I55" s="31">
        <f>SATS!D$38</f>
        <v>58.659512423076912</v>
      </c>
      <c r="J55" s="31">
        <f>SATS!E$38</f>
        <v>19.676458663384398</v>
      </c>
      <c r="K55" s="31">
        <f>SATS!F$38</f>
        <v>14.209789088532263</v>
      </c>
      <c r="L55" s="31">
        <f>SATS!G$38</f>
        <v>13.341852951028006</v>
      </c>
      <c r="M55" s="29">
        <f>SATS!$H$38</f>
        <v>0.27093080455689433</v>
      </c>
      <c r="N55" s="30"/>
      <c r="O55" s="31">
        <f>SATS!D$39</f>
        <v>657.32311649031055</v>
      </c>
      <c r="P55" s="31">
        <f>SATS!E$39</f>
        <v>31.604824431865485</v>
      </c>
      <c r="Q55" s="31">
        <f>SATS!F$39</f>
        <v>17.120959598621724</v>
      </c>
      <c r="R55" s="31">
        <f>SATS!G$39</f>
        <v>15.699297291333204</v>
      </c>
      <c r="S55" s="29">
        <f>SATS!H$39</f>
        <v>1.6938952456665</v>
      </c>
      <c r="T55" s="30"/>
      <c r="U55" s="32" t="str">
        <f>D55</f>
        <v>USD 119.1</v>
      </c>
      <c r="V55" s="28" t="str">
        <f>C55</f>
        <v>EchoStar</v>
      </c>
      <c r="Z55" s="30"/>
    </row>
    <row r="56" spans="1:28">
      <c r="A56" s="25"/>
      <c r="C56" s="35" t="s">
        <v>1269</v>
      </c>
      <c r="D56" s="42"/>
      <c r="E56" s="42"/>
      <c r="F56" s="39"/>
      <c r="G56" s="42"/>
      <c r="H56" s="40"/>
      <c r="I56" s="38">
        <f>'US OTHER'!D38</f>
        <v>6.069327328391652</v>
      </c>
      <c r="J56" s="38">
        <f>'US OTHER'!E38</f>
        <v>5.3106733719878578</v>
      </c>
      <c r="K56" s="38">
        <f>'US OTHER'!F38</f>
        <v>18.343386419290955</v>
      </c>
      <c r="L56" s="38">
        <f>'US OTHER'!G38</f>
        <v>17.551992864337155</v>
      </c>
      <c r="M56" s="39">
        <f>'US OTHER'!H38</f>
        <v>-0.33342091865491441</v>
      </c>
      <c r="N56" s="40"/>
      <c r="O56" s="50">
        <f>'US OTHER'!D39</f>
        <v>10.211765759138748</v>
      </c>
      <c r="P56" s="50">
        <f>'US OTHER'!E39</f>
        <v>8.6799339956505754</v>
      </c>
      <c r="Q56" s="50">
        <f>'US OTHER'!F39</f>
        <v>25.992725114565481</v>
      </c>
      <c r="R56" s="50">
        <f>'US OTHER'!G39</f>
        <v>26.185859943211955</v>
      </c>
      <c r="S56" s="39">
        <f>'US OTHER'!H39</f>
        <v>-0.30616164120376743</v>
      </c>
      <c r="T56" s="40"/>
      <c r="U56" s="35"/>
      <c r="V56" s="42" t="s">
        <v>216</v>
      </c>
      <c r="Z56" s="30"/>
    </row>
    <row r="57" spans="1:28">
      <c r="A57" s="25"/>
      <c r="C57" s="32"/>
      <c r="D57" s="28"/>
      <c r="E57" s="28"/>
      <c r="F57" s="29"/>
      <c r="G57" s="28"/>
      <c r="H57" s="30"/>
      <c r="I57" s="31"/>
      <c r="J57" s="31"/>
      <c r="K57" s="31"/>
      <c r="L57" s="31"/>
      <c r="M57" s="29"/>
      <c r="N57" s="30"/>
      <c r="O57" s="31"/>
      <c r="P57" s="31"/>
      <c r="Q57" s="31"/>
      <c r="R57" s="31"/>
      <c r="S57" s="29"/>
      <c r="T57" s="30"/>
      <c r="U57" s="32"/>
      <c r="V57" s="28"/>
      <c r="Z57" s="30"/>
    </row>
    <row r="58" spans="1:28">
      <c r="C58" s="32"/>
      <c r="D58" s="28"/>
      <c r="E58" s="28"/>
      <c r="F58" s="29"/>
      <c r="G58" s="28"/>
      <c r="H58" s="30"/>
      <c r="I58" s="31"/>
      <c r="J58" s="31"/>
      <c r="K58" s="31"/>
      <c r="L58" s="31"/>
      <c r="M58" s="29"/>
      <c r="N58" s="30"/>
      <c r="O58" s="31"/>
      <c r="P58" s="31"/>
      <c r="Q58" s="31"/>
      <c r="R58" s="31"/>
      <c r="S58" s="29"/>
      <c r="T58" s="30"/>
      <c r="U58" s="32"/>
      <c r="V58" s="28"/>
      <c r="Z58" s="30"/>
    </row>
    <row r="59" spans="1:28">
      <c r="C59" s="35" t="s">
        <v>81</v>
      </c>
      <c r="D59" s="36"/>
      <c r="E59" s="36"/>
      <c r="F59" s="37"/>
      <c r="G59" s="36"/>
      <c r="H59" s="30"/>
      <c r="I59" s="38">
        <f>'W.EUR AGG'!$D$38</f>
        <v>7.6870473467921885</v>
      </c>
      <c r="J59" s="38">
        <f>'W.EUR AGG'!$E$38</f>
        <v>7.1145911206607453</v>
      </c>
      <c r="K59" s="38">
        <f>'W.EUR AGG'!$F$38</f>
        <v>6.5691623629662832</v>
      </c>
      <c r="L59" s="38">
        <f>'W.EUR AGG'!$G$38</f>
        <v>6.0654864117269582</v>
      </c>
      <c r="M59" s="39">
        <f>'W.EUR AGG'!$H$38</f>
        <v>4.9312622085556201E-2</v>
      </c>
      <c r="N59" s="40"/>
      <c r="O59" s="38">
        <f>'W.EUR AGG'!$D$39</f>
        <v>15.370042214252502</v>
      </c>
      <c r="P59" s="38">
        <f>'W.EUR AGG'!$E$39</f>
        <v>13.325754803854485</v>
      </c>
      <c r="Q59" s="38">
        <f>'W.EUR AGG'!$F$39</f>
        <v>11.674881922805872</v>
      </c>
      <c r="R59" s="38">
        <f>'W.EUR AGG'!$G$39</f>
        <v>10.421648803018655</v>
      </c>
      <c r="S59" s="39">
        <f>'W.EUR AGG'!$H$39</f>
        <v>0.10370530962179392</v>
      </c>
      <c r="T59" s="30"/>
      <c r="U59" s="41"/>
      <c r="V59" s="42" t="s">
        <v>81</v>
      </c>
      <c r="Z59" s="30"/>
    </row>
    <row r="60" spans="1:28">
      <c r="A60" s="25"/>
      <c r="C60" s="25" t="s">
        <v>1268</v>
      </c>
      <c r="D60" s="28"/>
      <c r="E60" s="28"/>
      <c r="F60" s="29"/>
      <c r="G60" s="28"/>
      <c r="H60" s="30"/>
      <c r="I60" s="44">
        <f>'US AGG'!D$38</f>
        <v>7.2873683033755414</v>
      </c>
      <c r="J60" s="44">
        <f>'US AGG'!E$38</f>
        <v>6.7636608509320189</v>
      </c>
      <c r="K60" s="44">
        <f>'US AGG'!F$38</f>
        <v>8.0062292089681613</v>
      </c>
      <c r="L60" s="44">
        <f>'US AGG'!G$38</f>
        <v>7.4020164849832266</v>
      </c>
      <c r="M60" s="43">
        <f>'US AGG'!H$38</f>
        <v>-4.7051122988827743E-2</v>
      </c>
      <c r="N60" s="40"/>
      <c r="O60" s="44">
        <f>'US AGG'!D$39</f>
        <v>11.872051031754324</v>
      </c>
      <c r="P60" s="44">
        <f>'US AGG'!E$39</f>
        <v>10.857248469540744</v>
      </c>
      <c r="Q60" s="44">
        <f>'US AGG'!F$39</f>
        <v>12.34496650978755</v>
      </c>
      <c r="R60" s="44">
        <f>'US AGG'!G$39</f>
        <v>11.250235146204671</v>
      </c>
      <c r="S60" s="43">
        <f>'US AGG'!H$39</f>
        <v>-2.4746695718171785E-2</v>
      </c>
      <c r="T60" s="30"/>
      <c r="U60" s="32"/>
      <c r="V60" s="34" t="str">
        <f>C60</f>
        <v>Agg. US</v>
      </c>
      <c r="Z60" s="30"/>
    </row>
    <row r="61" spans="1:28">
      <c r="A61" s="25"/>
      <c r="C61" s="51" t="s">
        <v>678</v>
      </c>
      <c r="D61" s="36"/>
      <c r="E61" s="36"/>
      <c r="F61" s="37"/>
      <c r="G61" s="36"/>
      <c r="H61" s="30"/>
      <c r="I61" s="38">
        <f>'AGG DM ASIA'!$D$38</f>
        <v>7.6721560652102054</v>
      </c>
      <c r="J61" s="38">
        <f>'AGG DM ASIA'!$E$38</f>
        <v>6.7119461692952651</v>
      </c>
      <c r="K61" s="38">
        <f>'AGG DM ASIA'!$F$38</f>
        <v>5.9372160465935782</v>
      </c>
      <c r="L61" s="38">
        <f>'AGG DM ASIA'!$G$38</f>
        <v>5.240396049664767</v>
      </c>
      <c r="M61" s="39">
        <f>'AGG DM ASIA'!$H$38</f>
        <v>6.8563070672120974E-2</v>
      </c>
      <c r="N61" s="40"/>
      <c r="O61" s="38">
        <f>'AGG DM ASIA'!$D$39</f>
        <v>15.757748412413559</v>
      </c>
      <c r="P61" s="38">
        <f>'AGG DM ASIA'!$E$39</f>
        <v>12.762225240199696</v>
      </c>
      <c r="Q61" s="38">
        <f>'AGG DM ASIA'!$F$39</f>
        <v>10.609335270210979</v>
      </c>
      <c r="R61" s="38">
        <f>'AGG DM ASIA'!$G$39</f>
        <v>9.0115060351743796</v>
      </c>
      <c r="S61" s="39">
        <f>'AGG DM ASIA'!$H$39</f>
        <v>0.13374308127739076</v>
      </c>
      <c r="T61" s="30"/>
      <c r="U61" s="41"/>
      <c r="V61" s="42" t="str">
        <f>C61</f>
        <v xml:space="preserve">Agg. Developed Asia </v>
      </c>
      <c r="Z61" s="30"/>
    </row>
    <row r="62" spans="1:28">
      <c r="C62" s="25"/>
      <c r="D62" s="28"/>
      <c r="E62" s="28"/>
      <c r="F62" s="29"/>
      <c r="G62" s="28"/>
      <c r="H62" s="30"/>
      <c r="I62" s="44"/>
      <c r="J62" s="44"/>
      <c r="K62" s="44"/>
      <c r="L62" s="44"/>
      <c r="M62" s="43"/>
      <c r="N62" s="40"/>
      <c r="O62" s="44"/>
      <c r="P62" s="44"/>
      <c r="Q62" s="44"/>
      <c r="R62" s="44"/>
      <c r="S62" s="43"/>
      <c r="T62" s="30"/>
      <c r="U62" s="32"/>
      <c r="V62" s="34"/>
      <c r="W62" s="31"/>
      <c r="X62" s="31"/>
      <c r="Y62" s="109"/>
      <c r="Z62" s="30"/>
    </row>
    <row r="63" spans="1:28" s="5" customFormat="1">
      <c r="A63" s="112"/>
      <c r="B63" s="26"/>
      <c r="C63" s="51" t="s">
        <v>679</v>
      </c>
      <c r="D63" s="36"/>
      <c r="E63" s="36"/>
      <c r="F63" s="37"/>
      <c r="G63" s="36"/>
      <c r="H63" s="30"/>
      <c r="I63" s="38">
        <f>'AGG DM'!$D$38</f>
        <v>7.4797484713901117</v>
      </c>
      <c r="J63" s="38">
        <f>'AGG DM'!$E$38</f>
        <v>6.884289723428572</v>
      </c>
      <c r="K63" s="38">
        <f>'AGG DM'!$F$38</f>
        <v>7.1042891280042326</v>
      </c>
      <c r="L63" s="38">
        <f>'AGG DM'!$G$38</f>
        <v>6.5259436575407666</v>
      </c>
      <c r="M63" s="39">
        <f>'AGG DM'!$H$38</f>
        <v>4.8141968520647449E-3</v>
      </c>
      <c r="N63" s="40"/>
      <c r="O63" s="38">
        <f>'AGG DM'!$D$39</f>
        <v>13.43130082789585</v>
      </c>
      <c r="P63" s="38">
        <f>'AGG DM'!$E$39</f>
        <v>11.912112379106738</v>
      </c>
      <c r="Q63" s="38">
        <f>'AGG DM'!$F$39</f>
        <v>11.843285832186552</v>
      </c>
      <c r="R63" s="38">
        <f>'AGG DM'!$G$39</f>
        <v>10.607416189621555</v>
      </c>
      <c r="S63" s="39">
        <f>'AGG DM'!$H$39</f>
        <v>3.8741206712421539E-2</v>
      </c>
      <c r="T63" s="30"/>
      <c r="U63" s="41"/>
      <c r="V63" s="42" t="s">
        <v>680</v>
      </c>
      <c r="AB63" s="47"/>
    </row>
    <row r="64" spans="1:28" s="5" customFormat="1">
      <c r="A64" s="112"/>
      <c r="B64" s="26"/>
      <c r="C64" s="27"/>
      <c r="D64" s="28"/>
      <c r="E64" s="28"/>
      <c r="F64" s="29"/>
      <c r="G64" s="28"/>
      <c r="H64" s="22"/>
      <c r="I64" s="31"/>
      <c r="J64" s="31"/>
      <c r="K64" s="31"/>
      <c r="L64" s="31"/>
      <c r="M64" s="29"/>
      <c r="N64" s="22"/>
      <c r="O64" s="31"/>
      <c r="P64" s="31"/>
      <c r="Q64" s="31"/>
      <c r="R64" s="31"/>
      <c r="S64" s="29"/>
      <c r="T64" s="22"/>
      <c r="U64" s="32"/>
      <c r="V64" s="34"/>
    </row>
    <row r="65" spans="1:29" s="5" customFormat="1">
      <c r="A65" s="112"/>
      <c r="B65" s="26"/>
      <c r="C65" s="27"/>
      <c r="D65" s="28"/>
      <c r="E65" s="28"/>
      <c r="F65" s="29"/>
      <c r="G65" s="28"/>
      <c r="H65" s="22"/>
      <c r="I65" s="31"/>
      <c r="J65" s="31"/>
      <c r="K65" s="31"/>
      <c r="L65" s="31"/>
      <c r="M65" s="29"/>
      <c r="N65" s="22"/>
      <c r="O65" s="31"/>
      <c r="P65" s="31"/>
      <c r="Q65" s="31"/>
      <c r="R65" s="31"/>
      <c r="S65" s="29"/>
      <c r="T65" s="22"/>
      <c r="U65" s="32"/>
      <c r="V65" s="34"/>
    </row>
    <row r="66" spans="1:29" s="25" customFormat="1">
      <c r="B66" s="113"/>
      <c r="C66" s="130"/>
      <c r="D66" s="131" t="s">
        <v>379</v>
      </c>
      <c r="E66" s="131" t="s">
        <v>50</v>
      </c>
      <c r="F66" s="131" t="s">
        <v>52</v>
      </c>
      <c r="G66" s="131" t="s">
        <v>49</v>
      </c>
      <c r="H66" s="33"/>
      <c r="I66" s="132" t="s">
        <v>381</v>
      </c>
      <c r="J66" s="132"/>
      <c r="K66" s="132"/>
      <c r="L66" s="132"/>
      <c r="M66" s="132"/>
      <c r="O66" s="132" t="s">
        <v>382</v>
      </c>
      <c r="P66" s="132"/>
      <c r="Q66" s="132"/>
      <c r="R66" s="132"/>
      <c r="S66" s="132"/>
      <c r="T66" s="33"/>
      <c r="U66" s="133" t="s">
        <v>379</v>
      </c>
      <c r="V66" s="131"/>
      <c r="Z66" s="33"/>
      <c r="AC66" s="106"/>
    </row>
    <row r="67" spans="1:29" s="5" customFormat="1">
      <c r="A67" s="25" t="s">
        <v>415</v>
      </c>
      <c r="B67" s="26"/>
      <c r="C67" s="32" t="s">
        <v>160</v>
      </c>
      <c r="D67" s="28" t="str">
        <f t="shared" ref="D67:G77" si="8">D8</f>
        <v>GBP2.24</v>
      </c>
      <c r="E67" s="28" t="str">
        <f t="shared" si="8"/>
        <v>GBP2.40</v>
      </c>
      <c r="F67" s="29">
        <f t="shared" si="8"/>
        <v>7.1189466636911503E-2</v>
      </c>
      <c r="G67" s="28" t="str">
        <f t="shared" si="8"/>
        <v>Neutral</v>
      </c>
      <c r="H67" s="30"/>
      <c r="I67" s="31">
        <f>BT!$D$40</f>
        <v>26.599870297413233</v>
      </c>
      <c r="J67" s="31">
        <f>BT!$E$40</f>
        <v>17.785187057604855</v>
      </c>
      <c r="K67" s="31">
        <f>BT!$F$40</f>
        <v>14.913077671773591</v>
      </c>
      <c r="L67" s="31">
        <f>BT!$G$40</f>
        <v>13.010375083538882</v>
      </c>
      <c r="M67" s="29">
        <f>BT!$H$40</f>
        <v>0.21457309486903919</v>
      </c>
      <c r="N67" s="30"/>
      <c r="O67" s="31">
        <f>BT!$D$44</f>
        <v>13.407566233789835</v>
      </c>
      <c r="P67" s="31">
        <f>BT!$E$44</f>
        <v>13.496723395477767</v>
      </c>
      <c r="Q67" s="31">
        <f>BT!$F$44</f>
        <v>13.917160866101723</v>
      </c>
      <c r="R67" s="31">
        <f>BT!$G$44</f>
        <v>13.843752083285343</v>
      </c>
      <c r="S67" s="29">
        <f>BT!$H$44</f>
        <v>-1.368394285033947E-2</v>
      </c>
      <c r="T67" s="30"/>
      <c r="U67" s="32" t="str">
        <f t="shared" ref="U67:V71" si="9">U8</f>
        <v>GBP2.24</v>
      </c>
      <c r="V67" s="53" t="str">
        <f t="shared" si="9"/>
        <v>British Telecom</v>
      </c>
    </row>
    <row r="68" spans="1:29" s="5" customFormat="1">
      <c r="A68" s="25"/>
      <c r="B68" s="26"/>
      <c r="C68" s="32" t="s">
        <v>161</v>
      </c>
      <c r="D68" s="28" t="str">
        <f t="shared" si="8"/>
        <v>EUR 27.67</v>
      </c>
      <c r="E68" s="28" t="str">
        <f t="shared" si="8"/>
        <v>EUR 43.00</v>
      </c>
      <c r="F68" s="29">
        <f t="shared" si="8"/>
        <v>0.55402963498373681</v>
      </c>
      <c r="G68" s="28" t="str">
        <f t="shared" si="8"/>
        <v>Buy</v>
      </c>
      <c r="H68" s="30"/>
      <c r="I68" s="31">
        <f>DT!$D$40</f>
        <v>17.857981065428763</v>
      </c>
      <c r="J68" s="31">
        <f>DT!$E$40</f>
        <v>15.617187917301894</v>
      </c>
      <c r="K68" s="31">
        <f>DT!$F$40</f>
        <v>13.301746921089933</v>
      </c>
      <c r="L68" s="31">
        <f>DT!$G$40</f>
        <v>11.74532823214764</v>
      </c>
      <c r="M68" s="29">
        <f>DT!$H$40</f>
        <v>0.10223069921852845</v>
      </c>
      <c r="N68" s="30"/>
      <c r="O68" s="31">
        <f>DT!$D$44</f>
        <v>13.698610025346913</v>
      </c>
      <c r="P68" s="31">
        <f>DT!$E$44</f>
        <v>12.945012723553379</v>
      </c>
      <c r="Q68" s="31">
        <f>DT!$F$44</f>
        <v>11.388658001343229</v>
      </c>
      <c r="R68" s="31">
        <f>DT!$G$44</f>
        <v>10.170867620661044</v>
      </c>
      <c r="S68" s="29">
        <f>DT!$H$44</f>
        <v>9.8886501755728329E-2</v>
      </c>
      <c r="T68" s="30"/>
      <c r="U68" s="32" t="str">
        <f t="shared" si="9"/>
        <v>EUR 27.67</v>
      </c>
      <c r="V68" s="53" t="str">
        <f t="shared" si="9"/>
        <v>Deutsche Telekom</v>
      </c>
    </row>
    <row r="69" spans="1:29" s="5" customFormat="1">
      <c r="A69" s="25"/>
      <c r="B69" s="26"/>
      <c r="C69" s="32" t="s">
        <v>373</v>
      </c>
      <c r="D69" s="28" t="str">
        <f t="shared" si="8"/>
        <v>EUR 4.66</v>
      </c>
      <c r="E69" s="28" t="str">
        <f t="shared" si="8"/>
        <v>EUR 4.33</v>
      </c>
      <c r="F69" s="29">
        <f t="shared" si="8"/>
        <v>-7.2021498159240971E-2</v>
      </c>
      <c r="G69" s="28" t="str">
        <f t="shared" si="8"/>
        <v>Neutral</v>
      </c>
      <c r="H69" s="30"/>
      <c r="I69" s="31">
        <f>KPN!$D$40</f>
        <v>23.705532773651818</v>
      </c>
      <c r="J69" s="31">
        <f>KPN!$E$40</f>
        <v>22.417811411369854</v>
      </c>
      <c r="K69" s="31">
        <f>KPN!$F$40</f>
        <v>17.589635999934913</v>
      </c>
      <c r="L69" s="31">
        <f>KPN!$G$40</f>
        <v>16.078717171578457</v>
      </c>
      <c r="M69" s="29">
        <f>KPN!$H$40</f>
        <v>9.4537181734261511E-2</v>
      </c>
      <c r="N69" s="30"/>
      <c r="O69" s="31">
        <f>KPN!$D$44</f>
        <v>23.226925151137763</v>
      </c>
      <c r="P69" s="31">
        <f>KPN!$E$44</f>
        <v>35.037596037254602</v>
      </c>
      <c r="Q69" s="31">
        <f>KPN!$F$44</f>
        <v>29.36211850652418</v>
      </c>
      <c r="R69" s="31">
        <f>KPN!$G$44</f>
        <v>24.697825818002411</v>
      </c>
      <c r="S69" s="29">
        <f>KPN!$H$44</f>
        <v>-3.5303542461023629E-2</v>
      </c>
      <c r="T69" s="30"/>
      <c r="U69" s="32" t="str">
        <f t="shared" si="9"/>
        <v>EUR 4.66</v>
      </c>
      <c r="V69" s="53" t="str">
        <f t="shared" si="9"/>
        <v>KPN</v>
      </c>
    </row>
    <row r="70" spans="1:29" s="5" customFormat="1">
      <c r="A70" s="25"/>
      <c r="B70" s="26"/>
      <c r="C70" s="32" t="s">
        <v>604</v>
      </c>
      <c r="D70" s="28" t="str">
        <f t="shared" si="8"/>
        <v>EUR 17.64</v>
      </c>
      <c r="E70" s="28" t="str">
        <f t="shared" si="8"/>
        <v>EUR 18.80</v>
      </c>
      <c r="F70" s="29">
        <f t="shared" si="8"/>
        <v>6.5759637188208542E-2</v>
      </c>
      <c r="G70" s="28" t="str">
        <f t="shared" si="8"/>
        <v>Neutral</v>
      </c>
      <c r="H70" s="30"/>
      <c r="I70" s="31">
        <f>ORA!$D$40</f>
        <v>21.970502945497156</v>
      </c>
      <c r="J70" s="31">
        <f>ORA!$E$40</f>
        <v>18.803343222541304</v>
      </c>
      <c r="K70" s="31">
        <f>ORA!$F$40</f>
        <v>17.236599165404268</v>
      </c>
      <c r="L70" s="31">
        <f>ORA!$G$40</f>
        <v>15.892045277383907</v>
      </c>
      <c r="M70" s="29">
        <f>ORA!$H$40</f>
        <v>0.12554581842943158</v>
      </c>
      <c r="N70" s="30"/>
      <c r="O70" s="31">
        <f>ORA!$D$44</f>
        <v>16.627710278653439</v>
      </c>
      <c r="P70" s="31">
        <f>ORA!$E$44</f>
        <v>11.129785372897201</v>
      </c>
      <c r="Q70" s="31">
        <f>ORA!$F$44</f>
        <v>15.94441527115924</v>
      </c>
      <c r="R70" s="31">
        <f>ORA!$G$44</f>
        <v>14.069128404462512</v>
      </c>
      <c r="S70" s="29">
        <f>ORA!$H$44</f>
        <v>5.7276108513626411E-2</v>
      </c>
      <c r="T70" s="30"/>
      <c r="U70" s="32" t="str">
        <f t="shared" si="9"/>
        <v>EUR 17.64</v>
      </c>
      <c r="V70" s="53" t="str">
        <f t="shared" si="9"/>
        <v>Orange</v>
      </c>
    </row>
    <row r="71" spans="1:29" s="5" customFormat="1">
      <c r="A71" s="25"/>
      <c r="B71" s="26"/>
      <c r="C71" s="32" t="s">
        <v>374</v>
      </c>
      <c r="D71" s="28" t="str">
        <f t="shared" si="8"/>
        <v>EUR 18.29</v>
      </c>
      <c r="E71" s="28" t="str">
        <f t="shared" si="8"/>
        <v>EUR 22.10</v>
      </c>
      <c r="F71" s="29">
        <f t="shared" si="8"/>
        <v>0.20831055221432493</v>
      </c>
      <c r="G71" s="28" t="str">
        <f t="shared" si="8"/>
        <v>Buy</v>
      </c>
      <c r="H71" s="30"/>
      <c r="I71" s="31">
        <f>OTE!$D$40</f>
        <v>14.555133234234836</v>
      </c>
      <c r="J71" s="31">
        <f>OTE!$E$40</f>
        <v>12.20675935360322</v>
      </c>
      <c r="K71" s="31">
        <f>OTE!$F$40</f>
        <v>11.010458001533243</v>
      </c>
      <c r="L71" s="31">
        <f>OTE!$G$40</f>
        <v>9.5183110853046493</v>
      </c>
      <c r="M71" s="29">
        <f>OTE!$H$40</f>
        <v>6.1801792700511893E-2</v>
      </c>
      <c r="N71" s="30"/>
      <c r="O71" s="31">
        <f>OTE!$D$44</f>
        <v>13.753463114813439</v>
      </c>
      <c r="P71" s="31">
        <f>OTE!$E$44</f>
        <v>13.03062757979106</v>
      </c>
      <c r="Q71" s="31">
        <f>OTE!$F$44</f>
        <v>11.958371887038933</v>
      </c>
      <c r="R71" s="31">
        <f>OTE!$G$44</f>
        <v>11.253673682465772</v>
      </c>
      <c r="S71" s="29">
        <f>OTE!$H$44</f>
        <v>4.3431659501470543E-2</v>
      </c>
      <c r="T71" s="30"/>
      <c r="U71" s="32" t="str">
        <f t="shared" si="9"/>
        <v>EUR 18.29</v>
      </c>
      <c r="V71" s="53" t="str">
        <f t="shared" si="9"/>
        <v>OTE</v>
      </c>
    </row>
    <row r="72" spans="1:29" s="5" customFormat="1">
      <c r="A72" s="25"/>
      <c r="B72" s="26"/>
      <c r="C72" s="32" t="s">
        <v>686</v>
      </c>
      <c r="D72" s="28" t="str">
        <f t="shared" si="8"/>
        <v>EUR 6.6</v>
      </c>
      <c r="E72" s="28" t="str">
        <f t="shared" si="8"/>
        <v>EUR 13.3</v>
      </c>
      <c r="F72" s="29">
        <f t="shared" si="8"/>
        <v>1.0060331825037707</v>
      </c>
      <c r="G72" s="28" t="str">
        <f t="shared" si="8"/>
        <v>Neutral</v>
      </c>
      <c r="H72" s="30"/>
      <c r="I72" s="31">
        <f>PROX!$D$40</f>
        <v>16.806209173335805</v>
      </c>
      <c r="J72" s="31">
        <f>PROX!$E$40</f>
        <v>17.561548444516724</v>
      </c>
      <c r="K72" s="31">
        <f>PROX!$F$40</f>
        <v>16.919620659899035</v>
      </c>
      <c r="L72" s="31">
        <f>PROX!$G$40</f>
        <v>15.747628600123925</v>
      </c>
      <c r="M72" s="29">
        <f>PROX!$H$40</f>
        <v>1.28895092621375E-2</v>
      </c>
      <c r="N72" s="30"/>
      <c r="O72" s="31">
        <f>PROX!$D$44</f>
        <v>5.0516769501486722</v>
      </c>
      <c r="P72" s="31">
        <f>PROX!$E$44</f>
        <v>5.9587319862274803</v>
      </c>
      <c r="Q72" s="31">
        <f>PROX!$F$44</f>
        <v>5.7465755278556712</v>
      </c>
      <c r="R72" s="31">
        <f>PROX!$G$44</f>
        <v>5.4460416523406989</v>
      </c>
      <c r="S72" s="29">
        <f>PROX!$H$44</f>
        <v>-2.4744958978268672E-2</v>
      </c>
      <c r="T72" s="30"/>
      <c r="U72" s="32" t="str">
        <f t="shared" ref="U72:U77" si="10">U13</f>
        <v>EUR 6.6</v>
      </c>
      <c r="V72" s="53" t="s">
        <v>686</v>
      </c>
    </row>
    <row r="73" spans="1:29">
      <c r="C73" s="32" t="s">
        <v>378</v>
      </c>
      <c r="D73" s="28" t="str">
        <f t="shared" si="8"/>
        <v>CHF673</v>
      </c>
      <c r="E73" s="28" t="str">
        <f t="shared" si="8"/>
        <v>CHF570</v>
      </c>
      <c r="F73" s="29">
        <f t="shared" si="8"/>
        <v>-0.15241635687732347</v>
      </c>
      <c r="G73" s="28" t="str">
        <f t="shared" si="8"/>
        <v>Sell</v>
      </c>
      <c r="H73" s="30"/>
      <c r="I73" s="31">
        <f>SWISS!$D$40</f>
        <v>32.764374793652536</v>
      </c>
      <c r="J73" s="31">
        <f>SWISS!$E$40</f>
        <v>31.233259205196809</v>
      </c>
      <c r="K73" s="31">
        <f>SWISS!$F$40</f>
        <v>27.66428820910885</v>
      </c>
      <c r="L73" s="31">
        <f>SWISS!$G$40</f>
        <v>24.030130943797371</v>
      </c>
      <c r="M73" s="29">
        <f>SWISS!$H$40</f>
        <v>8.2481387083385149E-2</v>
      </c>
      <c r="N73" s="30"/>
      <c r="O73" s="31">
        <f>SWISS!$D$44</f>
        <v>8.6927336129712423</v>
      </c>
      <c r="P73" s="31">
        <f>SWISS!$E$44</f>
        <v>8.776675024760987</v>
      </c>
      <c r="Q73" s="31">
        <f>SWISS!$F$44</f>
        <v>8.8414238405516041</v>
      </c>
      <c r="R73" s="31">
        <f>SWISS!$G$44</f>
        <v>8.7483299653090594</v>
      </c>
      <c r="S73" s="29">
        <f>SWISS!$H$44</f>
        <v>-2.1228639546226891E-3</v>
      </c>
      <c r="T73" s="30"/>
      <c r="U73" s="32" t="str">
        <f t="shared" si="10"/>
        <v>CHF673</v>
      </c>
      <c r="V73" s="53" t="str">
        <f t="shared" ref="V73:V78" si="11">V14</f>
        <v>Swisscom</v>
      </c>
    </row>
    <row r="74" spans="1:29" s="5" customFormat="1">
      <c r="A74" s="25"/>
      <c r="B74" s="26"/>
      <c r="C74" s="32" t="s">
        <v>222</v>
      </c>
      <c r="D74" s="28" t="str">
        <f t="shared" si="8"/>
        <v>EUR 0.66</v>
      </c>
      <c r="E74" s="28" t="str">
        <f t="shared" si="8"/>
        <v>EUR 0.55</v>
      </c>
      <c r="F74" s="29">
        <f t="shared" si="8"/>
        <v>-0.16641406486814181</v>
      </c>
      <c r="G74" s="28" t="str">
        <f t="shared" si="8"/>
        <v>Neutral</v>
      </c>
      <c r="H74" s="30"/>
      <c r="I74" s="31">
        <f>TI!$D$40</f>
        <v>20.549133203380233</v>
      </c>
      <c r="J74" s="31">
        <f>TI!$E$40</f>
        <v>16.420962598520742</v>
      </c>
      <c r="K74" s="31">
        <f>TI!$F$40</f>
        <v>13.975231695239041</v>
      </c>
      <c r="L74" s="31">
        <f>TI!$G$40</f>
        <v>12.21205222616654</v>
      </c>
      <c r="M74" s="29">
        <f>TI!$H$40</f>
        <v>0.13218597935818788</v>
      </c>
      <c r="N74" s="30"/>
      <c r="O74" s="31">
        <f>TI!$D$44</f>
        <v>36.289133965650869</v>
      </c>
      <c r="P74" s="31">
        <f>TI!$E$44</f>
        <v>27.848209557171675</v>
      </c>
      <c r="Q74" s="31">
        <f>TI!$F$44</f>
        <v>17.475122650077875</v>
      </c>
      <c r="R74" s="31">
        <f>TI!$G$44</f>
        <v>14.137384913284263</v>
      </c>
      <c r="S74" s="29">
        <f>TI!$H$44</f>
        <v>0.36135230173016852</v>
      </c>
      <c r="T74" s="30"/>
      <c r="U74" s="32" t="str">
        <f t="shared" si="10"/>
        <v>EUR 0.66</v>
      </c>
      <c r="V74" s="53" t="str">
        <f t="shared" si="11"/>
        <v>Telecom Italia</v>
      </c>
    </row>
    <row r="75" spans="1:29" s="5" customFormat="1">
      <c r="A75" s="25"/>
      <c r="B75" s="26"/>
      <c r="C75" s="32" t="s">
        <v>376</v>
      </c>
      <c r="D75" s="28" t="str">
        <f t="shared" si="8"/>
        <v>EUR 3.88</v>
      </c>
      <c r="E75" s="28" t="str">
        <f t="shared" si="8"/>
        <v>EUR 3.30</v>
      </c>
      <c r="F75" s="29">
        <f t="shared" si="8"/>
        <v>-0.14992272024729525</v>
      </c>
      <c r="G75" s="28" t="str">
        <f t="shared" si="8"/>
        <v>Sell</v>
      </c>
      <c r="H75" s="30"/>
      <c r="I75" s="31">
        <f>TEF!$D$40</f>
        <v>17.873684397910413</v>
      </c>
      <c r="J75" s="31">
        <f>TEF!$E$40</f>
        <v>16.823969707244828</v>
      </c>
      <c r="K75" s="31">
        <f>TEF!$F$40</f>
        <v>15.597645944825606</v>
      </c>
      <c r="L75" s="31">
        <f>TEF!$G$40</f>
        <v>14.982407446225348</v>
      </c>
      <c r="M75" s="29">
        <f>TEF!$H$40</f>
        <v>3.2091685181071972E-2</v>
      </c>
      <c r="N75" s="30"/>
      <c r="O75" s="31">
        <f>TEF!$D$44</f>
        <v>10.342731787897517</v>
      </c>
      <c r="P75" s="31">
        <f>TEF!$E$44</f>
        <v>10.303804598441861</v>
      </c>
      <c r="Q75" s="31">
        <f>TEF!$F$44</f>
        <v>8.4682228994176789</v>
      </c>
      <c r="R75" s="31">
        <f>TEF!$G$44</f>
        <v>8.1334190228943957</v>
      </c>
      <c r="S75" s="29">
        <f>TEF!$H$44</f>
        <v>8.3396359206452386E-2</v>
      </c>
      <c r="T75" s="30"/>
      <c r="U75" s="32" t="str">
        <f t="shared" si="10"/>
        <v>EUR 3.88</v>
      </c>
      <c r="V75" s="53" t="str">
        <f t="shared" si="11"/>
        <v>Telefonica</v>
      </c>
    </row>
    <row r="76" spans="1:29" s="5" customFormat="1">
      <c r="A76" s="25"/>
      <c r="B76" s="26"/>
      <c r="C76" s="32" t="s">
        <v>377</v>
      </c>
      <c r="D76" s="28" t="str">
        <f t="shared" si="8"/>
        <v>NOK 164</v>
      </c>
      <c r="E76" s="28" t="str">
        <f t="shared" si="8"/>
        <v>NOK 160</v>
      </c>
      <c r="F76" s="29">
        <f t="shared" si="8"/>
        <v>-2.6171637248934898E-2</v>
      </c>
      <c r="G76" s="28" t="str">
        <f t="shared" si="8"/>
        <v>Neutral</v>
      </c>
      <c r="H76" s="30"/>
      <c r="I76" s="31">
        <f>TNOR!$D$40</f>
        <v>18.318708609496973</v>
      </c>
      <c r="J76" s="31">
        <f>TNOR!$E$40</f>
        <v>16.325017821167528</v>
      </c>
      <c r="K76" s="31">
        <f>TNOR!$F$40</f>
        <v>15.478329409701834</v>
      </c>
      <c r="L76" s="31">
        <f>TNOR!$G$40</f>
        <v>13.579269873281806</v>
      </c>
      <c r="M76" s="29">
        <f>TNOR!$H$40</f>
        <v>1.2403170817929521E-2</v>
      </c>
      <c r="N76" s="30"/>
      <c r="O76" s="31">
        <f>TNOR!$D$44</f>
        <v>27.771800522251006</v>
      </c>
      <c r="P76" s="31">
        <f>TNOR!$E$44</f>
        <v>31.60279178481451</v>
      </c>
      <c r="Q76" s="31">
        <f>TNOR!$F$44</f>
        <v>28.22065671236459</v>
      </c>
      <c r="R76" s="31">
        <f>TNOR!$G$44</f>
        <v>27.289130268701939</v>
      </c>
      <c r="S76" s="29">
        <f>TNOR!$H$44</f>
        <v>-1.4874070867600064E-2</v>
      </c>
      <c r="T76" s="30"/>
      <c r="U76" s="32" t="str">
        <f t="shared" si="10"/>
        <v>NOK 164</v>
      </c>
      <c r="V76" s="28" t="str">
        <f t="shared" si="11"/>
        <v>Telenor</v>
      </c>
    </row>
    <row r="77" spans="1:29">
      <c r="A77" s="25"/>
      <c r="C77" s="32" t="s">
        <v>846</v>
      </c>
      <c r="D77" s="28" t="str">
        <f t="shared" si="8"/>
        <v>SEK48.7</v>
      </c>
      <c r="E77" s="28" t="str">
        <f t="shared" si="8"/>
        <v>SEK45.0</v>
      </c>
      <c r="F77" s="29">
        <f t="shared" si="8"/>
        <v>-7.6165058509546357E-2</v>
      </c>
      <c r="G77" s="28" t="str">
        <f t="shared" si="8"/>
        <v>Neutral</v>
      </c>
      <c r="H77" s="30"/>
      <c r="I77" s="31">
        <f>TELIA!$D$40</f>
        <v>22.504400146335652</v>
      </c>
      <c r="J77" s="31">
        <f>TELIA!$E$40</f>
        <v>22.165640019654223</v>
      </c>
      <c r="K77" s="31">
        <f>TELIA!$F$40</f>
        <v>19.908542469928008</v>
      </c>
      <c r="L77" s="31">
        <f>TELIA!$G$40</f>
        <v>18.136016982538553</v>
      </c>
      <c r="M77" s="29">
        <f>TELIA!$H$40</f>
        <v>4.0769656685039291E-2</v>
      </c>
      <c r="N77" s="30"/>
      <c r="O77" s="31">
        <f>TELIA!$D$44</f>
        <v>33.69835124615561</v>
      </c>
      <c r="P77" s="31">
        <f>TELIA!$E$44</f>
        <v>44.624651020225265</v>
      </c>
      <c r="Q77" s="31">
        <f>TELIA!$F$44</f>
        <v>39.663590591714502</v>
      </c>
      <c r="R77" s="31">
        <f>TELIA!$G$44</f>
        <v>31.831984673695356</v>
      </c>
      <c r="S77" s="29">
        <f>TELIA!$H$44</f>
        <v>1.9173943655455439E-2</v>
      </c>
      <c r="T77" s="30"/>
      <c r="U77" s="32" t="str">
        <f t="shared" si="10"/>
        <v>SEK48.7</v>
      </c>
      <c r="V77" s="28" t="str">
        <f t="shared" si="11"/>
        <v>TeliaSonera</v>
      </c>
      <c r="AB77" s="5"/>
    </row>
    <row r="78" spans="1:29" s="5" customFormat="1">
      <c r="A78" s="25"/>
      <c r="B78" s="26"/>
      <c r="C78" s="35" t="str">
        <f>C19</f>
        <v>Agg. W.Europe Incumbent</v>
      </c>
      <c r="D78" s="36"/>
      <c r="E78" s="36"/>
      <c r="F78" s="37"/>
      <c r="G78" s="36"/>
      <c r="H78" s="30"/>
      <c r="I78" s="38">
        <f>'W.EUR INCUMB'!$D$40</f>
        <v>19.830299209917808</v>
      </c>
      <c r="J78" s="38">
        <f>'W.EUR INCUMB'!$E$40</f>
        <v>17.36798444512312</v>
      </c>
      <c r="K78" s="38">
        <f>'W.EUR INCUMB'!$F$40</f>
        <v>15.16444536347441</v>
      </c>
      <c r="L78" s="38">
        <f>'W.EUR INCUMB'!$G$40</f>
        <v>13.584316171309917</v>
      </c>
      <c r="M78" s="39">
        <f>'W.EUR INCUMB'!$H$40</f>
        <v>9.7394152300127379E-2</v>
      </c>
      <c r="N78" s="40"/>
      <c r="O78" s="38">
        <f>'W.EUR INCUMB'!$D$44</f>
        <v>14.14426634350084</v>
      </c>
      <c r="P78" s="38">
        <f>'W.EUR INCUMB'!$E$44</f>
        <v>13.274636076602489</v>
      </c>
      <c r="Q78" s="38">
        <f>'W.EUR INCUMB'!$F$44</f>
        <v>12.682458185422464</v>
      </c>
      <c r="R78" s="38">
        <f>'W.EUR INCUMB'!$G$44</f>
        <v>11.595868141181764</v>
      </c>
      <c r="S78" s="39">
        <f>'W.EUR INCUMB'!$H$44</f>
        <v>6.3181921560131027E-2</v>
      </c>
      <c r="T78" s="30"/>
      <c r="U78" s="41"/>
      <c r="V78" s="42" t="str">
        <f t="shared" si="11"/>
        <v>Agg. W.Europe Incumbent</v>
      </c>
      <c r="AB78" s="47"/>
    </row>
    <row r="79" spans="1:29" s="5" customFormat="1">
      <c r="A79" s="25"/>
      <c r="B79" s="26"/>
      <c r="C79" s="32"/>
      <c r="D79" s="28"/>
      <c r="E79" s="28"/>
      <c r="F79" s="29"/>
      <c r="G79" s="28"/>
      <c r="H79" s="30"/>
      <c r="I79" s="135"/>
      <c r="J79" s="535"/>
      <c r="K79" s="535"/>
      <c r="L79" s="535"/>
      <c r="M79" s="29"/>
      <c r="N79" s="30"/>
      <c r="O79" s="31"/>
      <c r="P79" s="31"/>
      <c r="Q79" s="31"/>
      <c r="R79" s="31"/>
      <c r="S79" s="29"/>
      <c r="T79" s="30"/>
      <c r="U79" s="32"/>
      <c r="V79" s="28"/>
    </row>
    <row r="80" spans="1:29" s="5" customFormat="1">
      <c r="A80" s="25"/>
      <c r="B80" s="26" t="s">
        <v>424</v>
      </c>
      <c r="C80" s="32" t="s">
        <v>403</v>
      </c>
      <c r="D80" s="28" t="str">
        <f>B80&amp;TEXT(Prices!$C$45,"0.0")</f>
        <v>US$26.3</v>
      </c>
      <c r="E80" s="28" t="str">
        <f>B80&amp;TEXT(Prices!$E$45,"0.00")</f>
        <v>US$32.00</v>
      </c>
      <c r="F80" s="29">
        <f>Prices!$F$45</f>
        <v>0.21765601217656005</v>
      </c>
      <c r="G80" s="28" t="str">
        <f>Prices!$D$45</f>
        <v>Buy</v>
      </c>
      <c r="H80" s="30"/>
      <c r="I80" s="31">
        <f>ATT!$D$40</f>
        <v>18.982441896414453</v>
      </c>
      <c r="J80" s="31">
        <f>ATT!$E$40</f>
        <v>19.441135608643943</v>
      </c>
      <c r="K80" s="31">
        <f>ATT!$F$40</f>
        <v>16.826963632202713</v>
      </c>
      <c r="L80" s="31">
        <f>ATT!$G$40</f>
        <v>14.532409261577987</v>
      </c>
      <c r="M80" s="29">
        <f>ATT!$H$40</f>
        <v>7.1958414067140763E-2</v>
      </c>
      <c r="N80" s="30"/>
      <c r="O80" s="31">
        <f>ATT!D$44</f>
        <v>12.855677991266758</v>
      </c>
      <c r="P80" s="31">
        <f>ATT!$E$44</f>
        <v>10.794391311104771</v>
      </c>
      <c r="Q80" s="31">
        <f>ATT!$F$44</f>
        <v>10.000502655327915</v>
      </c>
      <c r="R80" s="31">
        <f>ATT!$G$44</f>
        <v>9.1877199569805157</v>
      </c>
      <c r="S80" s="29">
        <f>ATT!$H$44</f>
        <v>8.5122805469674212E-2</v>
      </c>
      <c r="T80" s="30"/>
      <c r="U80" s="32" t="str">
        <f>U21</f>
        <v>USD26.3</v>
      </c>
      <c r="V80" s="28" t="str">
        <f>V21</f>
        <v>AT&amp;T</v>
      </c>
    </row>
    <row r="81" spans="1:28">
      <c r="B81" s="26" t="s">
        <v>424</v>
      </c>
      <c r="C81" s="32" t="s">
        <v>570</v>
      </c>
      <c r="D81" s="28" t="str">
        <f>B81&amp;TEXT(Prices!$C$46,"0.0")</f>
        <v>US$191.5</v>
      </c>
      <c r="E81" s="28" t="str">
        <f>B81&amp;TEXT(Prices!$E$46,"0.0")</f>
        <v>US$296.0</v>
      </c>
      <c r="F81" s="29">
        <f>Prices!$F$46</f>
        <v>0.54593408889121009</v>
      </c>
      <c r="G81" s="28" t="str">
        <f>Prices!$D$46</f>
        <v>Buy</v>
      </c>
      <c r="H81" s="30"/>
      <c r="I81" s="31">
        <f>TMUS!$D$40</f>
        <v>16.525107372893135</v>
      </c>
      <c r="J81" s="31">
        <f>TMUS!$E$40</f>
        <v>15.736084179864006</v>
      </c>
      <c r="K81" s="31">
        <f>TMUS!$F$40</f>
        <v>13.602624895081293</v>
      </c>
      <c r="L81" s="31">
        <f>TMUS!$G$40</f>
        <v>12.241164898051826</v>
      </c>
      <c r="M81" s="29">
        <f>TMUS!$H$40</f>
        <v>8.298494464765005E-2</v>
      </c>
      <c r="N81" s="30"/>
      <c r="O81" s="31">
        <f>TMUS!$D$44</f>
        <v>19.469191684652099</v>
      </c>
      <c r="P81" s="31">
        <f>TMUS!$E$44</f>
        <v>17.510261392280039</v>
      </c>
      <c r="Q81" s="31">
        <f>TMUS!$F$44</f>
        <v>13.368005701832354</v>
      </c>
      <c r="R81" s="31">
        <f>TMUS!$G$44</f>
        <v>11.574737290828372</v>
      </c>
      <c r="S81" s="29">
        <f>TMUS!$H$44</f>
        <v>0.14178595911125336</v>
      </c>
      <c r="T81" s="30"/>
      <c r="U81" s="32" t="str">
        <f>U22</f>
        <v>USD191.5</v>
      </c>
      <c r="V81" s="28" t="str">
        <f>V22</f>
        <v>TMUS</v>
      </c>
      <c r="AB81" s="5"/>
    </row>
    <row r="82" spans="1:28" s="5" customFormat="1">
      <c r="A82" s="25"/>
      <c r="B82" s="26" t="s">
        <v>424</v>
      </c>
      <c r="C82" s="32" t="s">
        <v>30</v>
      </c>
      <c r="D82" s="28" t="str">
        <f>B82&amp;TEXT(Prices!$C$44,"0.0")</f>
        <v>US$46.9</v>
      </c>
      <c r="E82" s="28" t="str">
        <f>B82&amp;TEXT(Prices!$E$44,"0.00")</f>
        <v>US$42.00</v>
      </c>
      <c r="F82" s="29">
        <f>Prices!$F$44</f>
        <v>-0.10371318822023046</v>
      </c>
      <c r="G82" s="28" t="str">
        <f>Prices!$D$44</f>
        <v>Neutral</v>
      </c>
      <c r="H82" s="30"/>
      <c r="I82" s="31">
        <f>VZN!$D$40</f>
        <v>14.962418354060292</v>
      </c>
      <c r="J82" s="31">
        <f>VZN!$E$40</f>
        <v>12.879900209324315</v>
      </c>
      <c r="K82" s="31">
        <f>VZN!$F$40</f>
        <v>10.883105312120579</v>
      </c>
      <c r="L82" s="31">
        <f>VZN!$G$40</f>
        <v>9.3694698130244394</v>
      </c>
      <c r="M82" s="29">
        <f>VZN!$H$40</f>
        <v>7.7658021396488808E-2</v>
      </c>
      <c r="N82" s="30"/>
      <c r="O82" s="31">
        <f>VZN!$D$44</f>
        <v>10.066042057528314</v>
      </c>
      <c r="P82" s="31">
        <f>VZN!$E$44</f>
        <v>9.7746732997441708</v>
      </c>
      <c r="Q82" s="31">
        <f>VZN!$F$44</f>
        <v>9.3675491540364657</v>
      </c>
      <c r="R82" s="31">
        <f>VZN!$G$44</f>
        <v>8.8497287878439188</v>
      </c>
      <c r="S82" s="29">
        <f>VZN!$H$44</f>
        <v>4.386161132411015E-2</v>
      </c>
      <c r="T82" s="30"/>
      <c r="U82" s="32" t="str">
        <f>U23</f>
        <v>USD46.9</v>
      </c>
      <c r="V82" s="28" t="s">
        <v>30</v>
      </c>
      <c r="AB82" s="47"/>
    </row>
    <row r="83" spans="1:28" s="5" customFormat="1">
      <c r="A83" s="25"/>
      <c r="B83" s="26"/>
      <c r="C83" s="35" t="s">
        <v>214</v>
      </c>
      <c r="D83" s="36"/>
      <c r="E83" s="36"/>
      <c r="F83" s="37"/>
      <c r="G83" s="36"/>
      <c r="H83" s="30"/>
      <c r="I83" s="38">
        <f>'US TELCO'!$D$40</f>
        <v>16.709554745428136</v>
      </c>
      <c r="J83" s="38">
        <f>'US TELCO'!$E$40</f>
        <v>15.758627227570189</v>
      </c>
      <c r="K83" s="38">
        <f>'US TELCO'!$F$40</f>
        <v>13.535776633534837</v>
      </c>
      <c r="L83" s="38">
        <f>'US TELCO'!$G$40</f>
        <v>11.886437593885129</v>
      </c>
      <c r="M83" s="39">
        <f>'US TELCO'!$H$40</f>
        <v>7.7677635873599549E-2</v>
      </c>
      <c r="N83" s="30"/>
      <c r="O83" s="38">
        <f>'US TELCO'!$D$44</f>
        <v>13.266784878088224</v>
      </c>
      <c r="P83" s="38">
        <f>'US TELCO'!$E$44</f>
        <v>11.999390633171901</v>
      </c>
      <c r="Q83" s="38">
        <f>'US TELCO'!$F$44</f>
        <v>10.690983801136143</v>
      </c>
      <c r="R83" s="38">
        <f>'US TELCO'!$G$44</f>
        <v>9.7423251474524637</v>
      </c>
      <c r="S83" s="39">
        <f>'US TELCO'!$H$44</f>
        <v>8.2526948023635915E-2</v>
      </c>
      <c r="T83" s="30"/>
      <c r="U83" s="41"/>
      <c r="V83" s="42" t="str">
        <f>V24</f>
        <v>Agg. US Telecoms</v>
      </c>
    </row>
    <row r="84" spans="1:28" s="5" customFormat="1">
      <c r="A84" s="25"/>
      <c r="B84" s="26"/>
      <c r="C84" s="32"/>
      <c r="D84" s="28"/>
      <c r="E84" s="28"/>
      <c r="F84" s="29"/>
      <c r="G84" s="28"/>
      <c r="H84" s="30"/>
      <c r="I84" s="31"/>
      <c r="J84" s="31"/>
      <c r="K84" s="31"/>
      <c r="L84" s="31"/>
      <c r="M84" s="29"/>
      <c r="N84" s="30"/>
      <c r="O84" s="31"/>
      <c r="P84" s="31"/>
      <c r="Q84" s="31"/>
      <c r="R84" s="31"/>
      <c r="S84" s="29"/>
      <c r="T84" s="30"/>
      <c r="U84" s="32"/>
      <c r="V84" s="28"/>
    </row>
    <row r="85" spans="1:28" s="5" customFormat="1">
      <c r="A85" s="25"/>
      <c r="B85" s="26"/>
      <c r="C85" s="32" t="str">
        <f t="shared" ref="C85:G86" si="12">C26</f>
        <v>NTT</v>
      </c>
      <c r="D85" s="28" t="str">
        <f t="shared" si="12"/>
        <v>JPY 152</v>
      </c>
      <c r="E85" s="28" t="str">
        <f t="shared" si="12"/>
        <v>JPY 215</v>
      </c>
      <c r="F85" s="29">
        <f t="shared" si="12"/>
        <v>0.41914191419141922</v>
      </c>
      <c r="G85" s="28" t="str">
        <f t="shared" si="12"/>
        <v>Buy</v>
      </c>
      <c r="H85" s="30"/>
      <c r="I85" s="31">
        <f>NTT!$D$40</f>
        <v>28.415092902668665</v>
      </c>
      <c r="J85" s="31">
        <f>NTT!$E$40</f>
        <v>21.722734068069396</v>
      </c>
      <c r="K85" s="31">
        <f>NTT!$F$40</f>
        <v>18.103550416705513</v>
      </c>
      <c r="L85" s="31">
        <f>NTT!$G$40</f>
        <v>15.207085229345353</v>
      </c>
      <c r="M85" s="29">
        <f>NTT!$H$40</f>
        <v>0.16947398973519467</v>
      </c>
      <c r="N85" s="30"/>
      <c r="O85" s="31">
        <f>NTT!$D$44</f>
        <v>11.145261047429569</v>
      </c>
      <c r="P85" s="31">
        <f>NTT!$E$44</f>
        <v>9.5246050920843643</v>
      </c>
      <c r="Q85" s="31">
        <f>NTT!$F$44</f>
        <v>8.6723130188334583</v>
      </c>
      <c r="R85" s="31">
        <f>NTT!$G$44</f>
        <v>7.9718554427493338</v>
      </c>
      <c r="S85" s="29">
        <f>NTT!$H$44</f>
        <v>9.664492076898723E-2</v>
      </c>
      <c r="T85" s="30"/>
      <c r="U85" s="32" t="str">
        <f>U26</f>
        <v>JPY 152</v>
      </c>
      <c r="V85" s="28" t="str">
        <f>V26</f>
        <v>NTT</v>
      </c>
      <c r="W85" s="27"/>
      <c r="X85" s="28"/>
      <c r="Y85" s="28"/>
      <c r="Z85" s="52"/>
    </row>
    <row r="86" spans="1:28" s="5" customFormat="1">
      <c r="A86" s="25"/>
      <c r="B86" s="26"/>
      <c r="C86" s="32" t="str">
        <f t="shared" si="12"/>
        <v>SingTel (prop.)</v>
      </c>
      <c r="D86" s="28" t="str">
        <f t="shared" si="12"/>
        <v>SGD 4.63</v>
      </c>
      <c r="E86" s="28" t="str">
        <f t="shared" si="12"/>
        <v>SGD 6.20</v>
      </c>
      <c r="F86" s="29">
        <f t="shared" si="12"/>
        <v>0.33909287257019449</v>
      </c>
      <c r="G86" s="28" t="str">
        <f t="shared" si="12"/>
        <v>Buy</v>
      </c>
      <c r="H86" s="30"/>
      <c r="I86" s="31">
        <f>PROPORTIONATES!$G$69</f>
        <v>20.287448695050205</v>
      </c>
      <c r="J86" s="31">
        <f>PROPORTIONATES!$H$69</f>
        <v>16.715000038324515</v>
      </c>
      <c r="K86" s="31">
        <f>PROPORTIONATES!$I$69</f>
        <v>14.131107490467882</v>
      </c>
      <c r="L86" s="31">
        <f>PROPORTIONATES!$J$69</f>
        <v>11.495455998492758</v>
      </c>
      <c r="M86" s="29">
        <f>SINGTEL!$H$40</f>
        <v>0.12820773084308579</v>
      </c>
      <c r="N86" s="30"/>
      <c r="O86" s="31">
        <f>SINGTEL!$D$44</f>
        <v>22.719086730924722</v>
      </c>
      <c r="P86" s="31">
        <f>SINGTEL!$E$44</f>
        <v>18.744706399644219</v>
      </c>
      <c r="Q86" s="31">
        <f>SINGTEL!$F$44</f>
        <v>16.118208147660326</v>
      </c>
      <c r="R86" s="31">
        <f>SINGTEL!$G$44</f>
        <v>14.248049789654345</v>
      </c>
      <c r="S86" s="29">
        <f>SINGTEL!$H$44</f>
        <v>0.15663000592939103</v>
      </c>
      <c r="T86" s="30"/>
      <c r="U86" s="32" t="str">
        <f>U27</f>
        <v>SGD 4.63</v>
      </c>
      <c r="V86" s="28" t="s">
        <v>180</v>
      </c>
      <c r="W86" s="27"/>
      <c r="X86" s="28"/>
      <c r="Y86" s="28"/>
      <c r="Z86" s="52"/>
    </row>
    <row r="87" spans="1:28" s="5" customFormat="1">
      <c r="A87" s="25"/>
      <c r="B87" s="26"/>
      <c r="C87" s="35" t="str">
        <f>C28</f>
        <v>Agg. Developed Asia Incumbent</v>
      </c>
      <c r="D87" s="42"/>
      <c r="E87" s="42"/>
      <c r="F87" s="39"/>
      <c r="G87" s="42"/>
      <c r="H87" s="40"/>
      <c r="I87" s="38">
        <f>'DM ASIA INCUMB'!D40</f>
        <v>33.905152433990636</v>
      </c>
      <c r="J87" s="38">
        <f>'DM ASIA INCUMB'!E40</f>
        <v>26.368523811247602</v>
      </c>
      <c r="K87" s="38">
        <f>'DM ASIA INCUMB'!F40</f>
        <v>21.844916548947506</v>
      </c>
      <c r="L87" s="38">
        <f>'DM ASIA INCUMB'!G40</f>
        <v>18.658400763954578</v>
      </c>
      <c r="M87" s="39">
        <f>'DM ASIA INCUMB'!H40</f>
        <v>0.16202018288988995</v>
      </c>
      <c r="N87" s="40"/>
      <c r="O87" s="38">
        <f>'DM ASIA INCUMB'!D44</f>
        <v>14.321633716547723</v>
      </c>
      <c r="P87" s="38">
        <f>'DM ASIA INCUMB'!E44</f>
        <v>12.136978620155999</v>
      </c>
      <c r="Q87" s="38">
        <f>'DM ASIA INCUMB'!F44</f>
        <v>10.884185200531871</v>
      </c>
      <c r="R87" s="38">
        <f>'DM ASIA INCUMB'!G44</f>
        <v>9.9009968632136562</v>
      </c>
      <c r="S87" s="39">
        <f>'DM ASIA INCUMB'!H44</f>
        <v>0.11375602173565946</v>
      </c>
      <c r="T87" s="40"/>
      <c r="U87" s="35"/>
      <c r="V87" s="42" t="str">
        <f>V28</f>
        <v xml:space="preserve">Agg. Developed Asia Incumbent </v>
      </c>
      <c r="W87" s="27"/>
      <c r="X87" s="28"/>
      <c r="Y87" s="28"/>
      <c r="Z87" s="52"/>
    </row>
    <row r="88" spans="1:28" s="5" customFormat="1">
      <c r="A88" s="25"/>
      <c r="B88" s="26"/>
      <c r="C88" s="27"/>
      <c r="D88" s="34"/>
      <c r="E88" s="34"/>
      <c r="F88" s="45"/>
      <c r="G88" s="34"/>
      <c r="H88" s="40"/>
      <c r="I88" s="46"/>
      <c r="J88" s="46"/>
      <c r="K88" s="46"/>
      <c r="L88" s="46"/>
      <c r="M88" s="45"/>
      <c r="N88" s="40"/>
      <c r="O88" s="46"/>
      <c r="P88" s="46"/>
      <c r="Q88" s="46"/>
      <c r="R88" s="46"/>
      <c r="S88" s="45"/>
      <c r="T88" s="40"/>
      <c r="U88" s="27"/>
      <c r="V88" s="34"/>
      <c r="W88" s="23"/>
      <c r="X88" s="23"/>
      <c r="Y88" s="23"/>
      <c r="Z88" s="23"/>
    </row>
    <row r="89" spans="1:28" s="5" customFormat="1">
      <c r="A89" s="25"/>
      <c r="B89" s="26"/>
      <c r="C89" s="35" t="s">
        <v>717</v>
      </c>
      <c r="D89" s="42"/>
      <c r="E89" s="42"/>
      <c r="F89" s="39"/>
      <c r="G89" s="42"/>
      <c r="H89" s="40"/>
      <c r="I89" s="38">
        <f>'AGG DM INCUMB'!D40</f>
        <v>19.01748708147527</v>
      </c>
      <c r="J89" s="38">
        <f>'AGG DM INCUMB'!E40</f>
        <v>17.155147279367913</v>
      </c>
      <c r="K89" s="38">
        <f>'AGG DM INCUMB'!F40</f>
        <v>14.806053207724164</v>
      </c>
      <c r="L89" s="38">
        <f>'AGG DM INCUMB'!G40</f>
        <v>13.084610304303657</v>
      </c>
      <c r="M89" s="39">
        <f>'AGG DM INCUMB'!H40</f>
        <v>9.1204198759472055E-2</v>
      </c>
      <c r="N89" s="40"/>
      <c r="O89" s="38">
        <f>'AGG DM INCUMB'!D44</f>
        <v>13.686511678716959</v>
      </c>
      <c r="P89" s="38">
        <f>'AGG DM INCUMB'!E44</f>
        <v>12.440868400987709</v>
      </c>
      <c r="Q89" s="38">
        <f>'AGG DM INCUMB'!F44</f>
        <v>11.358717183747622</v>
      </c>
      <c r="R89" s="38">
        <f>'AGG DM INCUMB'!G44</f>
        <v>10.366714959743941</v>
      </c>
      <c r="S89" s="39">
        <f>'AGG DM INCUMB'!H44</f>
        <v>7.9684079566401333E-2</v>
      </c>
      <c r="T89" s="40"/>
      <c r="U89" s="35"/>
      <c r="V89" s="42" t="str">
        <f>C89</f>
        <v>Agg. DM Incumbent total</v>
      </c>
    </row>
    <row r="90" spans="1:28" s="5" customFormat="1">
      <c r="A90" s="112"/>
      <c r="B90" s="26"/>
      <c r="C90" s="25"/>
      <c r="D90" s="28"/>
      <c r="E90" s="28"/>
      <c r="F90" s="29"/>
      <c r="G90" s="28"/>
      <c r="H90" s="30"/>
      <c r="I90" s="31"/>
      <c r="J90" s="31"/>
      <c r="K90" s="31"/>
      <c r="L90" s="31"/>
      <c r="M90" s="29"/>
      <c r="N90" s="30"/>
      <c r="O90" s="31"/>
      <c r="P90" s="31"/>
      <c r="Q90" s="31"/>
      <c r="R90" s="31"/>
      <c r="S90" s="29"/>
      <c r="T90" s="30"/>
      <c r="U90" s="32"/>
      <c r="V90" s="34"/>
    </row>
    <row r="91" spans="1:28">
      <c r="A91" s="25" t="s">
        <v>1091</v>
      </c>
      <c r="C91" s="32" t="str">
        <f t="shared" ref="C91:G103" si="13">C32</f>
        <v>1&amp;1</v>
      </c>
      <c r="D91" s="28" t="str">
        <f t="shared" si="13"/>
        <v>EUR 23.2</v>
      </c>
      <c r="E91" s="28" t="str">
        <f t="shared" si="13"/>
        <v>EUR 10.0</v>
      </c>
      <c r="F91" s="29">
        <f t="shared" si="13"/>
        <v>-0.56803455723542107</v>
      </c>
      <c r="G91" s="28" t="str">
        <f t="shared" si="13"/>
        <v>Sell</v>
      </c>
      <c r="H91" s="30"/>
      <c r="I91" s="31">
        <f>DRI!$D$40</f>
        <v>250.02511940696476</v>
      </c>
      <c r="J91" s="31">
        <f>DRI!$E$40</f>
        <v>207.73775493933661</v>
      </c>
      <c r="K91" s="31">
        <f>DRI!$F$40</f>
        <v>87.205825803133791</v>
      </c>
      <c r="L91" s="31">
        <f>DRI!$G$40</f>
        <v>54.730377428089405</v>
      </c>
      <c r="M91" s="29">
        <f>DRI!$H$40</f>
        <v>0.68345126491758745</v>
      </c>
      <c r="N91" s="30"/>
      <c r="O91" s="31">
        <f>DRI!$D$44</f>
        <v>24.660658801289053</v>
      </c>
      <c r="P91" s="31">
        <f>DRI!$E$44</f>
        <v>61.849491808427047</v>
      </c>
      <c r="Q91" s="31">
        <f>DRI!$F$44</f>
        <v>38.625206986779112</v>
      </c>
      <c r="R91" s="31">
        <f>DRI!$G$44</f>
        <v>27.697922984205665</v>
      </c>
      <c r="S91" s="29">
        <f>DRI!$H$44</f>
        <v>-3.7976183840904176E-2</v>
      </c>
      <c r="T91" s="30"/>
      <c r="U91" s="32" t="str">
        <f t="shared" ref="U91:V93" si="14">U32</f>
        <v>EUR 23.2</v>
      </c>
      <c r="V91" s="28" t="str">
        <f t="shared" si="14"/>
        <v>1&amp;1</v>
      </c>
    </row>
    <row r="92" spans="1:28">
      <c r="A92" s="25"/>
      <c r="C92" s="32" t="str">
        <f t="shared" si="13"/>
        <v>Bouygues</v>
      </c>
      <c r="D92" s="28" t="str">
        <f t="shared" si="13"/>
        <v>EUR 51.8</v>
      </c>
      <c r="E92" s="28" t="str">
        <f t="shared" si="13"/>
        <v>EUR 64.0</v>
      </c>
      <c r="F92" s="29">
        <f t="shared" si="13"/>
        <v>0.23599845500193117</v>
      </c>
      <c r="G92" s="28" t="str">
        <f t="shared" si="13"/>
        <v>Buy</v>
      </c>
      <c r="H92" s="30"/>
      <c r="I92" s="31">
        <f>BOUY!$D$40</f>
        <v>13.675690755325592</v>
      </c>
      <c r="J92" s="31">
        <f>BOUY!$E$40</f>
        <v>12.132415399039083</v>
      </c>
      <c r="K92" s="31">
        <f>BOUY!$F$40</f>
        <v>10.370795287528805</v>
      </c>
      <c r="L92" s="31">
        <f>BOUY!$G$40</f>
        <v>8.3505989438740045</v>
      </c>
      <c r="M92" s="29">
        <f>BOUY!$H$40</f>
        <v>9.2788478291361498E-2</v>
      </c>
      <c r="N92" s="30"/>
      <c r="O92" s="31">
        <f>BOUY!$D$44</f>
        <v>13.647111299589604</v>
      </c>
      <c r="P92" s="31">
        <f>BOUY!$E$44</f>
        <v>13.622374047775871</v>
      </c>
      <c r="Q92" s="31">
        <f>BOUY!$F$44</f>
        <v>12.037834569608842</v>
      </c>
      <c r="R92" s="31">
        <f>BOUY!$G$44</f>
        <v>10.047628336074823</v>
      </c>
      <c r="S92" s="29">
        <f>BOUY!$H$44</f>
        <v>0.10745407064746515</v>
      </c>
      <c r="T92" s="30"/>
      <c r="U92" s="32" t="str">
        <f t="shared" si="14"/>
        <v>EUR 51.8</v>
      </c>
      <c r="V92" s="28" t="str">
        <f t="shared" si="14"/>
        <v>Bouygues</v>
      </c>
    </row>
    <row r="93" spans="1:28" s="5" customFormat="1">
      <c r="A93" s="25"/>
      <c r="B93" s="26"/>
      <c r="C93" s="32" t="str">
        <f t="shared" si="13"/>
        <v>Elisa</v>
      </c>
      <c r="D93" s="28" t="str">
        <f t="shared" si="13"/>
        <v>EUR 41.9</v>
      </c>
      <c r="E93" s="28" t="str">
        <f t="shared" si="13"/>
        <v>EUR 39.0</v>
      </c>
      <c r="F93" s="29">
        <f t="shared" si="13"/>
        <v>-6.9256376181545454E-2</v>
      </c>
      <c r="G93" s="28" t="str">
        <f t="shared" si="13"/>
        <v>Neutral</v>
      </c>
      <c r="H93" s="30"/>
      <c r="I93" s="31">
        <f>ELISA!$D$40</f>
        <v>20.304594185762124</v>
      </c>
      <c r="J93" s="31">
        <f>ELISA!$E$40</f>
        <v>19.158361277308607</v>
      </c>
      <c r="K93" s="31">
        <f>ELISA!$F$40</f>
        <v>17.542763139001245</v>
      </c>
      <c r="L93" s="31">
        <f>ELISA!$G$40</f>
        <v>15.947711184348405</v>
      </c>
      <c r="M93" s="29">
        <f>ELISA!$H$40</f>
        <v>3.4279119950668679E-2</v>
      </c>
      <c r="N93" s="30"/>
      <c r="O93" s="31">
        <f>ELISA!$D$44</f>
        <v>17.570355160227638</v>
      </c>
      <c r="P93" s="31">
        <f>ELISA!$E$44</f>
        <v>17.28661298374643</v>
      </c>
      <c r="Q93" s="31">
        <f>ELISA!$F$44</f>
        <v>16.420358647471257</v>
      </c>
      <c r="R93" s="31">
        <f>ELISA!$G$44</f>
        <v>15.55006600500962</v>
      </c>
      <c r="S93" s="29">
        <f>ELISA!$H$44</f>
        <v>4.155634234849126E-2</v>
      </c>
      <c r="T93" s="30"/>
      <c r="U93" s="32" t="str">
        <f t="shared" si="14"/>
        <v>EUR 41.9</v>
      </c>
      <c r="V93" s="28" t="str">
        <f t="shared" si="14"/>
        <v>Elisa</v>
      </c>
    </row>
    <row r="94" spans="1:28" s="5" customFormat="1">
      <c r="A94" s="25"/>
      <c r="B94" s="26"/>
      <c r="C94" s="32" t="str">
        <f t="shared" si="13"/>
        <v>Eutelsat</v>
      </c>
      <c r="D94" s="28" t="str">
        <f t="shared" si="13"/>
        <v>EUR 2.8</v>
      </c>
      <c r="E94" s="28" t="str">
        <f t="shared" si="13"/>
        <v>EUR 1.4</v>
      </c>
      <c r="F94" s="29">
        <f t="shared" si="13"/>
        <v>-0.5</v>
      </c>
      <c r="G94" s="28" t="str">
        <f t="shared" si="13"/>
        <v>Sell</v>
      </c>
      <c r="H94" s="30"/>
      <c r="I94" s="31">
        <f>ETL!$D$40</f>
        <v>-17.175876493029772</v>
      </c>
      <c r="J94" s="31">
        <f>ETL!$E$40</f>
        <v>-32.681313308498716</v>
      </c>
      <c r="K94" s="31">
        <f>ETL!$F$40</f>
        <v>-17.271029993540477</v>
      </c>
      <c r="L94" s="31">
        <f>ETL!$G$40</f>
        <v>-157.03955872408631</v>
      </c>
      <c r="M94" s="29">
        <f>ETL!$H$40</f>
        <v>-0.48969334962295685</v>
      </c>
      <c r="N94" s="30"/>
      <c r="O94" s="31">
        <f>ETL!$D$44</f>
        <v>-12.623955229122373</v>
      </c>
      <c r="P94" s="31">
        <f>ETL!$E$44</f>
        <v>-23.275695952371024</v>
      </c>
      <c r="Q94" s="31">
        <f>ETL!$F$44</f>
        <v>-55.000445765683629</v>
      </c>
      <c r="R94" s="31">
        <f>ETL!$G$44</f>
        <v>-29.054994824615605</v>
      </c>
      <c r="S94" s="29">
        <f>ETL!$H$44</f>
        <v>-0.24260073196409027</v>
      </c>
      <c r="T94" s="30"/>
      <c r="U94" s="32" t="str">
        <f t="shared" ref="U94:U103" si="15">U35</f>
        <v>EUR 2.8</v>
      </c>
      <c r="V94" s="28" t="s">
        <v>1283</v>
      </c>
    </row>
    <row r="95" spans="1:28">
      <c r="A95" s="25"/>
      <c r="C95" s="32" t="str">
        <f t="shared" si="13"/>
        <v>Liberty Global (prop.)</v>
      </c>
      <c r="D95" s="28" t="str">
        <f t="shared" si="13"/>
        <v>USD 12.0</v>
      </c>
      <c r="E95" s="28" t="str">
        <f t="shared" si="13"/>
        <v>USD 12.5</v>
      </c>
      <c r="F95" s="29">
        <f t="shared" si="13"/>
        <v>4.4277360066833804E-2</v>
      </c>
      <c r="G95" s="28" t="str">
        <f t="shared" si="13"/>
        <v>Neutral</v>
      </c>
      <c r="H95" s="30"/>
      <c r="I95" s="31">
        <f>PROPORTIONATES!G35</f>
        <v>21.597498827833871</v>
      </c>
      <c r="J95" s="31">
        <f>PROPORTIONATES!H35</f>
        <v>19.092575758954823</v>
      </c>
      <c r="K95" s="31">
        <f>PROPORTIONATES!I35</f>
        <v>26.043828809207159</v>
      </c>
      <c r="L95" s="31">
        <f>PROPORTIONATES!J35</f>
        <v>24.349439484977619</v>
      </c>
      <c r="M95" s="29">
        <f>LBTY!$H$40</f>
        <v>-3.4326602794785916</v>
      </c>
      <c r="N95" s="30"/>
      <c r="O95" s="31">
        <f>LBTY!$D$44</f>
        <v>-2.9402759165462404</v>
      </c>
      <c r="P95" s="31">
        <f>LBTY!$E$44</f>
        <v>-5.1280938283712745</v>
      </c>
      <c r="Q95" s="31">
        <f>LBTY!$F$44</f>
        <v>-4.9625513812005115</v>
      </c>
      <c r="R95" s="31">
        <f>LBTY!$G$44</f>
        <v>-5.4488835466321914</v>
      </c>
      <c r="S95" s="29">
        <f>LBTY!$H$44</f>
        <v>-0.17746173303300705</v>
      </c>
      <c r="T95" s="30"/>
      <c r="U95" s="32" t="str">
        <f t="shared" si="15"/>
        <v>USD 12.0</v>
      </c>
      <c r="V95" s="28" t="str">
        <f t="shared" ref="V95:V103" si="16">V36</f>
        <v>Liberty Global</v>
      </c>
    </row>
    <row r="96" spans="1:28">
      <c r="A96" s="25"/>
      <c r="C96" s="32" t="str">
        <f t="shared" si="13"/>
        <v>NOS</v>
      </c>
      <c r="D96" s="28" t="str">
        <f t="shared" si="13"/>
        <v>EUR 5.65</v>
      </c>
      <c r="E96" s="28" t="str">
        <f t="shared" si="13"/>
        <v>EUR 5.50</v>
      </c>
      <c r="F96" s="29">
        <f t="shared" si="13"/>
        <v>-2.6548672566371723E-2</v>
      </c>
      <c r="G96" s="28" t="str">
        <f t="shared" si="13"/>
        <v>Neutral</v>
      </c>
      <c r="H96" s="30"/>
      <c r="I96" s="31">
        <f>NOS!$D$40</f>
        <v>17.91661156873478</v>
      </c>
      <c r="J96" s="31">
        <f>NOS!$E$40</f>
        <v>15.040478947718803</v>
      </c>
      <c r="K96" s="31">
        <f>NOS!$F$40</f>
        <v>14.71269269865256</v>
      </c>
      <c r="L96" s="31">
        <f>NOS!$G$40</f>
        <v>14.765925852738746</v>
      </c>
      <c r="M96" s="29">
        <f>NOS!$H$40</f>
        <v>-7.8873126453591347E-3</v>
      </c>
      <c r="N96" s="30"/>
      <c r="O96" s="31">
        <f>NOS!$D$44</f>
        <v>12.469255909093635</v>
      </c>
      <c r="P96" s="31">
        <f>NOS!$E$44</f>
        <v>12.729607594873199</v>
      </c>
      <c r="Q96" s="31">
        <f>NOS!$F$44</f>
        <v>11.444389062653114</v>
      </c>
      <c r="R96" s="31">
        <f>NOS!$G$44</f>
        <v>11.232174363840514</v>
      </c>
      <c r="S96" s="29">
        <f>NOS!$H$44</f>
        <v>3.5441499651144071E-2</v>
      </c>
      <c r="T96" s="30"/>
      <c r="U96" s="32" t="str">
        <f t="shared" si="15"/>
        <v>EUR 5.65</v>
      </c>
      <c r="V96" s="28" t="str">
        <f t="shared" si="16"/>
        <v>NOS</v>
      </c>
    </row>
    <row r="97" spans="1:28" s="5" customFormat="1">
      <c r="A97" s="112"/>
      <c r="B97" s="26"/>
      <c r="C97" s="32" t="str">
        <f t="shared" si="13"/>
        <v>Orange Belgium</v>
      </c>
      <c r="D97" s="28" t="str">
        <f t="shared" si="13"/>
        <v>EUR 21.0</v>
      </c>
      <c r="E97" s="28" t="str">
        <f t="shared" si="13"/>
        <v>EUR 21.1</v>
      </c>
      <c r="F97" s="29">
        <f t="shared" si="13"/>
        <v>5.150744566468024E-3</v>
      </c>
      <c r="G97" s="28" t="str">
        <f t="shared" si="13"/>
        <v>Neutral</v>
      </c>
      <c r="H97" s="30"/>
      <c r="I97" s="31">
        <f>OBEL!$D$40</f>
        <v>26.281490361097283</v>
      </c>
      <c r="J97" s="31">
        <f>OBEL!$E$40</f>
        <v>21.569984891876437</v>
      </c>
      <c r="K97" s="31">
        <f>OBEL!$F$40</f>
        <v>20.820659599477867</v>
      </c>
      <c r="L97" s="31">
        <f>OBEL!$G$40</f>
        <v>23.041646731316991</v>
      </c>
      <c r="M97" s="29">
        <f>OBEL!$H$40</f>
        <v>3.1150996116782403E-2</v>
      </c>
      <c r="N97" s="30"/>
      <c r="O97" s="31">
        <f>OBEL!$D$44</f>
        <v>19.567786705082568</v>
      </c>
      <c r="P97" s="31">
        <f>OBEL!$E$44</f>
        <v>13.713491866877838</v>
      </c>
      <c r="Q97" s="31">
        <f>OBEL!$F$44</f>
        <v>9.2915409128962558</v>
      </c>
      <c r="R97" s="31">
        <f>OBEL!$G$44</f>
        <v>6.8279605721144279</v>
      </c>
      <c r="S97" s="29">
        <f>OBEL!$H$44</f>
        <v>0.42042039801887521</v>
      </c>
      <c r="T97" s="30"/>
      <c r="U97" s="32" t="str">
        <f t="shared" si="15"/>
        <v>EUR 21.0</v>
      </c>
      <c r="V97" s="28" t="str">
        <f t="shared" si="16"/>
        <v>Orange Belgium</v>
      </c>
    </row>
    <row r="98" spans="1:28" s="5" customFormat="1">
      <c r="A98" s="112"/>
      <c r="B98" s="26"/>
      <c r="C98" s="32" t="str">
        <f t="shared" si="13"/>
        <v>SES</v>
      </c>
      <c r="D98" s="28" t="str">
        <f t="shared" si="13"/>
        <v>EUR 6.6</v>
      </c>
      <c r="E98" s="28" t="str">
        <f t="shared" si="13"/>
        <v>EUR 6.0</v>
      </c>
      <c r="F98" s="404">
        <f t="shared" si="13"/>
        <v>-9.297052154195018E-2</v>
      </c>
      <c r="G98" s="28" t="str">
        <f t="shared" si="13"/>
        <v>Neutral</v>
      </c>
      <c r="H98" s="30"/>
      <c r="I98" s="528">
        <f>SES!$D$40</f>
        <v>14.34541299196934</v>
      </c>
      <c r="J98" s="528">
        <f>SES!$E$40</f>
        <v>11.599086660698417</v>
      </c>
      <c r="K98" s="528">
        <f>SES!$F$40</f>
        <v>12.91005003244782</v>
      </c>
      <c r="L98" s="528">
        <f>SES!$G$40</f>
        <v>43.023261114745964</v>
      </c>
      <c r="M98" s="404">
        <f>SES!$H$40</f>
        <v>-0.33945075036748218</v>
      </c>
      <c r="N98" s="30"/>
      <c r="O98" s="528">
        <f>SES!$D$44</f>
        <v>412.83357326277644</v>
      </c>
      <c r="P98" s="528">
        <f>SES!$E$44</f>
        <v>18.029035983873392</v>
      </c>
      <c r="Q98" s="528">
        <f>SES!$F$44</f>
        <v>17.507706322538315</v>
      </c>
      <c r="R98" s="528">
        <f>SES!$G$44</f>
        <v>18.56660681257905</v>
      </c>
      <c r="S98" s="404">
        <f>SES!$H$44</f>
        <v>1.8119924873512825</v>
      </c>
      <c r="T98" s="30"/>
      <c r="U98" s="32" t="str">
        <f t="shared" si="15"/>
        <v>EUR 6.6</v>
      </c>
      <c r="V98" s="28" t="str">
        <f t="shared" si="16"/>
        <v>SES</v>
      </c>
    </row>
    <row r="99" spans="1:28" s="5" customFormat="1">
      <c r="A99" s="112"/>
      <c r="B99" s="26"/>
      <c r="C99" s="32" t="str">
        <f t="shared" si="13"/>
        <v>Sunrise</v>
      </c>
      <c r="D99" s="28" t="str">
        <f t="shared" si="13"/>
        <v>CHF46.1</v>
      </c>
      <c r="E99" s="28" t="str">
        <f t="shared" si="13"/>
        <v>CHF38.7</v>
      </c>
      <c r="F99" s="29">
        <f t="shared" si="13"/>
        <v>-0.15959504533103386</v>
      </c>
      <c r="G99" s="28" t="str">
        <f t="shared" si="13"/>
        <v>Sell</v>
      </c>
      <c r="H99" s="30"/>
      <c r="I99" s="31">
        <f>SUNN!$D$40</f>
        <v>19.421006438837878</v>
      </c>
      <c r="J99" s="31">
        <f>SUNN!$E$40</f>
        <v>17.757985179347159</v>
      </c>
      <c r="K99" s="31">
        <f>SUNN!$F$40</f>
        <v>16.730908572833957</v>
      </c>
      <c r="L99" s="31">
        <f>SUNN!$G$40</f>
        <v>16.808963907739059</v>
      </c>
      <c r="M99" s="29">
        <f>SUNN!$H$40</f>
        <v>2.6668074180640877E-2</v>
      </c>
      <c r="N99" s="30"/>
      <c r="O99" s="31">
        <f>SUNN!$D$44</f>
        <v>9.2455051048565124</v>
      </c>
      <c r="P99" s="31">
        <f>SUNN!$E$44</f>
        <v>8.5576776985019904</v>
      </c>
      <c r="Q99" s="31">
        <f>SUNN!$F$44</f>
        <v>8.9339728471953208</v>
      </c>
      <c r="R99" s="31">
        <f>SUNN!$G$44</f>
        <v>9.3370218725190419</v>
      </c>
      <c r="S99" s="29">
        <f>SUNN!$H$44</f>
        <v>2.3551557934491374E-3</v>
      </c>
      <c r="T99" s="30"/>
      <c r="U99" s="32" t="str">
        <f t="shared" si="15"/>
        <v>CHF46.1</v>
      </c>
      <c r="V99" s="28" t="str">
        <f t="shared" si="16"/>
        <v>Sunrise</v>
      </c>
    </row>
    <row r="100" spans="1:28" s="5" customFormat="1">
      <c r="A100" s="112"/>
      <c r="B100" s="26"/>
      <c r="C100" s="32" t="str">
        <f t="shared" si="13"/>
        <v>Tele2</v>
      </c>
      <c r="D100" s="28" t="str">
        <f t="shared" si="13"/>
        <v>SEK 189.7</v>
      </c>
      <c r="E100" s="28" t="str">
        <f t="shared" si="13"/>
        <v>SEK 170.0</v>
      </c>
      <c r="F100" s="29">
        <f t="shared" si="13"/>
        <v>-0.10361191668863701</v>
      </c>
      <c r="G100" s="28" t="str">
        <f t="shared" si="13"/>
        <v>Neutral</v>
      </c>
      <c r="H100" s="30"/>
      <c r="I100" s="31">
        <f>TELE2!$D$40</f>
        <v>23.106811843000958</v>
      </c>
      <c r="J100" s="31">
        <f>TELE2!$E$40</f>
        <v>20.92245879027282</v>
      </c>
      <c r="K100" s="31">
        <f>TELE2!$F$40</f>
        <v>19.238398330295198</v>
      </c>
      <c r="L100" s="31">
        <f>TELE2!$G$40</f>
        <v>17.670698758886232</v>
      </c>
      <c r="M100" s="29">
        <f>TELE2!$H$40</f>
        <v>3.489240636365043E-2</v>
      </c>
      <c r="N100" s="30"/>
      <c r="O100" s="31">
        <f>TELE2!$D$44</f>
        <v>26.799953682733648</v>
      </c>
      <c r="P100" s="31">
        <f>TELE2!$E$44</f>
        <v>24.891214968360668</v>
      </c>
      <c r="Q100" s="31">
        <f>TELE2!$F$44</f>
        <v>23.543297200322922</v>
      </c>
      <c r="R100" s="31">
        <f>TELE2!$G$44</f>
        <v>22.506061020549243</v>
      </c>
      <c r="S100" s="29">
        <f>TELE2!$H$44</f>
        <v>5.9932438905610175E-2</v>
      </c>
      <c r="T100" s="30"/>
      <c r="U100" s="32" t="str">
        <f t="shared" si="15"/>
        <v>SEK 189.7</v>
      </c>
      <c r="V100" s="28" t="str">
        <f t="shared" si="16"/>
        <v>Tele2</v>
      </c>
    </row>
    <row r="101" spans="1:28">
      <c r="A101" s="25"/>
      <c r="C101" s="32" t="str">
        <f t="shared" si="13"/>
        <v>United Internet</v>
      </c>
      <c r="D101" s="28" t="str">
        <f t="shared" si="13"/>
        <v>EUR 26.7</v>
      </c>
      <c r="E101" s="28" t="str">
        <f t="shared" si="13"/>
        <v>EUR 33.0</v>
      </c>
      <c r="F101" s="29">
        <f t="shared" si="13"/>
        <v>0.23688155922038989</v>
      </c>
      <c r="G101" s="28" t="str">
        <f t="shared" si="13"/>
        <v>Neutral</v>
      </c>
      <c r="H101" s="30"/>
      <c r="I101" s="31">
        <f>UTDI!$D$40</f>
        <v>47.038303737243815</v>
      </c>
      <c r="J101" s="31">
        <f>UTDI!$E$40</f>
        <v>27.828297772231089</v>
      </c>
      <c r="K101" s="31">
        <f>UTDI!$F$40</f>
        <v>23.166000991301015</v>
      </c>
      <c r="L101" s="31">
        <f>UTDI!$G$40</f>
        <v>19.208323918432729</v>
      </c>
      <c r="M101" s="29">
        <f>UTDI!$H$40</f>
        <v>0.31923066360399632</v>
      </c>
      <c r="N101" s="30"/>
      <c r="O101" s="31">
        <f>UTDI!$D$44</f>
        <v>12.584084820338447</v>
      </c>
      <c r="P101" s="31">
        <f>UTDI!$E$44</f>
        <v>11.129590164057948</v>
      </c>
      <c r="Q101" s="31">
        <f>UTDI!$F$44</f>
        <v>9.8280140246816412</v>
      </c>
      <c r="R101" s="31">
        <f>UTDI!$G$44</f>
        <v>8.7350882592852503</v>
      </c>
      <c r="S101" s="29">
        <f>UTDI!$H$44</f>
        <v>0.12940952602612699</v>
      </c>
      <c r="T101" s="30"/>
      <c r="U101" s="32" t="str">
        <f t="shared" si="15"/>
        <v>EUR 26.7</v>
      </c>
      <c r="V101" s="28" t="str">
        <f t="shared" si="16"/>
        <v>United Internet</v>
      </c>
    </row>
    <row r="102" spans="1:28" s="5" customFormat="1">
      <c r="A102" s="112"/>
      <c r="B102" s="26"/>
      <c r="C102" s="32" t="str">
        <f t="shared" si="13"/>
        <v>Vodafone</v>
      </c>
      <c r="D102" s="28" t="str">
        <f t="shared" si="13"/>
        <v>GBP 1.16</v>
      </c>
      <c r="E102" s="28" t="str">
        <f t="shared" si="13"/>
        <v>GBP 1.30</v>
      </c>
      <c r="F102" s="29">
        <f t="shared" si="13"/>
        <v>0.12117291936179386</v>
      </c>
      <c r="G102" s="28" t="str">
        <f t="shared" si="13"/>
        <v>Buy</v>
      </c>
      <c r="H102" s="30"/>
      <c r="I102" s="31">
        <f>VOD!$D$40</f>
        <v>20.867430509766386</v>
      </c>
      <c r="J102" s="31">
        <f>VOD!$E$40</f>
        <v>18.201582491429381</v>
      </c>
      <c r="K102" s="31">
        <f>VOD!$F$40</f>
        <v>16.036610013625939</v>
      </c>
      <c r="L102" s="31">
        <f>VOD!$G$40</f>
        <v>13.782791005993085</v>
      </c>
      <c r="M102" s="29">
        <f>VOD!$H$40</f>
        <v>0.10829747782754473</v>
      </c>
      <c r="N102" s="30"/>
      <c r="O102" s="31">
        <f>VOD!$D$44</f>
        <v>12.319925826959443</v>
      </c>
      <c r="P102" s="31">
        <f>VOD!$E$44</f>
        <v>10.35366424289993</v>
      </c>
      <c r="Q102" s="31">
        <f>VOD!$F$44</f>
        <v>9.1395259524648349</v>
      </c>
      <c r="R102" s="31">
        <f>VOD!$G$44</f>
        <v>7.9693933074213454</v>
      </c>
      <c r="S102" s="29">
        <f>VOD!$H$44</f>
        <v>0.1539778737106412</v>
      </c>
      <c r="T102" s="30"/>
      <c r="U102" s="32" t="str">
        <f t="shared" si="15"/>
        <v>GBP 1.16</v>
      </c>
      <c r="V102" s="28" t="str">
        <f t="shared" si="16"/>
        <v>Vodafone</v>
      </c>
    </row>
    <row r="103" spans="1:28" s="5" customFormat="1">
      <c r="A103" s="112"/>
      <c r="B103" s="26"/>
      <c r="C103" s="32" t="str">
        <f t="shared" si="13"/>
        <v>Zegona</v>
      </c>
      <c r="D103" s="28" t="str">
        <f t="shared" si="13"/>
        <v>GBP 17.92</v>
      </c>
      <c r="E103" s="28" t="str">
        <f t="shared" si="13"/>
        <v>GBP 14.75</v>
      </c>
      <c r="F103" s="29">
        <f t="shared" si="13"/>
        <v>-0.17689732142857151</v>
      </c>
      <c r="G103" s="28" t="str">
        <f t="shared" si="13"/>
        <v>Neutral</v>
      </c>
      <c r="H103" s="30"/>
      <c r="I103" s="31">
        <f>ZEG!$D$40</f>
        <v>17.551891955139833</v>
      </c>
      <c r="J103" s="31">
        <f>ZEG!$E$40</f>
        <v>16.002681677177588</v>
      </c>
      <c r="K103" s="31">
        <f>ZEG!$F$40</f>
        <v>14.747314502058538</v>
      </c>
      <c r="L103" s="31">
        <f>ZEG!$G$40</f>
        <v>14.214387342602564</v>
      </c>
      <c r="M103" s="29">
        <f>ZEG!$H$40</f>
        <v>3.3856719209723884E-2</v>
      </c>
      <c r="N103" s="30"/>
      <c r="O103" s="31">
        <f>ZEG!$D$44</f>
        <v>-131.5852510155074</v>
      </c>
      <c r="P103" s="31">
        <f>ZEG!$E$44</f>
        <v>68.183043518744313</v>
      </c>
      <c r="Q103" s="31">
        <f>ZEG!$F$44</f>
        <v>31.757829662368639</v>
      </c>
      <c r="R103" s="31">
        <f>ZEG!$G$44</f>
        <v>22.697289118352703</v>
      </c>
      <c r="S103" s="29">
        <f>ZEG!$H$44</f>
        <v>-2.7964332075446734</v>
      </c>
      <c r="T103" s="30"/>
      <c r="U103" s="32" t="str">
        <f t="shared" si="15"/>
        <v>GBP 17.92</v>
      </c>
      <c r="V103" s="28" t="str">
        <f t="shared" si="16"/>
        <v>Zegona</v>
      </c>
    </row>
    <row r="104" spans="1:28">
      <c r="C104" s="35" t="str">
        <f>C45</f>
        <v>Agg. W. Europe Other</v>
      </c>
      <c r="D104" s="36"/>
      <c r="E104" s="36"/>
      <c r="F104" s="37"/>
      <c r="G104" s="36"/>
      <c r="H104" s="30"/>
      <c r="I104" s="38">
        <f>'W.EUR OTHER'!$D$40</f>
        <v>21.129903360999098</v>
      </c>
      <c r="J104" s="38">
        <f>'W.EUR OTHER'!$E$40</f>
        <v>18.023434560619052</v>
      </c>
      <c r="K104" s="38">
        <f>'W.EUR OTHER'!$F$40</f>
        <v>16.210652780747434</v>
      </c>
      <c r="L104" s="38">
        <f>'W.EUR OTHER'!$G$40</f>
        <v>14.322076025505165</v>
      </c>
      <c r="M104" s="39">
        <f>'W.EUR OTHER'!$H$40</f>
        <v>0.11282738841201478</v>
      </c>
      <c r="N104" s="40"/>
      <c r="O104" s="38">
        <f>'W.EUR OTHER'!$D$44</f>
        <v>23.590784984926813</v>
      </c>
      <c r="P104" s="38">
        <f>'W.EUR OTHER'!$E$44</f>
        <v>17.037998851982447</v>
      </c>
      <c r="Q104" s="38">
        <f>'W.EUR OTHER'!$F$44</f>
        <v>14.773708489368085</v>
      </c>
      <c r="R104" s="38">
        <f>'W.EUR OTHER'!$G$44</f>
        <v>12.780294126208146</v>
      </c>
      <c r="S104" s="39">
        <f>'W.EUR OTHER'!$H$44</f>
        <v>0.22673250703923764</v>
      </c>
      <c r="T104" s="30"/>
      <c r="U104" s="41"/>
      <c r="V104" s="42" t="str">
        <f>C104</f>
        <v>Agg. W. Europe Other</v>
      </c>
      <c r="AB104" s="5"/>
    </row>
    <row r="105" spans="1:28" s="5" customFormat="1">
      <c r="A105" s="112"/>
      <c r="B105" s="26"/>
      <c r="C105" s="32"/>
      <c r="D105" s="28"/>
      <c r="E105" s="28"/>
      <c r="F105" s="29"/>
      <c r="G105" s="28"/>
      <c r="H105" s="30"/>
      <c r="I105" s="31"/>
      <c r="J105" s="31"/>
      <c r="K105" s="31"/>
      <c r="L105" s="31"/>
      <c r="M105" s="29"/>
      <c r="N105" s="30"/>
      <c r="O105" s="31"/>
      <c r="P105" s="31"/>
      <c r="Q105" s="31"/>
      <c r="R105" s="31"/>
      <c r="S105" s="29"/>
      <c r="T105" s="30"/>
      <c r="U105" s="32"/>
      <c r="V105" s="28"/>
      <c r="AB105" s="47"/>
    </row>
    <row r="106" spans="1:28">
      <c r="C106" s="32" t="str">
        <f t="shared" ref="C106:G108" si="17">C47</f>
        <v>KDDI</v>
      </c>
      <c r="D106" s="28" t="str">
        <f t="shared" si="17"/>
        <v>JPY 2,565</v>
      </c>
      <c r="E106" s="28" t="str">
        <f t="shared" si="17"/>
        <v>JPY 3,150</v>
      </c>
      <c r="F106" s="29">
        <f t="shared" si="17"/>
        <v>0.22807017543859653</v>
      </c>
      <c r="G106" s="28" t="str">
        <f t="shared" si="17"/>
        <v>Buy</v>
      </c>
      <c r="H106" s="30"/>
      <c r="I106" s="31">
        <f>KDDI!$D$40</f>
        <v>16.285927443566074</v>
      </c>
      <c r="J106" s="31">
        <f>KDDI!$E$40</f>
        <v>13.723249144328195</v>
      </c>
      <c r="K106" s="31">
        <f>KDDI!$F$40</f>
        <v>11.897713798435017</v>
      </c>
      <c r="L106" s="31">
        <f>KDDI!$G$40</f>
        <v>10.233317058013677</v>
      </c>
      <c r="M106" s="29">
        <f>KDDI!$H$40</f>
        <v>7.5068980470980762E-2</v>
      </c>
      <c r="N106" s="30"/>
      <c r="O106" s="31">
        <f>KDDI!$D$44</f>
        <v>13.074478442272637</v>
      </c>
      <c r="P106" s="31">
        <f>KDDI!$E$44</f>
        <v>11.892112682390716</v>
      </c>
      <c r="Q106" s="31">
        <f>KDDI!$F$44</f>
        <v>10.916844318282148</v>
      </c>
      <c r="R106" s="31">
        <f>KDDI!$G$44</f>
        <v>10.075695507075407</v>
      </c>
      <c r="S106" s="29">
        <f>KDDI!$H$44</f>
        <v>5.7860553156127592E-2</v>
      </c>
      <c r="T106" s="30"/>
      <c r="U106" s="32" t="str">
        <f t="shared" ref="U106:V108" si="18">U47</f>
        <v>JPY 2,565</v>
      </c>
      <c r="V106" s="28" t="str">
        <f t="shared" si="18"/>
        <v>KDDI</v>
      </c>
      <c r="AB106" s="5"/>
    </row>
    <row r="107" spans="1:28">
      <c r="C107" s="32" t="str">
        <f t="shared" si="17"/>
        <v>Rakuten</v>
      </c>
      <c r="D107" s="28" t="str">
        <f t="shared" si="17"/>
        <v>JPY 775</v>
      </c>
      <c r="E107" s="28" t="str">
        <f t="shared" si="17"/>
        <v>JPY 510</v>
      </c>
      <c r="F107" s="29">
        <f t="shared" si="17"/>
        <v>-0.3421901199535663</v>
      </c>
      <c r="G107" s="28" t="str">
        <f t="shared" si="17"/>
        <v>Reduce</v>
      </c>
      <c r="H107" s="30"/>
      <c r="I107" s="31">
        <f>RAK!$D$40</f>
        <v>26.678954747905532</v>
      </c>
      <c r="J107" s="31">
        <f>RAK!$E$40</f>
        <v>14.716266986482902</v>
      </c>
      <c r="K107" s="31">
        <f>RAK!$F$40</f>
        <v>9.0603560512203831</v>
      </c>
      <c r="L107" s="31">
        <f>RAK!$G$40</f>
        <v>7.158093480924423</v>
      </c>
      <c r="M107" s="29">
        <f>RAK!$H$40</f>
        <v>0.54752282813769182</v>
      </c>
      <c r="N107" s="30"/>
      <c r="O107" s="31">
        <f>RAK!$D$44</f>
        <v>-32.677207640656007</v>
      </c>
      <c r="P107" s="31">
        <f>RAK!$E$44</f>
        <v>39.559590011668419</v>
      </c>
      <c r="Q107" s="31">
        <f>RAK!$F$44</f>
        <v>16.08764851026649</v>
      </c>
      <c r="R107" s="31">
        <f>RAK!$G$44</f>
        <v>10.718118401548343</v>
      </c>
      <c r="S107" s="29">
        <f>RAK!$H$44</f>
        <v>-2.4500249080906888</v>
      </c>
      <c r="T107" s="30"/>
      <c r="U107" s="32" t="str">
        <f t="shared" si="18"/>
        <v>JPY 775</v>
      </c>
      <c r="V107" s="28" t="str">
        <f t="shared" si="18"/>
        <v>Rakuten</v>
      </c>
    </row>
    <row r="108" spans="1:28">
      <c r="C108" s="32" t="str">
        <f t="shared" si="17"/>
        <v>SoftBank KK (Corp)</v>
      </c>
      <c r="D108" s="28" t="str">
        <f t="shared" si="17"/>
        <v>JPY 220</v>
      </c>
      <c r="E108" s="28" t="str">
        <f t="shared" si="17"/>
        <v>JPY 270</v>
      </c>
      <c r="F108" s="29">
        <f t="shared" si="17"/>
        <v>0.22615803814713908</v>
      </c>
      <c r="G108" s="28" t="str">
        <f t="shared" si="17"/>
        <v>Buy</v>
      </c>
      <c r="H108" s="30"/>
      <c r="I108" s="31">
        <f>SBKK!$D$40</f>
        <v>14.698880883119296</v>
      </c>
      <c r="J108" s="31">
        <f>SBKK!$E$40</f>
        <v>13.096764853520282</v>
      </c>
      <c r="K108" s="31">
        <f>SBKK!$F$40</f>
        <v>11.300122165900387</v>
      </c>
      <c r="L108" s="31">
        <f>SBKK!$G$40</f>
        <v>9.5512159439713393</v>
      </c>
      <c r="M108" s="29">
        <f>SBKK!$H$40</f>
        <v>6.3848387890190095E-2</v>
      </c>
      <c r="N108" s="30"/>
      <c r="O108" s="31">
        <f>SBKK!$D$44</f>
        <v>18.448554941727231</v>
      </c>
      <c r="P108" s="31">
        <f>SBKK!$E$44</f>
        <v>17.551251033113775</v>
      </c>
      <c r="Q108" s="31">
        <f>SBKK!$F$44</f>
        <v>16.035682558436921</v>
      </c>
      <c r="R108" s="31">
        <f>SBKK!$G$44</f>
        <v>14.427555301211555</v>
      </c>
      <c r="S108" s="29">
        <f>SBKK!$H$44</f>
        <v>7.3680985918841202E-2</v>
      </c>
      <c r="T108" s="30"/>
      <c r="U108" s="32" t="str">
        <f t="shared" si="18"/>
        <v>JPY 220</v>
      </c>
      <c r="V108" s="28" t="str">
        <f t="shared" si="18"/>
        <v>SoftBank KK (Corp)</v>
      </c>
    </row>
    <row r="109" spans="1:28">
      <c r="C109" s="35" t="str">
        <f>C50</f>
        <v>Agg. Developed Asia Other</v>
      </c>
      <c r="D109" s="36"/>
      <c r="E109" s="36"/>
      <c r="F109" s="37"/>
      <c r="G109" s="36"/>
      <c r="H109" s="30"/>
      <c r="I109" s="38">
        <f>'DM ASIA OTHER'!$D$40</f>
        <v>15.944907667460328</v>
      </c>
      <c r="J109" s="38">
        <f>'DM ASIA OTHER'!$E$40</f>
        <v>13.485785989910607</v>
      </c>
      <c r="K109" s="38">
        <f>'DM ASIA OTHER'!$F$40</f>
        <v>11.276234309080291</v>
      </c>
      <c r="L109" s="38">
        <f>'DM ASIA OTHER'!$G$40</f>
        <v>9.4904953963430376</v>
      </c>
      <c r="M109" s="39">
        <f>'DM ASIA OTHER'!$H$40</f>
        <v>0.10314693629245908</v>
      </c>
      <c r="N109" s="40"/>
      <c r="O109" s="38">
        <f>'DM ASIA OTHER'!$D$44</f>
        <v>17.336520099945645</v>
      </c>
      <c r="P109" s="38">
        <f>'DM ASIA OTHER'!$E$44</f>
        <v>15.032510281729985</v>
      </c>
      <c r="Q109" s="38">
        <f>'DM ASIA OTHER'!$F$44</f>
        <v>13.304262250635908</v>
      </c>
      <c r="R109" s="38">
        <f>'DM ASIA OTHER'!$G$44</f>
        <v>11.873132667734911</v>
      </c>
      <c r="S109" s="39">
        <f>'DM ASIA OTHER'!$H$44</f>
        <v>0.11346821178207422</v>
      </c>
      <c r="T109" s="30"/>
      <c r="U109" s="41"/>
      <c r="V109" s="42" t="str">
        <f>V50</f>
        <v>Agg. Developed Asia Cellular</v>
      </c>
    </row>
    <row r="110" spans="1:28">
      <c r="A110" s="25"/>
      <c r="C110" s="32"/>
      <c r="D110" s="28"/>
      <c r="E110" s="28"/>
      <c r="F110" s="29"/>
      <c r="G110" s="28"/>
      <c r="H110" s="30"/>
      <c r="I110" s="31"/>
      <c r="J110" s="31"/>
      <c r="K110" s="31"/>
      <c r="L110" s="31"/>
      <c r="M110" s="29"/>
      <c r="N110" s="30"/>
      <c r="O110" s="31"/>
      <c r="P110" s="31"/>
      <c r="Q110" s="31"/>
      <c r="R110" s="31"/>
      <c r="S110" s="29"/>
      <c r="T110" s="30"/>
      <c r="U110" s="32"/>
      <c r="V110" s="28"/>
    </row>
    <row r="111" spans="1:28">
      <c r="A111" s="25"/>
      <c r="B111" s="26" t="s">
        <v>424</v>
      </c>
      <c r="C111" s="32" t="s">
        <v>809</v>
      </c>
      <c r="D111" s="28" t="str">
        <f>B111&amp;TEXT(Prices!$C$49,"0.0")</f>
        <v>US$1.7</v>
      </c>
      <c r="E111" s="28" t="str">
        <f>B111&amp;TEXT(Prices!$E$49,"0.0")</f>
        <v>US$2.5</v>
      </c>
      <c r="F111" s="29">
        <f>Prices!$F$49</f>
        <v>0.49700598802395213</v>
      </c>
      <c r="G111" s="28" t="str">
        <f>Prices!$D$49</f>
        <v>Neutral</v>
      </c>
      <c r="H111" s="30"/>
      <c r="I111" s="31">
        <f>ATCUS!$D$40</f>
        <v>20.346529499200237</v>
      </c>
      <c r="J111" s="31">
        <f>ATCUS!$E$40</f>
        <v>19.742693242344938</v>
      </c>
      <c r="K111" s="31">
        <f>ATCUS!$F$40</f>
        <v>89.215830775830753</v>
      </c>
      <c r="L111" s="31">
        <f>ATCUS!$G$40</f>
        <v>94.370548018790572</v>
      </c>
      <c r="M111" s="29">
        <f>ATCUS!$H$40</f>
        <v>-0.39564925120086258</v>
      </c>
      <c r="N111" s="30"/>
      <c r="O111" s="31">
        <f>ATCUS!$D$44</f>
        <v>2.4059119727339806</v>
      </c>
      <c r="P111" s="31">
        <f>ATCUS!$E$44</f>
        <v>-63.681766583748221</v>
      </c>
      <c r="Q111" s="31">
        <f>ATCUS!$F$44</f>
        <v>-20.10930034969568</v>
      </c>
      <c r="R111" s="31">
        <f>ATCUS!$G$44</f>
        <v>-58.913378082811228</v>
      </c>
      <c r="S111" s="29">
        <f>ATCUS!$H$44</f>
        <v>-1.3475437675622142</v>
      </c>
      <c r="T111" s="30"/>
      <c r="U111" s="32" t="str">
        <f t="shared" ref="U111:V113" si="19">U52</f>
        <v>USD 1.7</v>
      </c>
      <c r="V111" s="28" t="str">
        <f t="shared" si="19"/>
        <v>Altice US</v>
      </c>
    </row>
    <row r="112" spans="1:28">
      <c r="A112" s="25"/>
      <c r="B112" s="26" t="s">
        <v>424</v>
      </c>
      <c r="C112" s="32" t="s">
        <v>258</v>
      </c>
      <c r="D112" s="28" t="str">
        <f>B112&amp;TEXT(Prices!$C$50,"0.0")</f>
        <v>US$222.0</v>
      </c>
      <c r="E112" s="28" t="str">
        <f>B112&amp;TEXT(Prices!$E$50,"0.0")</f>
        <v>US$328.0</v>
      </c>
      <c r="F112" s="29">
        <f>Prices!$F$50</f>
        <v>0.47747747747747749</v>
      </c>
      <c r="G112" s="28" t="str">
        <f>Prices!$D$50</f>
        <v>Buy</v>
      </c>
      <c r="H112" s="30"/>
      <c r="I112" s="31">
        <f>CHTR!$D$40</f>
        <v>19.101761182641461</v>
      </c>
      <c r="J112" s="31">
        <f>CHTR!$E$40</f>
        <v>17.61048978706603</v>
      </c>
      <c r="K112" s="31">
        <f>CHTR!$F$40</f>
        <v>58.742710048477093</v>
      </c>
      <c r="L112" s="31">
        <f>CHTR!$G$40</f>
        <v>70.081203347613723</v>
      </c>
      <c r="M112" s="29">
        <f>CHTR!$H$40</f>
        <v>-0.36050247502601085</v>
      </c>
      <c r="N112" s="30"/>
      <c r="O112" s="31">
        <f>CHTR!$D$44</f>
        <v>8.5087103580551933</v>
      </c>
      <c r="P112" s="31">
        <f>CHTR!$E$44</f>
        <v>6.7414850040972141</v>
      </c>
      <c r="Q112" s="31">
        <f>CHTR!$F$44</f>
        <v>547333.3698914994</v>
      </c>
      <c r="R112" s="31" t="e">
        <f>CHTR!$G$44</f>
        <v>#DIV/0!</v>
      </c>
      <c r="S112" s="29" t="str">
        <f>CHTR!$H$44</f>
        <v>nm</v>
      </c>
      <c r="T112" s="30"/>
      <c r="U112" s="32" t="str">
        <f t="shared" si="19"/>
        <v>USD 222.0</v>
      </c>
      <c r="V112" s="28" t="str">
        <f t="shared" si="19"/>
        <v>Charter</v>
      </c>
    </row>
    <row r="113" spans="1:29">
      <c r="A113" s="25"/>
      <c r="B113" s="26" t="s">
        <v>424</v>
      </c>
      <c r="C113" s="32" t="s">
        <v>257</v>
      </c>
      <c r="D113" s="28" t="str">
        <f>B113&amp;TEXT(Prices!$C$51,"0.0")</f>
        <v>US$30.2</v>
      </c>
      <c r="E113" s="28" t="str">
        <f>B113&amp;TEXT(Prices!$E$51,"0.0")</f>
        <v>US$36.0</v>
      </c>
      <c r="F113" s="29">
        <f>Prices!$F$51</f>
        <v>0.19027938502231767</v>
      </c>
      <c r="G113" s="28" t="str">
        <f>Prices!$D$51</f>
        <v>Buy</v>
      </c>
      <c r="H113" s="30"/>
      <c r="I113" s="31">
        <f>CMCSA!$D$40</f>
        <v>10.098754218648981</v>
      </c>
      <c r="J113" s="31">
        <f>CMCSA!$E$40</f>
        <v>9.2714718213398815</v>
      </c>
      <c r="K113" s="31">
        <f>CMCSA!$F$40</f>
        <v>31.722606057206949</v>
      </c>
      <c r="L113" s="31">
        <f>CMCSA!$G$40</f>
        <v>30.298577083652681</v>
      </c>
      <c r="M113" s="29">
        <f>CMCSA!$H$40</f>
        <v>-0.33096444351986132</v>
      </c>
      <c r="N113" s="30"/>
      <c r="O113" s="31">
        <f>CMCSA!$D$44</f>
        <v>7.9240844786037741</v>
      </c>
      <c r="P113" s="31">
        <f>CMCSA!$E$44</f>
        <v>6.7796024245032749</v>
      </c>
      <c r="Q113" s="31">
        <f>CMCSA!$F$44</f>
        <v>1711961.4916731524</v>
      </c>
      <c r="R113" s="31" t="e">
        <f>CMCSA!$G$44</f>
        <v>#DIV/0!</v>
      </c>
      <c r="S113" s="29" t="str">
        <f>CMCSA!$H$44</f>
        <v>nm</v>
      </c>
      <c r="T113" s="30"/>
      <c r="U113" s="32" t="str">
        <f t="shared" si="19"/>
        <v>USD 30.2</v>
      </c>
      <c r="V113" s="28" t="str">
        <f t="shared" si="19"/>
        <v>Comcast</v>
      </c>
    </row>
    <row r="114" spans="1:29">
      <c r="A114" s="25"/>
      <c r="B114" s="26" t="s">
        <v>431</v>
      </c>
      <c r="C114" s="32" t="s">
        <v>1264</v>
      </c>
      <c r="D114" s="28" t="str">
        <f>B114&amp;TEXT(Prices!C52,"0.00")</f>
        <v>US$ 119.08</v>
      </c>
      <c r="E114" s="28" t="str">
        <f>B114&amp;TEXT(Prices!E52,"0.00")</f>
        <v>US$ 0.00</v>
      </c>
      <c r="F114" s="29">
        <f>Prices!F52</f>
        <v>-1</v>
      </c>
      <c r="G114" s="28" t="str">
        <f>Prices!D52</f>
        <v>Buy</v>
      </c>
      <c r="H114" s="30"/>
      <c r="I114" s="31">
        <f>SATS!D$40</f>
        <v>-113.47164666181889</v>
      </c>
      <c r="J114" s="31">
        <f>SATS!E$40</f>
        <v>63.36145826914457</v>
      </c>
      <c r="K114" s="31">
        <f>SATS!F$40</f>
        <v>29.585224206305103</v>
      </c>
      <c r="L114" s="31">
        <f>SATS!G$40</f>
        <v>27.870471172633565</v>
      </c>
      <c r="M114" s="29">
        <f>SATS!H$40</f>
        <v>-2.2387837180929218</v>
      </c>
      <c r="N114" s="30"/>
      <c r="O114" s="31">
        <f>SATS!D$44</f>
        <v>87.680909861718845</v>
      </c>
      <c r="P114" s="31">
        <f>SATS!E$44</f>
        <v>1312.9104783256796</v>
      </c>
      <c r="Q114" s="31">
        <f>SATS!F$44</f>
        <v>100.16159057643644</v>
      </c>
      <c r="R114" s="31">
        <f>SATS!G$44</f>
        <v>50.95729707793874</v>
      </c>
      <c r="S114" s="29">
        <f>SATS!H$44</f>
        <v>0.19830182673544683</v>
      </c>
      <c r="T114" s="30"/>
      <c r="U114" s="32" t="str">
        <f>D114</f>
        <v>US$ 119.08</v>
      </c>
      <c r="V114" s="28" t="str">
        <f>C114</f>
        <v>EchoStar</v>
      </c>
      <c r="AB114" s="5"/>
    </row>
    <row r="115" spans="1:29">
      <c r="A115" s="25"/>
      <c r="C115" s="35" t="str">
        <f>C56</f>
        <v>Agg. US Other</v>
      </c>
      <c r="D115" s="42"/>
      <c r="E115" s="42"/>
      <c r="F115" s="39"/>
      <c r="G115" s="42"/>
      <c r="H115" s="40"/>
      <c r="I115" s="38">
        <f>'US OTHER'!$D$40</f>
        <v>16.118705826454125</v>
      </c>
      <c r="J115" s="38">
        <f>'US OTHER'!$E$40</f>
        <v>13.452309527569609</v>
      </c>
      <c r="K115" s="38">
        <f>'US OTHER'!$F$40</f>
        <v>40.614455714863254</v>
      </c>
      <c r="L115" s="38">
        <f>'US OTHER'!$G$40</f>
        <v>41.106074462355956</v>
      </c>
      <c r="M115" s="39">
        <f>'US OTHER'!$H$40</f>
        <v>-0.30488761506476691</v>
      </c>
      <c r="N115" s="40"/>
      <c r="O115" s="50">
        <f>'US OTHER'!$D$44</f>
        <v>9.7501690793248272</v>
      </c>
      <c r="P115" s="50">
        <f>'US OTHER'!$E$44</f>
        <v>8.598979993169177</v>
      </c>
      <c r="Q115" s="50">
        <f>'US OTHER'!$F$44</f>
        <v>513.96005321223572</v>
      </c>
      <c r="R115" s="50">
        <f>'US OTHER'!$G$44</f>
        <v>237.75826996986964</v>
      </c>
      <c r="S115" s="39">
        <f>'US OTHER'!$H$44</f>
        <v>-0.66392395881441313</v>
      </c>
      <c r="T115" s="40"/>
      <c r="U115" s="35"/>
      <c r="V115" s="42" t="str">
        <f>V56</f>
        <v>Agg. US CATV</v>
      </c>
    </row>
    <row r="116" spans="1:29">
      <c r="A116" s="25"/>
      <c r="C116" s="32"/>
      <c r="D116" s="28"/>
      <c r="E116" s="28"/>
      <c r="F116" s="29"/>
      <c r="G116" s="28"/>
      <c r="H116" s="30"/>
      <c r="I116" s="31"/>
      <c r="J116" s="31"/>
      <c r="K116" s="31"/>
      <c r="L116" s="31"/>
      <c r="M116" s="29"/>
      <c r="N116" s="30"/>
      <c r="O116" s="31"/>
      <c r="P116" s="31"/>
      <c r="Q116" s="31"/>
      <c r="R116" s="31"/>
      <c r="S116" s="29"/>
      <c r="T116" s="30"/>
      <c r="U116" s="32"/>
      <c r="V116" s="28"/>
    </row>
    <row r="117" spans="1:29" s="5" customFormat="1">
      <c r="A117" s="112"/>
      <c r="B117" s="26"/>
      <c r="C117" s="32"/>
      <c r="D117" s="28"/>
      <c r="E117" s="28"/>
      <c r="F117" s="29"/>
      <c r="G117" s="28"/>
      <c r="H117" s="30"/>
      <c r="I117" s="31"/>
      <c r="J117" s="31"/>
      <c r="K117" s="31"/>
      <c r="L117" s="31"/>
      <c r="M117" s="29"/>
      <c r="N117" s="30"/>
      <c r="O117" s="31"/>
      <c r="P117" s="31"/>
      <c r="Q117" s="31"/>
      <c r="R117" s="31"/>
      <c r="S117" s="29"/>
      <c r="T117" s="30"/>
      <c r="U117" s="32"/>
      <c r="V117" s="28"/>
      <c r="AB117" s="47"/>
    </row>
    <row r="118" spans="1:29" s="5" customFormat="1">
      <c r="A118" s="112"/>
      <c r="B118" s="26"/>
      <c r="C118" s="35" t="str">
        <f>C59</f>
        <v>Agg. W Europe</v>
      </c>
      <c r="D118" s="36"/>
      <c r="E118" s="36"/>
      <c r="F118" s="37"/>
      <c r="G118" s="36"/>
      <c r="H118" s="30"/>
      <c r="I118" s="38">
        <f>'W.EUR AGG'!$D$40</f>
        <v>20.736431435106191</v>
      </c>
      <c r="J118" s="38">
        <f>'W.EUR AGG'!$E$40</f>
        <v>17.992425054484126</v>
      </c>
      <c r="K118" s="38">
        <f>'W.EUR AGG'!$F$40</f>
        <v>15.738860320370453</v>
      </c>
      <c r="L118" s="38">
        <f>'W.EUR AGG'!$G$40</f>
        <v>14.022955411143691</v>
      </c>
      <c r="M118" s="39">
        <f>'W.EUR AGG'!$H$40</f>
        <v>0.10468488563059752</v>
      </c>
      <c r="N118" s="40"/>
      <c r="O118" s="38">
        <f>'W.EUR AGG'!$D$44</f>
        <v>16.405291144194695</v>
      </c>
      <c r="P118" s="38">
        <f>'W.EUR AGG'!$E$44</f>
        <v>14.62082070020044</v>
      </c>
      <c r="Q118" s="38">
        <f>'W.EUR AGG'!$F$44</f>
        <v>13.661807003662224</v>
      </c>
      <c r="R118" s="38">
        <f>'W.EUR AGG'!$G$44</f>
        <v>12.343880663115437</v>
      </c>
      <c r="S118" s="39">
        <f>'W.EUR AGG'!$H$44</f>
        <v>9.4693026621945231E-2</v>
      </c>
      <c r="T118" s="30"/>
      <c r="U118" s="41"/>
      <c r="V118" s="42" t="str">
        <f>V59</f>
        <v>Agg. W Europe</v>
      </c>
      <c r="Z118" s="33"/>
    </row>
    <row r="119" spans="1:29">
      <c r="A119" s="25"/>
      <c r="C119" s="25" t="s">
        <v>1268</v>
      </c>
      <c r="D119" s="28"/>
      <c r="E119" s="28"/>
      <c r="F119" s="29"/>
      <c r="G119" s="28"/>
      <c r="H119" s="30"/>
      <c r="I119" s="44">
        <f>'US AGG'!D$40</f>
        <v>17.363710819499662</v>
      </c>
      <c r="J119" s="44">
        <f>'US AGG'!E$40</f>
        <v>16.039146351063568</v>
      </c>
      <c r="K119" s="44">
        <f>'US AGG'!F$40</f>
        <v>17.531311986404805</v>
      </c>
      <c r="L119" s="44">
        <f>'US AGG'!G$40</f>
        <v>15.779299987820163</v>
      </c>
      <c r="M119" s="43">
        <f>'US AGG'!H$40</f>
        <v>-1.1034861749489644E-2</v>
      </c>
      <c r="N119" s="40"/>
      <c r="O119" s="44">
        <f>'US AGG'!D$44</f>
        <v>12.834437719096572</v>
      </c>
      <c r="P119" s="44">
        <f>'US AGG'!E$44</f>
        <v>11.561246977518518</v>
      </c>
      <c r="Q119" s="44">
        <f>'US AGG'!F$44</f>
        <v>14.499014787786361</v>
      </c>
      <c r="R119" s="44">
        <f>'US AGG'!G$44</f>
        <v>13.219856586410575</v>
      </c>
      <c r="S119" s="43">
        <f>'US AGG'!H$44</f>
        <v>-3.00851088072005E-2</v>
      </c>
      <c r="T119" s="30"/>
      <c r="U119" s="32"/>
      <c r="V119" s="34" t="str">
        <f>V60</f>
        <v>Agg. US</v>
      </c>
      <c r="Z119" s="33"/>
      <c r="AB119" s="5"/>
    </row>
    <row r="120" spans="1:29" s="5" customFormat="1">
      <c r="A120" s="25"/>
      <c r="B120" s="26"/>
      <c r="C120" s="51" t="str">
        <f>C61</f>
        <v xml:space="preserve">Agg. Developed Asia </v>
      </c>
      <c r="D120" s="36"/>
      <c r="E120" s="36"/>
      <c r="F120" s="37"/>
      <c r="G120" s="36"/>
      <c r="H120" s="30"/>
      <c r="I120" s="38">
        <f>'AGG DM ASIA'!$D$40</f>
        <v>22.219308273816104</v>
      </c>
      <c r="J120" s="38">
        <f>'AGG DM ASIA'!$E$40</f>
        <v>18.307657978481281</v>
      </c>
      <c r="K120" s="38">
        <f>'AGG DM ASIA'!$F$40</f>
        <v>15.31724562045042</v>
      </c>
      <c r="L120" s="38">
        <f>'AGG DM ASIA'!$G$40</f>
        <v>13.025475966924992</v>
      </c>
      <c r="M120" s="39">
        <f>'AGG DM ASIA'!$H$40</f>
        <v>0.1244186296545513</v>
      </c>
      <c r="N120" s="40"/>
      <c r="O120" s="38">
        <f>'AGG DM ASIA'!$D$44</f>
        <v>15.683419731424276</v>
      </c>
      <c r="P120" s="38">
        <f>'AGG DM ASIA'!$E$44</f>
        <v>13.426126772887002</v>
      </c>
      <c r="Q120" s="38">
        <f>'AGG DM ASIA'!$F$44</f>
        <v>11.967509632607566</v>
      </c>
      <c r="R120" s="38">
        <f>'AGG DM ASIA'!$G$44</f>
        <v>10.791406954951238</v>
      </c>
      <c r="S120" s="39">
        <f>'AGG DM ASIA'!$H$44</f>
        <v>0.11362604004483812</v>
      </c>
      <c r="T120" s="30"/>
      <c r="U120" s="41"/>
      <c r="V120" s="42" t="str">
        <f>V61</f>
        <v xml:space="preserve">Agg. Developed Asia </v>
      </c>
      <c r="Z120" s="30"/>
      <c r="AB120" s="47"/>
    </row>
    <row r="121" spans="1:29">
      <c r="A121" s="25"/>
      <c r="C121" s="25"/>
      <c r="D121" s="28"/>
      <c r="E121" s="28"/>
      <c r="F121" s="29"/>
      <c r="G121" s="28"/>
      <c r="H121" s="30"/>
      <c r="I121" s="44"/>
      <c r="J121" s="44"/>
      <c r="K121" s="44"/>
      <c r="L121" s="44"/>
      <c r="M121" s="43"/>
      <c r="N121" s="40"/>
      <c r="O121" s="44"/>
      <c r="P121" s="44"/>
      <c r="Q121" s="44"/>
      <c r="R121" s="44"/>
      <c r="S121" s="43"/>
      <c r="T121" s="30"/>
      <c r="U121" s="32"/>
      <c r="V121" s="34"/>
      <c r="Z121" s="30"/>
      <c r="AB121" s="5"/>
    </row>
    <row r="122" spans="1:29">
      <c r="A122" s="25"/>
      <c r="C122" s="51" t="str">
        <f>C63</f>
        <v>Agg. Global Developed</v>
      </c>
      <c r="D122" s="36"/>
      <c r="E122" s="36"/>
      <c r="F122" s="37"/>
      <c r="G122" s="36"/>
      <c r="H122" s="30"/>
      <c r="I122" s="38">
        <f>'AGG DM'!$D$40</f>
        <v>19.048615842524175</v>
      </c>
      <c r="J122" s="38">
        <f>'AGG DM'!$E$40</f>
        <v>17.000481453211133</v>
      </c>
      <c r="K122" s="38">
        <f>'AGG DM'!$F$40</f>
        <v>16.516072034875915</v>
      </c>
      <c r="L122" s="38">
        <f>'AGG DM'!$G$40</f>
        <v>14.699052183478283</v>
      </c>
      <c r="M122" s="39">
        <f>'AGG DM'!$H$40</f>
        <v>4.6797239007460023E-2</v>
      </c>
      <c r="N122" s="40"/>
      <c r="O122" s="38">
        <f>'AGG DM'!$D$44</f>
        <v>14.18388951735013</v>
      </c>
      <c r="P122" s="38">
        <f>'AGG DM'!$E$44</f>
        <v>12.656163563538104</v>
      </c>
      <c r="Q122" s="38">
        <f>'AGG DM'!$F$44</f>
        <v>13.784916693324794</v>
      </c>
      <c r="R122" s="38">
        <f>'AGG DM'!$G$44</f>
        <v>12.507272322495874</v>
      </c>
      <c r="S122" s="39">
        <f>'AGG DM'!$H$44</f>
        <v>2.7310327344825192E-2</v>
      </c>
      <c r="T122" s="30"/>
      <c r="U122" s="41"/>
      <c r="V122" s="42" t="str">
        <f>V63</f>
        <v xml:space="preserve">Agg. Global Developed </v>
      </c>
      <c r="Z122" s="30"/>
    </row>
    <row r="123" spans="1:29" s="5" customFormat="1">
      <c r="A123" s="25"/>
      <c r="B123" s="26"/>
      <c r="C123" s="27"/>
      <c r="D123" s="28"/>
      <c r="E123" s="28"/>
      <c r="F123" s="29"/>
      <c r="G123" s="28"/>
      <c r="M123" s="53"/>
      <c r="S123" s="53"/>
      <c r="U123" s="47"/>
      <c r="V123" s="47"/>
      <c r="Z123" s="30"/>
      <c r="AB123" s="47"/>
    </row>
    <row r="124" spans="1:29" s="5" customFormat="1">
      <c r="A124" s="25"/>
      <c r="B124" s="26"/>
      <c r="C124" s="27"/>
      <c r="D124" s="28"/>
      <c r="E124" s="28"/>
      <c r="F124" s="29"/>
      <c r="G124" s="28"/>
      <c r="M124" s="53"/>
      <c r="S124" s="53"/>
      <c r="U124" s="47"/>
      <c r="V124" s="47"/>
      <c r="Z124" s="30"/>
      <c r="AB124" s="47"/>
    </row>
    <row r="125" spans="1:29" s="25" customFormat="1">
      <c r="B125" s="113"/>
      <c r="C125" s="130"/>
      <c r="D125" s="131" t="s">
        <v>379</v>
      </c>
      <c r="E125" s="131" t="s">
        <v>50</v>
      </c>
      <c r="F125" s="131" t="s">
        <v>52</v>
      </c>
      <c r="G125" s="131" t="s">
        <v>49</v>
      </c>
      <c r="H125" s="33"/>
      <c r="I125" s="132" t="s">
        <v>481</v>
      </c>
      <c r="J125" s="132"/>
      <c r="K125" s="132"/>
      <c r="L125" s="132"/>
      <c r="M125" s="132"/>
      <c r="O125" s="132" t="s">
        <v>482</v>
      </c>
      <c r="P125" s="132"/>
      <c r="Q125" s="132"/>
      <c r="R125" s="132"/>
      <c r="S125" s="132"/>
      <c r="T125" s="33"/>
      <c r="U125" s="133" t="s">
        <v>379</v>
      </c>
      <c r="V125" s="131"/>
      <c r="Z125" s="33"/>
      <c r="AC125" s="106"/>
    </row>
    <row r="126" spans="1:29" s="5" customFormat="1">
      <c r="A126" s="25" t="s">
        <v>415</v>
      </c>
      <c r="B126" s="26"/>
      <c r="C126" s="32" t="s">
        <v>160</v>
      </c>
      <c r="D126" s="28" t="str">
        <f t="shared" ref="D126:G136" si="20">D67</f>
        <v>GBP2.24</v>
      </c>
      <c r="E126" s="28" t="str">
        <f t="shared" si="20"/>
        <v>GBP2.40</v>
      </c>
      <c r="F126" s="29">
        <f t="shared" si="20"/>
        <v>7.1189466636911503E-2</v>
      </c>
      <c r="G126" s="28" t="str">
        <f t="shared" si="20"/>
        <v>Neutral</v>
      </c>
      <c r="H126" s="30"/>
      <c r="I126" s="483">
        <f>BT!$D$45</f>
        <v>3.7877259540281191E-2</v>
      </c>
      <c r="J126" s="483">
        <f>BT!$E$45</f>
        <v>3.9771122517295247E-2</v>
      </c>
      <c r="K126" s="483">
        <f>BT!$F$45</f>
        <v>4.7725347020754295E-2</v>
      </c>
      <c r="L126" s="483">
        <f>BT!$G$45</f>
        <v>5.727041642490515E-2</v>
      </c>
      <c r="M126" s="483">
        <f>BT!$H$45</f>
        <v>0.14419836078751258</v>
      </c>
      <c r="N126" s="30"/>
      <c r="O126" s="483">
        <f>BT!$D$47</f>
        <v>3.506495642891682E-2</v>
      </c>
      <c r="P126" s="483">
        <f>BT!$E$47</f>
        <v>6.5592347037333576E-2</v>
      </c>
      <c r="Q126" s="483">
        <f>BT!$F$47</f>
        <v>7.984894201872611E-2</v>
      </c>
      <c r="R126" s="483">
        <f>BT!$G$47</f>
        <v>9.161416773609915E-2</v>
      </c>
      <c r="S126" s="483">
        <f>BT!$H$47</f>
        <v>0.36808876736615703</v>
      </c>
      <c r="T126" s="30"/>
      <c r="U126" s="32" t="str">
        <f t="shared" ref="U126:V130" si="21">U67</f>
        <v>GBP2.24</v>
      </c>
      <c r="V126" s="53" t="str">
        <f t="shared" si="21"/>
        <v>British Telecom</v>
      </c>
      <c r="Z126" s="30"/>
    </row>
    <row r="127" spans="1:29" s="5" customFormat="1">
      <c r="A127" s="25"/>
      <c r="B127" s="26"/>
      <c r="C127" s="32" t="s">
        <v>161</v>
      </c>
      <c r="D127" s="28" t="str">
        <f t="shared" si="20"/>
        <v>EUR 27.67</v>
      </c>
      <c r="E127" s="28" t="str">
        <f t="shared" si="20"/>
        <v>EUR 43.00</v>
      </c>
      <c r="F127" s="29">
        <f t="shared" si="20"/>
        <v>0.55402963498373681</v>
      </c>
      <c r="G127" s="28" t="str">
        <f t="shared" si="20"/>
        <v>Buy</v>
      </c>
      <c r="H127" s="30"/>
      <c r="I127" s="483">
        <f>DT!$D$45</f>
        <v>3.6140224069389229E-2</v>
      </c>
      <c r="J127" s="483">
        <f>DT!$E$45</f>
        <v>4.0477050957715942E-2</v>
      </c>
      <c r="K127" s="483">
        <f>DT!$F$45</f>
        <v>4.5334297072641853E-2</v>
      </c>
      <c r="L127" s="483">
        <f>DT!$G$45</f>
        <v>4.9867726779906044E-2</v>
      </c>
      <c r="M127" s="483">
        <f>DT!$H$45</f>
        <v>0.10778696016834988</v>
      </c>
      <c r="N127" s="30"/>
      <c r="O127" s="483">
        <f>DT!$D$47</f>
        <v>7.7832479673160634E-2</v>
      </c>
      <c r="P127" s="483">
        <f>DT!$E$47</f>
        <v>8.5916753949837957E-2</v>
      </c>
      <c r="Q127" s="483">
        <f>DT!$F$47</f>
        <v>9.4865800756613841E-2</v>
      </c>
      <c r="R127" s="483">
        <f>DT!$G$47</f>
        <v>0.10292391954576099</v>
      </c>
      <c r="S127" s="483">
        <f>DT!$H$47</f>
        <v>9.2190735913403987E-2</v>
      </c>
      <c r="T127" s="30"/>
      <c r="U127" s="32" t="str">
        <f t="shared" si="21"/>
        <v>EUR 27.67</v>
      </c>
      <c r="V127" s="53" t="str">
        <f t="shared" si="21"/>
        <v>Deutsche Telekom</v>
      </c>
      <c r="Z127" s="30"/>
    </row>
    <row r="128" spans="1:29" s="5" customFormat="1">
      <c r="A128" s="25"/>
      <c r="B128" s="26"/>
      <c r="C128" s="32" t="s">
        <v>373</v>
      </c>
      <c r="D128" s="28" t="str">
        <f t="shared" si="20"/>
        <v>EUR 4.66</v>
      </c>
      <c r="E128" s="28" t="str">
        <f t="shared" si="20"/>
        <v>EUR 4.33</v>
      </c>
      <c r="F128" s="29">
        <f t="shared" si="20"/>
        <v>-7.2021498159240971E-2</v>
      </c>
      <c r="G128" s="28" t="str">
        <f t="shared" si="20"/>
        <v>Neutral</v>
      </c>
      <c r="H128" s="30"/>
      <c r="I128" s="483">
        <f>KPN!$D$45</f>
        <v>3.9022298456260728E-2</v>
      </c>
      <c r="J128" s="483">
        <f>KPN!$E$45</f>
        <v>4.2924528301886804E-2</v>
      </c>
      <c r="K128" s="483">
        <f>KPN!$F$45</f>
        <v>5.4084905660377366E-2</v>
      </c>
      <c r="L128" s="483">
        <f>KPN!$G$45</f>
        <v>5.678915094339624E-2</v>
      </c>
      <c r="M128" s="483">
        <f>KPN!$H$45</f>
        <v>0.11582784422802184</v>
      </c>
      <c r="N128" s="30"/>
      <c r="O128" s="483">
        <f>KPN!$D$47</f>
        <v>3.9525268998877136E-2</v>
      </c>
      <c r="P128" s="483">
        <f>KPN!$E$47</f>
        <v>4.3177315644919348E-2</v>
      </c>
      <c r="Q128" s="483">
        <f>KPN!$F$47</f>
        <v>5.9869914085088106E-2</v>
      </c>
      <c r="R128" s="483">
        <f>KPN!$G$47</f>
        <v>6.2809100869779144E-2</v>
      </c>
      <c r="S128" s="483">
        <f>KPN!$H$47</f>
        <v>0.15022533911974123</v>
      </c>
      <c r="T128" s="30"/>
      <c r="U128" s="32" t="str">
        <f t="shared" si="21"/>
        <v>EUR 4.66</v>
      </c>
      <c r="V128" s="53" t="str">
        <f t="shared" si="21"/>
        <v>KPN</v>
      </c>
      <c r="Z128" s="30"/>
    </row>
    <row r="129" spans="1:26" s="5" customFormat="1">
      <c r="A129" s="25"/>
      <c r="B129" s="26"/>
      <c r="C129" s="32" t="s">
        <v>604</v>
      </c>
      <c r="D129" s="28" t="str">
        <f t="shared" si="20"/>
        <v>EUR 17.64</v>
      </c>
      <c r="E129" s="28" t="str">
        <f t="shared" si="20"/>
        <v>EUR 18.80</v>
      </c>
      <c r="F129" s="29">
        <f t="shared" si="20"/>
        <v>6.5759637188208542E-2</v>
      </c>
      <c r="G129" s="28" t="str">
        <f t="shared" si="20"/>
        <v>Neutral</v>
      </c>
      <c r="H129" s="30"/>
      <c r="I129" s="483">
        <f>ORA!$D$45</f>
        <v>4.2517006802721094E-2</v>
      </c>
      <c r="J129" s="483">
        <f>ORA!$E$45</f>
        <v>4.4642857142857151E-2</v>
      </c>
      <c r="K129" s="483">
        <f>ORA!$F$45</f>
        <v>4.6428571428571437E-2</v>
      </c>
      <c r="L129" s="483">
        <f>ORA!$G$45</f>
        <v>5.0142857142857156E-2</v>
      </c>
      <c r="M129" s="483">
        <f>ORA!$H$45</f>
        <v>5.6530724958862022E-2</v>
      </c>
      <c r="N129" s="30"/>
      <c r="O129" s="483">
        <f>ORA!$D$47</f>
        <v>3.8559747465664401E-2</v>
      </c>
      <c r="P129" s="483">
        <f>ORA!$E$47</f>
        <v>6.9427712086362059E-2</v>
      </c>
      <c r="Q129" s="483">
        <f>ORA!$F$47</f>
        <v>7.8806329444723822E-2</v>
      </c>
      <c r="R129" s="483">
        <f>ORA!$G$47</f>
        <v>8.5537282881323451E-2</v>
      </c>
      <c r="S129" s="483">
        <f>ORA!$H$47</f>
        <v>0.30418867066557631</v>
      </c>
      <c r="T129" s="30"/>
      <c r="U129" s="32" t="str">
        <f t="shared" si="21"/>
        <v>EUR 17.64</v>
      </c>
      <c r="V129" s="53" t="str">
        <f t="shared" si="21"/>
        <v>Orange</v>
      </c>
      <c r="Z129" s="30"/>
    </row>
    <row r="130" spans="1:26" s="5" customFormat="1">
      <c r="A130" s="25"/>
      <c r="B130" s="26"/>
      <c r="C130" s="32" t="s">
        <v>374</v>
      </c>
      <c r="D130" s="28" t="str">
        <f t="shared" si="20"/>
        <v>EUR 18.29</v>
      </c>
      <c r="E130" s="28" t="str">
        <f t="shared" si="20"/>
        <v>EUR 22.10</v>
      </c>
      <c r="F130" s="29">
        <f t="shared" si="20"/>
        <v>0.20831055221432493</v>
      </c>
      <c r="G130" s="28" t="str">
        <f t="shared" si="20"/>
        <v>Buy</v>
      </c>
      <c r="H130" s="30"/>
      <c r="I130" s="483">
        <f>OTE!$D$45</f>
        <v>4.7971569163477314E-2</v>
      </c>
      <c r="J130" s="483">
        <f>OTE!$E$45</f>
        <v>5.2768726079825044E-2</v>
      </c>
      <c r="K130" s="483">
        <f>OTE!$F$45</f>
        <v>5.5407162383816301E-2</v>
      </c>
      <c r="L130" s="483">
        <f>OTE!$G$45</f>
        <v>5.7623448879168954E-2</v>
      </c>
      <c r="M130" s="483">
        <f>OTE!$H$45</f>
        <v>3.7440507544908019E-2</v>
      </c>
      <c r="N130" s="30"/>
      <c r="O130" s="483">
        <f>OTE!$D$47</f>
        <v>8.1482300431562169E-2</v>
      </c>
      <c r="P130" s="483">
        <f>OTE!$E$47</f>
        <v>9.1743363072793752E-2</v>
      </c>
      <c r="Q130" s="483">
        <f>OTE!$F$47</f>
        <v>7.0366922414289351E-2</v>
      </c>
      <c r="R130" s="483">
        <f>OTE!$G$47</f>
        <v>8.2055331977025317E-2</v>
      </c>
      <c r="S130" s="483">
        <f>OTE!$H$47</f>
        <v>-1.9383882789354545E-2</v>
      </c>
      <c r="T130" s="30"/>
      <c r="U130" s="32" t="str">
        <f t="shared" si="21"/>
        <v>EUR 18.29</v>
      </c>
      <c r="V130" s="53" t="str">
        <f t="shared" si="21"/>
        <v>OTE</v>
      </c>
      <c r="Z130" s="30"/>
    </row>
    <row r="131" spans="1:26" s="5" customFormat="1">
      <c r="A131" s="25"/>
      <c r="B131" s="26"/>
      <c r="C131" s="32" t="s">
        <v>686</v>
      </c>
      <c r="D131" s="28" t="str">
        <f t="shared" si="20"/>
        <v>EUR 6.6</v>
      </c>
      <c r="E131" s="28" t="str">
        <f t="shared" si="20"/>
        <v>EUR 13.3</v>
      </c>
      <c r="F131" s="29">
        <f t="shared" si="20"/>
        <v>1.0060331825037707</v>
      </c>
      <c r="G131" s="28" t="str">
        <f t="shared" si="20"/>
        <v>Neutral</v>
      </c>
      <c r="H131" s="30"/>
      <c r="I131" s="483">
        <f>PROX!$D$45</f>
        <v>9.0497737556561084E-2</v>
      </c>
      <c r="J131" s="483">
        <f>PROX!$E$45</f>
        <v>4.5248868778280542E-2</v>
      </c>
      <c r="K131" s="483">
        <f>PROX!$F$45</f>
        <v>6.018099547511313E-2</v>
      </c>
      <c r="L131" s="483">
        <f>PROX!$G$45</f>
        <v>7.5226244343891413E-2</v>
      </c>
      <c r="M131" s="483">
        <f>PROX!$H$45</f>
        <v>-5.9748822216098452E-2</v>
      </c>
      <c r="N131" s="30"/>
      <c r="O131" s="483">
        <f>PROX!$D$47</f>
        <v>0.169420698767</v>
      </c>
      <c r="P131" s="483">
        <f>PROX!$E$47</f>
        <v>9.4326200090532067E-2</v>
      </c>
      <c r="Q131" s="483">
        <f>PROX!$F$47</f>
        <v>9.7238450790572653E-2</v>
      </c>
      <c r="R131" s="483">
        <f>PROX!$G$47</f>
        <v>0.11288283602166045</v>
      </c>
      <c r="S131" s="483">
        <f>PROX!$H$47</f>
        <v>-0.12658533206196498</v>
      </c>
      <c r="T131" s="30"/>
      <c r="U131" s="32" t="str">
        <f t="shared" ref="U131:U136" si="22">U72</f>
        <v>EUR 6.6</v>
      </c>
      <c r="V131" s="53" t="s">
        <v>686</v>
      </c>
      <c r="Z131" s="30"/>
    </row>
    <row r="132" spans="1:26">
      <c r="C132" s="32" t="s">
        <v>378</v>
      </c>
      <c r="D132" s="28" t="str">
        <f t="shared" si="20"/>
        <v>CHF673</v>
      </c>
      <c r="E132" s="28" t="str">
        <f t="shared" si="20"/>
        <v>CHF570</v>
      </c>
      <c r="F132" s="29">
        <f t="shared" si="20"/>
        <v>-0.15241635687732347</v>
      </c>
      <c r="G132" s="28" t="str">
        <f t="shared" si="20"/>
        <v>Sell</v>
      </c>
      <c r="H132" s="30"/>
      <c r="I132" s="483">
        <f>SWISS!$D$45</f>
        <v>3.8661710037174724E-2</v>
      </c>
      <c r="J132" s="483">
        <f>SWISS!$E$45</f>
        <v>4.0208178438661708E-2</v>
      </c>
      <c r="K132" s="483">
        <f>SWISS!$F$45</f>
        <v>4.1414423791821559E-2</v>
      </c>
      <c r="L132" s="483">
        <f>SWISS!$G$45</f>
        <v>4.2656856505576213E-2</v>
      </c>
      <c r="M132" s="483">
        <f>SWISS!$H$45</f>
        <v>3.3322603657810035E-2</v>
      </c>
      <c r="N132" s="30"/>
      <c r="O132" s="483">
        <f>SWISS!$D$47</f>
        <v>3.3842775467840938E-2</v>
      </c>
      <c r="P132" s="483">
        <f>SWISS!$E$47</f>
        <v>3.4520658666143914E-2</v>
      </c>
      <c r="Q132" s="483">
        <f>SWISS!$F$47</f>
        <v>3.8686680416122901E-2</v>
      </c>
      <c r="R132" s="483">
        <f>SWISS!$G$47</f>
        <v>4.399090228313237E-2</v>
      </c>
      <c r="S132" s="483">
        <f>SWISS!$H$47</f>
        <v>9.135396942611429E-2</v>
      </c>
      <c r="T132" s="30"/>
      <c r="U132" s="32" t="str">
        <f t="shared" si="22"/>
        <v>CHF673</v>
      </c>
      <c r="V132" s="53" t="str">
        <f t="shared" ref="V132:V137" si="23">V73</f>
        <v>Swisscom</v>
      </c>
    </row>
    <row r="133" spans="1:26" s="5" customFormat="1">
      <c r="A133" s="25"/>
      <c r="B133" s="26"/>
      <c r="C133" s="32" t="s">
        <v>222</v>
      </c>
      <c r="D133" s="28" t="str">
        <f t="shared" si="20"/>
        <v>EUR 0.66</v>
      </c>
      <c r="E133" s="28" t="str">
        <f t="shared" si="20"/>
        <v>EUR 0.55</v>
      </c>
      <c r="F133" s="29">
        <f t="shared" si="20"/>
        <v>-0.16641406486814181</v>
      </c>
      <c r="G133" s="28" t="str">
        <f t="shared" si="20"/>
        <v>Neutral</v>
      </c>
      <c r="H133" s="30"/>
      <c r="I133" s="483">
        <f>TI!$D$45</f>
        <v>0</v>
      </c>
      <c r="J133" s="483">
        <f>TI!$E$45</f>
        <v>3.3343437405274325E-2</v>
      </c>
      <c r="K133" s="483">
        <f>TI!$F$45</f>
        <v>4.3346468626856614E-2</v>
      </c>
      <c r="L133" s="483">
        <f>TI!$G$45</f>
        <v>5.2015762352227934E-2</v>
      </c>
      <c r="M133" s="483" t="str">
        <f>TI!$H$45</f>
        <v>nm</v>
      </c>
      <c r="N133" s="30"/>
      <c r="O133" s="483">
        <f>TI!$D$47</f>
        <v>3.4822681918431027E-2</v>
      </c>
      <c r="P133" s="483">
        <f>TI!$E$47</f>
        <v>0.11602308226432174</v>
      </c>
      <c r="Q133" s="483">
        <f>TI!$F$47</f>
        <v>7.0404589067946277E-2</v>
      </c>
      <c r="R133" s="483">
        <f>TI!$G$47</f>
        <v>9.4299687914889865E-2</v>
      </c>
      <c r="S133" s="483">
        <f>TI!$H$47</f>
        <v>0.38359031898471008</v>
      </c>
      <c r="T133" s="30"/>
      <c r="U133" s="32" t="str">
        <f t="shared" si="22"/>
        <v>EUR 0.66</v>
      </c>
      <c r="V133" s="53" t="str">
        <f t="shared" si="23"/>
        <v>Telecom Italia</v>
      </c>
      <c r="Z133" s="30"/>
    </row>
    <row r="134" spans="1:26" s="5" customFormat="1">
      <c r="A134" s="25"/>
      <c r="B134" s="26"/>
      <c r="C134" s="32" t="s">
        <v>376</v>
      </c>
      <c r="D134" s="28" t="str">
        <f t="shared" si="20"/>
        <v>EUR 3.88</v>
      </c>
      <c r="E134" s="28" t="str">
        <f t="shared" si="20"/>
        <v>EUR 3.30</v>
      </c>
      <c r="F134" s="29">
        <f t="shared" si="20"/>
        <v>-0.14992272024729525</v>
      </c>
      <c r="G134" s="28" t="str">
        <f t="shared" si="20"/>
        <v>Sell</v>
      </c>
      <c r="H134" s="30"/>
      <c r="I134" s="483">
        <f>TEF!$D$45</f>
        <v>3.8639876352395672E-2</v>
      </c>
      <c r="J134" s="483">
        <f>TEF!$E$45</f>
        <v>3.8639876352395672E-2</v>
      </c>
      <c r="K134" s="483">
        <f>TEF!$F$45</f>
        <v>3.9412673879443583E-2</v>
      </c>
      <c r="L134" s="483">
        <f>TEF!$G$45</f>
        <v>4.0200927357032457E-2</v>
      </c>
      <c r="M134" s="483">
        <f>TEF!$H$45</f>
        <v>1.3289279402143528E-2</v>
      </c>
      <c r="N134" s="30"/>
      <c r="O134" s="483">
        <f>TEF!$D$47</f>
        <v>6.7570152267949532E-2</v>
      </c>
      <c r="P134" s="483">
        <f>TEF!$E$47</f>
        <v>7.3273315573429004E-2</v>
      </c>
      <c r="Q134" s="483">
        <f>TEF!$F$47</f>
        <v>7.1441614494369338E-2</v>
      </c>
      <c r="R134" s="483">
        <f>TEF!$G$47</f>
        <v>7.3756631487532115E-2</v>
      </c>
      <c r="S134" s="483">
        <f>TEF!$H$47</f>
        <v>2.9632064545156878E-2</v>
      </c>
      <c r="T134" s="30"/>
      <c r="U134" s="32" t="str">
        <f t="shared" si="22"/>
        <v>EUR 3.88</v>
      </c>
      <c r="V134" s="53" t="str">
        <f t="shared" si="23"/>
        <v>Telefonica</v>
      </c>
      <c r="Z134" s="30"/>
    </row>
    <row r="135" spans="1:26" s="5" customFormat="1">
      <c r="A135" s="25"/>
      <c r="B135" s="26"/>
      <c r="C135" s="32" t="s">
        <v>377</v>
      </c>
      <c r="D135" s="28" t="str">
        <f t="shared" si="20"/>
        <v>NOK 164</v>
      </c>
      <c r="E135" s="28" t="str">
        <f t="shared" si="20"/>
        <v>NOK 160</v>
      </c>
      <c r="F135" s="29">
        <f t="shared" si="20"/>
        <v>-2.6171637248934898E-2</v>
      </c>
      <c r="G135" s="28" t="str">
        <f t="shared" si="20"/>
        <v>Neutral</v>
      </c>
      <c r="H135" s="30"/>
      <c r="I135" s="483">
        <f>TNOR!$D$45</f>
        <v>5.9038344491783322E-2</v>
      </c>
      <c r="J135" s="483">
        <f>TNOR!$E$45</f>
        <v>6.0219111381618985E-2</v>
      </c>
      <c r="K135" s="483">
        <f>TNOR!$F$45</f>
        <v>9.3117923344379433E-2</v>
      </c>
      <c r="L135" s="483">
        <f>TNOR!$G$45</f>
        <v>6.2651963481436396E-2</v>
      </c>
      <c r="M135" s="483">
        <f>TNOR!$H$45</f>
        <v>-1.0268682346489255E-3</v>
      </c>
      <c r="N135" s="30"/>
      <c r="O135" s="483">
        <f>TNOR!$D$47</f>
        <v>4.9471143595648692E-2</v>
      </c>
      <c r="P135" s="483">
        <f>TNOR!$E$47</f>
        <v>4.4627493275613439E-2</v>
      </c>
      <c r="Q135" s="483">
        <f>TNOR!$F$47</f>
        <v>4.5682288873329702E-2</v>
      </c>
      <c r="R135" s="483">
        <f>TNOR!$G$47</f>
        <v>4.9669833749564844E-2</v>
      </c>
      <c r="S135" s="483">
        <f>TNOR!$H$47</f>
        <v>-1.5995595796883588E-2</v>
      </c>
      <c r="T135" s="30"/>
      <c r="U135" s="32" t="str">
        <f t="shared" si="22"/>
        <v>NOK 164</v>
      </c>
      <c r="V135" s="28" t="str">
        <f t="shared" si="23"/>
        <v>Telenor</v>
      </c>
      <c r="Z135" s="30"/>
    </row>
    <row r="136" spans="1:26" s="5" customFormat="1">
      <c r="A136" s="25"/>
      <c r="B136" s="26"/>
      <c r="C136" s="32" t="s">
        <v>846</v>
      </c>
      <c r="D136" s="28" t="str">
        <f t="shared" si="20"/>
        <v>SEK48.7</v>
      </c>
      <c r="E136" s="28" t="str">
        <f t="shared" si="20"/>
        <v>SEK45.0</v>
      </c>
      <c r="F136" s="29">
        <f t="shared" si="20"/>
        <v>-7.6165058509546357E-2</v>
      </c>
      <c r="G136" s="28" t="str">
        <f t="shared" si="20"/>
        <v>Neutral</v>
      </c>
      <c r="H136" s="30"/>
      <c r="I136" s="483">
        <f>TELIA!$D$45</f>
        <v>4.2085814001231778E-2</v>
      </c>
      <c r="J136" s="483">
        <f>TELIA!$E$45</f>
        <v>4.3137959351262578E-2</v>
      </c>
      <c r="K136" s="483">
        <f>TELIA!$F$45</f>
        <v>4.4216408335044137E-2</v>
      </c>
      <c r="L136" s="483">
        <f>TELIA!$G$45</f>
        <v>4.5321818543420232E-2</v>
      </c>
      <c r="M136" s="483">
        <f>TELIA!$H$45</f>
        <v>2.4999999999999911E-2</v>
      </c>
      <c r="N136" s="30"/>
      <c r="O136" s="483">
        <f>TELIA!$D$47</f>
        <v>3.9781769475468499E-2</v>
      </c>
      <c r="P136" s="483">
        <f>TELIA!$E$47</f>
        <v>4.0882583793501556E-2</v>
      </c>
      <c r="Q136" s="483">
        <f>TELIA!$F$47</f>
        <v>4.4322008189495145E-2</v>
      </c>
      <c r="R136" s="483">
        <f>TELIA!$G$47</f>
        <v>4.658621175098844E-2</v>
      </c>
      <c r="S136" s="483">
        <f>TELIA!$H$47</f>
        <v>5.4041636579566843E-2</v>
      </c>
      <c r="T136" s="30"/>
      <c r="U136" s="32" t="str">
        <f t="shared" si="22"/>
        <v>SEK48.7</v>
      </c>
      <c r="V136" s="28" t="str">
        <f t="shared" si="23"/>
        <v>TeliaSonera</v>
      </c>
      <c r="Z136" s="30"/>
    </row>
    <row r="137" spans="1:26" s="5" customFormat="1">
      <c r="A137" s="25"/>
      <c r="B137" s="26"/>
      <c r="C137" s="35" t="str">
        <f>C78</f>
        <v>Agg. W.Europe Incumbent</v>
      </c>
      <c r="D137" s="36"/>
      <c r="E137" s="36"/>
      <c r="F137" s="37"/>
      <c r="G137" s="36"/>
      <c r="H137" s="30"/>
      <c r="I137" s="484">
        <f>'W.EUR INCUMB'!$D$45</f>
        <v>3.8433837191367275E-2</v>
      </c>
      <c r="J137" s="484">
        <f>'W.EUR INCUMB'!$E$45</f>
        <v>4.1806569876969436E-2</v>
      </c>
      <c r="K137" s="484">
        <f>'W.EUR INCUMB'!$F$45</f>
        <v>4.7609975589375048E-2</v>
      </c>
      <c r="L137" s="484">
        <f>'W.EUR INCUMB'!$G$45</f>
        <v>4.9548921514355894E-2</v>
      </c>
      <c r="M137" s="484">
        <f>'W.EUR INCUMB'!$H$45</f>
        <v>8.2983942558335633E-2</v>
      </c>
      <c r="N137" s="40"/>
      <c r="O137" s="484">
        <f>'W.EUR INCUMB'!$D$47</f>
        <v>5.6413701281478691E-2</v>
      </c>
      <c r="P137" s="484">
        <f>'W.EUR INCUMB'!$E$47</f>
        <v>6.8773652149914544E-2</v>
      </c>
      <c r="Q137" s="484">
        <f>'W.EUR INCUMB'!$F$47</f>
        <v>7.3469896551127151E-2</v>
      </c>
      <c r="R137" s="484">
        <f>'W.EUR INCUMB'!$G$47</f>
        <v>8.0733968542567675E-2</v>
      </c>
      <c r="S137" s="484">
        <f>'W.EUR INCUMB'!$H$47</f>
        <v>0.12138213373541618</v>
      </c>
      <c r="T137" s="30"/>
      <c r="U137" s="41"/>
      <c r="V137" s="42" t="str">
        <f t="shared" si="23"/>
        <v>Agg. W.Europe Incumbent</v>
      </c>
      <c r="Z137" s="30"/>
    </row>
    <row r="138" spans="1:26" s="5" customFormat="1">
      <c r="A138" s="25"/>
      <c r="B138" s="26"/>
      <c r="C138" s="32"/>
      <c r="D138" s="28"/>
      <c r="E138" s="28"/>
      <c r="F138" s="29"/>
      <c r="G138" s="28"/>
      <c r="H138" s="30"/>
      <c r="I138" s="483"/>
      <c r="J138" s="483"/>
      <c r="K138" s="483"/>
      <c r="L138" s="483"/>
      <c r="M138" s="483"/>
      <c r="N138" s="30"/>
      <c r="O138" s="483"/>
      <c r="P138" s="483"/>
      <c r="Q138" s="483"/>
      <c r="R138" s="483"/>
      <c r="S138" s="483"/>
      <c r="T138" s="30"/>
      <c r="U138" s="32"/>
      <c r="V138" s="28"/>
      <c r="Z138" s="30"/>
    </row>
    <row r="139" spans="1:26" s="5" customFormat="1">
      <c r="A139" s="25"/>
      <c r="B139" s="26" t="s">
        <v>424</v>
      </c>
      <c r="C139" s="32" t="s">
        <v>403</v>
      </c>
      <c r="D139" s="28" t="str">
        <f>B139&amp;TEXT(Prices!$C$45,"0.0")</f>
        <v>US$26.3</v>
      </c>
      <c r="E139" s="28" t="str">
        <f>B139&amp;TEXT(Prices!$E$45,"0.00")</f>
        <v>US$32.00</v>
      </c>
      <c r="F139" s="29">
        <f>Prices!$F$45</f>
        <v>0.21765601217656005</v>
      </c>
      <c r="G139" s="28" t="str">
        <f>Prices!$D$45</f>
        <v>Buy</v>
      </c>
      <c r="H139" s="30"/>
      <c r="I139" s="483">
        <f>ATT!D$45</f>
        <v>4.3322553453581866E-2</v>
      </c>
      <c r="J139" s="483">
        <f>ATT!$E$45</f>
        <v>4.2925478049558305E-2</v>
      </c>
      <c r="K139" s="483">
        <f>ATT!$F$45</f>
        <v>4.4015106678357528E-2</v>
      </c>
      <c r="L139" s="483">
        <f>ATT!$G$45</f>
        <v>4.3121454215362072E-2</v>
      </c>
      <c r="M139" s="483">
        <f>ATT!$H$45</f>
        <v>-3.1329078459721216E-2</v>
      </c>
      <c r="N139" s="30"/>
      <c r="O139" s="483">
        <f>ATT!D$47</f>
        <v>6.9980560188436722E-2</v>
      </c>
      <c r="P139" s="483">
        <f>ATT!E$47</f>
        <v>7.2693841052856686E-2</v>
      </c>
      <c r="Q139" s="483">
        <f>ATT!F$47</f>
        <v>7.8411429690729159E-2</v>
      </c>
      <c r="R139" s="483">
        <f>ATT!G$47</f>
        <v>8.9503132823958623E-2</v>
      </c>
      <c r="S139" s="483">
        <f>ATT!$H$47</f>
        <v>5.3101148097755901E-2</v>
      </c>
      <c r="T139" s="30"/>
      <c r="U139" s="32" t="str">
        <f t="shared" ref="U139:V141" si="24">U80</f>
        <v>USD26.3</v>
      </c>
      <c r="V139" s="28" t="str">
        <f t="shared" si="24"/>
        <v>AT&amp;T</v>
      </c>
      <c r="Z139" s="30"/>
    </row>
    <row r="140" spans="1:26" s="5" customFormat="1">
      <c r="A140" s="112"/>
      <c r="B140" s="26" t="s">
        <v>424</v>
      </c>
      <c r="C140" s="32" t="s">
        <v>570</v>
      </c>
      <c r="D140" s="28" t="str">
        <f>B140&amp;TEXT(Prices!$C$46,"0.0")</f>
        <v>US$191.5</v>
      </c>
      <c r="E140" s="28" t="str">
        <f>B140&amp;TEXT(Prices!$E$46,"0.0")</f>
        <v>US$296.0</v>
      </c>
      <c r="F140" s="29">
        <f>Prices!$F$46</f>
        <v>0.54593408889121009</v>
      </c>
      <c r="G140" s="28" t="str">
        <f>Prices!$D$46</f>
        <v>Buy</v>
      </c>
      <c r="H140" s="30"/>
      <c r="I140" s="483">
        <f>TMUS!$D$45</f>
        <v>1.8916270237687809E-2</v>
      </c>
      <c r="J140" s="483">
        <f>TMUS!$E$45</f>
        <v>2.2049386034363735E-2</v>
      </c>
      <c r="K140" s="483">
        <f>TMUS!$F$45</f>
        <v>2.6915090210946114E-2</v>
      </c>
      <c r="L140" s="483">
        <f>TMUS!$G$45</f>
        <v>3.230328884386572E-2</v>
      </c>
      <c r="M140" s="483">
        <f>TMUS!$H$45</f>
        <v>0.14756206227965829</v>
      </c>
      <c r="N140" s="30"/>
      <c r="O140" s="483">
        <f>TMUS!D$47</f>
        <v>6.2909653510478808E-2</v>
      </c>
      <c r="P140" s="483">
        <f>TMUS!E$47</f>
        <v>1.6251535165181654E-2</v>
      </c>
      <c r="Q140" s="483">
        <f>TMUS!F$47</f>
        <v>2.1443726884896909E-2</v>
      </c>
      <c r="R140" s="483">
        <f>TMUS!G$47</f>
        <v>2.3373270187487021E-2</v>
      </c>
      <c r="S140" s="483">
        <f>TMUS!$H$47</f>
        <v>-0.30980284092936516</v>
      </c>
      <c r="T140" s="30"/>
      <c r="U140" s="32" t="str">
        <f t="shared" si="24"/>
        <v>USD191.5</v>
      </c>
      <c r="V140" s="28" t="str">
        <f t="shared" si="24"/>
        <v>TMUS</v>
      </c>
      <c r="Z140" s="30"/>
    </row>
    <row r="141" spans="1:26" s="5" customFormat="1">
      <c r="A141" s="25"/>
      <c r="B141" s="26" t="s">
        <v>424</v>
      </c>
      <c r="C141" s="32" t="s">
        <v>30</v>
      </c>
      <c r="D141" s="28" t="str">
        <f>B141&amp;TEXT(Prices!$C$44,"0.0")</f>
        <v>US$46.9</v>
      </c>
      <c r="E141" s="28" t="str">
        <f>B141&amp;TEXT(Prices!$E$44,"0.00")</f>
        <v>US$42.00</v>
      </c>
      <c r="F141" s="29">
        <f>Prices!$F$44</f>
        <v>-0.10371318822023046</v>
      </c>
      <c r="G141" s="28" t="str">
        <f>Prices!$D$44</f>
        <v>Neutral</v>
      </c>
      <c r="H141" s="30"/>
      <c r="I141" s="483">
        <f>VZN!$D$45</f>
        <v>5.7776953045049019E-2</v>
      </c>
      <c r="J141" s="483">
        <f>VZN!$E$45</f>
        <v>5.9270725055732318E-2</v>
      </c>
      <c r="K141" s="483">
        <f>VZN!$F$45</f>
        <v>6.0334831430161967E-2</v>
      </c>
      <c r="L141" s="483">
        <f>VZN!$G$45</f>
        <v>6.139893780459163E-2</v>
      </c>
      <c r="M141" s="483">
        <f>VZN!$H$45</f>
        <v>2.0474306066839754E-2</v>
      </c>
      <c r="N141" s="30"/>
      <c r="O141" s="483">
        <f>VZN!D$47</f>
        <v>0.10387799100008215</v>
      </c>
      <c r="P141" s="483">
        <f>VZN!E$47</f>
        <v>0.11180841743485297</v>
      </c>
      <c r="Q141" s="483">
        <f>VZN!F$47</f>
        <v>0.1158758783101792</v>
      </c>
      <c r="R141" s="483">
        <f>VZN!G$47</f>
        <v>0.12183053003110819</v>
      </c>
      <c r="S141" s="483">
        <f>VZN!$H$47</f>
        <v>5.4575143233150936E-2</v>
      </c>
      <c r="T141" s="30"/>
      <c r="U141" s="32" t="str">
        <f t="shared" si="24"/>
        <v>USD46.9</v>
      </c>
      <c r="V141" s="28" t="str">
        <f t="shared" si="24"/>
        <v>Verizon</v>
      </c>
      <c r="Z141" s="30"/>
    </row>
    <row r="142" spans="1:26" s="5" customFormat="1">
      <c r="A142" s="25"/>
      <c r="B142" s="26"/>
      <c r="C142" s="35" t="s">
        <v>214</v>
      </c>
      <c r="D142" s="36"/>
      <c r="E142" s="36"/>
      <c r="F142" s="37"/>
      <c r="G142" s="36"/>
      <c r="H142" s="30"/>
      <c r="I142" s="484">
        <f>'US TELCO'!$D$45</f>
        <v>3.9302505739264929E-2</v>
      </c>
      <c r="J142" s="484">
        <f>'US TELCO'!$E$45</f>
        <v>4.1038330582823093E-2</v>
      </c>
      <c r="K142" s="484">
        <f>'US TELCO'!$F$45</f>
        <v>4.3684734283513924E-2</v>
      </c>
      <c r="L142" s="484">
        <f>'US TELCO'!$G$45</f>
        <v>4.5876932576331915E-2</v>
      </c>
      <c r="M142" s="484">
        <f>'US TELCO'!$H$45</f>
        <v>2.8321867991065286E-2</v>
      </c>
      <c r="N142" s="30"/>
      <c r="O142" s="484">
        <f>'US TELCO'!D$47</f>
        <v>7.8580666751669026E-2</v>
      </c>
      <c r="P142" s="484">
        <f>'US TELCO'!E$47</f>
        <v>6.5887977346688054E-2</v>
      </c>
      <c r="Q142" s="484">
        <f>'US TELCO'!F$47</f>
        <v>7.1470479590052913E-2</v>
      </c>
      <c r="R142" s="484">
        <f>'US TELCO'!G$47</f>
        <v>7.8333173222559394E-2</v>
      </c>
      <c r="S142" s="484">
        <f>'US TELCO'!$H$47</f>
        <v>-2.4379245025710983E-2</v>
      </c>
      <c r="T142" s="30"/>
      <c r="U142" s="41"/>
      <c r="V142" s="42" t="str">
        <f>V83</f>
        <v>Agg. US Telecoms</v>
      </c>
      <c r="Z142" s="30"/>
    </row>
    <row r="143" spans="1:26" s="5" customFormat="1">
      <c r="A143" s="25"/>
      <c r="B143" s="26"/>
      <c r="C143" s="32"/>
      <c r="D143" s="28"/>
      <c r="E143" s="28"/>
      <c r="F143" s="29"/>
      <c r="G143" s="28"/>
      <c r="H143" s="30"/>
      <c r="I143" s="483"/>
      <c r="J143" s="483"/>
      <c r="K143" s="483"/>
      <c r="L143" s="483"/>
      <c r="M143" s="483"/>
      <c r="N143" s="30"/>
      <c r="O143" s="483"/>
      <c r="P143" s="483"/>
      <c r="Q143" s="483"/>
      <c r="R143" s="483"/>
      <c r="S143" s="483"/>
      <c r="T143" s="30"/>
      <c r="U143" s="32"/>
      <c r="V143" s="28"/>
      <c r="Z143" s="30"/>
    </row>
    <row r="144" spans="1:26" s="5" customFormat="1">
      <c r="A144" s="25"/>
      <c r="B144" s="26"/>
      <c r="C144" s="32" t="str">
        <f>C85</f>
        <v>NTT</v>
      </c>
      <c r="D144" s="28" t="str">
        <f>D85</f>
        <v>JPY 152</v>
      </c>
      <c r="E144" s="28" t="str">
        <f>E85</f>
        <v>JPY 215</v>
      </c>
      <c r="F144" s="29">
        <f>F85</f>
        <v>0.41914191419141922</v>
      </c>
      <c r="G144" s="28" t="str">
        <f>G85</f>
        <v>Buy</v>
      </c>
      <c r="H144" s="30"/>
      <c r="I144" s="483">
        <f>NTT!$D$45</f>
        <v>3.4983498349834982E-2</v>
      </c>
      <c r="J144" s="483">
        <f>NTT!$E$45</f>
        <v>3.5643564356435647E-2</v>
      </c>
      <c r="K144" s="483">
        <f>NTT!$F$45</f>
        <v>3.6303630363036299E-2</v>
      </c>
      <c r="L144" s="483">
        <f>NTT!$G$45</f>
        <v>3.6963696369636957E-2</v>
      </c>
      <c r="M144" s="483">
        <f>NTT!$H$45</f>
        <v>-1.0897400236270505E-3</v>
      </c>
      <c r="N144" s="30"/>
      <c r="O144" s="483">
        <f>NTT!$D$47</f>
        <v>1.644258564281259E-2</v>
      </c>
      <c r="P144" s="483">
        <f>NTT!$E$47</f>
        <v>3.4483287403697625E-2</v>
      </c>
      <c r="Q144" s="483">
        <f>NTT!$F$47</f>
        <v>4.7925733693887571E-2</v>
      </c>
      <c r="R144" s="483">
        <f>NTT!$G$47</f>
        <v>6.1504455894317446E-2</v>
      </c>
      <c r="S144" s="483">
        <f>NTT!$H$47</f>
        <v>0.52242033945110022</v>
      </c>
      <c r="T144" s="30"/>
      <c r="U144" s="32" t="str">
        <f>U85</f>
        <v>JPY 152</v>
      </c>
      <c r="V144" s="28" t="str">
        <f>V85</f>
        <v>NTT</v>
      </c>
      <c r="W144" s="27"/>
      <c r="X144" s="28"/>
      <c r="Z144" s="30"/>
    </row>
    <row r="145" spans="1:26" s="5" customFormat="1">
      <c r="A145" s="25"/>
      <c r="B145" s="26"/>
      <c r="C145" s="32" t="s">
        <v>180</v>
      </c>
      <c r="D145" s="28" t="str">
        <f>D86</f>
        <v>SGD 4.63</v>
      </c>
      <c r="E145" s="28" t="str">
        <f>E86</f>
        <v>SGD 6.20</v>
      </c>
      <c r="F145" s="29">
        <f>F86</f>
        <v>0.33909287257019449</v>
      </c>
      <c r="G145" s="28" t="str">
        <f>G86</f>
        <v>Buy</v>
      </c>
      <c r="H145" s="30"/>
      <c r="I145" s="483">
        <f>SINGTEL!$D$45</f>
        <v>4.8284147798622161E-2</v>
      </c>
      <c r="J145" s="483">
        <f>SINGTEL!$E$45</f>
        <v>5.5775411360022252E-2</v>
      </c>
      <c r="K145" s="483">
        <f>SINGTEL!$F$45</f>
        <v>6.275406576537626E-2</v>
      </c>
      <c r="L145" s="483">
        <f>SINGTEL!$G$45</f>
        <v>6.4972223189371986E-2</v>
      </c>
      <c r="M145" s="483">
        <f>SINGTEL!$H$45</f>
        <v>9.3008884154504257E-2</v>
      </c>
      <c r="N145" s="30"/>
      <c r="O145" s="483">
        <f>SINGTEL!$D$47</f>
        <v>6.0220861080126824E-3</v>
      </c>
      <c r="P145" s="483">
        <f>SINGTEL!$E$47</f>
        <v>7.3500122551189854E-3</v>
      </c>
      <c r="Q145" s="483">
        <f>SINGTEL!$F$47</f>
        <v>9.2871399630001378E-3</v>
      </c>
      <c r="R145" s="483">
        <f>SINGTEL!$G$47</f>
        <v>1.0711933546940285E-2</v>
      </c>
      <c r="S145" s="483">
        <f>SINGTEL!$H$47</f>
        <v>0.17012490768043387</v>
      </c>
      <c r="T145" s="30"/>
      <c r="U145" s="32" t="str">
        <f>U86</f>
        <v>SGD 4.63</v>
      </c>
      <c r="V145" s="28" t="s">
        <v>180</v>
      </c>
      <c r="W145" s="27"/>
      <c r="X145" s="28"/>
      <c r="Z145" s="30"/>
    </row>
    <row r="146" spans="1:26" s="5" customFormat="1">
      <c r="A146" s="25"/>
      <c r="B146" s="26"/>
      <c r="C146" s="35" t="str">
        <f>C87</f>
        <v>Agg. Developed Asia Incumbent</v>
      </c>
      <c r="D146" s="42"/>
      <c r="E146" s="42"/>
      <c r="F146" s="39"/>
      <c r="G146" s="42"/>
      <c r="H146" s="40"/>
      <c r="I146" s="484">
        <f>'DM ASIA INCUMB'!$D$45</f>
        <v>4.0774126377723041E-2</v>
      </c>
      <c r="J146" s="484">
        <f>'DM ASIA INCUMB'!$E$45</f>
        <v>4.4453064318513903E-2</v>
      </c>
      <c r="K146" s="484">
        <f>'DM ASIA INCUMB'!$F$45</f>
        <v>4.7939444454721869E-2</v>
      </c>
      <c r="L146" s="484">
        <f>'DM ASIA INCUMB'!$G$45</f>
        <v>4.935264494443016E-2</v>
      </c>
      <c r="M146" s="484">
        <f>'DM ASIA INCUMB'!$H$45</f>
        <v>4.9528189905951203E-2</v>
      </c>
      <c r="N146" s="40"/>
      <c r="O146" s="484">
        <f>'DM ASIA INCUMB'!$D$47</f>
        <v>8.1651211398158213E-3</v>
      </c>
      <c r="P146" s="484">
        <f>'DM ASIA INCUMB'!$E$47</f>
        <v>1.2919113349422855E-2</v>
      </c>
      <c r="Q146" s="484">
        <f>'DM ASIA INCUMB'!$F$47</f>
        <v>1.7323712839076837E-2</v>
      </c>
      <c r="R146" s="484">
        <f>'DM ASIA INCUMB'!$G$47</f>
        <v>2.1546797727205986E-2</v>
      </c>
      <c r="S146" s="484">
        <f>'DM ASIA INCUMB'!$H$47</f>
        <v>0.3388588767916223</v>
      </c>
      <c r="T146" s="40"/>
      <c r="U146" s="35"/>
      <c r="V146" s="42" t="str">
        <f>V87</f>
        <v xml:space="preserve">Agg. Developed Asia Incumbent </v>
      </c>
      <c r="W146" s="27"/>
      <c r="X146" s="28"/>
      <c r="Z146" s="30"/>
    </row>
    <row r="147" spans="1:26" s="5" customFormat="1">
      <c r="A147" s="25"/>
      <c r="B147" s="26"/>
      <c r="C147" s="27"/>
      <c r="D147" s="34"/>
      <c r="E147" s="34"/>
      <c r="F147" s="45"/>
      <c r="G147" s="34"/>
      <c r="H147" s="40"/>
      <c r="I147" s="485"/>
      <c r="J147" s="485"/>
      <c r="K147" s="485"/>
      <c r="L147" s="485"/>
      <c r="M147" s="485"/>
      <c r="N147" s="40"/>
      <c r="O147" s="485"/>
      <c r="P147" s="485"/>
      <c r="Q147" s="485"/>
      <c r="R147" s="485"/>
      <c r="S147" s="485"/>
      <c r="T147" s="40"/>
      <c r="U147" s="27"/>
      <c r="V147" s="34"/>
      <c r="Z147" s="30"/>
    </row>
    <row r="148" spans="1:26" s="5" customFormat="1">
      <c r="A148" s="25"/>
      <c r="B148" s="26"/>
      <c r="C148" s="35" t="s">
        <v>717</v>
      </c>
      <c r="D148" s="42"/>
      <c r="E148" s="42"/>
      <c r="F148" s="39"/>
      <c r="G148" s="42"/>
      <c r="H148" s="40"/>
      <c r="I148" s="484">
        <f>'AGG DM INCUMB'!D45</f>
        <v>3.9170994187380515E-2</v>
      </c>
      <c r="J148" s="484">
        <f>'AGG DM INCUMB'!E45</f>
        <v>4.1718085462397088E-2</v>
      </c>
      <c r="K148" s="484">
        <f>'AGG DM INCUMB'!F45</f>
        <v>4.5609495137158514E-2</v>
      </c>
      <c r="L148" s="484">
        <f>'AGG DM INCUMB'!G45</f>
        <v>4.7631107326096329E-2</v>
      </c>
      <c r="M148" s="484">
        <f>'AGG DM INCUMB'!H45</f>
        <v>5.0480964712480647E-2</v>
      </c>
      <c r="N148" s="40"/>
      <c r="O148" s="484">
        <f>'AGG DM INCUMB'!D47</f>
        <v>5.3114079098192657E-2</v>
      </c>
      <c r="P148" s="484">
        <f>'AGG DM INCUMB'!E47</f>
        <v>5.2733646717000267E-2</v>
      </c>
      <c r="Q148" s="484">
        <f>'AGG DM INCUMB'!F47</f>
        <v>5.7896013791072912E-2</v>
      </c>
      <c r="R148" s="484">
        <f>'AGG DM INCUMB'!G47</f>
        <v>6.4554380743237799E-2</v>
      </c>
      <c r="S148" s="484">
        <f>'AGG DM INCUMB'!H47</f>
        <v>4.6193306549674018E-2</v>
      </c>
      <c r="T148" s="40"/>
      <c r="U148" s="35"/>
      <c r="V148" s="42" t="str">
        <f>C148</f>
        <v>Agg. DM Incumbent total</v>
      </c>
      <c r="Z148" s="30"/>
    </row>
    <row r="149" spans="1:26" s="5" customFormat="1">
      <c r="A149" s="25"/>
      <c r="B149" s="26"/>
      <c r="C149" s="25"/>
      <c r="D149" s="28"/>
      <c r="E149" s="28"/>
      <c r="F149" s="29"/>
      <c r="G149" s="28"/>
      <c r="H149" s="30"/>
      <c r="I149" s="483"/>
      <c r="J149" s="483"/>
      <c r="K149" s="483"/>
      <c r="L149" s="483"/>
      <c r="M149" s="483"/>
      <c r="N149" s="30"/>
      <c r="O149" s="483"/>
      <c r="P149" s="483"/>
      <c r="Q149" s="483"/>
      <c r="R149" s="483"/>
      <c r="S149" s="483"/>
      <c r="T149" s="30"/>
      <c r="U149" s="32"/>
      <c r="V149" s="34"/>
      <c r="Z149" s="30"/>
    </row>
    <row r="150" spans="1:26" s="5" customFormat="1">
      <c r="A150" s="25" t="s">
        <v>1091</v>
      </c>
      <c r="B150" s="26"/>
      <c r="C150" s="32" t="str">
        <f t="shared" ref="C150:G162" si="25">C91</f>
        <v>1&amp;1</v>
      </c>
      <c r="D150" s="28" t="str">
        <f t="shared" si="25"/>
        <v>EUR 23.2</v>
      </c>
      <c r="E150" s="28" t="str">
        <f t="shared" si="25"/>
        <v>EUR 10.0</v>
      </c>
      <c r="F150" s="29">
        <f t="shared" si="25"/>
        <v>-0.56803455723542107</v>
      </c>
      <c r="G150" s="28" t="str">
        <f t="shared" si="25"/>
        <v>Sell</v>
      </c>
      <c r="H150" s="30"/>
      <c r="I150" s="483">
        <f>DRI!$D$45</f>
        <v>2.1598272138228943E-3</v>
      </c>
      <c r="J150" s="483">
        <f>DRI!$E$45</f>
        <v>2.1598272138228943E-3</v>
      </c>
      <c r="K150" s="483">
        <f>DRI!$F$45</f>
        <v>2.1598272138228943E-3</v>
      </c>
      <c r="L150" s="483">
        <f>DRI!$G$45</f>
        <v>2.1598272138228943E-3</v>
      </c>
      <c r="M150" s="483">
        <f>DRI!$H$45</f>
        <v>0</v>
      </c>
      <c r="N150" s="30"/>
      <c r="O150" s="483">
        <f>DRI!$D$47</f>
        <v>1.290297273591753E-2</v>
      </c>
      <c r="P150" s="483">
        <f>DRI!$E$47</f>
        <v>-3.7081462515657117E-2</v>
      </c>
      <c r="Q150" s="483">
        <f>DRI!$F$47</f>
        <v>-2.5754561884720372E-2</v>
      </c>
      <c r="R150" s="483">
        <f>DRI!$G$47</f>
        <v>-1.3487259387470951E-2</v>
      </c>
      <c r="S150" s="483">
        <f>DRI!$H$47</f>
        <v>-2.0148720922827872</v>
      </c>
      <c r="T150" s="30"/>
      <c r="U150" s="32" t="str">
        <f t="shared" ref="U150:V152" si="26">U91</f>
        <v>EUR 23.2</v>
      </c>
      <c r="V150" s="28" t="str">
        <f t="shared" si="26"/>
        <v>1&amp;1</v>
      </c>
      <c r="Z150" s="30"/>
    </row>
    <row r="151" spans="1:26" s="5" customFormat="1">
      <c r="A151" s="25"/>
      <c r="B151" s="26"/>
      <c r="C151" s="32" t="str">
        <f t="shared" si="25"/>
        <v>Bouygues</v>
      </c>
      <c r="D151" s="28" t="str">
        <f t="shared" si="25"/>
        <v>EUR 51.8</v>
      </c>
      <c r="E151" s="28" t="str">
        <f t="shared" si="25"/>
        <v>EUR 64.0</v>
      </c>
      <c r="F151" s="29">
        <f t="shared" si="25"/>
        <v>0.23599845500193117</v>
      </c>
      <c r="G151" s="28" t="str">
        <f t="shared" si="25"/>
        <v>Buy</v>
      </c>
      <c r="H151" s="30"/>
      <c r="I151" s="483">
        <f>BOUY!$D$45</f>
        <v>4.0556199304750871E-2</v>
      </c>
      <c r="J151" s="483">
        <f>BOUY!$E$45</f>
        <v>4.2584009269988413E-2</v>
      </c>
      <c r="K151" s="483">
        <f>BOUY!$F$45</f>
        <v>4.4713209733487837E-2</v>
      </c>
      <c r="L151" s="483">
        <f>BOUY!$G$45</f>
        <v>4.6948870220162232E-2</v>
      </c>
      <c r="M151" s="483">
        <f>BOUY!$H$45</f>
        <v>5.0000000000000044E-2</v>
      </c>
      <c r="N151" s="30"/>
      <c r="O151" s="483">
        <f>BOUY!$D$47</f>
        <v>6.1761006742339065E-2</v>
      </c>
      <c r="P151" s="483">
        <f>BOUY!$E$47</f>
        <v>6.1894069927618645E-2</v>
      </c>
      <c r="Q151" s="483">
        <f>BOUY!$F$47</f>
        <v>7.1556845485843956E-2</v>
      </c>
      <c r="R151" s="483">
        <f>BOUY!$G$47</f>
        <v>8.8011400779301113E-2</v>
      </c>
      <c r="S151" s="483">
        <f>BOUY!$H$47</f>
        <v>0.12531693724734772</v>
      </c>
      <c r="T151" s="30"/>
      <c r="U151" s="32" t="str">
        <f t="shared" si="26"/>
        <v>EUR 51.8</v>
      </c>
      <c r="V151" s="28" t="str">
        <f t="shared" si="26"/>
        <v>Bouygues</v>
      </c>
      <c r="Z151" s="30"/>
    </row>
    <row r="152" spans="1:26" s="5" customFormat="1">
      <c r="A152" s="25"/>
      <c r="B152" s="26"/>
      <c r="C152" s="32" t="str">
        <f t="shared" si="25"/>
        <v>Elisa</v>
      </c>
      <c r="D152" s="28" t="str">
        <f t="shared" si="25"/>
        <v>EUR 41.9</v>
      </c>
      <c r="E152" s="28" t="str">
        <f t="shared" si="25"/>
        <v>EUR 39.0</v>
      </c>
      <c r="F152" s="29">
        <f t="shared" si="25"/>
        <v>-6.9256376181545454E-2</v>
      </c>
      <c r="G152" s="28" t="str">
        <f t="shared" si="25"/>
        <v>Neutral</v>
      </c>
      <c r="H152" s="30"/>
      <c r="I152" s="483">
        <f>ELISA!$D$45</f>
        <v>5.7306590257879653E-2</v>
      </c>
      <c r="J152" s="483">
        <f>ELISA!$E$45</f>
        <v>6.0171919770773637E-2</v>
      </c>
      <c r="K152" s="483">
        <f>ELISA!$F$45</f>
        <v>6.3180515759312328E-2</v>
      </c>
      <c r="L152" s="483">
        <f>ELISA!$G$45</f>
        <v>6.6339541547277947E-2</v>
      </c>
      <c r="M152" s="483">
        <f>ELISA!$H$45</f>
        <v>5.0000000000000044E-2</v>
      </c>
      <c r="N152" s="30"/>
      <c r="O152" s="483">
        <f>ELISA!$D$47</f>
        <v>5.1093550654357736E-2</v>
      </c>
      <c r="P152" s="483">
        <f>ELISA!$E$47</f>
        <v>5.2514121308336117E-2</v>
      </c>
      <c r="Q152" s="483">
        <f>ELISA!$F$47</f>
        <v>5.4643945849686217E-2</v>
      </c>
      <c r="R152" s="483">
        <f>ELISA!$G$47</f>
        <v>5.7313671572181361E-2</v>
      </c>
      <c r="S152" s="483">
        <f>ELISA!$H$47</f>
        <v>2.4368704636890337E-2</v>
      </c>
      <c r="T152" s="30"/>
      <c r="U152" s="32" t="str">
        <f t="shared" si="26"/>
        <v>EUR 41.9</v>
      </c>
      <c r="V152" s="28" t="str">
        <f t="shared" si="26"/>
        <v>Elisa</v>
      </c>
      <c r="Z152" s="30"/>
    </row>
    <row r="153" spans="1:26" s="5" customFormat="1">
      <c r="A153" s="25"/>
      <c r="B153" s="26"/>
      <c r="C153" s="32" t="str">
        <f t="shared" si="25"/>
        <v>Eutelsat</v>
      </c>
      <c r="D153" s="28" t="str">
        <f t="shared" si="25"/>
        <v>EUR 2.8</v>
      </c>
      <c r="E153" s="28" t="str">
        <f t="shared" si="25"/>
        <v>EUR 1.4</v>
      </c>
      <c r="F153" s="29">
        <f t="shared" si="25"/>
        <v>-0.5</v>
      </c>
      <c r="G153" s="28" t="str">
        <f t="shared" si="25"/>
        <v>Sell</v>
      </c>
      <c r="H153" s="30"/>
      <c r="I153" s="483">
        <f>ETL!$D$45</f>
        <v>0</v>
      </c>
      <c r="J153" s="483">
        <f>ETL!$E$45</f>
        <v>0</v>
      </c>
      <c r="K153" s="483">
        <f>ETL!$F$45</f>
        <v>0</v>
      </c>
      <c r="L153" s="483">
        <f>ETL!$G$45</f>
        <v>0</v>
      </c>
      <c r="M153" s="483" t="str">
        <f>ETL!$H$45</f>
        <v>nm</v>
      </c>
      <c r="N153" s="30"/>
      <c r="O153" s="483">
        <f>ETL!$D$47</f>
        <v>-0.15250723576020336</v>
      </c>
      <c r="P153" s="483">
        <f>ETL!$E$47</f>
        <v>-0.11267775605925195</v>
      </c>
      <c r="Q153" s="483">
        <f>ETL!$F$47</f>
        <v>-0.17531669261333421</v>
      </c>
      <c r="R153" s="483">
        <f>ETL!$G$47</f>
        <v>-7.7953647792294162E-2</v>
      </c>
      <c r="S153" s="483">
        <f>ETL!$H$47</f>
        <v>-0.20044440921374029</v>
      </c>
      <c r="T153" s="30"/>
      <c r="U153" s="32" t="str">
        <f t="shared" ref="U153:U162" si="27">U94</f>
        <v>EUR 2.8</v>
      </c>
      <c r="V153" s="28" t="s">
        <v>1283</v>
      </c>
      <c r="Z153" s="30"/>
    </row>
    <row r="154" spans="1:26" s="5" customFormat="1">
      <c r="A154" s="25"/>
      <c r="B154" s="26"/>
      <c r="C154" s="32" t="str">
        <f t="shared" si="25"/>
        <v>Liberty Global (prop.)</v>
      </c>
      <c r="D154" s="28" t="str">
        <f t="shared" si="25"/>
        <v>USD 12.0</v>
      </c>
      <c r="E154" s="28" t="str">
        <f t="shared" si="25"/>
        <v>USD 12.5</v>
      </c>
      <c r="F154" s="29">
        <f t="shared" si="25"/>
        <v>4.4277360066833804E-2</v>
      </c>
      <c r="G154" s="28" t="str">
        <f t="shared" si="25"/>
        <v>Neutral</v>
      </c>
      <c r="H154" s="30"/>
      <c r="I154" s="483">
        <f>LBTY!$D$45</f>
        <v>0</v>
      </c>
      <c r="J154" s="483">
        <f>LBTY!$E$45</f>
        <v>0</v>
      </c>
      <c r="K154" s="483">
        <f>LBTY!$F$45</f>
        <v>0</v>
      </c>
      <c r="L154" s="483">
        <f>LBTY!$G$45</f>
        <v>0</v>
      </c>
      <c r="M154" s="483" t="str">
        <f>LBTY!$H$45</f>
        <v>nm</v>
      </c>
      <c r="N154" s="30"/>
      <c r="O154" s="483">
        <f>LBTY!$D$47</f>
        <v>7.4323886090179999E-3</v>
      </c>
      <c r="P154" s="483">
        <f>LBTY!$E$47</f>
        <v>1.6416266298916408E-2</v>
      </c>
      <c r="Q154" s="483">
        <f>LBTY!$F$47</f>
        <v>1.5589190530513794E-2</v>
      </c>
      <c r="R154" s="483">
        <f>LBTY!$G$47</f>
        <v>2.7163837814540258E-3</v>
      </c>
      <c r="S154" s="483">
        <f>LBTY!$H$47</f>
        <v>-0.27021872477910835</v>
      </c>
      <c r="T154" s="30"/>
      <c r="U154" s="32" t="str">
        <f t="shared" si="27"/>
        <v>USD 12.0</v>
      </c>
      <c r="V154" s="28" t="str">
        <f t="shared" ref="V154:V162" si="28">V95</f>
        <v>Liberty Global</v>
      </c>
      <c r="Z154" s="30"/>
    </row>
    <row r="155" spans="1:26" s="5" customFormat="1">
      <c r="A155" s="25"/>
      <c r="B155" s="26"/>
      <c r="C155" s="32" t="str">
        <f t="shared" si="25"/>
        <v>NOS</v>
      </c>
      <c r="D155" s="28" t="str">
        <f t="shared" si="25"/>
        <v>EUR 5.65</v>
      </c>
      <c r="E155" s="28" t="str">
        <f t="shared" si="25"/>
        <v>EUR 5.50</v>
      </c>
      <c r="F155" s="29">
        <f t="shared" si="25"/>
        <v>-2.6548672566371723E-2</v>
      </c>
      <c r="G155" s="28" t="str">
        <f t="shared" si="25"/>
        <v>Neutral</v>
      </c>
      <c r="H155" s="30"/>
      <c r="I155" s="483">
        <f>NOS!$D$45</f>
        <v>6.1946902654867256E-2</v>
      </c>
      <c r="J155" s="483">
        <f>NOS!$E$45</f>
        <v>6.1946902654867256E-2</v>
      </c>
      <c r="K155" s="483">
        <f>NOS!$F$45</f>
        <v>5.7610619469026535E-2</v>
      </c>
      <c r="L155" s="483">
        <f>NOS!$G$45</f>
        <v>5.184955752212389E-2</v>
      </c>
      <c r="M155" s="483">
        <f>NOS!$H$45</f>
        <v>-5.7585804282582087E-2</v>
      </c>
      <c r="N155" s="30"/>
      <c r="O155" s="483">
        <f>NOS!$D$47</f>
        <v>5.4560496701944995E-2</v>
      </c>
      <c r="P155" s="483">
        <f>NOS!$E$47</f>
        <v>7.8300193094312756E-2</v>
      </c>
      <c r="Q155" s="483">
        <f>NOS!$F$47</f>
        <v>6.804885842975035E-2</v>
      </c>
      <c r="R155" s="483">
        <f>NOS!$G$47</f>
        <v>5.6038778658208548E-2</v>
      </c>
      <c r="S155" s="483">
        <f>NOS!$H$47</f>
        <v>-1.7304654137962228E-2</v>
      </c>
      <c r="T155" s="30"/>
      <c r="U155" s="32" t="str">
        <f t="shared" si="27"/>
        <v>EUR 5.65</v>
      </c>
      <c r="V155" s="28" t="str">
        <f t="shared" si="28"/>
        <v>NOS</v>
      </c>
      <c r="Z155" s="30"/>
    </row>
    <row r="156" spans="1:26" s="5" customFormat="1">
      <c r="A156" s="112"/>
      <c r="B156" s="26"/>
      <c r="C156" s="32" t="str">
        <f t="shared" si="25"/>
        <v>Orange Belgium</v>
      </c>
      <c r="D156" s="28" t="str">
        <f t="shared" si="25"/>
        <v>EUR 21.0</v>
      </c>
      <c r="E156" s="28" t="str">
        <f t="shared" si="25"/>
        <v>EUR 21.1</v>
      </c>
      <c r="F156" s="29">
        <f t="shared" si="25"/>
        <v>5.150744566468024E-3</v>
      </c>
      <c r="G156" s="28" t="str">
        <f t="shared" si="25"/>
        <v>Neutral</v>
      </c>
      <c r="H156" s="30"/>
      <c r="I156" s="483">
        <f>OBEL!$D$45</f>
        <v>0</v>
      </c>
      <c r="J156" s="483">
        <f>OBEL!$E$45</f>
        <v>0</v>
      </c>
      <c r="K156" s="483">
        <f>OBEL!$F$45</f>
        <v>0</v>
      </c>
      <c r="L156" s="483">
        <f>OBEL!$G$45</f>
        <v>7.1428571428571438E-2</v>
      </c>
      <c r="M156" s="483" t="str">
        <f>OBEL!$H$45</f>
        <v>nm</v>
      </c>
      <c r="N156" s="30"/>
      <c r="O156" s="483">
        <f>OBEL!$D$47</f>
        <v>3.5423662810956116E-2</v>
      </c>
      <c r="P156" s="483">
        <f>OBEL!$E$47</f>
        <v>6.3027838819846457E-2</v>
      </c>
      <c r="Q156" s="483">
        <f>OBEL!$F$47</f>
        <v>6.2858570095073563E-2</v>
      </c>
      <c r="R156" s="483">
        <f>OBEL!$G$47</f>
        <v>4.7799592599317882E-2</v>
      </c>
      <c r="S156" s="483">
        <f>OBEL!$H$47</f>
        <v>1.3632301201466301E-2</v>
      </c>
      <c r="T156" s="30"/>
      <c r="U156" s="32" t="str">
        <f t="shared" si="27"/>
        <v>EUR 21.0</v>
      </c>
      <c r="V156" s="28" t="str">
        <f t="shared" si="28"/>
        <v>Orange Belgium</v>
      </c>
      <c r="Z156" s="30"/>
    </row>
    <row r="157" spans="1:26" s="5" customFormat="1">
      <c r="A157" s="112"/>
      <c r="B157" s="26"/>
      <c r="C157" s="32" t="str">
        <f t="shared" si="25"/>
        <v>SES</v>
      </c>
      <c r="D157" s="28" t="str">
        <f t="shared" si="25"/>
        <v>EUR 6.6</v>
      </c>
      <c r="E157" s="28" t="str">
        <f t="shared" si="25"/>
        <v>EUR 6.0</v>
      </c>
      <c r="F157" s="404">
        <f t="shared" si="25"/>
        <v>-9.297052154195018E-2</v>
      </c>
      <c r="G157" s="28" t="str">
        <f t="shared" si="25"/>
        <v>Neutral</v>
      </c>
      <c r="H157" s="30"/>
      <c r="I157" s="529">
        <f>SES!$D$45</f>
        <v>7.5585789871504161E-2</v>
      </c>
      <c r="J157" s="529">
        <f>SES!$E$45</f>
        <v>7.5585789871504161E-2</v>
      </c>
      <c r="K157" s="529">
        <f>SES!$F$45</f>
        <v>7.5585789871504161E-2</v>
      </c>
      <c r="L157" s="529">
        <f>SES!$G$45</f>
        <v>7.5585789871504161E-2</v>
      </c>
      <c r="M157" s="529">
        <f>SES!$H$45</f>
        <v>0</v>
      </c>
      <c r="N157" s="30"/>
      <c r="O157" s="529">
        <f>SES!$D$47</f>
        <v>0.1269356649242161</v>
      </c>
      <c r="P157" s="529">
        <f>SES!$E$47</f>
        <v>0.10040308091114408</v>
      </c>
      <c r="Q157" s="529">
        <f>SES!$F$47</f>
        <v>7.0067073444684796E-2</v>
      </c>
      <c r="R157" s="529">
        <f>SES!$G$47</f>
        <v>-6.6322782012602E-2</v>
      </c>
      <c r="S157" s="529">
        <f>SES!$H$47</f>
        <v>-1.8054273215793524</v>
      </c>
      <c r="T157" s="30"/>
      <c r="U157" s="32" t="str">
        <f t="shared" si="27"/>
        <v>EUR 6.6</v>
      </c>
      <c r="V157" s="28" t="str">
        <f t="shared" si="28"/>
        <v>SES</v>
      </c>
      <c r="Z157" s="30"/>
    </row>
    <row r="158" spans="1:26" s="5" customFormat="1">
      <c r="A158" s="112"/>
      <c r="B158" s="26"/>
      <c r="C158" s="32" t="str">
        <f t="shared" si="25"/>
        <v>Sunrise</v>
      </c>
      <c r="D158" s="28" t="str">
        <f t="shared" si="25"/>
        <v>CHF46.1</v>
      </c>
      <c r="E158" s="28" t="str">
        <f t="shared" si="25"/>
        <v>CHF38.7</v>
      </c>
      <c r="F158" s="29">
        <f t="shared" si="25"/>
        <v>-0.15959504533103386</v>
      </c>
      <c r="G158" s="28" t="str">
        <f t="shared" si="25"/>
        <v>Sell</v>
      </c>
      <c r="H158" s="30"/>
      <c r="I158" s="483">
        <f>SUNN!$D$45</f>
        <v>7.1629580873982662E-2</v>
      </c>
      <c r="J158" s="483">
        <f>SUNN!$E$45</f>
        <v>7.4340087094890248E-2</v>
      </c>
      <c r="K158" s="483">
        <f>SUNN!$F$45</f>
        <v>7.569584541055524E-2</v>
      </c>
      <c r="L158" s="483">
        <f>SUNN!$G$45</f>
        <v>7.6798089779668635E-2</v>
      </c>
      <c r="M158" s="483">
        <f>SUNN!$H$45</f>
        <v>2.9280019670324453E-2</v>
      </c>
      <c r="N158" s="30"/>
      <c r="O158" s="483">
        <f>SUNN!$D$47</f>
        <v>8.9925803102078747E-2</v>
      </c>
      <c r="P158" s="483">
        <f>SUNN!$E$47</f>
        <v>9.9949776386581174E-2</v>
      </c>
      <c r="Q158" s="483">
        <f>SUNN!$F$47</f>
        <v>9.6248801760037736E-2</v>
      </c>
      <c r="R158" s="483">
        <f>SUNN!$G$47</f>
        <v>9.2678069770945892E-2</v>
      </c>
      <c r="S158" s="483">
        <f>SUNN!$H$47</f>
        <v>2.7236624593636183E-3</v>
      </c>
      <c r="T158" s="30"/>
      <c r="U158" s="32" t="str">
        <f t="shared" si="27"/>
        <v>CHF46.1</v>
      </c>
      <c r="V158" s="28" t="str">
        <f t="shared" si="28"/>
        <v>Sunrise</v>
      </c>
      <c r="Z158" s="30"/>
    </row>
    <row r="159" spans="1:26" s="5" customFormat="1">
      <c r="A159" s="112"/>
      <c r="B159" s="26"/>
      <c r="C159" s="32" t="str">
        <f t="shared" si="25"/>
        <v>Tele2</v>
      </c>
      <c r="D159" s="28" t="str">
        <f t="shared" si="25"/>
        <v>SEK 189.7</v>
      </c>
      <c r="E159" s="28" t="str">
        <f t="shared" si="25"/>
        <v>SEK 170.0</v>
      </c>
      <c r="F159" s="29">
        <f t="shared" si="25"/>
        <v>-0.10361191668863701</v>
      </c>
      <c r="G159" s="28" t="str">
        <f t="shared" si="25"/>
        <v>Neutral</v>
      </c>
      <c r="H159" s="30"/>
      <c r="I159" s="483">
        <f>TELE2!$D$45</f>
        <v>5.4640633935933422E-2</v>
      </c>
      <c r="J159" s="483">
        <f>TELE2!$E$45</f>
        <v>5.5733446614652092E-2</v>
      </c>
      <c r="K159" s="483">
        <f>TELE2!$F$45</f>
        <v>5.6848115546945133E-2</v>
      </c>
      <c r="L159" s="483">
        <f>TELE2!$G$45</f>
        <v>5.7985077857884038E-2</v>
      </c>
      <c r="M159" s="483">
        <f>TELE2!$H$45</f>
        <v>2.0000000000000018E-2</v>
      </c>
      <c r="N159" s="30"/>
      <c r="O159" s="483">
        <f>TELE2!$D$47</f>
        <v>4.5336889912769386E-2</v>
      </c>
      <c r="P159" s="483">
        <f>TELE2!$E$47</f>
        <v>4.8254773724532241E-2</v>
      </c>
      <c r="Q159" s="483">
        <f>TELE2!$F$47</f>
        <v>5.1561374988263887E-2</v>
      </c>
      <c r="R159" s="483">
        <f>TELE2!$G$47</f>
        <v>5.3143983935476993E-2</v>
      </c>
      <c r="S159" s="483">
        <f>TELE2!$H$47</f>
        <v>3.8457198246544477E-2</v>
      </c>
      <c r="T159" s="30"/>
      <c r="U159" s="32" t="str">
        <f t="shared" si="27"/>
        <v>SEK 189.7</v>
      </c>
      <c r="V159" s="28" t="str">
        <f t="shared" si="28"/>
        <v>Tele2</v>
      </c>
      <c r="Z159" s="30"/>
    </row>
    <row r="160" spans="1:26" s="5" customFormat="1">
      <c r="A160" s="25"/>
      <c r="B160" s="26"/>
      <c r="C160" s="32" t="str">
        <f t="shared" si="25"/>
        <v>United Internet</v>
      </c>
      <c r="D160" s="28" t="str">
        <f t="shared" si="25"/>
        <v>EUR 26.7</v>
      </c>
      <c r="E160" s="28" t="str">
        <f t="shared" si="25"/>
        <v>EUR 33.0</v>
      </c>
      <c r="F160" s="29">
        <f t="shared" si="25"/>
        <v>0.23688155922038989</v>
      </c>
      <c r="G160" s="28" t="str">
        <f t="shared" si="25"/>
        <v>Neutral</v>
      </c>
      <c r="H160" s="30"/>
      <c r="I160" s="483">
        <f>UTDI!$D$45</f>
        <v>1.4992503748125939E-2</v>
      </c>
      <c r="J160" s="483">
        <f>UTDI!$E$45</f>
        <v>1.4992503748125939E-2</v>
      </c>
      <c r="K160" s="483">
        <f>UTDI!$F$45</f>
        <v>1.4992503748125939E-2</v>
      </c>
      <c r="L160" s="483">
        <f>UTDI!$G$45</f>
        <v>1.4992503748125939E-2</v>
      </c>
      <c r="M160" s="483">
        <f>UTDI!$H$45</f>
        <v>0</v>
      </c>
      <c r="N160" s="30"/>
      <c r="O160" s="483">
        <f>UTDI!$D$47</f>
        <v>8.6203466867717498E-3</v>
      </c>
      <c r="P160" s="483">
        <f>UTDI!$E$47</f>
        <v>4.6038149450002945E-2</v>
      </c>
      <c r="Q160" s="483">
        <f>UTDI!$F$47</f>
        <v>5.5750234044178386E-2</v>
      </c>
      <c r="R160" s="483">
        <f>UTDI!$G$47</f>
        <v>7.3185410957999006E-2</v>
      </c>
      <c r="S160" s="483">
        <f>UTDI!$H$47</f>
        <v>1.0400145322861252</v>
      </c>
      <c r="T160" s="30"/>
      <c r="U160" s="32" t="str">
        <f t="shared" si="27"/>
        <v>EUR 26.7</v>
      </c>
      <c r="V160" s="28" t="str">
        <f t="shared" si="28"/>
        <v>United Internet</v>
      </c>
      <c r="Z160" s="30"/>
    </row>
    <row r="161" spans="1:28" s="5" customFormat="1">
      <c r="A161" s="112"/>
      <c r="B161" s="26"/>
      <c r="C161" s="32" t="str">
        <f t="shared" si="25"/>
        <v>Vodafone</v>
      </c>
      <c r="D161" s="28" t="str">
        <f t="shared" si="25"/>
        <v>GBP 1.16</v>
      </c>
      <c r="E161" s="28" t="str">
        <f t="shared" si="25"/>
        <v>GBP 1.30</v>
      </c>
      <c r="F161" s="29">
        <f t="shared" si="25"/>
        <v>0.12117291936179386</v>
      </c>
      <c r="G161" s="28" t="str">
        <f t="shared" si="25"/>
        <v>Buy</v>
      </c>
      <c r="H161" s="30"/>
      <c r="I161" s="483">
        <f>VOD!$D$45</f>
        <v>3.43728830530401E-2</v>
      </c>
      <c r="J161" s="483">
        <f>VOD!$E$45</f>
        <v>3.5027312111254851E-2</v>
      </c>
      <c r="K161" s="483">
        <f>VOD!$F$45</f>
        <v>3.5727858353479948E-2</v>
      </c>
      <c r="L161" s="483">
        <f>VOD!$G$45</f>
        <v>3.6442415520549554E-2</v>
      </c>
      <c r="M161" s="483">
        <f>VOD!$H$45</f>
        <v>1.7654293856629977E-2</v>
      </c>
      <c r="N161" s="30"/>
      <c r="O161" s="483">
        <f>VOD!$D$47</f>
        <v>3.9652291392060272E-2</v>
      </c>
      <c r="P161" s="483">
        <f>VOD!$E$47</f>
        <v>4.7250972729150895E-2</v>
      </c>
      <c r="Q161" s="483">
        <f>VOD!$F$47</f>
        <v>6.0217420246985121E-2</v>
      </c>
      <c r="R161" s="483">
        <f>VOD!$G$47</f>
        <v>7.781928780551893E-2</v>
      </c>
      <c r="S161" s="483">
        <f>VOD!$H$47</f>
        <v>0.24951898350140156</v>
      </c>
      <c r="T161" s="30"/>
      <c r="U161" s="32" t="str">
        <f t="shared" si="27"/>
        <v>GBP 1.16</v>
      </c>
      <c r="V161" s="28" t="str">
        <f t="shared" si="28"/>
        <v>Vodafone</v>
      </c>
      <c r="Z161" s="30"/>
    </row>
    <row r="162" spans="1:28" s="5" customFormat="1">
      <c r="A162" s="112"/>
      <c r="B162" s="26"/>
      <c r="C162" s="32" t="str">
        <f t="shared" si="25"/>
        <v>Zegona</v>
      </c>
      <c r="D162" s="28" t="str">
        <f t="shared" si="25"/>
        <v>GBP 17.92</v>
      </c>
      <c r="E162" s="28" t="str">
        <f t="shared" si="25"/>
        <v>GBP 14.75</v>
      </c>
      <c r="F162" s="29">
        <f t="shared" si="25"/>
        <v>-0.17689732142857151</v>
      </c>
      <c r="G162" s="28" t="str">
        <f t="shared" si="25"/>
        <v>Neutral</v>
      </c>
      <c r="H162" s="30"/>
      <c r="I162" s="483">
        <f>ZEG!$D$45</f>
        <v>2.4184610979913226E-2</v>
      </c>
      <c r="J162" s="483">
        <f>ZEG!$E$45</f>
        <v>2.9021533175895873E-2</v>
      </c>
      <c r="K162" s="483">
        <f>ZEG!$F$45</f>
        <v>3.0472609834690668E-2</v>
      </c>
      <c r="L162" s="483">
        <f>ZEG!$G$45</f>
        <v>3.9614392785097867E-2</v>
      </c>
      <c r="M162" s="483">
        <f>ZEG!$H$45</f>
        <v>0.17879413343610695</v>
      </c>
      <c r="N162" s="30"/>
      <c r="O162" s="483">
        <f>ZEG!$D$47</f>
        <v>7.5879187039107038E-2</v>
      </c>
      <c r="P162" s="483">
        <f>ZEG!$E$47</f>
        <v>7.4750162394262867E-2</v>
      </c>
      <c r="Q162" s="483">
        <f>ZEG!$F$47</f>
        <v>7.8646467695892411E-2</v>
      </c>
      <c r="R162" s="483">
        <f>ZEG!$G$47</f>
        <v>7.5569380088390259E-2</v>
      </c>
      <c r="S162" s="483">
        <f>ZEG!$H$47</f>
        <v>-1.3628223078780977E-3</v>
      </c>
      <c r="T162" s="30"/>
      <c r="U162" s="32" t="str">
        <f t="shared" si="27"/>
        <v>GBP 17.92</v>
      </c>
      <c r="V162" s="28" t="str">
        <f t="shared" si="28"/>
        <v>Zegona</v>
      </c>
      <c r="Z162" s="30"/>
    </row>
    <row r="163" spans="1:28" s="5" customFormat="1">
      <c r="A163" s="112"/>
      <c r="B163" s="26"/>
      <c r="C163" s="35" t="str">
        <f>C104</f>
        <v>Agg. W. Europe Other</v>
      </c>
      <c r="D163" s="36"/>
      <c r="E163" s="36"/>
      <c r="F163" s="37"/>
      <c r="G163" s="36"/>
      <c r="H163" s="30"/>
      <c r="I163" s="484">
        <f>'W.EUR OTHER'!$D$45</f>
        <v>3.8590223701861853E-2</v>
      </c>
      <c r="J163" s="484">
        <f>'W.EUR OTHER'!$E$45</f>
        <v>3.991085519827961E-2</v>
      </c>
      <c r="K163" s="484">
        <f>'W.EUR OTHER'!$F$45</f>
        <v>4.0904800170073315E-2</v>
      </c>
      <c r="L163" s="484">
        <f>'W.EUR OTHER'!$G$45</f>
        <v>4.3230152986554353E-2</v>
      </c>
      <c r="M163" s="484">
        <f>'W.EUR OTHER'!$H$45</f>
        <v>3.8610043639548675E-2</v>
      </c>
      <c r="N163" s="40"/>
      <c r="O163" s="484">
        <f>'W.EUR OTHER'!$D$47</f>
        <v>4.8783814997563159E-2</v>
      </c>
      <c r="P163" s="484">
        <f>'W.EUR OTHER'!$E$47</f>
        <v>5.6728872810737699E-2</v>
      </c>
      <c r="Q163" s="484">
        <f>'W.EUR OTHER'!$F$47</f>
        <v>6.0988354301615699E-2</v>
      </c>
      <c r="R163" s="484">
        <f>'W.EUR OTHER'!$G$47</f>
        <v>7.0093986646525455E-2</v>
      </c>
      <c r="S163" s="484">
        <f>'W.EUR OTHER'!$H$47</f>
        <v>0.12188256435252187</v>
      </c>
      <c r="T163" s="30"/>
      <c r="U163" s="41"/>
      <c r="V163" s="42" t="str">
        <f>C163</f>
        <v>Agg. W. Europe Other</v>
      </c>
      <c r="Z163" s="30"/>
    </row>
    <row r="164" spans="1:28" s="5" customFormat="1">
      <c r="A164" s="112"/>
      <c r="B164" s="26"/>
      <c r="C164" s="32"/>
      <c r="D164" s="28"/>
      <c r="E164" s="28"/>
      <c r="F164" s="29"/>
      <c r="G164" s="28"/>
      <c r="H164" s="30"/>
      <c r="I164" s="483"/>
      <c r="J164" s="483"/>
      <c r="K164" s="483"/>
      <c r="L164" s="483"/>
      <c r="M164" s="483"/>
      <c r="N164" s="30"/>
      <c r="O164" s="483"/>
      <c r="P164" s="483"/>
      <c r="Q164" s="483"/>
      <c r="R164" s="483"/>
      <c r="S164" s="483"/>
      <c r="T164" s="30"/>
      <c r="U164" s="32"/>
      <c r="V164" s="28"/>
      <c r="Z164" s="30"/>
    </row>
    <row r="165" spans="1:28" s="5" customFormat="1">
      <c r="A165" s="112"/>
      <c r="B165" s="26"/>
      <c r="C165" s="32" t="str">
        <f t="shared" ref="C165:G167" si="29">C106</f>
        <v>KDDI</v>
      </c>
      <c r="D165" s="28" t="str">
        <f t="shared" si="29"/>
        <v>JPY 2,565</v>
      </c>
      <c r="E165" s="28" t="str">
        <f t="shared" si="29"/>
        <v>JPY 3,150</v>
      </c>
      <c r="F165" s="29">
        <f t="shared" si="29"/>
        <v>0.22807017543859653</v>
      </c>
      <c r="G165" s="28" t="str">
        <f t="shared" si="29"/>
        <v>Buy</v>
      </c>
      <c r="H165" s="30"/>
      <c r="I165" s="483">
        <f>KDDI!$D$45</f>
        <v>3.1189083820662773E-2</v>
      </c>
      <c r="J165" s="483">
        <f>KDDI!$E$45</f>
        <v>3.3138401559454196E-2</v>
      </c>
      <c r="K165" s="483">
        <f>KDDI!$F$45</f>
        <v>3.5087719298245619E-2</v>
      </c>
      <c r="L165" s="483">
        <f>KDDI!$G$45</f>
        <v>3.7037037037037042E-2</v>
      </c>
      <c r="M165" s="483">
        <f>KDDI!$H$45</f>
        <v>2.7045890929571659E-2</v>
      </c>
      <c r="N165" s="30"/>
      <c r="O165" s="483">
        <f>KDDI!$D$47</f>
        <v>6.674547064442668E-2</v>
      </c>
      <c r="P165" s="483">
        <f>KDDI!$E$47</f>
        <v>7.8176067814746591E-2</v>
      </c>
      <c r="Q165" s="483">
        <f>KDDI!$F$47</f>
        <v>8.6305866344792606E-2</v>
      </c>
      <c r="R165" s="483">
        <f>KDDI!$G$47</f>
        <v>9.4860387752645173E-2</v>
      </c>
      <c r="S165" s="483">
        <f>KDDI!$H$47</f>
        <v>9.043473003779301E-2</v>
      </c>
      <c r="T165" s="30"/>
      <c r="U165" s="32" t="str">
        <f t="shared" ref="U165:V167" si="30">U106</f>
        <v>JPY 2,565</v>
      </c>
      <c r="V165" s="28" t="str">
        <f t="shared" si="30"/>
        <v>KDDI</v>
      </c>
      <c r="Z165" s="30"/>
      <c r="AB165" s="47"/>
    </row>
    <row r="166" spans="1:28" s="5" customFormat="1">
      <c r="A166" s="112"/>
      <c r="B166" s="26"/>
      <c r="C166" s="32" t="str">
        <f t="shared" si="29"/>
        <v>Rakuten</v>
      </c>
      <c r="D166" s="28" t="str">
        <f t="shared" si="29"/>
        <v>JPY 775</v>
      </c>
      <c r="E166" s="28" t="str">
        <f t="shared" si="29"/>
        <v>JPY 510</v>
      </c>
      <c r="F166" s="29">
        <f t="shared" si="29"/>
        <v>-0.3421901199535663</v>
      </c>
      <c r="G166" s="28" t="str">
        <f t="shared" si="29"/>
        <v>Reduce</v>
      </c>
      <c r="H166" s="30"/>
      <c r="I166" s="483">
        <f>RAK!$D$45</f>
        <v>0</v>
      </c>
      <c r="J166" s="483">
        <f>RAK!$E$45</f>
        <v>0</v>
      </c>
      <c r="K166" s="483">
        <f>RAK!$F$45</f>
        <v>0</v>
      </c>
      <c r="L166" s="483">
        <f>RAK!$G$45</f>
        <v>0</v>
      </c>
      <c r="M166" s="483" t="str">
        <f>RAK!$H$45</f>
        <v>nm</v>
      </c>
      <c r="N166" s="30"/>
      <c r="O166" s="483">
        <f>RAK!$D$47</f>
        <v>-4.1887521978900251E-3</v>
      </c>
      <c r="P166" s="483">
        <f>RAK!$E$47</f>
        <v>4.0619764509175683E-2</v>
      </c>
      <c r="Q166" s="483">
        <f>RAK!$F$47</f>
        <v>0.11125233499059536</v>
      </c>
      <c r="R166" s="483">
        <f>RAK!$G$47</f>
        <v>0.15029584039387706</v>
      </c>
      <c r="S166" s="483">
        <f>RAK!$H$47</f>
        <v>-4.2982793126587557</v>
      </c>
      <c r="T166" s="30"/>
      <c r="U166" s="32" t="str">
        <f t="shared" si="30"/>
        <v>JPY 775</v>
      </c>
      <c r="V166" s="28" t="str">
        <f t="shared" si="30"/>
        <v>Rakuten</v>
      </c>
      <c r="Z166" s="30"/>
    </row>
    <row r="167" spans="1:28" s="5" customFormat="1">
      <c r="A167" s="112"/>
      <c r="B167" s="26"/>
      <c r="C167" s="32" t="str">
        <f t="shared" si="29"/>
        <v>SoftBank KK (Corp)</v>
      </c>
      <c r="D167" s="28" t="str">
        <f t="shared" si="29"/>
        <v>JPY 220</v>
      </c>
      <c r="E167" s="28" t="str">
        <f t="shared" si="29"/>
        <v>JPY 270</v>
      </c>
      <c r="F167" s="29">
        <f t="shared" si="29"/>
        <v>0.22615803814713908</v>
      </c>
      <c r="G167" s="28" t="str">
        <f t="shared" si="29"/>
        <v>Buy</v>
      </c>
      <c r="H167" s="30"/>
      <c r="I167" s="483">
        <f>SBKK!$D$45</f>
        <v>3.9055404178019983E-2</v>
      </c>
      <c r="J167" s="483">
        <f>SBKK!$E$45</f>
        <v>3.9055404178019983E-2</v>
      </c>
      <c r="K167" s="483">
        <f>SBKK!$F$45</f>
        <v>3.905540417801999E-2</v>
      </c>
      <c r="L167" s="483">
        <f>SBKK!$G$45</f>
        <v>3.9055404178019983E-2</v>
      </c>
      <c r="M167" s="483">
        <f>SBKK!$H$45</f>
        <v>-1.0797071545027737E-2</v>
      </c>
      <c r="N167" s="30"/>
      <c r="O167" s="483">
        <f>SBKK!$D$47</f>
        <v>5.5550137606243818E-2</v>
      </c>
      <c r="P167" s="483">
        <f>SBKK!$E$47</f>
        <v>5.9220176485450061E-2</v>
      </c>
      <c r="Q167" s="483">
        <f>SBKK!$F$47</f>
        <v>6.5399261845311821E-2</v>
      </c>
      <c r="R167" s="483">
        <f>SBKK!$G$47</f>
        <v>7.2961104073827124E-2</v>
      </c>
      <c r="S167" s="483">
        <f>SBKK!$H$47</f>
        <v>8.3313477186794049E-2</v>
      </c>
      <c r="T167" s="30"/>
      <c r="U167" s="32" t="str">
        <f t="shared" si="30"/>
        <v>JPY 220</v>
      </c>
      <c r="V167" s="28" t="str">
        <f t="shared" si="30"/>
        <v>SoftBank KK (Corp)</v>
      </c>
      <c r="Z167" s="30"/>
    </row>
    <row r="168" spans="1:28" s="5" customFormat="1">
      <c r="A168" s="112"/>
      <c r="B168" s="26"/>
      <c r="C168" s="35" t="str">
        <f>C109</f>
        <v>Agg. Developed Asia Other</v>
      </c>
      <c r="D168" s="36"/>
      <c r="E168" s="36"/>
      <c r="F168" s="37"/>
      <c r="G168" s="36"/>
      <c r="H168" s="30"/>
      <c r="I168" s="484">
        <f>'DM ASIA OTHER'!$D$45</f>
        <v>3.252333785894105E-2</v>
      </c>
      <c r="J168" s="484">
        <f>'DM ASIA OTHER'!$E$45</f>
        <v>3.3372241771724868E-2</v>
      </c>
      <c r="K168" s="484">
        <f>'DM ASIA OTHER'!$F$45</f>
        <v>3.4200115594403613E-2</v>
      </c>
      <c r="L168" s="484">
        <f>'DM ASIA OTHER'!$G$45</f>
        <v>3.5005745858320655E-2</v>
      </c>
      <c r="M168" s="484">
        <f>'DM ASIA OTHER'!$H$45</f>
        <v>5.8356605957814445E-3</v>
      </c>
      <c r="N168" s="40"/>
      <c r="O168" s="484">
        <f>'DM ASIA OTHER'!$D$47</f>
        <v>0.11020008076001341</v>
      </c>
      <c r="P168" s="484">
        <f>'DM ASIA OTHER'!$E$47</f>
        <v>0.13145404301007019</v>
      </c>
      <c r="Q168" s="484">
        <f>'DM ASIA OTHER'!$F$47</f>
        <v>0.15687725150682677</v>
      </c>
      <c r="R168" s="484">
        <f>'DM ASIA OTHER'!$G$47</f>
        <v>0.17973711598372802</v>
      </c>
      <c r="S168" s="484">
        <f>'DM ASIA OTHER'!$H$47</f>
        <v>0.14434780190902963</v>
      </c>
      <c r="T168" s="30"/>
      <c r="U168" s="41"/>
      <c r="V168" s="42" t="str">
        <f>V109</f>
        <v>Agg. Developed Asia Cellular</v>
      </c>
      <c r="Z168" s="30"/>
    </row>
    <row r="169" spans="1:28" s="5" customFormat="1">
      <c r="A169" s="25"/>
      <c r="B169" s="26"/>
      <c r="C169" s="32"/>
      <c r="D169" s="28"/>
      <c r="E169" s="28"/>
      <c r="F169" s="29"/>
      <c r="G169" s="28"/>
      <c r="H169" s="30"/>
      <c r="I169" s="483"/>
      <c r="J169" s="483"/>
      <c r="K169" s="483"/>
      <c r="L169" s="483"/>
      <c r="M169" s="483"/>
      <c r="N169" s="30"/>
      <c r="O169" s="483"/>
      <c r="P169" s="483"/>
      <c r="Q169" s="483"/>
      <c r="R169" s="483"/>
      <c r="S169" s="483"/>
      <c r="T169" s="30"/>
      <c r="U169" s="32"/>
      <c r="V169" s="28"/>
      <c r="Z169" s="30"/>
    </row>
    <row r="170" spans="1:28" s="5" customFormat="1">
      <c r="A170" s="25"/>
      <c r="B170" s="26" t="s">
        <v>424</v>
      </c>
      <c r="C170" s="32" t="str">
        <f>C111</f>
        <v>Altice US</v>
      </c>
      <c r="D170" s="28" t="str">
        <f>D111</f>
        <v>US$1.7</v>
      </c>
      <c r="E170" s="28" t="str">
        <f>E111</f>
        <v>US$2.5</v>
      </c>
      <c r="F170" s="29">
        <f>F111</f>
        <v>0.49700598802395213</v>
      </c>
      <c r="G170" s="28" t="str">
        <f>G111</f>
        <v>Neutral</v>
      </c>
      <c r="H170" s="30"/>
      <c r="I170" s="483">
        <f>ATCUS!D$45</f>
        <v>0</v>
      </c>
      <c r="J170" s="483">
        <f>ATCUS!E$45</f>
        <v>0</v>
      </c>
      <c r="K170" s="483">
        <f>ATCUS!F$45</f>
        <v>0</v>
      </c>
      <c r="L170" s="483">
        <f>ATCUS!G$45</f>
        <v>0</v>
      </c>
      <c r="M170" s="483" t="str">
        <f>ATCUS!H$45</f>
        <v>nm</v>
      </c>
      <c r="N170" s="30"/>
      <c r="O170" s="483">
        <f>ATCUS!D$47</f>
        <v>0.33600965898971363</v>
      </c>
      <c r="P170" s="483">
        <f>ATCUS!E$47</f>
        <v>0.25671544220572201</v>
      </c>
      <c r="Q170" s="483">
        <f>ATCUS!F$47</f>
        <v>3.06008013143661E-2</v>
      </c>
      <c r="R170" s="483">
        <f>ATCUS!G$47</f>
        <v>1.6538807860095473E-2</v>
      </c>
      <c r="S170" s="483">
        <f>ATCUS!H$47</f>
        <v>-0.63013913395062948</v>
      </c>
      <c r="T170" s="30"/>
      <c r="U170" s="32" t="str">
        <f t="shared" ref="U170:V172" si="31">U111</f>
        <v>USD 1.7</v>
      </c>
      <c r="V170" s="28" t="str">
        <f t="shared" si="31"/>
        <v>Altice US</v>
      </c>
      <c r="Z170" s="30"/>
    </row>
    <row r="171" spans="1:28" s="5" customFormat="1">
      <c r="A171" s="25"/>
      <c r="B171" s="26" t="s">
        <v>424</v>
      </c>
      <c r="C171" s="32" t="s">
        <v>258</v>
      </c>
      <c r="D171" s="28" t="str">
        <f>B171&amp;TEXT(Prices!$C$50,"0.0")</f>
        <v>US$222.0</v>
      </c>
      <c r="E171" s="28" t="str">
        <f>B171&amp;TEXT(Prices!$E$50,"0.0")</f>
        <v>US$328.0</v>
      </c>
      <c r="F171" s="29">
        <f>Prices!$F$50</f>
        <v>0.47747747747747749</v>
      </c>
      <c r="G171" s="28" t="str">
        <f>Prices!$D$50</f>
        <v>Buy</v>
      </c>
      <c r="H171" s="30"/>
      <c r="I171" s="483">
        <f>CHTR!D$45</f>
        <v>0</v>
      </c>
      <c r="J171" s="483">
        <f>CHTR!E$45</f>
        <v>0</v>
      </c>
      <c r="K171" s="483">
        <f>CHTR!F$45</f>
        <v>0</v>
      </c>
      <c r="L171" s="483">
        <f>CHTR!G$45</f>
        <v>0</v>
      </c>
      <c r="M171" s="483" t="str">
        <f>CHTR!H$45</f>
        <v>nm</v>
      </c>
      <c r="N171" s="30"/>
      <c r="O171" s="483">
        <f>CHTR!D$47</f>
        <v>5.1731467566316032E-2</v>
      </c>
      <c r="P171" s="483">
        <f>CHTR!E$47</f>
        <v>7.5972996699043893E-2</v>
      </c>
      <c r="Q171" s="483">
        <f>CHTR!F$47</f>
        <v>-6.1435517979555113E-3</v>
      </c>
      <c r="R171" s="483">
        <f>CHTR!G$47</f>
        <v>-2.0169159169074021E-2</v>
      </c>
      <c r="S171" s="483">
        <f>CHTR!H$47</f>
        <v>-1.7159558229089231</v>
      </c>
      <c r="T171" s="30"/>
      <c r="U171" s="32" t="str">
        <f t="shared" si="31"/>
        <v>USD 222.0</v>
      </c>
      <c r="V171" s="28" t="str">
        <f t="shared" si="31"/>
        <v>Charter</v>
      </c>
      <c r="Z171" s="30"/>
    </row>
    <row r="172" spans="1:28" s="5" customFormat="1">
      <c r="A172" s="25"/>
      <c r="B172" s="26" t="s">
        <v>424</v>
      </c>
      <c r="C172" s="32" t="s">
        <v>257</v>
      </c>
      <c r="D172" s="28" t="str">
        <f>B172&amp;TEXT(Prices!$C$51,"0.0")</f>
        <v>US$30.2</v>
      </c>
      <c r="E172" s="28" t="str">
        <f>B172&amp;TEXT(Prices!$E$51,"0.0")</f>
        <v>US$36.0</v>
      </c>
      <c r="F172" s="29">
        <f>Prices!$F$51</f>
        <v>0.19027938502231767</v>
      </c>
      <c r="G172" s="28" t="str">
        <f>Prices!$D$51</f>
        <v>Buy</v>
      </c>
      <c r="H172" s="30"/>
      <c r="I172" s="483">
        <f>CMCSA!D$45</f>
        <v>3.807804320007574E-2</v>
      </c>
      <c r="J172" s="483">
        <f>CMCSA!E$45</f>
        <v>4.2205074920855526E-2</v>
      </c>
      <c r="K172" s="483">
        <f>CMCSA!F$45</f>
        <v>0</v>
      </c>
      <c r="L172" s="483">
        <f>CMCSA!G$45</f>
        <v>0</v>
      </c>
      <c r="M172" s="483" t="str">
        <f>CMCSA!H$45</f>
        <v>nm</v>
      </c>
      <c r="N172" s="30"/>
      <c r="O172" s="483">
        <f>CMCSA!D$47</f>
        <v>0.31947988522644544</v>
      </c>
      <c r="P172" s="483">
        <f>CMCSA!E$47</f>
        <v>0.35088855205950292</v>
      </c>
      <c r="Q172" s="483">
        <f>CMCSA!F$47</f>
        <v>4.6415049221296065E-2</v>
      </c>
      <c r="R172" s="483">
        <f>CMCSA!G$47</f>
        <v>5.3422938143609676E-2</v>
      </c>
      <c r="S172" s="483">
        <f>CMCSA!H$47</f>
        <v>-0.46886703259830009</v>
      </c>
      <c r="T172" s="30"/>
      <c r="U172" s="32" t="str">
        <f t="shared" si="31"/>
        <v>USD 30.2</v>
      </c>
      <c r="V172" s="28" t="str">
        <f t="shared" si="31"/>
        <v>Comcast</v>
      </c>
      <c r="Z172" s="30"/>
    </row>
    <row r="173" spans="1:28" s="5" customFormat="1">
      <c r="A173" s="25"/>
      <c r="B173" s="26" t="s">
        <v>431</v>
      </c>
      <c r="C173" s="32" t="s">
        <v>1264</v>
      </c>
      <c r="D173" s="28" t="str">
        <f>B173&amp;TEXT(Prices!C$52,"0.00")</f>
        <v>US$ 119.08</v>
      </c>
      <c r="E173" s="28" t="str">
        <f>B173&amp;TEXT(Prices!E$52,"0.00")</f>
        <v>US$ 0.00</v>
      </c>
      <c r="F173" s="29">
        <f>Prices!F$52</f>
        <v>-1</v>
      </c>
      <c r="G173" s="28" t="str">
        <f>Prices!D$52</f>
        <v>Buy</v>
      </c>
      <c r="H173" s="30"/>
      <c r="I173" s="483">
        <f>SATS!D$45</f>
        <v>0</v>
      </c>
      <c r="J173" s="483">
        <f>SATS!E$45</f>
        <v>0</v>
      </c>
      <c r="K173" s="483">
        <f>SATS!F$45</f>
        <v>0</v>
      </c>
      <c r="L173" s="483">
        <f>SATS!G$45</f>
        <v>0</v>
      </c>
      <c r="M173" s="483" t="str">
        <f>SATS!H$45</f>
        <v>nm</v>
      </c>
      <c r="N173" s="30"/>
      <c r="O173" s="483">
        <f>SATS!D$47</f>
        <v>3.2771298373651336E-2</v>
      </c>
      <c r="P173" s="483">
        <f>SATS!E$47</f>
        <v>8.7855561310940505E-3</v>
      </c>
      <c r="Q173" s="483">
        <f>SATS!F$47</f>
        <v>1.9166132377242122E-2</v>
      </c>
      <c r="R173" s="483">
        <f>SATS!G$47</f>
        <v>2.8571784722468404E-2</v>
      </c>
      <c r="S173" s="483">
        <f>SATS!H$47</f>
        <v>-4.4682118179183772E-2</v>
      </c>
      <c r="T173" s="30"/>
      <c r="U173" s="32" t="str">
        <f>D173</f>
        <v>US$ 119.08</v>
      </c>
      <c r="V173" s="28" t="str">
        <f>C173</f>
        <v>EchoStar</v>
      </c>
    </row>
    <row r="174" spans="1:28" s="5" customFormat="1">
      <c r="A174" s="25"/>
      <c r="B174" s="26"/>
      <c r="C174" s="35" t="str">
        <f>C115</f>
        <v>Agg. US Other</v>
      </c>
      <c r="D174" s="42"/>
      <c r="E174" s="42"/>
      <c r="F174" s="39"/>
      <c r="G174" s="42"/>
      <c r="H174" s="40"/>
      <c r="I174" s="484">
        <f>'US OTHER'!D$45</f>
        <v>2.3414031600891949E-2</v>
      </c>
      <c r="J174" s="484">
        <f>'US OTHER'!E$45</f>
        <v>2.5520788230292895E-2</v>
      </c>
      <c r="K174" s="484">
        <f>'US OTHER'!F$45</f>
        <v>0</v>
      </c>
      <c r="L174" s="484">
        <f>'US OTHER'!G$45</f>
        <v>0</v>
      </c>
      <c r="M174" s="484" t="str">
        <f>'US OTHER'!H$45</f>
        <v>nm</v>
      </c>
      <c r="N174" s="40"/>
      <c r="O174" s="484">
        <f>'US OTHER'!D$47</f>
        <v>0.26881571436654877</v>
      </c>
      <c r="P174" s="484">
        <f>'US OTHER'!E$47</f>
        <v>0.29088620461815812</v>
      </c>
      <c r="Q174" s="484">
        <f>'US OTHER'!F$47</f>
        <v>3.9412408579873853E-2</v>
      </c>
      <c r="R174" s="484">
        <f>'US OTHER'!G$47</f>
        <v>4.4226320821252475E-2</v>
      </c>
      <c r="S174" s="484">
        <f>'US OTHER'!H$47</f>
        <v>-0.46973269097347681</v>
      </c>
      <c r="T174" s="40"/>
      <c r="U174" s="35"/>
      <c r="V174" s="42" t="str">
        <f>V115</f>
        <v>Agg. US CATV</v>
      </c>
      <c r="W174" s="29"/>
      <c r="X174" s="29"/>
      <c r="Y174" s="109"/>
      <c r="Z174" s="30"/>
    </row>
    <row r="175" spans="1:28" s="5" customFormat="1">
      <c r="A175" s="25"/>
      <c r="B175" s="26"/>
      <c r="C175" s="32"/>
      <c r="D175" s="28"/>
      <c r="E175" s="28"/>
      <c r="F175" s="29"/>
      <c r="G175" s="28"/>
      <c r="H175" s="30"/>
      <c r="I175" s="483"/>
      <c r="J175" s="483"/>
      <c r="K175" s="483"/>
      <c r="L175" s="483"/>
      <c r="M175" s="483"/>
      <c r="N175" s="30"/>
      <c r="O175" s="483"/>
      <c r="P175" s="483"/>
      <c r="Q175" s="483"/>
      <c r="R175" s="483"/>
      <c r="S175" s="483"/>
      <c r="T175" s="30"/>
      <c r="U175" s="32"/>
      <c r="V175" s="28"/>
      <c r="W175" s="40"/>
      <c r="X175" s="40"/>
      <c r="Y175" s="40"/>
      <c r="Z175" s="40"/>
    </row>
    <row r="176" spans="1:28" s="5" customFormat="1">
      <c r="A176" s="112"/>
      <c r="B176" s="26"/>
      <c r="C176" s="32"/>
      <c r="D176" s="28"/>
      <c r="E176" s="28"/>
      <c r="F176" s="29"/>
      <c r="G176" s="28"/>
      <c r="H176" s="30"/>
      <c r="I176" s="483"/>
      <c r="J176" s="483"/>
      <c r="K176" s="483"/>
      <c r="L176" s="483"/>
      <c r="M176" s="483"/>
      <c r="N176" s="30"/>
      <c r="O176" s="483"/>
      <c r="P176" s="483"/>
      <c r="Q176" s="483"/>
      <c r="R176" s="483"/>
      <c r="S176" s="483"/>
      <c r="T176" s="30"/>
      <c r="U176" s="32"/>
      <c r="V176" s="28"/>
    </row>
    <row r="177" spans="1:29" s="5" customFormat="1">
      <c r="A177" s="112"/>
      <c r="B177" s="26"/>
      <c r="C177" s="35" t="str">
        <f>C118</f>
        <v>Agg. W Europe</v>
      </c>
      <c r="D177" s="36"/>
      <c r="E177" s="36"/>
      <c r="F177" s="37"/>
      <c r="G177" s="36"/>
      <c r="H177" s="30"/>
      <c r="I177" s="484">
        <f>'W.EUR AGG'!$D$45</f>
        <v>3.7957975161421499E-2</v>
      </c>
      <c r="J177" s="484">
        <f>'W.EUR AGG'!$E$45</f>
        <v>4.130897795585213E-2</v>
      </c>
      <c r="K177" s="484">
        <f>'W.EUR AGG'!$F$45</f>
        <v>4.59004309999256E-2</v>
      </c>
      <c r="L177" s="484">
        <f>'W.EUR AGG'!$G$45</f>
        <v>4.7930573113507347E-2</v>
      </c>
      <c r="M177" s="484">
        <f>'W.EUR AGG'!$H$45</f>
        <v>7.6179720297558706E-2</v>
      </c>
      <c r="N177" s="40"/>
      <c r="O177" s="484">
        <f>'W.EUR AGG'!$D$47</f>
        <v>5.3288146423063343E-2</v>
      </c>
      <c r="P177" s="484">
        <f>'W.EUR AGG'!$E$47</f>
        <v>6.4928105844106243E-2</v>
      </c>
      <c r="Q177" s="484">
        <f>'W.EUR AGG'!$F$47</f>
        <v>7.0196725607741359E-2</v>
      </c>
      <c r="R177" s="484">
        <f>'W.EUR AGG'!$G$47</f>
        <v>7.8022306387102863E-2</v>
      </c>
      <c r="S177" s="484">
        <f>'W.EUR AGG'!$H$47</f>
        <v>0.12929504760505051</v>
      </c>
      <c r="T177" s="30"/>
      <c r="U177" s="41"/>
      <c r="V177" s="42" t="str">
        <f>V118</f>
        <v>Agg. W Europe</v>
      </c>
    </row>
    <row r="178" spans="1:29" s="5" customFormat="1">
      <c r="A178" s="25"/>
      <c r="B178" s="26"/>
      <c r="C178" s="25" t="s">
        <v>1268</v>
      </c>
      <c r="D178" s="28"/>
      <c r="E178" s="28"/>
      <c r="F178" s="29"/>
      <c r="G178" s="28"/>
      <c r="H178" s="30"/>
      <c r="I178" s="486">
        <f>'US AGG'!D$45</f>
        <v>3.5946000109207593E-2</v>
      </c>
      <c r="J178" s="486">
        <f>'US AGG'!E$45</f>
        <v>3.7726460322852477E-2</v>
      </c>
      <c r="K178" s="486">
        <f>'US AGG'!F$45</f>
        <v>3.4512353894036299E-2</v>
      </c>
      <c r="L178" s="486">
        <f>'US AGG'!G$45</f>
        <v>3.6442541855177937E-2</v>
      </c>
      <c r="M178" s="486">
        <f>'US AGG'!H$45</f>
        <v>-1.5982196335127208E-2</v>
      </c>
      <c r="N178" s="40"/>
      <c r="O178" s="486">
        <f>'US AGG'!D$47</f>
        <v>0.10861522838802701</v>
      </c>
      <c r="P178" s="486">
        <f>'US AGG'!E$47</f>
        <v>0.10168944331952325</v>
      </c>
      <c r="Q178" s="486">
        <f>'US AGG'!F$47</f>
        <v>6.1980287532326005E-2</v>
      </c>
      <c r="R178" s="486">
        <f>'US AGG'!G$47</f>
        <v>6.7799453175770061E-2</v>
      </c>
      <c r="S178" s="486">
        <f>'US AGG'!H$47</f>
        <v>-0.16369615899599688</v>
      </c>
      <c r="T178" s="30"/>
      <c r="U178" s="32"/>
      <c r="V178" s="34" t="str">
        <f>V119</f>
        <v>Agg. US</v>
      </c>
    </row>
    <row r="179" spans="1:29" s="5" customFormat="1">
      <c r="A179" s="25"/>
      <c r="B179" s="26"/>
      <c r="C179" s="51" t="str">
        <f>C120</f>
        <v xml:space="preserve">Agg. Developed Asia </v>
      </c>
      <c r="D179" s="36"/>
      <c r="E179" s="36"/>
      <c r="F179" s="37"/>
      <c r="G179" s="36"/>
      <c r="H179" s="30"/>
      <c r="I179" s="484">
        <f>'AGG DM ASIA'!$D$45</f>
        <v>3.6654531239017109E-2</v>
      </c>
      <c r="J179" s="484">
        <f>'AGG DM ASIA'!$E$45</f>
        <v>3.8929399994458255E-2</v>
      </c>
      <c r="K179" s="484">
        <f>'AGG DM ASIA'!$F$45</f>
        <v>4.1102187924215293E-2</v>
      </c>
      <c r="L179" s="484">
        <f>'AGG DM ASIA'!$G$45</f>
        <v>4.2225779665988582E-2</v>
      </c>
      <c r="M179" s="484">
        <f>'AGG DM ASIA'!$H$45</f>
        <v>3.0627710121846619E-2</v>
      </c>
      <c r="N179" s="40"/>
      <c r="O179" s="484">
        <f>'AGG DM ASIA'!$D$47</f>
        <v>2.405863146395441E-2</v>
      </c>
      <c r="P179" s="484">
        <f>'AGG DM ASIA'!$E$47</f>
        <v>3.1222005739206391E-2</v>
      </c>
      <c r="Q179" s="484">
        <f>'AGG DM ASIA'!$F$47</f>
        <v>3.8954213420314049E-2</v>
      </c>
      <c r="R179" s="484">
        <f>'AGG DM ASIA'!$G$47</f>
        <v>4.6400497571471779E-2</v>
      </c>
      <c r="S179" s="484">
        <f>'AGG DM ASIA'!$H$47</f>
        <v>0.20663676717467006</v>
      </c>
      <c r="T179" s="30"/>
      <c r="U179" s="41"/>
      <c r="V179" s="42" t="str">
        <f>V120</f>
        <v xml:space="preserve">Agg. Developed Asia </v>
      </c>
    </row>
    <row r="180" spans="1:29" s="5" customFormat="1">
      <c r="A180" s="25"/>
      <c r="B180" s="26"/>
      <c r="C180" s="25"/>
      <c r="D180" s="28"/>
      <c r="E180" s="28"/>
      <c r="F180" s="29"/>
      <c r="G180" s="28"/>
      <c r="H180" s="30"/>
      <c r="I180" s="486"/>
      <c r="J180" s="486"/>
      <c r="K180" s="486"/>
      <c r="L180" s="486"/>
      <c r="M180" s="486"/>
      <c r="N180" s="40"/>
      <c r="O180" s="486"/>
      <c r="P180" s="486"/>
      <c r="Q180" s="486"/>
      <c r="R180" s="486"/>
      <c r="S180" s="486"/>
      <c r="T180" s="30"/>
      <c r="U180" s="32"/>
      <c r="V180" s="34"/>
    </row>
    <row r="181" spans="1:29" s="5" customFormat="1">
      <c r="A181" s="25"/>
      <c r="B181" s="26"/>
      <c r="C181" s="51" t="str">
        <f>C122</f>
        <v>Agg. Global Developed</v>
      </c>
      <c r="D181" s="36"/>
      <c r="E181" s="36"/>
      <c r="F181" s="37"/>
      <c r="G181" s="36"/>
      <c r="H181" s="30"/>
      <c r="I181" s="484">
        <f>'AGG DM'!$D$45</f>
        <v>3.6676438005961751E-2</v>
      </c>
      <c r="J181" s="484">
        <f>'AGG DM'!$E$45</f>
        <v>3.9027240403015993E-2</v>
      </c>
      <c r="K181" s="484">
        <f>'AGG DM'!$F$45</f>
        <v>3.9121081989007662E-2</v>
      </c>
      <c r="L181" s="484">
        <f>'AGG DM'!$G$45</f>
        <v>4.0989823366933457E-2</v>
      </c>
      <c r="M181" s="484">
        <f>'AGG DM'!$H$45</f>
        <v>2.232043393880101E-2</v>
      </c>
      <c r="N181" s="40"/>
      <c r="O181" s="484">
        <f>'AGG DM'!$D$47</f>
        <v>7.2817784753133857E-2</v>
      </c>
      <c r="P181" s="484">
        <f>'AGG DM'!$E$47</f>
        <v>7.4537652949727501E-2</v>
      </c>
      <c r="Q181" s="484">
        <f>'AGG DM'!$F$47</f>
        <v>5.9199023000613173E-2</v>
      </c>
      <c r="R181" s="484">
        <f>'AGG DM'!$G$47</f>
        <v>6.6158977716427855E-2</v>
      </c>
      <c r="S181" s="484">
        <f>'AGG DM'!$H$47</f>
        <v>-4.9656282064675872E-2</v>
      </c>
      <c r="T181" s="30"/>
      <c r="U181" s="41"/>
      <c r="V181" s="42" t="str">
        <f>V122</f>
        <v xml:space="preserve">Agg. Global Developed </v>
      </c>
    </row>
    <row r="182" spans="1:29" s="5" customFormat="1">
      <c r="A182" s="25"/>
      <c r="B182" s="26"/>
      <c r="C182" s="25"/>
      <c r="D182" s="28"/>
      <c r="E182" s="28"/>
      <c r="F182" s="29"/>
      <c r="G182" s="28"/>
      <c r="H182" s="30"/>
      <c r="I182" s="54"/>
      <c r="J182" s="54"/>
      <c r="K182" s="54"/>
      <c r="L182" s="54"/>
      <c r="M182" s="43"/>
      <c r="N182" s="55"/>
      <c r="O182" s="54"/>
      <c r="P182" s="54"/>
      <c r="Q182" s="54"/>
      <c r="R182" s="54"/>
      <c r="S182" s="43"/>
      <c r="T182" s="30"/>
      <c r="U182" s="32"/>
      <c r="V182" s="34"/>
    </row>
    <row r="183" spans="1:29" s="5" customFormat="1">
      <c r="A183" s="25"/>
      <c r="B183" s="26"/>
      <c r="C183" s="25"/>
      <c r="D183" s="28"/>
      <c r="E183" s="28"/>
      <c r="F183" s="29"/>
      <c r="G183" s="28"/>
      <c r="H183" s="30"/>
      <c r="I183" s="54"/>
      <c r="J183" s="54"/>
      <c r="K183" s="54"/>
      <c r="L183" s="54"/>
      <c r="M183" s="43"/>
      <c r="N183" s="55"/>
      <c r="O183" s="54"/>
      <c r="P183" s="54"/>
      <c r="Q183" s="54"/>
      <c r="R183" s="54"/>
      <c r="S183" s="43"/>
      <c r="T183" s="30"/>
      <c r="U183" s="32"/>
      <c r="V183" s="34"/>
    </row>
    <row r="184" spans="1:29" s="25" customFormat="1">
      <c r="B184" s="113"/>
      <c r="C184" s="130"/>
      <c r="D184" s="131" t="s">
        <v>379</v>
      </c>
      <c r="E184" s="131" t="s">
        <v>50</v>
      </c>
      <c r="F184" s="131" t="s">
        <v>52</v>
      </c>
      <c r="G184" s="131" t="s">
        <v>49</v>
      </c>
      <c r="H184" s="33"/>
      <c r="I184" s="132" t="s">
        <v>434</v>
      </c>
      <c r="J184" s="132"/>
      <c r="K184" s="132"/>
      <c r="L184" s="132"/>
      <c r="M184" s="132"/>
      <c r="O184" s="132" t="s">
        <v>225</v>
      </c>
      <c r="P184" s="132"/>
      <c r="Q184" s="132"/>
      <c r="R184" s="132"/>
      <c r="S184" s="132"/>
      <c r="T184" s="33"/>
      <c r="U184" s="133" t="s">
        <v>379</v>
      </c>
      <c r="V184" s="131"/>
      <c r="Z184" s="33"/>
      <c r="AC184" s="106"/>
    </row>
    <row r="185" spans="1:29" s="5" customFormat="1">
      <c r="A185" s="25" t="s">
        <v>415</v>
      </c>
      <c r="B185" s="26"/>
      <c r="C185" s="32" t="s">
        <v>160</v>
      </c>
      <c r="D185" s="28" t="str">
        <f t="shared" ref="D185:G195" si="32">D126</f>
        <v>GBP2.24</v>
      </c>
      <c r="E185" s="28" t="str">
        <f t="shared" si="32"/>
        <v>GBP2.40</v>
      </c>
      <c r="F185" s="29">
        <f t="shared" si="32"/>
        <v>7.1189466636911503E-2</v>
      </c>
      <c r="G185" s="28" t="str">
        <f t="shared" si="32"/>
        <v>Neutral</v>
      </c>
      <c r="H185" s="30"/>
      <c r="I185" s="31">
        <f>BT!$D$41</f>
        <v>1.3964887199333533</v>
      </c>
      <c r="J185" s="31">
        <f>BT!$E$41</f>
        <v>1.312104757778906</v>
      </c>
      <c r="K185" s="31">
        <f>BT!$F$41</f>
        <v>1.2439365056914797</v>
      </c>
      <c r="L185" s="31">
        <f>BT!$G$41</f>
        <v>1.1791422946647074</v>
      </c>
      <c r="M185" s="29">
        <f>BT!$H$41</f>
        <v>1.2474655727553463E-2</v>
      </c>
      <c r="N185" s="30"/>
      <c r="O185" s="31">
        <f>BT!$D$37</f>
        <v>2.0704036887503596</v>
      </c>
      <c r="P185" s="31">
        <f>BT!$E$37</f>
        <v>2.023011189535068</v>
      </c>
      <c r="Q185" s="31">
        <f>BT!$F$37</f>
        <v>1.9504434569040645</v>
      </c>
      <c r="R185" s="31">
        <f>BT!$G$37</f>
        <v>1.8628499302587671</v>
      </c>
      <c r="S185" s="29">
        <f>BT!$H$37</f>
        <v>-8.7432824010660326E-3</v>
      </c>
      <c r="T185" s="30"/>
      <c r="U185" s="32" t="str">
        <f t="shared" ref="U185:V189" si="33">U126</f>
        <v>GBP2.24</v>
      </c>
      <c r="V185" s="53" t="str">
        <f t="shared" si="33"/>
        <v>British Telecom</v>
      </c>
    </row>
    <row r="186" spans="1:29" s="5" customFormat="1">
      <c r="A186" s="25"/>
      <c r="B186" s="26"/>
      <c r="C186" s="32" t="s">
        <v>161</v>
      </c>
      <c r="D186" s="28" t="str">
        <f t="shared" si="32"/>
        <v>EUR 27.67</v>
      </c>
      <c r="E186" s="28" t="str">
        <f t="shared" si="32"/>
        <v>EUR 43.00</v>
      </c>
      <c r="F186" s="29">
        <f t="shared" si="32"/>
        <v>0.55402963498373681</v>
      </c>
      <c r="G186" s="28" t="str">
        <f t="shared" si="32"/>
        <v>Buy</v>
      </c>
      <c r="H186" s="30"/>
      <c r="I186" s="31">
        <f>DT!$D$41</f>
        <v>1.7666367629183624</v>
      </c>
      <c r="J186" s="31">
        <f>DT!$E$41</f>
        <v>1.6392567509322509</v>
      </c>
      <c r="K186" s="31">
        <f>DT!$F$41</f>
        <v>1.5364049764234069</v>
      </c>
      <c r="L186" s="31">
        <f>DT!$G$41</f>
        <v>1.4261309282317236</v>
      </c>
      <c r="M186" s="29">
        <f>DT!$H$41</f>
        <v>2.9467698760236916E-2</v>
      </c>
      <c r="N186" s="30"/>
      <c r="O186" s="31">
        <f>DT!$D$37</f>
        <v>2.8231977338668761</v>
      </c>
      <c r="P186" s="31">
        <f>DT!$E$37</f>
        <v>2.6381280432014282</v>
      </c>
      <c r="Q186" s="31">
        <f>DT!$F$37</f>
        <v>2.4385553908040185</v>
      </c>
      <c r="R186" s="31">
        <f>DT!$G$37</f>
        <v>2.2561268412679376</v>
      </c>
      <c r="S186" s="29">
        <f>DT!$H$37</f>
        <v>3.2942224541116838E-2</v>
      </c>
      <c r="T186" s="30"/>
      <c r="U186" s="32" t="str">
        <f t="shared" si="33"/>
        <v>EUR 27.67</v>
      </c>
      <c r="V186" s="53" t="str">
        <f t="shared" si="33"/>
        <v>Deutsche Telekom</v>
      </c>
    </row>
    <row r="187" spans="1:29" s="5" customFormat="1">
      <c r="A187" s="25"/>
      <c r="B187" s="26"/>
      <c r="C187" s="32" t="s">
        <v>373</v>
      </c>
      <c r="D187" s="28" t="str">
        <f t="shared" si="32"/>
        <v>EUR 4.66</v>
      </c>
      <c r="E187" s="28" t="str">
        <f t="shared" si="32"/>
        <v>EUR 4.33</v>
      </c>
      <c r="F187" s="29">
        <f t="shared" si="32"/>
        <v>-7.2021498159240971E-2</v>
      </c>
      <c r="G187" s="28" t="str">
        <f t="shared" si="32"/>
        <v>Neutral</v>
      </c>
      <c r="H187" s="30"/>
      <c r="I187" s="31">
        <f>KPN!$D$41</f>
        <v>2.5428347930516222</v>
      </c>
      <c r="J187" s="31">
        <f>KPN!$E$41</f>
        <v>2.622605908937941</v>
      </c>
      <c r="K187" s="31">
        <f>KPN!$F$41</f>
        <v>2.6677214792967363</v>
      </c>
      <c r="L187" s="31">
        <f>KPN!$G$41</f>
        <v>2.7153611781710216</v>
      </c>
      <c r="M187" s="29">
        <f>KPN!$H$41</f>
        <v>-5.913367526711244E-2</v>
      </c>
      <c r="N187" s="30"/>
      <c r="O187" s="31">
        <f>KPN!$D$37</f>
        <v>4.3026213010581831</v>
      </c>
      <c r="P187" s="31">
        <f>KPN!$E$37</f>
        <v>4.1453803138095617</v>
      </c>
      <c r="Q187" s="31">
        <f>KPN!$F$37</f>
        <v>3.8864793446034014</v>
      </c>
      <c r="R187" s="31">
        <f>KPN!$G$37</f>
        <v>3.6260985833210686</v>
      </c>
      <c r="S187" s="29">
        <f>KPN!$H$37</f>
        <v>1.811206270402943E-2</v>
      </c>
      <c r="T187" s="30"/>
      <c r="U187" s="32" t="str">
        <f t="shared" si="33"/>
        <v>EUR 4.66</v>
      </c>
      <c r="V187" s="53" t="str">
        <f t="shared" si="33"/>
        <v>KPN</v>
      </c>
    </row>
    <row r="188" spans="1:29" s="5" customFormat="1">
      <c r="A188" s="25"/>
      <c r="B188" s="26"/>
      <c r="C188" s="32" t="s">
        <v>604</v>
      </c>
      <c r="D188" s="28" t="str">
        <f t="shared" si="32"/>
        <v>EUR 17.64</v>
      </c>
      <c r="E188" s="28" t="str">
        <f t="shared" si="32"/>
        <v>EUR 18.80</v>
      </c>
      <c r="F188" s="29">
        <f t="shared" si="32"/>
        <v>6.5759637188208542E-2</v>
      </c>
      <c r="G188" s="28" t="str">
        <f t="shared" si="32"/>
        <v>Neutral</v>
      </c>
      <c r="H188" s="30"/>
      <c r="I188" s="31">
        <f>ORA!$D$41</f>
        <v>1.6537567407259413</v>
      </c>
      <c r="J188" s="31">
        <f>ORA!$E$41</f>
        <v>1.4702062100291331</v>
      </c>
      <c r="K188" s="31">
        <f>ORA!$F$41</f>
        <v>1.41348750112007</v>
      </c>
      <c r="L188" s="31">
        <f>ORA!$G$41</f>
        <v>1.3727940204345475</v>
      </c>
      <c r="M188" s="29">
        <f>ORA!$H$41</f>
        <v>7.5057912540763105E-2</v>
      </c>
      <c r="N188" s="30"/>
      <c r="O188" s="31">
        <f>ORA!$D$37</f>
        <v>2.511042305826698</v>
      </c>
      <c r="P188" s="31">
        <f>ORA!$E$37</f>
        <v>2.291010378612568</v>
      </c>
      <c r="Q188" s="31">
        <f>ORA!$F$37</f>
        <v>2.2041417777332173</v>
      </c>
      <c r="R188" s="31">
        <f>ORA!$G$37</f>
        <v>2.0721601273650525</v>
      </c>
      <c r="S188" s="29">
        <f>ORA!$H$37</f>
        <v>7.7176035339029614E-2</v>
      </c>
      <c r="T188" s="30"/>
      <c r="U188" s="32" t="str">
        <f t="shared" si="33"/>
        <v>EUR 17.64</v>
      </c>
      <c r="V188" s="53" t="str">
        <f t="shared" si="33"/>
        <v>Orange</v>
      </c>
    </row>
    <row r="189" spans="1:29" s="5" customFormat="1">
      <c r="A189" s="25"/>
      <c r="B189" s="26"/>
      <c r="C189" s="32" t="s">
        <v>374</v>
      </c>
      <c r="D189" s="28" t="str">
        <f t="shared" si="32"/>
        <v>EUR 18.29</v>
      </c>
      <c r="E189" s="28" t="str">
        <f t="shared" si="32"/>
        <v>EUR 22.10</v>
      </c>
      <c r="F189" s="29">
        <f t="shared" si="32"/>
        <v>0.20831055221432493</v>
      </c>
      <c r="G189" s="28" t="str">
        <f t="shared" si="32"/>
        <v>Buy</v>
      </c>
      <c r="H189" s="30"/>
      <c r="I189" s="31">
        <f>OTE!$D$41</f>
        <v>3.0739147552515642</v>
      </c>
      <c r="J189" s="31">
        <f>OTE!$E$41</f>
        <v>3.1659129682496521</v>
      </c>
      <c r="K189" s="31">
        <f>OTE!$F$41</f>
        <v>2.7217224449758048</v>
      </c>
      <c r="L189" s="31">
        <f>OTE!$G$41</f>
        <v>2.446447180024903</v>
      </c>
      <c r="M189" s="29">
        <f>OTE!$H$41</f>
        <v>-5.4880267958250517E-3</v>
      </c>
      <c r="N189" s="30"/>
      <c r="O189" s="31">
        <f>OTE!$D$37</f>
        <v>2.2857864885313322</v>
      </c>
      <c r="P189" s="31">
        <f>OTE!$E$37</f>
        <v>2.1749859206468738</v>
      </c>
      <c r="Q189" s="31">
        <f>OTE!$F$37</f>
        <v>2.0509098404857395</v>
      </c>
      <c r="R189" s="31">
        <f>OTE!$G$37</f>
        <v>1.8528957681793869</v>
      </c>
      <c r="S189" s="29">
        <f>OTE!$H$37</f>
        <v>-1.1554076471450236E-2</v>
      </c>
      <c r="T189" s="30"/>
      <c r="U189" s="32" t="str">
        <f t="shared" si="33"/>
        <v>EUR 18.29</v>
      </c>
      <c r="V189" s="53" t="str">
        <f t="shared" si="33"/>
        <v>OTE</v>
      </c>
    </row>
    <row r="190" spans="1:29" s="5" customFormat="1">
      <c r="A190" s="25"/>
      <c r="B190" s="26"/>
      <c r="C190" s="32" t="s">
        <v>686</v>
      </c>
      <c r="D190" s="28" t="str">
        <f t="shared" si="32"/>
        <v>EUR 6.6</v>
      </c>
      <c r="E190" s="28" t="str">
        <f t="shared" si="32"/>
        <v>EUR 13.3</v>
      </c>
      <c r="F190" s="29">
        <f t="shared" si="32"/>
        <v>1.0060331825037707</v>
      </c>
      <c r="G190" s="28" t="str">
        <f t="shared" si="32"/>
        <v>Neutral</v>
      </c>
      <c r="H190" s="30"/>
      <c r="I190" s="31">
        <f>PROX!$D$41</f>
        <v>0.89438751672313099</v>
      </c>
      <c r="J190" s="31">
        <f>PROX!$E$41</f>
        <v>0.92377123561836305</v>
      </c>
      <c r="K190" s="31">
        <f>PROX!$F$41</f>
        <v>0.89880476444712853</v>
      </c>
      <c r="L190" s="31">
        <f>PROX!$G$41</f>
        <v>0.88011598925230827</v>
      </c>
      <c r="M190" s="29">
        <f>PROX!$H$41</f>
        <v>-3.5110693763504841E-3</v>
      </c>
      <c r="N190" s="30"/>
      <c r="O190" s="31">
        <f>PROX!$D$37</f>
        <v>1.2670607994167078</v>
      </c>
      <c r="P190" s="31">
        <f>PROX!$E$37</f>
        <v>1.3103728979663429</v>
      </c>
      <c r="Q190" s="31">
        <f>PROX!$F$37</f>
        <v>1.291332991933037</v>
      </c>
      <c r="R190" s="31">
        <f>PROX!$G$37</f>
        <v>1.2718836336974866</v>
      </c>
      <c r="S190" s="29">
        <f>PROX!$H$37</f>
        <v>-1.0094133458249832E-2</v>
      </c>
      <c r="T190" s="30"/>
      <c r="U190" s="32" t="str">
        <f t="shared" ref="U190:U195" si="34">U131</f>
        <v>EUR 6.6</v>
      </c>
      <c r="V190" s="53" t="s">
        <v>686</v>
      </c>
    </row>
    <row r="191" spans="1:29">
      <c r="C191" s="32" t="s">
        <v>378</v>
      </c>
      <c r="D191" s="28" t="str">
        <f t="shared" si="32"/>
        <v>CHF673</v>
      </c>
      <c r="E191" s="28" t="str">
        <f t="shared" si="32"/>
        <v>CHF570</v>
      </c>
      <c r="F191" s="29">
        <f t="shared" si="32"/>
        <v>-0.15241635687732347</v>
      </c>
      <c r="G191" s="28" t="str">
        <f t="shared" si="32"/>
        <v>Sell</v>
      </c>
      <c r="H191" s="30"/>
      <c r="I191" s="31">
        <f>SWISS!$D$41</f>
        <v>1.6943681298032636</v>
      </c>
      <c r="J191" s="31">
        <f>SWISS!$E$41</f>
        <v>1.6399100121682262</v>
      </c>
      <c r="K191" s="31">
        <f>SWISS!$F$41</f>
        <v>1.5509752233775953</v>
      </c>
      <c r="L191" s="31">
        <f>SWISS!$G$41</f>
        <v>1.4486289574951372</v>
      </c>
      <c r="M191" s="29">
        <f>SWISS!$H$41</f>
        <v>2.8542066815116396E-2</v>
      </c>
      <c r="N191" s="30"/>
      <c r="O191" s="31">
        <f>SWISS!$D$37</f>
        <v>3.3191484191214449</v>
      </c>
      <c r="P191" s="31">
        <f>SWISS!$E$37</f>
        <v>3.3976536090638496</v>
      </c>
      <c r="Q191" s="31">
        <f>SWISS!$F$37</f>
        <v>3.3031613116337972</v>
      </c>
      <c r="R191" s="31">
        <f>SWISS!$G$37</f>
        <v>3.1765963262766519</v>
      </c>
      <c r="S191" s="29">
        <f>SWISS!$H$37</f>
        <v>-9.411224241034577E-3</v>
      </c>
      <c r="T191" s="30"/>
      <c r="U191" s="32" t="str">
        <f t="shared" si="34"/>
        <v>CHF673</v>
      </c>
      <c r="V191" s="53" t="str">
        <f t="shared" ref="V191:V196" si="35">V132</f>
        <v>Swisscom</v>
      </c>
    </row>
    <row r="192" spans="1:29" s="5" customFormat="1">
      <c r="A192" s="25"/>
      <c r="B192" s="26"/>
      <c r="C192" s="32" t="s">
        <v>222</v>
      </c>
      <c r="D192" s="28" t="str">
        <f t="shared" si="32"/>
        <v>EUR 0.66</v>
      </c>
      <c r="E192" s="28" t="str">
        <f t="shared" si="32"/>
        <v>EUR 0.55</v>
      </c>
      <c r="F192" s="29">
        <f t="shared" si="32"/>
        <v>-0.16641406486814181</v>
      </c>
      <c r="G192" s="28" t="str">
        <f t="shared" si="32"/>
        <v>Neutral</v>
      </c>
      <c r="H192" s="30"/>
      <c r="I192" s="31">
        <f>TI!$D$41</f>
        <v>1.2281848280711045</v>
      </c>
      <c r="J192" s="31">
        <f>TI!$E$41</f>
        <v>1.2246310343553306</v>
      </c>
      <c r="K192" s="31">
        <f>TI!$F$41</f>
        <v>1.1966960860406619</v>
      </c>
      <c r="L192" s="31">
        <f>TI!$G$41</f>
        <v>1.1539269103422065</v>
      </c>
      <c r="M192" s="29">
        <f>TI!$H$41</f>
        <v>-2.8123017734055566E-2</v>
      </c>
      <c r="N192" s="30"/>
      <c r="O192" s="31">
        <f>TI!$D$37</f>
        <v>1.9266959458855357</v>
      </c>
      <c r="P192" s="31">
        <f>TI!$E$37</f>
        <v>1.7373615910500901</v>
      </c>
      <c r="Q192" s="31">
        <f>TI!$F$37</f>
        <v>1.6438038165986131</v>
      </c>
      <c r="R192" s="31">
        <f>TI!$G$37</f>
        <v>1.543555777094606</v>
      </c>
      <c r="S192" s="29">
        <f>TI!$H$37</f>
        <v>2.4895940525712312E-2</v>
      </c>
      <c r="T192" s="30"/>
      <c r="U192" s="32" t="str">
        <f t="shared" si="34"/>
        <v>EUR 0.66</v>
      </c>
      <c r="V192" s="53" t="str">
        <f t="shared" si="35"/>
        <v>Telecom Italia</v>
      </c>
    </row>
    <row r="193" spans="1:29" s="5" customFormat="1">
      <c r="A193" s="25"/>
      <c r="B193" s="26"/>
      <c r="C193" s="32" t="s">
        <v>376</v>
      </c>
      <c r="D193" s="28" t="str">
        <f t="shared" si="32"/>
        <v>EUR 3.88</v>
      </c>
      <c r="E193" s="28" t="str">
        <f t="shared" si="32"/>
        <v>EUR 3.30</v>
      </c>
      <c r="F193" s="29">
        <f t="shared" si="32"/>
        <v>-0.14992272024729525</v>
      </c>
      <c r="G193" s="28" t="str">
        <f t="shared" si="32"/>
        <v>Sell</v>
      </c>
      <c r="H193" s="30"/>
      <c r="I193" s="31">
        <f>TEF!$D$41</f>
        <v>1.1847042923644653</v>
      </c>
      <c r="J193" s="31">
        <f>TEF!$E$41</f>
        <v>1.1929751874461807</v>
      </c>
      <c r="K193" s="31">
        <f>TEF!$F$41</f>
        <v>1.1970295742049692</v>
      </c>
      <c r="L193" s="31">
        <f>TEF!$G$41</f>
        <v>1.2020550167293669</v>
      </c>
      <c r="M193" s="29">
        <f>TEF!$H$41</f>
        <v>-3.1567570005805234E-2</v>
      </c>
      <c r="N193" s="30"/>
      <c r="O193" s="31">
        <f>TEF!$D$37</f>
        <v>1.9111603680445644</v>
      </c>
      <c r="P193" s="31">
        <f>TEF!$E$37</f>
        <v>1.8728498551274422</v>
      </c>
      <c r="Q193" s="31">
        <f>TEF!$F$37</f>
        <v>1.8055954517656125</v>
      </c>
      <c r="R193" s="31">
        <f>TEF!$G$37</f>
        <v>1.7303935401746633</v>
      </c>
      <c r="S193" s="29">
        <f>TEF!$H$37</f>
        <v>5.907857548136608E-3</v>
      </c>
      <c r="T193" s="30"/>
      <c r="U193" s="32" t="str">
        <f t="shared" si="34"/>
        <v>EUR 3.88</v>
      </c>
      <c r="V193" s="53" t="str">
        <f t="shared" si="35"/>
        <v>Telefonica</v>
      </c>
    </row>
    <row r="194" spans="1:29" s="5" customFormat="1">
      <c r="A194" s="25"/>
      <c r="B194" s="26"/>
      <c r="C194" s="32" t="s">
        <v>411</v>
      </c>
      <c r="D194" s="28" t="str">
        <f t="shared" si="32"/>
        <v>NOK 164</v>
      </c>
      <c r="E194" s="28" t="str">
        <f t="shared" si="32"/>
        <v>NOK 160</v>
      </c>
      <c r="F194" s="29">
        <f t="shared" si="32"/>
        <v>-2.6171637248934898E-2</v>
      </c>
      <c r="G194" s="28" t="str">
        <f t="shared" si="32"/>
        <v>Neutral</v>
      </c>
      <c r="H194" s="30"/>
      <c r="I194" s="31">
        <f>TNOR!$D$41</f>
        <v>2.0955373635664536</v>
      </c>
      <c r="J194" s="31">
        <f>TNOR!$E$41</f>
        <v>2.4866728295329654</v>
      </c>
      <c r="K194" s="31">
        <f>TNOR!$F$41</f>
        <v>2.3713950255952998</v>
      </c>
      <c r="L194" s="31">
        <f>TNOR!$G$41</f>
        <v>2.3483410001745582</v>
      </c>
      <c r="M194" s="29">
        <f>TNOR!$H$41</f>
        <v>-0.11788453838805479</v>
      </c>
      <c r="N194" s="30"/>
      <c r="O194" s="31">
        <f>TNOR!$D$37</f>
        <v>3.7467183035353604</v>
      </c>
      <c r="P194" s="31">
        <f>TNOR!$E$37</f>
        <v>3.3543076125205702</v>
      </c>
      <c r="Q194" s="31">
        <f>TNOR!$F$37</f>
        <v>3.1618782425745056</v>
      </c>
      <c r="R194" s="31">
        <f>TNOR!$G$37</f>
        <v>2.8727556468304707</v>
      </c>
      <c r="S194" s="29">
        <f>TNOR!$H$37</f>
        <v>1.0708221849318189E-3</v>
      </c>
      <c r="T194" s="30"/>
      <c r="U194" s="32" t="str">
        <f t="shared" si="34"/>
        <v>NOK 164</v>
      </c>
      <c r="V194" s="28" t="str">
        <f t="shared" si="35"/>
        <v>Telenor</v>
      </c>
    </row>
    <row r="195" spans="1:29" s="5" customFormat="1">
      <c r="A195" s="25"/>
      <c r="B195" s="26"/>
      <c r="C195" s="32" t="s">
        <v>846</v>
      </c>
      <c r="D195" s="28" t="str">
        <f t="shared" si="32"/>
        <v>SEK48.7</v>
      </c>
      <c r="E195" s="28" t="str">
        <f t="shared" si="32"/>
        <v>SEK45.0</v>
      </c>
      <c r="F195" s="29">
        <f t="shared" si="32"/>
        <v>-7.6165058509546357E-2</v>
      </c>
      <c r="G195" s="28" t="str">
        <f t="shared" si="32"/>
        <v>Neutral</v>
      </c>
      <c r="H195" s="30"/>
      <c r="I195" s="31">
        <f>TELIA!$D$41</f>
        <v>2.6402544980248477</v>
      </c>
      <c r="J195" s="31">
        <f>TELIA!$E$41</f>
        <v>2.4721320025419899</v>
      </c>
      <c r="K195" s="31">
        <f>TELIA!$F$41</f>
        <v>2.3955490683177585</v>
      </c>
      <c r="L195" s="31">
        <f>TELIA!$G$41</f>
        <v>2.2997406815286441</v>
      </c>
      <c r="M195" s="29">
        <f>TELIA!$H$41</f>
        <v>1.414897013336236E-2</v>
      </c>
      <c r="N195" s="30"/>
      <c r="O195" s="31">
        <f>TELIA!$D$37</f>
        <v>3.4197478132369561</v>
      </c>
      <c r="P195" s="31">
        <f>TELIA!$E$37</f>
        <v>3.4112223420610821</v>
      </c>
      <c r="Q195" s="31">
        <f>TELIA!$F$37</f>
        <v>3.2337430168123888</v>
      </c>
      <c r="R195" s="31">
        <f>TELIA!$G$37</f>
        <v>3.073004288310377</v>
      </c>
      <c r="S195" s="29">
        <f>TELIA!$H$37</f>
        <v>3.6672446874175257E-3</v>
      </c>
      <c r="T195" s="30"/>
      <c r="U195" s="32" t="str">
        <f t="shared" si="34"/>
        <v>SEK48.7</v>
      </c>
      <c r="V195" s="28" t="str">
        <f t="shared" si="35"/>
        <v>TeliaSonera</v>
      </c>
    </row>
    <row r="196" spans="1:29" s="5" customFormat="1">
      <c r="A196" s="25"/>
      <c r="B196" s="26"/>
      <c r="C196" s="35" t="str">
        <f>C137</f>
        <v>Agg. W.Europe Incumbent</v>
      </c>
      <c r="D196" s="36"/>
      <c r="E196" s="36"/>
      <c r="F196" s="37"/>
      <c r="G196" s="36"/>
      <c r="H196" s="30"/>
      <c r="I196" s="38">
        <f>'W.EUR INCUMB'!$D$41</f>
        <v>1.6501931739334781</v>
      </c>
      <c r="J196" s="38">
        <f>'W.EUR INCUMB'!$E$41</f>
        <v>1.5635974498310732</v>
      </c>
      <c r="K196" s="38">
        <f>'W.EUR INCUMB'!$F$41</f>
        <v>1.4917522449349445</v>
      </c>
      <c r="L196" s="38">
        <f>'W.EUR INCUMB'!$G$41</f>
        <v>1.4180690027077645</v>
      </c>
      <c r="M196" s="39">
        <f>'W.EUR INCUMB'!$H$41</f>
        <v>1.7523903552905118E-2</v>
      </c>
      <c r="N196" s="40"/>
      <c r="O196" s="38">
        <f>'W.EUR INCUMB'!$D$37</f>
        <v>2.6115291218198822</v>
      </c>
      <c r="P196" s="38">
        <f>'W.EUR INCUMB'!$E$37</f>
        <v>2.468778461823224</v>
      </c>
      <c r="Q196" s="38">
        <f>'W.EUR INCUMB'!$F$37</f>
        <v>2.3306922127120786</v>
      </c>
      <c r="R196" s="38">
        <f>'W.EUR INCUMB'!$G$37</f>
        <v>2.1842921069257279</v>
      </c>
      <c r="S196" s="39">
        <f>'W.EUR INCUMB'!$H$37</f>
        <v>2.6739330529638838E-2</v>
      </c>
      <c r="T196" s="30"/>
      <c r="U196" s="41"/>
      <c r="V196" s="42" t="str">
        <f t="shared" si="35"/>
        <v>Agg. W.Europe Incumbent</v>
      </c>
    </row>
    <row r="197" spans="1:29" s="5" customFormat="1">
      <c r="A197" s="25"/>
      <c r="B197" s="26"/>
      <c r="C197" s="32"/>
      <c r="D197" s="28"/>
      <c r="E197" s="28"/>
      <c r="F197" s="29"/>
      <c r="G197" s="28"/>
      <c r="H197" s="30"/>
      <c r="I197" s="31"/>
      <c r="J197" s="31"/>
      <c r="K197" s="31"/>
      <c r="L197" s="31"/>
      <c r="M197" s="29"/>
      <c r="N197" s="30"/>
      <c r="O197" s="31"/>
      <c r="P197" s="31"/>
      <c r="Q197" s="31"/>
      <c r="R197" s="31"/>
      <c r="S197" s="29"/>
      <c r="T197" s="30"/>
      <c r="U197" s="32"/>
      <c r="V197" s="28"/>
    </row>
    <row r="198" spans="1:29" s="5" customFormat="1">
      <c r="A198" s="25"/>
      <c r="B198" s="26" t="s">
        <v>424</v>
      </c>
      <c r="C198" s="32" t="s">
        <v>403</v>
      </c>
      <c r="D198" s="28" t="str">
        <f>B198&amp;TEXT(Prices!$C$45,"0.0")</f>
        <v>US$26.3</v>
      </c>
      <c r="E198" s="28" t="str">
        <f>B198&amp;TEXT(Prices!$E$45,"0.00")</f>
        <v>US$32.00</v>
      </c>
      <c r="F198" s="29">
        <f>Prices!$F$45</f>
        <v>0.21765601217656005</v>
      </c>
      <c r="G198" s="28" t="str">
        <f>Prices!$D$45</f>
        <v>Buy</v>
      </c>
      <c r="H198" s="30"/>
      <c r="I198" s="31">
        <f>ATT!$D$41</f>
        <v>1.4013085712106845</v>
      </c>
      <c r="J198" s="31">
        <f>ATT!$E$41</f>
        <v>1.3021697563554633</v>
      </c>
      <c r="K198" s="31">
        <f>ATT!$F$41</f>
        <v>1.1926316160779207</v>
      </c>
      <c r="L198" s="31">
        <f>ATT!$G$41</f>
        <v>1.1043735032124196</v>
      </c>
      <c r="M198" s="29">
        <f>ATT!$H$41</f>
        <v>6.1644345943229872E-2</v>
      </c>
      <c r="N198" s="30"/>
      <c r="O198" s="31">
        <f>ATT!$D$37</f>
        <v>3.1497012736967043</v>
      </c>
      <c r="P198" s="31">
        <f>ATT!$E$37</f>
        <v>3.2562588572628517</v>
      </c>
      <c r="Q198" s="31">
        <f>ATT!$F$37</f>
        <v>3.0199266486380267</v>
      </c>
      <c r="R198" s="31">
        <f>ATT!$G$37</f>
        <v>2.8365609580877216</v>
      </c>
      <c r="S198" s="29">
        <f>ATT!$H$37</f>
        <v>1.5466341139514173E-2</v>
      </c>
      <c r="T198" s="30"/>
      <c r="U198" s="32" t="str">
        <f t="shared" ref="U198:V200" si="36">U139</f>
        <v>USD26.3</v>
      </c>
      <c r="V198" s="28" t="str">
        <f t="shared" si="36"/>
        <v>AT&amp;T</v>
      </c>
    </row>
    <row r="199" spans="1:29" s="5" customFormat="1">
      <c r="A199" s="112"/>
      <c r="B199" s="26" t="s">
        <v>424</v>
      </c>
      <c r="C199" s="32" t="s">
        <v>570</v>
      </c>
      <c r="D199" s="28" t="str">
        <f>B199&amp;TEXT(Prices!$C$46,"0.0")</f>
        <v>US$191.5</v>
      </c>
      <c r="E199" s="28" t="str">
        <f>B199&amp;TEXT(Prices!$E$46,"0.0")</f>
        <v>US$296.0</v>
      </c>
      <c r="F199" s="29">
        <f>Prices!$F$46</f>
        <v>0.54593408889121009</v>
      </c>
      <c r="G199" s="28" t="str">
        <f>Prices!$D$46</f>
        <v>Buy</v>
      </c>
      <c r="H199" s="30"/>
      <c r="I199" s="31">
        <f>TMUS!$D$41</f>
        <v>2.0102571323619203</v>
      </c>
      <c r="J199" s="31">
        <f>TMUS!$E$41</f>
        <v>1.9081128842378703</v>
      </c>
      <c r="K199" s="31">
        <f>TMUS!$F$41</f>
        <v>1.7975480167816316</v>
      </c>
      <c r="L199" s="31">
        <f>TMUS!$G$41</f>
        <v>1.6953972846149477</v>
      </c>
      <c r="M199" s="29">
        <f>TMUS!$H$41</f>
        <v>3.7150898957166278E-2</v>
      </c>
      <c r="N199" s="30"/>
      <c r="O199" s="31">
        <f>TMUS!$D$37</f>
        <v>4.1119548841081341</v>
      </c>
      <c r="P199" s="31">
        <f>TMUS!$E$37</f>
        <v>3.7848076677102225</v>
      </c>
      <c r="Q199" s="31">
        <f>TMUS!$F$37</f>
        <v>3.5388283094322555</v>
      </c>
      <c r="R199" s="31">
        <f>TMUS!$G$37</f>
        <v>3.3275461219993177</v>
      </c>
      <c r="S199" s="29">
        <f>TMUS!$H$37</f>
        <v>5.1534011540008029E-2</v>
      </c>
      <c r="T199" s="30"/>
      <c r="U199" s="32" t="str">
        <f t="shared" si="36"/>
        <v>USD191.5</v>
      </c>
      <c r="V199" s="28" t="str">
        <f t="shared" si="36"/>
        <v>TMUS</v>
      </c>
    </row>
    <row r="200" spans="1:29" s="5" customFormat="1">
      <c r="A200" s="25"/>
      <c r="B200" s="26" t="s">
        <v>424</v>
      </c>
      <c r="C200" s="32" t="s">
        <v>30</v>
      </c>
      <c r="D200" s="28" t="str">
        <f>B200&amp;TEXT(Prices!$C$44,"0.0")</f>
        <v>US$46.9</v>
      </c>
      <c r="E200" s="28" t="str">
        <f>B200&amp;TEXT(Prices!$E$44,"0.00")</f>
        <v>US$42.00</v>
      </c>
      <c r="F200" s="29">
        <f>Prices!$F$44</f>
        <v>-0.10371318822023046</v>
      </c>
      <c r="G200" s="28" t="str">
        <f>Prices!$D$44</f>
        <v>Neutral</v>
      </c>
      <c r="H200" s="30"/>
      <c r="I200" s="31">
        <f>VZN!$D$41</f>
        <v>2.6926060557513436</v>
      </c>
      <c r="J200" s="31">
        <f>VZN!$E$41</f>
        <v>2.6982247612381505</v>
      </c>
      <c r="K200" s="31">
        <f>VZN!$F$41</f>
        <v>2.7524243636559493</v>
      </c>
      <c r="L200" s="31">
        <f>VZN!$G$41</f>
        <v>2.841690575108939</v>
      </c>
      <c r="M200" s="29">
        <f>VZN!$H$41</f>
        <v>-9.4439680794714986E-2</v>
      </c>
      <c r="N200" s="30"/>
      <c r="O200" s="31">
        <f>VZN!$D$37</f>
        <v>2.639842156642346</v>
      </c>
      <c r="P200" s="31">
        <f>VZN!$E$37</f>
        <v>2.4425850729143139</v>
      </c>
      <c r="Q200" s="31">
        <f>VZN!$F$37</f>
        <v>2.2179638717019419</v>
      </c>
      <c r="R200" s="31">
        <f>VZN!$G$37</f>
        <v>1.982133365649833</v>
      </c>
      <c r="S200" s="29">
        <f>VZN!$H$37</f>
        <v>1.437935736485918E-2</v>
      </c>
      <c r="T200" s="30"/>
      <c r="U200" s="32" t="str">
        <f t="shared" si="36"/>
        <v>USD46.9</v>
      </c>
      <c r="V200" s="28" t="str">
        <f t="shared" si="36"/>
        <v>Verizon</v>
      </c>
    </row>
    <row r="201" spans="1:29" s="5" customFormat="1">
      <c r="A201" s="25"/>
      <c r="B201" s="26"/>
      <c r="C201" s="35" t="s">
        <v>214</v>
      </c>
      <c r="D201" s="36"/>
      <c r="E201" s="36"/>
      <c r="F201" s="37"/>
      <c r="G201" s="36"/>
      <c r="H201" s="30"/>
      <c r="I201" s="38">
        <f>'US TELCO'!$D$41</f>
        <v>1.8809025689809733</v>
      </c>
      <c r="J201" s="38">
        <f>'US TELCO'!$E$41</f>
        <v>1.766265670071739</v>
      </c>
      <c r="K201" s="38">
        <f>'US TELCO'!$F$41</f>
        <v>1.6623601249316389</v>
      </c>
      <c r="L201" s="38">
        <f>'US TELCO'!$G$41</f>
        <v>1.5673415756231237</v>
      </c>
      <c r="M201" s="39">
        <f>'US TELCO'!$H$41</f>
        <v>2.2316486738481522E-2</v>
      </c>
      <c r="N201" s="30"/>
      <c r="O201" s="38">
        <f>'US TELCO'!$D$37</f>
        <v>3.1912515933350361</v>
      </c>
      <c r="P201" s="38">
        <f>'US TELCO'!$E$37</f>
        <v>3.0787187231969964</v>
      </c>
      <c r="Q201" s="38">
        <f>'US TELCO'!$F$37</f>
        <v>2.8503225545326361</v>
      </c>
      <c r="R201" s="38">
        <f>'US TELCO'!$G$37</f>
        <v>2.6431750462938113</v>
      </c>
      <c r="S201" s="39">
        <f>'US TELCO'!$H$37</f>
        <v>2.4384163316372609E-2</v>
      </c>
      <c r="T201" s="30"/>
      <c r="U201" s="41"/>
      <c r="V201" s="42" t="str">
        <f>V142</f>
        <v>Agg. US Telecoms</v>
      </c>
    </row>
    <row r="202" spans="1:29" s="5" customFormat="1">
      <c r="A202" s="25"/>
      <c r="B202" s="26"/>
      <c r="C202" s="32"/>
      <c r="D202" s="28"/>
      <c r="E202" s="28"/>
      <c r="F202" s="29"/>
      <c r="G202" s="28"/>
      <c r="H202" s="30"/>
      <c r="I202" s="31"/>
      <c r="J202" s="31"/>
      <c r="K202" s="31"/>
      <c r="L202" s="31"/>
      <c r="M202" s="29"/>
      <c r="N202" s="30"/>
      <c r="O202" s="31"/>
      <c r="P202" s="31"/>
      <c r="Q202" s="31"/>
      <c r="R202" s="31"/>
      <c r="S202" s="29"/>
      <c r="T202" s="30"/>
      <c r="U202" s="32"/>
      <c r="V202" s="28"/>
    </row>
    <row r="203" spans="1:29">
      <c r="A203" s="25"/>
      <c r="C203" s="32" t="str">
        <f>C144</f>
        <v>NTT</v>
      </c>
      <c r="D203" s="28" t="str">
        <f>D144</f>
        <v>JPY 152</v>
      </c>
      <c r="E203" s="28" t="str">
        <f>E144</f>
        <v>JPY 215</v>
      </c>
      <c r="F203" s="29">
        <f>F144</f>
        <v>0.41914191419141922</v>
      </c>
      <c r="G203" s="28" t="str">
        <f>G144</f>
        <v>Buy</v>
      </c>
      <c r="H203" s="30"/>
      <c r="I203" s="31">
        <f>NTT!$D$41</f>
        <v>1.2521985706757017</v>
      </c>
      <c r="J203" s="31">
        <f>NTT!$E$41</f>
        <v>1.1685608495671442</v>
      </c>
      <c r="K203" s="31">
        <f>NTT!$F$41</f>
        <v>1.0840628052861843</v>
      </c>
      <c r="L203" s="31">
        <f>NTT!$G$41</f>
        <v>0.99836479067464967</v>
      </c>
      <c r="M203" s="29">
        <f>NTT!$H$41</f>
        <v>2.3962808369832223E-2</v>
      </c>
      <c r="N203" s="30"/>
      <c r="O203" s="31">
        <f>NTT!$D$37</f>
        <v>1.5891592232227088</v>
      </c>
      <c r="P203" s="31">
        <f>NTT!$E$37</f>
        <v>1.463384560750348</v>
      </c>
      <c r="Q203" s="31">
        <f>NTT!$F$37</f>
        <v>1.335206328607399</v>
      </c>
      <c r="R203" s="31">
        <f>NTT!$G$37</f>
        <v>1.2049535035371277</v>
      </c>
      <c r="S203" s="29">
        <f>NTT!$H$37</f>
        <v>4.1250544896828556E-2</v>
      </c>
      <c r="T203" s="30"/>
      <c r="U203" s="32" t="str">
        <f>U144</f>
        <v>JPY 152</v>
      </c>
      <c r="V203" s="28" t="str">
        <f>V144</f>
        <v>NTT</v>
      </c>
      <c r="AB203" s="5"/>
    </row>
    <row r="204" spans="1:29">
      <c r="A204" s="25"/>
      <c r="C204" s="32" t="s">
        <v>180</v>
      </c>
      <c r="D204" s="28" t="str">
        <f>D145</f>
        <v>SGD 4.63</v>
      </c>
      <c r="E204" s="28" t="str">
        <f>E145</f>
        <v>SGD 6.20</v>
      </c>
      <c r="F204" s="29">
        <f>F145</f>
        <v>0.33909287257019449</v>
      </c>
      <c r="G204" s="28" t="str">
        <f>G145</f>
        <v>Buy</v>
      </c>
      <c r="H204" s="30"/>
      <c r="I204" s="31">
        <f>SINGTEL!$D$41</f>
        <v>2.4123298294584612</v>
      </c>
      <c r="J204" s="31">
        <f>SINGTEL!$E$41</f>
        <v>2.2780771847263415</v>
      </c>
      <c r="K204" s="31">
        <f>SINGTEL!$F$41</f>
        <v>2.1333425811442623</v>
      </c>
      <c r="L204" s="31">
        <f>SINGTEL!$G$41</f>
        <v>1.9743022609132506</v>
      </c>
      <c r="M204" s="29">
        <f>SINGTEL!$H$41</f>
        <v>2.4299493366959357E-2</v>
      </c>
      <c r="N204" s="30"/>
      <c r="O204" s="31">
        <f>SINGTEL!$D$37</f>
        <v>5.8274497108690433</v>
      </c>
      <c r="P204" s="31">
        <f>SINGTEL!$E$37</f>
        <v>5.4372731541737833</v>
      </c>
      <c r="Q204" s="31">
        <f>SINGTEL!$F$37</f>
        <v>5.0508357469825755</v>
      </c>
      <c r="R204" s="31">
        <f>SINGTEL!$G$37</f>
        <v>4.6986184052065791</v>
      </c>
      <c r="S204" s="29">
        <f>SINGTEL!$H$37</f>
        <v>2.94108216317297E-2</v>
      </c>
      <c r="T204" s="30"/>
      <c r="U204" s="32" t="str">
        <f>U145</f>
        <v>SGD 4.63</v>
      </c>
      <c r="V204" s="28" t="str">
        <f>V145</f>
        <v>SingTel</v>
      </c>
      <c r="AC204" s="47"/>
    </row>
    <row r="205" spans="1:29">
      <c r="A205" s="25"/>
      <c r="C205" s="35" t="str">
        <f>C146</f>
        <v>Agg. Developed Asia Incumbent</v>
      </c>
      <c r="D205" s="42"/>
      <c r="E205" s="42"/>
      <c r="F205" s="39"/>
      <c r="G205" s="42"/>
      <c r="H205" s="40"/>
      <c r="I205" s="38">
        <f>'DM ASIA INCUMB'!$D$41</f>
        <v>1.4780848576439376</v>
      </c>
      <c r="J205" s="38">
        <f>'DM ASIA INCUMB'!$E$41</f>
        <v>1.3837588527468945</v>
      </c>
      <c r="K205" s="38">
        <f>'DM ASIA INCUMB'!$F$41</f>
        <v>1.2873013722373157</v>
      </c>
      <c r="L205" s="38">
        <f>'DM ASIA INCUMB'!$G$41</f>
        <v>1.1885381266108872</v>
      </c>
      <c r="M205" s="39">
        <f>'DM ASIA INCUMB'!$H$41</f>
        <v>2.4028380830638962E-2</v>
      </c>
      <c r="N205" s="40"/>
      <c r="O205" s="38">
        <f>'DM ASIA INCUMB'!$D$37</f>
        <v>2.0668419110610761</v>
      </c>
      <c r="P205" s="38">
        <f>'DM ASIA INCUMB'!$E$37</f>
        <v>1.9088565316450501</v>
      </c>
      <c r="Q205" s="38">
        <f>'DM ASIA INCUMB'!$F$37</f>
        <v>1.7479660765477498</v>
      </c>
      <c r="R205" s="38">
        <f>'DM ASIA INCUMB'!$G$37</f>
        <v>1.5868840838016069</v>
      </c>
      <c r="S205" s="39">
        <f>'DM ASIA INCUMB'!$H$37</f>
        <v>3.9929572223155851E-2</v>
      </c>
      <c r="T205" s="40"/>
      <c r="U205" s="35"/>
      <c r="V205" s="42" t="str">
        <f>V146</f>
        <v xml:space="preserve">Agg. Developed Asia Incumbent </v>
      </c>
    </row>
    <row r="206" spans="1:29">
      <c r="A206" s="25"/>
      <c r="C206" s="27"/>
      <c r="D206" s="34"/>
      <c r="E206" s="34"/>
      <c r="F206" s="45"/>
      <c r="G206" s="34"/>
      <c r="H206" s="40"/>
      <c r="I206" s="46"/>
      <c r="J206" s="46"/>
      <c r="K206" s="46"/>
      <c r="L206" s="46"/>
      <c r="M206" s="45"/>
      <c r="N206" s="40"/>
      <c r="O206" s="46"/>
      <c r="P206" s="46"/>
      <c r="Q206" s="46"/>
      <c r="R206" s="46"/>
      <c r="S206" s="45"/>
      <c r="T206" s="40"/>
      <c r="U206" s="27"/>
      <c r="V206" s="34"/>
    </row>
    <row r="207" spans="1:29">
      <c r="A207" s="25"/>
      <c r="C207" s="35" t="s">
        <v>717</v>
      </c>
      <c r="D207" s="42"/>
      <c r="E207" s="42"/>
      <c r="F207" s="39"/>
      <c r="G207" s="42"/>
      <c r="H207" s="40"/>
      <c r="I207" s="38">
        <f>'AGG DM INCUMB'!D41</f>
        <v>1.7270644603588043</v>
      </c>
      <c r="J207" s="38">
        <f>'AGG DM INCUMB'!E41</f>
        <v>1.6287947084951608</v>
      </c>
      <c r="K207" s="38">
        <f>'AGG DM INCUMB'!F41</f>
        <v>1.5396473927042418</v>
      </c>
      <c r="L207" s="38">
        <f>'AGG DM INCUMB'!G41</f>
        <v>1.4533321665151855</v>
      </c>
      <c r="M207" s="39">
        <f>'AGG DM INCUMB'!H41</f>
        <v>2.0367153415597361E-2</v>
      </c>
      <c r="N207" s="40"/>
      <c r="O207" s="38">
        <f>'AGG DM INCUMB'!D37</f>
        <v>2.7674262167101658</v>
      </c>
      <c r="P207" s="38">
        <f>'AGG DM INCUMB'!E37</f>
        <v>2.632012156456895</v>
      </c>
      <c r="Q207" s="38">
        <f>'AGG DM INCUMB'!F37</f>
        <v>2.4533671668115908</v>
      </c>
      <c r="R207" s="38">
        <f>'AGG DM INCUMB'!G37</f>
        <v>2.2794509648012689</v>
      </c>
      <c r="S207" s="39">
        <f>'AGG DM INCUMB'!H37</f>
        <v>2.7678288869384726E-2</v>
      </c>
      <c r="T207" s="40"/>
      <c r="U207" s="35"/>
      <c r="V207" s="42" t="str">
        <f>C207</f>
        <v>Agg. DM Incumbent total</v>
      </c>
    </row>
    <row r="208" spans="1:29">
      <c r="A208" s="25"/>
      <c r="C208" s="25"/>
      <c r="D208" s="28"/>
      <c r="E208" s="28"/>
      <c r="F208" s="29"/>
      <c r="G208" s="28"/>
      <c r="H208" s="30"/>
      <c r="I208" s="31"/>
      <c r="J208" s="31"/>
      <c r="K208" s="31"/>
      <c r="L208" s="31"/>
      <c r="M208" s="29"/>
      <c r="N208" s="30"/>
      <c r="O208" s="31"/>
      <c r="P208" s="31"/>
      <c r="Q208" s="31"/>
      <c r="R208" s="31"/>
      <c r="S208" s="29"/>
      <c r="T208" s="30"/>
      <c r="U208" s="32"/>
      <c r="V208" s="34"/>
    </row>
    <row r="209" spans="1:22">
      <c r="A209" s="25" t="s">
        <v>1091</v>
      </c>
      <c r="C209" s="32" t="str">
        <f t="shared" ref="C209:G221" si="37">C150</f>
        <v>1&amp;1</v>
      </c>
      <c r="D209" s="28" t="str">
        <f t="shared" si="37"/>
        <v>EUR 23.2</v>
      </c>
      <c r="E209" s="28" t="str">
        <f t="shared" si="37"/>
        <v>EUR 10.0</v>
      </c>
      <c r="F209" s="29">
        <f t="shared" si="37"/>
        <v>-0.56803455723542107</v>
      </c>
      <c r="G209" s="28" t="str">
        <f t="shared" si="37"/>
        <v>Sell</v>
      </c>
      <c r="H209" s="30"/>
      <c r="I209" s="31">
        <f>DRI!$D$41</f>
        <v>0.91477504567434664</v>
      </c>
      <c r="J209" s="31">
        <f>DRI!$E$41</f>
        <v>0.91097917232621772</v>
      </c>
      <c r="K209" s="31">
        <f>DRI!$F$41</f>
        <v>0.89977240070218756</v>
      </c>
      <c r="L209" s="31">
        <f>DRI!$G$41</f>
        <v>0.88387580336370974</v>
      </c>
      <c r="M209" s="29">
        <f>DRI!$H$41</f>
        <v>2.6257875338309145E-2</v>
      </c>
      <c r="N209" s="30"/>
      <c r="O209" s="31">
        <f>DRI!$D$37</f>
        <v>1.7467899390706652</v>
      </c>
      <c r="P209" s="31">
        <f>DRI!$E$37</f>
        <v>1.5724765103959792</v>
      </c>
      <c r="Q209" s="31">
        <f>DRI!$F$37</f>
        <v>1.6017680039475053</v>
      </c>
      <c r="R209" s="31">
        <f>DRI!$G$37</f>
        <v>1.6137602618887368</v>
      </c>
      <c r="S209" s="29">
        <f>DRI!$H$37</f>
        <v>4.1716084399639586E-2</v>
      </c>
      <c r="T209" s="30"/>
      <c r="U209" s="32" t="str">
        <f t="shared" ref="U209:V211" si="38">U150</f>
        <v>EUR 23.2</v>
      </c>
      <c r="V209" s="28" t="str">
        <f t="shared" si="38"/>
        <v>1&amp;1</v>
      </c>
    </row>
    <row r="210" spans="1:22">
      <c r="A210" s="25"/>
      <c r="C210" s="32" t="str">
        <f t="shared" si="37"/>
        <v>Bouygues</v>
      </c>
      <c r="D210" s="28" t="str">
        <f t="shared" si="37"/>
        <v>EUR 51.8</v>
      </c>
      <c r="E210" s="28" t="str">
        <f t="shared" si="37"/>
        <v>EUR 64.0</v>
      </c>
      <c r="F210" s="29">
        <f t="shared" si="37"/>
        <v>0.23599845500193117</v>
      </c>
      <c r="G210" s="28" t="str">
        <f t="shared" si="37"/>
        <v>Buy</v>
      </c>
      <c r="H210" s="30"/>
      <c r="I210" s="31">
        <f>BOUY!$D$41</f>
        <v>6.7571705130738149</v>
      </c>
      <c r="J210" s="31">
        <f>BOUY!$E$41</f>
        <v>8.480023532608822</v>
      </c>
      <c r="K210" s="31">
        <f>BOUY!$F$41</f>
        <v>11.528864228406521</v>
      </c>
      <c r="L210" s="31">
        <f>BOUY!$G$41</f>
        <v>23.003490627336802</v>
      </c>
      <c r="M210" s="29">
        <f>BOUY!$H$41</f>
        <v>-0.38371357123802863</v>
      </c>
      <c r="N210" s="30"/>
      <c r="O210" s="31">
        <f>BOUY!$D$37</f>
        <v>0.49944871981578348</v>
      </c>
      <c r="P210" s="31">
        <f>BOUY!$E$37</f>
        <v>0.46024008675218625</v>
      </c>
      <c r="Q210" s="31">
        <f>BOUY!$F$37</f>
        <v>0.41897961239105219</v>
      </c>
      <c r="R210" s="31">
        <f>BOUY!$G$37</f>
        <v>0.37470305859602032</v>
      </c>
      <c r="S210" s="29">
        <f>BOUY!$H$37</f>
        <v>2.0297402452326585E-2</v>
      </c>
      <c r="T210" s="30"/>
      <c r="U210" s="32" t="str">
        <f t="shared" si="38"/>
        <v>EUR 51.8</v>
      </c>
      <c r="V210" s="28" t="str">
        <f t="shared" si="38"/>
        <v>Bouygues</v>
      </c>
    </row>
    <row r="211" spans="1:22">
      <c r="C211" s="32" t="str">
        <f t="shared" si="37"/>
        <v>Elisa</v>
      </c>
      <c r="D211" s="28" t="str">
        <f t="shared" si="37"/>
        <v>EUR 41.9</v>
      </c>
      <c r="E211" s="28" t="str">
        <f t="shared" si="37"/>
        <v>EUR 39.0</v>
      </c>
      <c r="F211" s="29">
        <f t="shared" si="37"/>
        <v>-6.9256376181545454E-2</v>
      </c>
      <c r="G211" s="28" t="str">
        <f t="shared" si="37"/>
        <v>Neutral</v>
      </c>
      <c r="H211" s="30"/>
      <c r="I211" s="31">
        <f>ELISA!$D$41</f>
        <v>3.0952884159871017</v>
      </c>
      <c r="J211" s="31">
        <f>ELISA!$E$41</f>
        <v>3.2517253222562599</v>
      </c>
      <c r="K211" s="31">
        <f>ELISA!$F$41</f>
        <v>3.0884424450766894</v>
      </c>
      <c r="L211" s="31">
        <f>ELISA!$G$41</f>
        <v>2.895445730402713</v>
      </c>
      <c r="M211" s="29">
        <f>ELISA!$H$41</f>
        <v>-2.4259486596823421E-2</v>
      </c>
      <c r="N211" s="30"/>
      <c r="O211" s="31">
        <f>ELISA!$D$37</f>
        <v>3.8034568347615201</v>
      </c>
      <c r="P211" s="31">
        <f>ELISA!$E$37</f>
        <v>3.5599285706279251</v>
      </c>
      <c r="Q211" s="31">
        <f>ELISA!$F$37</f>
        <v>3.2834275062811193</v>
      </c>
      <c r="R211" s="31">
        <f>ELISA!$G$37</f>
        <v>3.029530455612401</v>
      </c>
      <c r="S211" s="29">
        <f>ELISA!$H$37</f>
        <v>2.9453725359464666E-2</v>
      </c>
      <c r="T211" s="30"/>
      <c r="U211" s="32" t="str">
        <f t="shared" si="38"/>
        <v>EUR 41.9</v>
      </c>
      <c r="V211" s="28" t="str">
        <f t="shared" si="38"/>
        <v>Elisa</v>
      </c>
    </row>
    <row r="212" spans="1:22">
      <c r="C212" s="32" t="str">
        <f t="shared" si="37"/>
        <v>Eutelsat</v>
      </c>
      <c r="D212" s="28" t="str">
        <f t="shared" si="37"/>
        <v>EUR 2.8</v>
      </c>
      <c r="E212" s="28" t="str">
        <f t="shared" si="37"/>
        <v>EUR 1.4</v>
      </c>
      <c r="F212" s="29">
        <f t="shared" si="37"/>
        <v>-0.5</v>
      </c>
      <c r="G212" s="28" t="str">
        <f t="shared" si="37"/>
        <v>Sell</v>
      </c>
      <c r="H212" s="30"/>
      <c r="I212" s="31">
        <f>ETL!$D$41</f>
        <v>0.89656389990455387</v>
      </c>
      <c r="J212" s="31">
        <f>ETL!$E$41</f>
        <v>0.92634221638863423</v>
      </c>
      <c r="K212" s="31">
        <f>ETL!$F$41</f>
        <v>0.94249579949943285</v>
      </c>
      <c r="L212" s="31">
        <f>ETL!$G$41</f>
        <v>0.93313736044085138</v>
      </c>
      <c r="M212" s="29">
        <f>ETL!$H$41</f>
        <v>5.2946981957054273E-2</v>
      </c>
      <c r="N212" s="30"/>
      <c r="O212" s="31">
        <f>ETL!$D$37</f>
        <v>4.000749379397611</v>
      </c>
      <c r="P212" s="31">
        <f>ETL!$E$37</f>
        <v>4.192238716232243</v>
      </c>
      <c r="Q212" s="31">
        <f>ETL!$F$37</f>
        <v>4.4212576193088751</v>
      </c>
      <c r="R212" s="31">
        <f>ETL!$G$37</f>
        <v>4.3713495458971678</v>
      </c>
      <c r="S212" s="29">
        <f>ETL!$H$37</f>
        <v>3.6024162878186994E-2</v>
      </c>
      <c r="T212" s="30"/>
      <c r="U212" s="32" t="str">
        <f t="shared" ref="U212:U221" si="39">U153</f>
        <v>EUR 2.8</v>
      </c>
      <c r="V212" s="28" t="s">
        <v>1283</v>
      </c>
    </row>
    <row r="213" spans="1:22">
      <c r="A213" s="25"/>
      <c r="C213" s="32" t="str">
        <f t="shared" si="37"/>
        <v>Liberty Global (prop.)</v>
      </c>
      <c r="D213" s="28" t="str">
        <f t="shared" si="37"/>
        <v>USD 12.0</v>
      </c>
      <c r="E213" s="28" t="str">
        <f t="shared" si="37"/>
        <v>USD 12.5</v>
      </c>
      <c r="F213" s="29">
        <f t="shared" si="37"/>
        <v>4.4277360066833804E-2</v>
      </c>
      <c r="G213" s="28" t="str">
        <f t="shared" si="37"/>
        <v>Neutral</v>
      </c>
      <c r="H213" s="30"/>
      <c r="I213" s="31">
        <f>LBTY!$D$41</f>
        <v>0.24145866136961186</v>
      </c>
      <c r="J213" s="31">
        <f>LBTY!$E$41</f>
        <v>0.28306573259392548</v>
      </c>
      <c r="K213" s="31">
        <f>LBTY!$F$41</f>
        <v>0.50696986734209282</v>
      </c>
      <c r="L213" s="31">
        <f>LBTY!$G$41</f>
        <v>0.50087483924393028</v>
      </c>
      <c r="M213" s="29">
        <f>LBTY!$H$41</f>
        <v>0.14536484236769964</v>
      </c>
      <c r="N213" s="30"/>
      <c r="O213" s="31">
        <f>LBTY!$D$37</f>
        <v>0.87759894015083739</v>
      </c>
      <c r="P213" s="31">
        <f>LBTY!$E$37</f>
        <v>1.0700860683979332</v>
      </c>
      <c r="Q213" s="31">
        <f>LBTY!$F$37</f>
        <v>1.4824212009852578</v>
      </c>
      <c r="R213" s="31">
        <f>LBTY!$G$37</f>
        <v>1.457939262168845</v>
      </c>
      <c r="S213" s="29">
        <f>LBTY!$H$37</f>
        <v>0.23336478233878566</v>
      </c>
      <c r="T213" s="30"/>
      <c r="U213" s="32" t="str">
        <f t="shared" si="39"/>
        <v>USD 12.0</v>
      </c>
      <c r="V213" s="28" t="str">
        <f t="shared" ref="V213:V221" si="40">V154</f>
        <v>Liberty Global</v>
      </c>
    </row>
    <row r="214" spans="1:22">
      <c r="A214" s="25"/>
      <c r="C214" s="32" t="str">
        <f t="shared" si="37"/>
        <v>NOS</v>
      </c>
      <c r="D214" s="28" t="str">
        <f t="shared" si="37"/>
        <v>EUR 5.65</v>
      </c>
      <c r="E214" s="28" t="str">
        <f t="shared" si="37"/>
        <v>EUR 5.50</v>
      </c>
      <c r="F214" s="29">
        <f t="shared" si="37"/>
        <v>-2.6548672566371723E-2</v>
      </c>
      <c r="G214" s="28" t="str">
        <f t="shared" si="37"/>
        <v>Neutral</v>
      </c>
      <c r="H214" s="30"/>
      <c r="I214" s="31">
        <f>NOS!$D$41</f>
        <v>1.9764582865664699</v>
      </c>
      <c r="J214" s="31">
        <f>NOS!$E$41</f>
        <v>1.9138923657929638</v>
      </c>
      <c r="K214" s="31">
        <f>NOS!$F$41</f>
        <v>1.6239692099693779</v>
      </c>
      <c r="L214" s="31">
        <f>NOS!$G$41</f>
        <v>1.4973927222884882</v>
      </c>
      <c r="M214" s="29">
        <f>NOS!$H$41</f>
        <v>2.0343925924479311E-2</v>
      </c>
      <c r="N214" s="30"/>
      <c r="O214" s="31">
        <f>NOS!$D$37</f>
        <v>2.3924812857361566</v>
      </c>
      <c r="P214" s="31">
        <f>NOS!$E$37</f>
        <v>2.1934718580506605</v>
      </c>
      <c r="Q214" s="31">
        <f>NOS!$F$37</f>
        <v>2.069600992719089</v>
      </c>
      <c r="R214" s="31">
        <f>NOS!$G$37</f>
        <v>1.9629715343557668</v>
      </c>
      <c r="S214" s="29">
        <f>NOS!$H$37</f>
        <v>-6.4094452711144223E-3</v>
      </c>
      <c r="T214" s="30"/>
      <c r="U214" s="32" t="str">
        <f t="shared" si="39"/>
        <v>EUR 5.65</v>
      </c>
      <c r="V214" s="28" t="str">
        <f t="shared" si="40"/>
        <v>NOS</v>
      </c>
    </row>
    <row r="215" spans="1:22">
      <c r="C215" s="32" t="str">
        <f t="shared" si="37"/>
        <v>Orange Belgium</v>
      </c>
      <c r="D215" s="28" t="str">
        <f t="shared" si="37"/>
        <v>EUR 21.0</v>
      </c>
      <c r="E215" s="28" t="str">
        <f t="shared" si="37"/>
        <v>EUR 21.1</v>
      </c>
      <c r="F215" s="29">
        <f t="shared" si="37"/>
        <v>5.150744566468024E-3</v>
      </c>
      <c r="G215" s="28" t="str">
        <f t="shared" si="37"/>
        <v>Neutral</v>
      </c>
      <c r="H215" s="30"/>
      <c r="I215" s="31">
        <f>OBEL!$D$41</f>
        <v>1.1967151638700733</v>
      </c>
      <c r="J215" s="31">
        <f>OBEL!$E$41</f>
        <v>1.1972431597412618</v>
      </c>
      <c r="K215" s="31">
        <f>OBEL!$F$41</f>
        <v>1.1916255118790056</v>
      </c>
      <c r="L215" s="31">
        <f>OBEL!$G$41</f>
        <v>1.2182606959086801</v>
      </c>
      <c r="M215" s="29">
        <f>OBEL!$H$41</f>
        <v>-1.8944385617045145E-2</v>
      </c>
      <c r="N215" s="30"/>
      <c r="O215" s="31">
        <f>OBEL!$D$37</f>
        <v>1.7210956827085375</v>
      </c>
      <c r="P215" s="31">
        <f>OBEL!$E$37</f>
        <v>1.6593641036097573</v>
      </c>
      <c r="Q215" s="31">
        <f>OBEL!$F$37</f>
        <v>1.598680611269945</v>
      </c>
      <c r="R215" s="31">
        <f>OBEL!$G$37</f>
        <v>1.5997545894763463</v>
      </c>
      <c r="S215" s="29">
        <f>OBEL!$H$37</f>
        <v>1.1254942588671213E-2</v>
      </c>
      <c r="T215" s="30"/>
      <c r="U215" s="32" t="str">
        <f t="shared" si="39"/>
        <v>EUR 21.0</v>
      </c>
      <c r="V215" s="28" t="str">
        <f t="shared" si="40"/>
        <v>Orange Belgium</v>
      </c>
    </row>
    <row r="216" spans="1:22">
      <c r="C216" s="32" t="str">
        <f t="shared" si="37"/>
        <v>SES</v>
      </c>
      <c r="D216" s="28" t="str">
        <f t="shared" si="37"/>
        <v>EUR 6.6</v>
      </c>
      <c r="E216" s="28" t="str">
        <f t="shared" si="37"/>
        <v>EUR 6.0</v>
      </c>
      <c r="F216" s="404">
        <f t="shared" si="37"/>
        <v>-9.297052154195018E-2</v>
      </c>
      <c r="G216" s="28" t="str">
        <f t="shared" si="37"/>
        <v>Neutral</v>
      </c>
      <c r="H216" s="30"/>
      <c r="I216" s="528">
        <f>SES!$D$41</f>
        <v>0.8420706292814375</v>
      </c>
      <c r="J216" s="528">
        <f>SES!$E$41</f>
        <v>0.8176967596494904</v>
      </c>
      <c r="K216" s="528">
        <f>SES!$F$41</f>
        <v>0.74703409630247286</v>
      </c>
      <c r="L216" s="528">
        <f>SES!$G$41</f>
        <v>0.73061103857858145</v>
      </c>
      <c r="M216" s="404">
        <f>SES!$H$41</f>
        <v>-1.2516906397966876E-3</v>
      </c>
      <c r="N216" s="30"/>
      <c r="O216" s="528">
        <f>SES!$D$37</f>
        <v>2.7867154729302368</v>
      </c>
      <c r="P216" s="528">
        <f>SES!$E$37</f>
        <v>2.0494101308686914</v>
      </c>
      <c r="Q216" s="528">
        <f>SES!$F$37</f>
        <v>1.9138821080105302</v>
      </c>
      <c r="R216" s="528">
        <f>SES!$G$37</f>
        <v>2.0295749463256789</v>
      </c>
      <c r="S216" s="404">
        <f>SES!$H$37</f>
        <v>5.8760683603923392E-2</v>
      </c>
      <c r="T216" s="30"/>
      <c r="U216" s="32" t="str">
        <f t="shared" si="39"/>
        <v>EUR 6.6</v>
      </c>
      <c r="V216" s="28" t="str">
        <f t="shared" si="40"/>
        <v>SES</v>
      </c>
    </row>
    <row r="217" spans="1:22">
      <c r="C217" s="32" t="str">
        <f t="shared" si="37"/>
        <v>Sunrise</v>
      </c>
      <c r="D217" s="28" t="str">
        <f t="shared" si="37"/>
        <v>CHF46.1</v>
      </c>
      <c r="E217" s="28" t="str">
        <f t="shared" si="37"/>
        <v>CHF38.7</v>
      </c>
      <c r="F217" s="29">
        <f t="shared" si="37"/>
        <v>-0.15959504533103386</v>
      </c>
      <c r="G217" s="28" t="str">
        <f t="shared" si="37"/>
        <v>Sell</v>
      </c>
      <c r="H217" s="30"/>
      <c r="I217" s="31">
        <f>SUNN!$D$41</f>
        <v>1.8671119693838159</v>
      </c>
      <c r="J217" s="31">
        <f>SUNN!$E$41</f>
        <v>1.8478878220106703</v>
      </c>
      <c r="K217" s="31">
        <f>SUNN!$F$41</f>
        <v>1.8284370673018278</v>
      </c>
      <c r="L217" s="31">
        <f>SUNN!$G$41</f>
        <v>1.7339271992170759</v>
      </c>
      <c r="M217" s="29">
        <f>SUNN!$H$41</f>
        <v>2.8430351003632115E-3</v>
      </c>
      <c r="N217" s="30"/>
      <c r="O217" s="31">
        <f>SUNN!$D$37</f>
        <v>2.8544270605214135</v>
      </c>
      <c r="P217" s="31">
        <f>SUNN!$E$37</f>
        <v>2.7763551868953438</v>
      </c>
      <c r="Q217" s="31">
        <f>SUNN!$F$37</f>
        <v>2.6603602721641639</v>
      </c>
      <c r="R217" s="31">
        <f>SUNN!$G$37</f>
        <v>2.6866561245786289</v>
      </c>
      <c r="S217" s="29">
        <f>SUNN!$H$37</f>
        <v>-1.6363726347560226E-3</v>
      </c>
      <c r="T217" s="30"/>
      <c r="U217" s="32" t="str">
        <f t="shared" si="39"/>
        <v>CHF46.1</v>
      </c>
      <c r="V217" s="28" t="str">
        <f t="shared" si="40"/>
        <v>Sunrise</v>
      </c>
    </row>
    <row r="218" spans="1:22">
      <c r="C218" s="32" t="str">
        <f t="shared" si="37"/>
        <v>Tele2</v>
      </c>
      <c r="D218" s="28" t="str">
        <f t="shared" si="37"/>
        <v>SEK 189.7</v>
      </c>
      <c r="E218" s="28" t="str">
        <f t="shared" si="37"/>
        <v>SEK 170.0</v>
      </c>
      <c r="F218" s="29">
        <f t="shared" si="37"/>
        <v>-0.10361191668863701</v>
      </c>
      <c r="G218" s="28" t="str">
        <f t="shared" si="37"/>
        <v>Neutral</v>
      </c>
      <c r="H218" s="30"/>
      <c r="I218" s="31">
        <f>TELE2!$D$41</f>
        <v>3.4035013156428522</v>
      </c>
      <c r="J218" s="31">
        <f>TELE2!$E$41</f>
        <v>3.6246195299631792</v>
      </c>
      <c r="K218" s="31">
        <f>TELE2!$F$41</f>
        <v>3.5977508398600864</v>
      </c>
      <c r="L218" s="31">
        <f>TELE2!$G$41</f>
        <v>3.5564561413694964</v>
      </c>
      <c r="M218" s="29">
        <f>TELE2!$H$41</f>
        <v>-6.7384589930844063E-2</v>
      </c>
      <c r="N218" s="30"/>
      <c r="O218" s="31">
        <f>TELE2!$D$37</f>
        <v>5.3004955281906945</v>
      </c>
      <c r="P218" s="31">
        <f>TELE2!$E$37</f>
        <v>4.8752720508652621</v>
      </c>
      <c r="Q218" s="31">
        <f>TELE2!$F$37</f>
        <v>4.5506133898331829</v>
      </c>
      <c r="R218" s="31">
        <f>TELE2!$G$37</f>
        <v>4.2542659801471849</v>
      </c>
      <c r="S218" s="29">
        <f>TELE2!$H$37</f>
        <v>1.8349942633420158E-2</v>
      </c>
      <c r="T218" s="30"/>
      <c r="U218" s="32" t="str">
        <f t="shared" si="39"/>
        <v>SEK 189.7</v>
      </c>
      <c r="V218" s="28" t="str">
        <f t="shared" si="40"/>
        <v>Tele2</v>
      </c>
    </row>
    <row r="219" spans="1:22">
      <c r="A219" s="25"/>
      <c r="C219" s="32" t="str">
        <f t="shared" si="37"/>
        <v>United Internet</v>
      </c>
      <c r="D219" s="28" t="str">
        <f t="shared" si="37"/>
        <v>EUR 26.7</v>
      </c>
      <c r="E219" s="28" t="str">
        <f t="shared" si="37"/>
        <v>EUR 33.0</v>
      </c>
      <c r="F219" s="29">
        <f t="shared" si="37"/>
        <v>0.23688155922038989</v>
      </c>
      <c r="G219" s="28" t="str">
        <f t="shared" si="37"/>
        <v>Neutral</v>
      </c>
      <c r="H219" s="30"/>
      <c r="I219" s="31">
        <f>UTDI!$D$41</f>
        <v>1.2490963546219034</v>
      </c>
      <c r="J219" s="31">
        <f>UTDI!$E$41</f>
        <v>1.1878843944451165</v>
      </c>
      <c r="K219" s="31">
        <f>UTDI!$F$41</f>
        <v>1.1316218242349134</v>
      </c>
      <c r="L219" s="31">
        <f>UTDI!$G$41</f>
        <v>1.0704123987223984</v>
      </c>
      <c r="M219" s="29">
        <f>UTDI!$H$41</f>
        <v>3.0421583228991356E-2</v>
      </c>
      <c r="N219" s="30"/>
      <c r="O219" s="31">
        <f>UTDI!$D$37</f>
        <v>1.8310392409390741</v>
      </c>
      <c r="P219" s="31">
        <f>UTDI!$E$37</f>
        <v>1.7619104996574659</v>
      </c>
      <c r="Q219" s="31">
        <f>UTDI!$F$37</f>
        <v>1.7081526341431907</v>
      </c>
      <c r="R219" s="31">
        <f>UTDI!$G$37</f>
        <v>1.6384906847539358</v>
      </c>
      <c r="S219" s="29">
        <f>UTDI!$H$37</f>
        <v>1.5666750218252812E-2</v>
      </c>
      <c r="T219" s="30"/>
      <c r="U219" s="32" t="str">
        <f t="shared" si="39"/>
        <v>EUR 26.7</v>
      </c>
      <c r="V219" s="28" t="str">
        <f t="shared" si="40"/>
        <v>United Internet</v>
      </c>
    </row>
    <row r="220" spans="1:22">
      <c r="C220" s="32" t="str">
        <f t="shared" si="37"/>
        <v>Vodafone</v>
      </c>
      <c r="D220" s="28" t="str">
        <f t="shared" si="37"/>
        <v>GBP 1.16</v>
      </c>
      <c r="E220" s="28" t="str">
        <f t="shared" si="37"/>
        <v>GBP 1.30</v>
      </c>
      <c r="F220" s="29">
        <f t="shared" si="37"/>
        <v>0.12117291936179386</v>
      </c>
      <c r="G220" s="28" t="str">
        <f t="shared" si="37"/>
        <v>Buy</v>
      </c>
      <c r="H220" s="30"/>
      <c r="I220" s="31">
        <f>VOD!$D$41</f>
        <v>0.84884120370155569</v>
      </c>
      <c r="J220" s="31">
        <f>VOD!$E$41</f>
        <v>0.83192503953565156</v>
      </c>
      <c r="K220" s="31">
        <f>VOD!$F$41</f>
        <v>0.80115845108594119</v>
      </c>
      <c r="L220" s="31">
        <f>VOD!$G$41</f>
        <v>0.77019583450629525</v>
      </c>
      <c r="M220" s="29">
        <f>VOD!$H$41</f>
        <v>-3.017568105695867E-3</v>
      </c>
      <c r="N220" s="30"/>
      <c r="O220" s="31">
        <f>VOD!$D$37</f>
        <v>1.6606424447445374</v>
      </c>
      <c r="P220" s="31">
        <f>VOD!$E$37</f>
        <v>1.5513008227009124</v>
      </c>
      <c r="Q220" s="31">
        <f>VOD!$F$37</f>
        <v>1.4742639512437379</v>
      </c>
      <c r="R220" s="31">
        <f>VOD!$G$37</f>
        <v>1.3900829504589509</v>
      </c>
      <c r="S220" s="29">
        <f>VOD!$H$37</f>
        <v>2.4135802876696921E-2</v>
      </c>
      <c r="T220" s="30"/>
      <c r="U220" s="32" t="str">
        <f t="shared" si="39"/>
        <v>GBP 1.16</v>
      </c>
      <c r="V220" s="28" t="str">
        <f t="shared" si="40"/>
        <v>Vodafone</v>
      </c>
    </row>
    <row r="221" spans="1:22">
      <c r="C221" s="32" t="str">
        <f t="shared" si="37"/>
        <v>Zegona</v>
      </c>
      <c r="D221" s="28" t="str">
        <f t="shared" si="37"/>
        <v>GBP 17.92</v>
      </c>
      <c r="E221" s="28" t="str">
        <f t="shared" si="37"/>
        <v>GBP 14.75</v>
      </c>
      <c r="F221" s="29">
        <f t="shared" si="37"/>
        <v>-0.17689732142857151</v>
      </c>
      <c r="G221" s="28" t="str">
        <f t="shared" si="37"/>
        <v>Neutral</v>
      </c>
      <c r="H221" s="30"/>
      <c r="I221" s="31">
        <f>ZEG!$D$41</f>
        <v>2.6968561480741218</v>
      </c>
      <c r="J221" s="31">
        <f>ZEG!$E$41</f>
        <v>2.7217894514054319</v>
      </c>
      <c r="K221" s="31">
        <f>ZEG!$F$41</f>
        <v>2.8743111018855179</v>
      </c>
      <c r="L221" s="31">
        <f>ZEG!$G$41</f>
        <v>3.0148435594013936</v>
      </c>
      <c r="M221" s="29">
        <f>ZEG!$H$41</f>
        <v>-7.1476803827229318E-2</v>
      </c>
      <c r="N221" s="30"/>
      <c r="O221" s="31">
        <f>ZEG!$D$37</f>
        <v>2.208712399784702</v>
      </c>
      <c r="P221" s="31">
        <f>ZEG!$E$37</f>
        <v>2.1556654098996764</v>
      </c>
      <c r="Q221" s="31">
        <f>ZEG!$F$37</f>
        <v>2.0468345146238285</v>
      </c>
      <c r="R221" s="31">
        <f>ZEG!$G$37</f>
        <v>1.957419617925966</v>
      </c>
      <c r="S221" s="29">
        <f>ZEG!$H$37</f>
        <v>3.2600106380973326E-3</v>
      </c>
      <c r="T221" s="30"/>
      <c r="U221" s="32" t="str">
        <f t="shared" si="39"/>
        <v>GBP 17.92</v>
      </c>
      <c r="V221" s="28" t="str">
        <f t="shared" si="40"/>
        <v>Zegona</v>
      </c>
    </row>
    <row r="222" spans="1:22">
      <c r="C222" s="35" t="str">
        <f>C163</f>
        <v>Agg. W. Europe Other</v>
      </c>
      <c r="D222" s="36"/>
      <c r="E222" s="36"/>
      <c r="F222" s="37"/>
      <c r="G222" s="36"/>
      <c r="H222" s="30"/>
      <c r="I222" s="38">
        <f>'W.EUR OTHER'!$D$41</f>
        <v>1.2120765277172925</v>
      </c>
      <c r="J222" s="38">
        <f>'W.EUR OTHER'!$E$41</f>
        <v>1.1889933972002771</v>
      </c>
      <c r="K222" s="38">
        <f>'W.EUR OTHER'!$F$41</f>
        <v>1.1398416223606038</v>
      </c>
      <c r="L222" s="38">
        <f>'W.EUR OTHER'!$G$41</f>
        <v>1.1031258509246087</v>
      </c>
      <c r="M222" s="39">
        <f>'W.EUR OTHER'!$H$41</f>
        <v>8.7083597491850462E-3</v>
      </c>
      <c r="N222" s="40"/>
      <c r="O222" s="38">
        <f>'W.EUR OTHER'!$D$37</f>
        <v>1.3465386244194999</v>
      </c>
      <c r="P222" s="38">
        <f>'W.EUR OTHER'!$E$37</f>
        <v>1.2702660024694201</v>
      </c>
      <c r="Q222" s="38">
        <f>'W.EUR OTHER'!$F$37</f>
        <v>1.2208337889627725</v>
      </c>
      <c r="R222" s="38">
        <f>'W.EUR OTHER'!$G$37</f>
        <v>1.1536080915506541</v>
      </c>
      <c r="S222" s="39">
        <f>'W.EUR OTHER'!$H$37</f>
        <v>2.9241923321861041E-2</v>
      </c>
      <c r="T222" s="30"/>
      <c r="U222" s="41"/>
      <c r="V222" s="42" t="str">
        <f>C222</f>
        <v>Agg. W. Europe Other</v>
      </c>
    </row>
    <row r="223" spans="1:22">
      <c r="C223" s="32"/>
      <c r="D223" s="28"/>
      <c r="E223" s="28"/>
      <c r="F223" s="29"/>
      <c r="G223" s="28"/>
      <c r="H223" s="30"/>
      <c r="I223" s="31"/>
      <c r="J223" s="31"/>
      <c r="K223" s="31"/>
      <c r="L223" s="31"/>
      <c r="M223" s="29"/>
      <c r="N223" s="30"/>
      <c r="O223" s="31"/>
      <c r="P223" s="31"/>
      <c r="Q223" s="31"/>
      <c r="R223" s="31"/>
      <c r="S223" s="29"/>
      <c r="T223" s="30"/>
      <c r="U223" s="32"/>
      <c r="V223" s="28"/>
    </row>
    <row r="224" spans="1:22">
      <c r="C224" s="32" t="str">
        <f t="shared" ref="C224:G226" si="41">C165</f>
        <v>KDDI</v>
      </c>
      <c r="D224" s="28" t="str">
        <f t="shared" si="41"/>
        <v>JPY 2,565</v>
      </c>
      <c r="E224" s="28" t="str">
        <f t="shared" si="41"/>
        <v>JPY 3,150</v>
      </c>
      <c r="F224" s="29">
        <f t="shared" si="41"/>
        <v>0.22807017543859653</v>
      </c>
      <c r="G224" s="28" t="str">
        <f t="shared" si="41"/>
        <v>Buy</v>
      </c>
      <c r="H224" s="30"/>
      <c r="I224" s="31">
        <f>KDDI!$D$41</f>
        <v>1.4220792979682786</v>
      </c>
      <c r="J224" s="31">
        <f>KDDI!$E$41</f>
        <v>1.2665217426748645</v>
      </c>
      <c r="K224" s="31">
        <f>KDDI!$F$41</f>
        <v>1.1181907790395229</v>
      </c>
      <c r="L224" s="31">
        <f>KDDI!$G$41</f>
        <v>0.97622590708810686</v>
      </c>
      <c r="M224" s="29">
        <f>KDDI!$H$41</f>
        <v>4.3827668451490442E-2</v>
      </c>
      <c r="N224" s="30"/>
      <c r="O224" s="31">
        <f>KDDI!$D$37</f>
        <v>1.998496316192149</v>
      </c>
      <c r="P224" s="31">
        <f>KDDI!$E$37</f>
        <v>1.7932658144997025</v>
      </c>
      <c r="Q224" s="31">
        <f>KDDI!$F$37</f>
        <v>1.6011167359666225</v>
      </c>
      <c r="R224" s="31">
        <f>KDDI!$G$37</f>
        <v>1.4146778587068558</v>
      </c>
      <c r="S224" s="29">
        <f>KDDI!$H$37</f>
        <v>3.3204386111499673E-2</v>
      </c>
      <c r="T224" s="30"/>
      <c r="U224" s="32" t="str">
        <f t="shared" ref="U224:V226" si="42">U165</f>
        <v>JPY 2,565</v>
      </c>
      <c r="V224" s="28" t="str">
        <f t="shared" si="42"/>
        <v>KDDI</v>
      </c>
    </row>
    <row r="225" spans="1:28">
      <c r="C225" s="32" t="str">
        <f t="shared" si="41"/>
        <v>Rakuten</v>
      </c>
      <c r="D225" s="28" t="str">
        <f t="shared" si="41"/>
        <v>JPY 775</v>
      </c>
      <c r="E225" s="28" t="str">
        <f t="shared" si="41"/>
        <v>JPY 510</v>
      </c>
      <c r="F225" s="29">
        <f t="shared" si="41"/>
        <v>-0.3421901199535663</v>
      </c>
      <c r="G225" s="28" t="str">
        <f t="shared" si="41"/>
        <v>Reduce</v>
      </c>
      <c r="H225" s="30"/>
      <c r="I225" s="31">
        <f>RAK!$D$41</f>
        <v>1.218011175671718</v>
      </c>
      <c r="J225" s="31">
        <f>RAK!$E$41</f>
        <v>1.1623010914831753</v>
      </c>
      <c r="K225" s="31">
        <f>RAK!$F$41</f>
        <v>1.1313930944517638</v>
      </c>
      <c r="L225" s="31">
        <f>RAK!$G$41</f>
        <v>1.1205839077318693</v>
      </c>
      <c r="M225" s="29">
        <f>RAK!$H$41</f>
        <v>2.6239862047530815E-2</v>
      </c>
      <c r="N225" s="30"/>
      <c r="O225" s="31">
        <f>RAK!$D$37</f>
        <v>0.95491620928623944</v>
      </c>
      <c r="P225" s="31">
        <f>RAK!$E$37</f>
        <v>0.85742655537960122</v>
      </c>
      <c r="Q225" s="31">
        <f>RAK!$F$37</f>
        <v>0.77370696996343413</v>
      </c>
      <c r="R225" s="31">
        <f>RAK!$G$37</f>
        <v>0.69957921811787593</v>
      </c>
      <c r="S225" s="29">
        <f>RAK!$H$37</f>
        <v>0.10719140187087883</v>
      </c>
      <c r="T225" s="30"/>
      <c r="U225" s="32" t="str">
        <f t="shared" si="42"/>
        <v>JPY 775</v>
      </c>
      <c r="V225" s="28" t="str">
        <f t="shared" si="42"/>
        <v>Rakuten</v>
      </c>
    </row>
    <row r="226" spans="1:28">
      <c r="C226" s="32" t="str">
        <f t="shared" si="41"/>
        <v>SoftBank KK (Corp)</v>
      </c>
      <c r="D226" s="28" t="str">
        <f t="shared" si="41"/>
        <v>JPY 220</v>
      </c>
      <c r="E226" s="28" t="str">
        <f t="shared" si="41"/>
        <v>JPY 270</v>
      </c>
      <c r="F226" s="29">
        <f t="shared" si="41"/>
        <v>0.22615803814713908</v>
      </c>
      <c r="G226" s="28" t="str">
        <f t="shared" si="41"/>
        <v>Buy</v>
      </c>
      <c r="H226" s="30"/>
      <c r="I226" s="31">
        <f>SBKK!$D$41</f>
        <v>3.5519572076717347</v>
      </c>
      <c r="J226" s="31">
        <f>SBKK!$E$41</f>
        <v>3.7262404443346413</v>
      </c>
      <c r="K226" s="31">
        <f>SBKK!$F$41</f>
        <v>4.0353983788084307</v>
      </c>
      <c r="L226" s="31">
        <f>SBKK!$G$41</f>
        <v>4.6209286862034009</v>
      </c>
      <c r="M226" s="29">
        <f>SBKK!$H$41</f>
        <v>-0.15591919550331912</v>
      </c>
      <c r="N226" s="30"/>
      <c r="O226" s="31">
        <f>SBKK!$D$37</f>
        <v>2.0741726319957965</v>
      </c>
      <c r="P226" s="31">
        <f>SBKK!$E$37</f>
        <v>1.8406347546734996</v>
      </c>
      <c r="Q226" s="31">
        <f>SBKK!$F$37</f>
        <v>1.6147752073460493</v>
      </c>
      <c r="R226" s="31">
        <f>SBKK!$G$37</f>
        <v>1.4001901621164086</v>
      </c>
      <c r="S226" s="29">
        <f>SBKK!$H$37</f>
        <v>5.040592690688217E-2</v>
      </c>
      <c r="T226" s="30"/>
      <c r="U226" s="32" t="str">
        <f t="shared" si="42"/>
        <v>JPY 220</v>
      </c>
      <c r="V226" s="28" t="str">
        <f t="shared" si="42"/>
        <v>SoftBank KK (Corp)</v>
      </c>
    </row>
    <row r="227" spans="1:28">
      <c r="C227" s="35" t="str">
        <f>C168</f>
        <v>Agg. Developed Asia Other</v>
      </c>
      <c r="D227" s="36"/>
      <c r="E227" s="36"/>
      <c r="F227" s="37"/>
      <c r="G227" s="36"/>
      <c r="H227" s="30"/>
      <c r="I227" s="38">
        <f>'DM ASIA OTHER'!$D$41</f>
        <v>1.9810831190799227</v>
      </c>
      <c r="J227" s="38">
        <f>'DM ASIA OTHER'!$E$41</f>
        <v>1.852374626262332</v>
      </c>
      <c r="K227" s="38">
        <f>'DM ASIA OTHER'!$F$41</f>
        <v>1.7301052396558976</v>
      </c>
      <c r="L227" s="38">
        <f>'DM ASIA OTHER'!$G$41</f>
        <v>1.6114772615957802</v>
      </c>
      <c r="M227" s="39">
        <f>'DM ASIA OTHER'!$H$41</f>
        <v>-5.9341377298509634E-3</v>
      </c>
      <c r="N227" s="40"/>
      <c r="O227" s="38">
        <f>'DM ASIA OTHER'!$D$37</f>
        <v>1.8652095913548181</v>
      </c>
      <c r="P227" s="38">
        <f>'DM ASIA OTHER'!$E$37</f>
        <v>1.6567291197191365</v>
      </c>
      <c r="Q227" s="38">
        <f>'DM ASIA OTHER'!$F$37</f>
        <v>1.4608732534011266</v>
      </c>
      <c r="R227" s="38">
        <f>'DM ASIA OTHER'!$G$37</f>
        <v>1.2754831743976218</v>
      </c>
      <c r="S227" s="39">
        <f>'DM ASIA OTHER'!$H$37</f>
        <v>5.3270587191900365E-2</v>
      </c>
      <c r="T227" s="30"/>
      <c r="U227" s="41"/>
      <c r="V227" s="42" t="str">
        <f>V168</f>
        <v>Agg. Developed Asia Cellular</v>
      </c>
    </row>
    <row r="228" spans="1:28">
      <c r="A228" s="25"/>
      <c r="C228" s="32"/>
      <c r="D228" s="28"/>
      <c r="E228" s="28"/>
      <c r="F228" s="29"/>
      <c r="G228" s="28"/>
      <c r="H228" s="30"/>
      <c r="I228" s="31"/>
      <c r="J228" s="31"/>
      <c r="K228" s="31"/>
      <c r="L228" s="31"/>
      <c r="M228" s="29"/>
      <c r="N228" s="30"/>
      <c r="O228" s="31"/>
      <c r="P228" s="31"/>
      <c r="Q228" s="31"/>
      <c r="R228" s="31"/>
      <c r="S228" s="29"/>
      <c r="T228" s="30"/>
      <c r="U228" s="32"/>
      <c r="V228" s="28"/>
    </row>
    <row r="229" spans="1:28" s="5" customFormat="1">
      <c r="A229" s="25"/>
      <c r="B229" s="26" t="s">
        <v>424</v>
      </c>
      <c r="C229" s="32" t="str">
        <f>C170</f>
        <v>Altice US</v>
      </c>
      <c r="D229" s="28" t="str">
        <f>D170</f>
        <v>US$1.7</v>
      </c>
      <c r="E229" s="28" t="str">
        <f>E170</f>
        <v>US$2.5</v>
      </c>
      <c r="F229" s="29">
        <f>F170</f>
        <v>0.49700598802395213</v>
      </c>
      <c r="G229" s="28" t="str">
        <f>G170</f>
        <v>Neutral</v>
      </c>
      <c r="H229" s="30"/>
      <c r="I229" s="31">
        <f>ATCUS!D$41</f>
        <v>1.0497894161445702</v>
      </c>
      <c r="J229" s="31">
        <f>ATCUS!E$41</f>
        <v>1.0506419249630616</v>
      </c>
      <c r="K229" s="31">
        <f>ATCUS!F$41</f>
        <v>1.0534236412509379</v>
      </c>
      <c r="L229" s="31">
        <f>ATCUS!G$41</f>
        <v>1.0577089225931391</v>
      </c>
      <c r="M229" s="29">
        <f>ATCUS!H$41</f>
        <v>5.3480735730413453E-3</v>
      </c>
      <c r="N229" s="30"/>
      <c r="O229" s="31">
        <f>ATCUS!D$37</f>
        <v>2.7261811439760515</v>
      </c>
      <c r="P229" s="31">
        <f>ATCUS!E$37</f>
        <v>2.8378175938198988</v>
      </c>
      <c r="Q229" s="31">
        <f>ATCUS!F$37</f>
        <v>11.933064319638412</v>
      </c>
      <c r="R229" s="31">
        <f>ATCUS!G$37</f>
        <v>12.006844476279142</v>
      </c>
      <c r="S229" s="29">
        <f>ATCUS!H$37</f>
        <v>-0.38513507765316046</v>
      </c>
      <c r="T229" s="30"/>
      <c r="U229" s="32" t="str">
        <f t="shared" ref="U229:V231" si="43">U170</f>
        <v>USD 1.7</v>
      </c>
      <c r="V229" s="28" t="str">
        <f t="shared" si="43"/>
        <v>Altice US</v>
      </c>
      <c r="Z229" s="33"/>
      <c r="AB229" s="47"/>
    </row>
    <row r="230" spans="1:28" s="5" customFormat="1">
      <c r="A230" s="25"/>
      <c r="B230" s="26" t="s">
        <v>424</v>
      </c>
      <c r="C230" s="32" t="s">
        <v>258</v>
      </c>
      <c r="D230" s="28" t="str">
        <f>B230&amp;TEXT(Prices!$C$50,"0.0")</f>
        <v>US$222.0</v>
      </c>
      <c r="E230" s="28" t="str">
        <f>B230&amp;TEXT(Prices!$E$50,"0.0")</f>
        <v>US$328.0</v>
      </c>
      <c r="F230" s="29">
        <f>Prices!$F$50</f>
        <v>0.47747747747747749</v>
      </c>
      <c r="G230" s="28" t="str">
        <f>Prices!$D$50</f>
        <v>Buy</v>
      </c>
      <c r="H230" s="30"/>
      <c r="I230" s="31">
        <f>CHTR!D$41</f>
        <v>1.1972306412430895</v>
      </c>
      <c r="J230" s="31">
        <f>CHTR!E$41</f>
        <v>1.1428512514114559</v>
      </c>
      <c r="K230" s="31">
        <f>CHTR!F$41</f>
        <v>1.1317398104938543</v>
      </c>
      <c r="L230" s="31">
        <f>CHTR!G$41</f>
        <v>1.1247157229667</v>
      </c>
      <c r="M230" s="29">
        <f>CHTR!H$41</f>
        <v>7.070636838284905E-3</v>
      </c>
      <c r="N230" s="30"/>
      <c r="O230" s="31">
        <f>CHTR!D$37</f>
        <v>2.4508510715109786</v>
      </c>
      <c r="P230" s="31">
        <f>CHTR!E$37</f>
        <v>2.348171870491059</v>
      </c>
      <c r="Q230" s="31">
        <f>CHTR!F$37</f>
        <v>9.3517881173643982</v>
      </c>
      <c r="R230" s="31">
        <f>CHTR!G$37</f>
        <v>9.3282938365538293</v>
      </c>
      <c r="S230" s="29">
        <f>CHTR!H$37</f>
        <v>-0.36828699789101838</v>
      </c>
      <c r="T230" s="30"/>
      <c r="U230" s="32" t="str">
        <f t="shared" si="43"/>
        <v>USD 222.0</v>
      </c>
      <c r="V230" s="28" t="str">
        <f t="shared" si="43"/>
        <v>Charter</v>
      </c>
      <c r="AB230" s="47"/>
    </row>
    <row r="231" spans="1:28" s="5" customFormat="1">
      <c r="A231" s="25"/>
      <c r="B231" s="26" t="s">
        <v>424</v>
      </c>
      <c r="C231" s="32" t="s">
        <v>257</v>
      </c>
      <c r="D231" s="28" t="str">
        <f>B231&amp;TEXT(Prices!$C$51,"0.0")</f>
        <v>US$30.2</v>
      </c>
      <c r="E231" s="28" t="str">
        <f>B231&amp;TEXT(Prices!$E$51,"0.0")</f>
        <v>US$36.0</v>
      </c>
      <c r="F231" s="29">
        <f>Prices!$F$51</f>
        <v>0.19027938502231767</v>
      </c>
      <c r="G231" s="28" t="str">
        <f>Prices!$D$51</f>
        <v>Buy</v>
      </c>
      <c r="H231" s="30"/>
      <c r="I231" s="31">
        <f>CMCSA!D$41</f>
        <v>0.97575222873961132</v>
      </c>
      <c r="J231" s="31">
        <f>CMCSA!E$41</f>
        <v>0.89338892942246928</v>
      </c>
      <c r="K231" s="31">
        <f>CMCSA!F$41</f>
        <v>0.86037702191823762</v>
      </c>
      <c r="L231" s="31">
        <f>CMCSA!G$41</f>
        <v>0.80512401019053881</v>
      </c>
      <c r="M231" s="29">
        <f>CMCSA!H$41</f>
        <v>2.8788894311463142E-2</v>
      </c>
      <c r="N231" s="30"/>
      <c r="O231" s="31">
        <f>CMCSA!D$37</f>
        <v>1.3711679337402467</v>
      </c>
      <c r="P231" s="31">
        <f>CMCSA!E$37</f>
        <v>1.2608661571497364</v>
      </c>
      <c r="Q231" s="31">
        <f>CMCSA!F$37</f>
        <v>5.0221090868221276</v>
      </c>
      <c r="R231" s="31">
        <f>CMCSA!G$37</f>
        <v>4.940963202389967</v>
      </c>
      <c r="S231" s="29">
        <f>CMCSA!H$37</f>
        <v>-0.37059959343060145</v>
      </c>
      <c r="T231" s="30"/>
      <c r="U231" s="32" t="str">
        <f t="shared" si="43"/>
        <v>USD 30.2</v>
      </c>
      <c r="V231" s="28" t="str">
        <f t="shared" si="43"/>
        <v>Comcast</v>
      </c>
      <c r="Z231" s="33"/>
      <c r="AB231" s="47"/>
    </row>
    <row r="232" spans="1:28" s="5" customFormat="1">
      <c r="A232" s="25"/>
      <c r="B232" s="26" t="s">
        <v>431</v>
      </c>
      <c r="C232" s="32" t="s">
        <v>1264</v>
      </c>
      <c r="D232" s="28" t="str">
        <f>B232&amp;TEXT(Prices!C$52,"0.00")</f>
        <v>US$ 119.08</v>
      </c>
      <c r="E232" s="28" t="str">
        <f>B232&amp;TEXT(Prices!E$52,"0.00")</f>
        <v>US$ 0.00</v>
      </c>
      <c r="F232" s="29">
        <f>Prices!F$52</f>
        <v>-1</v>
      </c>
      <c r="G232" s="28" t="str">
        <f>Prices!D$52</f>
        <v>Buy</v>
      </c>
      <c r="H232" s="30"/>
      <c r="I232" s="31">
        <f>SATS!D$41</f>
        <v>1.7269590696401718</v>
      </c>
      <c r="J232" s="31">
        <f>SATS!E$41</f>
        <v>1.0824865269947423</v>
      </c>
      <c r="K232" s="31">
        <f>SATS!F$41</f>
        <v>0.83828877191581752</v>
      </c>
      <c r="L232" s="31">
        <f>SATS!G$41</f>
        <v>0.82103102488150026</v>
      </c>
      <c r="M232" s="29">
        <f>SATS!H$41</f>
        <v>-5.9948561048273064E-3</v>
      </c>
      <c r="N232" s="30"/>
      <c r="O232" s="31">
        <f>SATS!D$37</f>
        <v>4.2680504504631829</v>
      </c>
      <c r="P232" s="31">
        <f>SATS!E$37</f>
        <v>2.8169863054453881</v>
      </c>
      <c r="Q232" s="31">
        <f>SATS!F$37</f>
        <v>2.2453592046726212</v>
      </c>
      <c r="R232" s="31">
        <f>SATS!G$37</f>
        <v>2.2401097709087345</v>
      </c>
      <c r="S232" s="29">
        <f>SATS!$H$37</f>
        <v>-3.8237393102962147E-2</v>
      </c>
      <c r="T232" s="30"/>
      <c r="U232" s="32" t="str">
        <f>D232</f>
        <v>US$ 119.08</v>
      </c>
      <c r="V232" s="28" t="str">
        <f>C232</f>
        <v>EchoStar</v>
      </c>
      <c r="Z232" s="33"/>
    </row>
    <row r="233" spans="1:28" s="5" customFormat="1">
      <c r="A233" s="25"/>
      <c r="B233" s="26"/>
      <c r="C233" s="35" t="str">
        <f>C174</f>
        <v>Agg. US Other</v>
      </c>
      <c r="D233" s="42"/>
      <c r="E233" s="42"/>
      <c r="F233" s="39"/>
      <c r="G233" s="42"/>
      <c r="H233" s="40"/>
      <c r="I233" s="38">
        <f>'US OTHER'!D$41</f>
        <v>1.1340923293304117</v>
      </c>
      <c r="J233" s="38">
        <f>'US OTHER'!E$41</f>
        <v>1.005279373520229</v>
      </c>
      <c r="K233" s="38">
        <f>'US OTHER'!F$41</f>
        <v>0.95967974913193332</v>
      </c>
      <c r="L233" s="38">
        <f>'US OTHER'!G$41</f>
        <v>0.92484866772176888</v>
      </c>
      <c r="M233" s="39">
        <f>'US OTHER'!H$41</f>
        <v>1.6497272107954819E-2</v>
      </c>
      <c r="N233" s="40"/>
      <c r="O233" s="50">
        <f>'US OTHER'!D$37</f>
        <v>1.9448992788707078</v>
      </c>
      <c r="P233" s="50">
        <f>'US OTHER'!E$37</f>
        <v>1.7372240544961668</v>
      </c>
      <c r="Q233" s="50">
        <f>'US OTHER'!F$37</f>
        <v>5.6262110480321352</v>
      </c>
      <c r="R233" s="50">
        <f>'US OTHER'!G$37</f>
        <v>5.6032351257231809</v>
      </c>
      <c r="S233" s="39">
        <f>'US OTHER'!H$37</f>
        <v>-0.33257921460153206</v>
      </c>
      <c r="T233" s="40"/>
      <c r="U233" s="35"/>
      <c r="V233" s="42" t="str">
        <f>V174</f>
        <v>Agg. US CATV</v>
      </c>
      <c r="Z233" s="33"/>
    </row>
    <row r="234" spans="1:28" s="5" customFormat="1">
      <c r="A234" s="25"/>
      <c r="B234" s="26"/>
      <c r="C234" s="32"/>
      <c r="D234" s="28"/>
      <c r="E234" s="28"/>
      <c r="F234" s="29"/>
      <c r="G234" s="28"/>
      <c r="H234" s="30"/>
      <c r="I234" s="31"/>
      <c r="J234" s="31"/>
      <c r="K234" s="31"/>
      <c r="L234" s="31"/>
      <c r="M234" s="29"/>
      <c r="N234" s="30"/>
      <c r="O234" s="31"/>
      <c r="P234" s="31"/>
      <c r="Q234" s="31"/>
      <c r="R234" s="31"/>
      <c r="S234" s="29"/>
      <c r="T234" s="30"/>
      <c r="U234" s="32"/>
      <c r="V234" s="28"/>
      <c r="Z234" s="33"/>
    </row>
    <row r="235" spans="1:28" s="5" customFormat="1">
      <c r="A235" s="112"/>
      <c r="B235" s="26"/>
      <c r="C235" s="32"/>
      <c r="D235" s="28"/>
      <c r="E235" s="28"/>
      <c r="F235" s="29"/>
      <c r="G235" s="28"/>
      <c r="H235" s="30"/>
      <c r="I235" s="31"/>
      <c r="J235" s="31"/>
      <c r="K235" s="31"/>
      <c r="L235" s="31"/>
      <c r="M235" s="29"/>
      <c r="N235" s="30"/>
      <c r="O235" s="31"/>
      <c r="P235" s="31"/>
      <c r="Q235" s="31"/>
      <c r="R235" s="31"/>
      <c r="S235" s="29"/>
      <c r="T235" s="30"/>
      <c r="U235" s="32"/>
      <c r="V235" s="28"/>
      <c r="Z235" s="33"/>
    </row>
    <row r="236" spans="1:28" s="5" customFormat="1">
      <c r="A236" s="112"/>
      <c r="B236" s="26"/>
      <c r="C236" s="35" t="str">
        <f>C177</f>
        <v>Agg. W Europe</v>
      </c>
      <c r="D236" s="36"/>
      <c r="E236" s="36"/>
      <c r="F236" s="37"/>
      <c r="G236" s="36"/>
      <c r="H236" s="30"/>
      <c r="I236" s="38">
        <f>'W.EUR AGG'!$D$41</f>
        <v>1.527427424328258</v>
      </c>
      <c r="J236" s="38">
        <f>'W.EUR AGG'!$E$41</f>
        <v>1.4647147798364799</v>
      </c>
      <c r="K236" s="38">
        <f>'W.EUR AGG'!$F$41</f>
        <v>1.3996779251784695</v>
      </c>
      <c r="L236" s="38">
        <f>'W.EUR AGG'!$G$41</f>
        <v>1.3389337032532749</v>
      </c>
      <c r="M236" s="39">
        <f>'W.EUR AGG'!$H$41</f>
        <v>1.3150803313409343E-2</v>
      </c>
      <c r="N236" s="40"/>
      <c r="O236" s="38">
        <f>'W.EUR AGG'!$D$37</f>
        <v>2.3068303667181711</v>
      </c>
      <c r="P236" s="38">
        <f>'W.EUR AGG'!$E$37</f>
        <v>2.1837174166320463</v>
      </c>
      <c r="Q236" s="38">
        <f>'W.EUR AGG'!$F$37</f>
        <v>2.0631866883187771</v>
      </c>
      <c r="R236" s="38">
        <f>'W.EUR AGG'!$G$37</f>
        <v>1.9381176356711209</v>
      </c>
      <c r="S236" s="39">
        <f>'W.EUR AGG'!$H$37</f>
        <v>2.7587387501004867E-2</v>
      </c>
      <c r="T236" s="30"/>
      <c r="U236" s="41"/>
      <c r="V236" s="42" t="str">
        <f>V177</f>
        <v>Agg. W Europe</v>
      </c>
      <c r="Z236" s="33"/>
    </row>
    <row r="237" spans="1:28">
      <c r="C237" s="25" t="s">
        <v>1268</v>
      </c>
      <c r="D237" s="28"/>
      <c r="E237" s="28"/>
      <c r="F237" s="29"/>
      <c r="G237" s="28"/>
      <c r="H237" s="30"/>
      <c r="I237" s="44">
        <f>'US AGG'!D$41</f>
        <v>1.6297803401666862</v>
      </c>
      <c r="J237" s="44">
        <f>'US AGG'!E$41</f>
        <v>1.5361290712082414</v>
      </c>
      <c r="K237" s="44">
        <f>'US AGG'!F$41</f>
        <v>1.4543927984843499</v>
      </c>
      <c r="L237" s="44">
        <f>'US AGG'!G$41</f>
        <v>1.3759822471825989</v>
      </c>
      <c r="M237" s="43">
        <f>'US AGG'!H$41</f>
        <v>1.3525765091564335E-2</v>
      </c>
      <c r="N237" s="40"/>
      <c r="O237" s="44">
        <f>'US AGG'!D$37</f>
        <v>2.9832243691815656</v>
      </c>
      <c r="P237" s="44">
        <f>'US AGG'!E$37</f>
        <v>2.8119358090079762</v>
      </c>
      <c r="Q237" s="44">
        <f>'US AGG'!F$37</f>
        <v>3.6338866125693161</v>
      </c>
      <c r="R237" s="44">
        <f>'US AGG'!G$37</f>
        <v>3.425057851569445</v>
      </c>
      <c r="S237" s="43">
        <f>'US AGG'!H$37</f>
        <v>-8.5180568029651904E-2</v>
      </c>
      <c r="T237" s="30"/>
      <c r="U237" s="32"/>
      <c r="V237" s="34" t="str">
        <f>V178</f>
        <v>Agg. US</v>
      </c>
      <c r="Z237" s="33"/>
      <c r="AB237" s="5"/>
    </row>
    <row r="238" spans="1:28" s="5" customFormat="1">
      <c r="A238" s="112"/>
      <c r="B238" s="26"/>
      <c r="C238" s="51" t="str">
        <f>C179</f>
        <v xml:space="preserve">Agg. Developed Asia </v>
      </c>
      <c r="D238" s="36"/>
      <c r="E238" s="36"/>
      <c r="F238" s="37"/>
      <c r="G238" s="36"/>
      <c r="H238" s="30"/>
      <c r="I238" s="38">
        <f>'AGG DM ASIA'!$D$41</f>
        <v>1.6768796453774453</v>
      </c>
      <c r="J238" s="38">
        <f>'AGG DM ASIA'!$E$41</f>
        <v>1.5664043438559603</v>
      </c>
      <c r="K238" s="38">
        <f>'AGG DM ASIA'!$F$41</f>
        <v>1.4568412832519211</v>
      </c>
      <c r="L238" s="38">
        <f>'AGG DM ASIA'!$G$41</f>
        <v>1.3467750644490195</v>
      </c>
      <c r="M238" s="39">
        <f>'AGG DM ASIA'!$H$41</f>
        <v>1.2398120935918966E-2</v>
      </c>
      <c r="N238" s="40"/>
      <c r="O238" s="38">
        <f>'AGG DM ASIA'!$D$37</f>
        <v>1.9675317754405912</v>
      </c>
      <c r="P238" s="38">
        <f>'AGG DM ASIA'!$E$37</f>
        <v>1.7837393506869588</v>
      </c>
      <c r="Q238" s="38">
        <f>'AGG DM ASIA'!$F$37</f>
        <v>1.6045845404087304</v>
      </c>
      <c r="R238" s="38">
        <f>'AGG DM ASIA'!$G$37</f>
        <v>1.4305325977220857</v>
      </c>
      <c r="S238" s="39">
        <f>'AGG DM ASIA'!$H$37</f>
        <v>4.6542943543566917E-2</v>
      </c>
      <c r="T238" s="30"/>
      <c r="U238" s="41"/>
      <c r="V238" s="42" t="str">
        <f>V179</f>
        <v xml:space="preserve">Agg. Developed Asia </v>
      </c>
      <c r="Z238" s="33"/>
      <c r="AB238" s="47"/>
    </row>
    <row r="239" spans="1:28" s="5" customFormat="1">
      <c r="A239" s="112"/>
      <c r="B239" s="26"/>
      <c r="C239" s="25"/>
      <c r="D239" s="28"/>
      <c r="E239" s="28"/>
      <c r="F239" s="29"/>
      <c r="G239" s="28"/>
      <c r="H239" s="30"/>
      <c r="I239" s="44"/>
      <c r="J239" s="44"/>
      <c r="K239" s="44"/>
      <c r="L239" s="44"/>
      <c r="M239" s="43"/>
      <c r="N239" s="40"/>
      <c r="O239" s="44"/>
      <c r="P239" s="44"/>
      <c r="Q239" s="44"/>
      <c r="R239" s="44"/>
      <c r="S239" s="43"/>
      <c r="T239" s="30"/>
      <c r="U239" s="32"/>
      <c r="V239" s="34"/>
      <c r="Z239" s="33"/>
    </row>
    <row r="240" spans="1:28" s="5" customFormat="1">
      <c r="A240" s="112"/>
      <c r="B240" s="26"/>
      <c r="C240" s="51" t="str">
        <f>C181</f>
        <v>Agg. Global Developed</v>
      </c>
      <c r="D240" s="36"/>
      <c r="E240" s="36"/>
      <c r="F240" s="37"/>
      <c r="G240" s="36"/>
      <c r="H240" s="30"/>
      <c r="I240" s="38">
        <f>'AGG DM'!$D$41</f>
        <v>1.5960698202437806</v>
      </c>
      <c r="J240" s="38">
        <f>'AGG DM'!$E$41</f>
        <v>1.512198298101852</v>
      </c>
      <c r="K240" s="38">
        <f>'AGG DM'!$F$41</f>
        <v>1.4333711156435276</v>
      </c>
      <c r="L240" s="38">
        <f>'AGG DM'!$G$41</f>
        <v>1.3580823445789874</v>
      </c>
      <c r="M240" s="39">
        <f>'AGG DM'!$H$41</f>
        <v>1.3241880031945596E-2</v>
      </c>
      <c r="N240" s="40"/>
      <c r="O240" s="38">
        <f>'AGG DM'!$D$37</f>
        <v>2.538226252582501</v>
      </c>
      <c r="P240" s="38">
        <f>'AGG DM'!$E$37</f>
        <v>2.3799394980686785</v>
      </c>
      <c r="Q240" s="38">
        <f>'AGG DM'!$F$37</f>
        <v>2.5090104848093389</v>
      </c>
      <c r="R240" s="38">
        <f>'AGG DM'!$G$37</f>
        <v>2.3422623671791674</v>
      </c>
      <c r="S240" s="39">
        <f>'AGG DM'!$H$37</f>
        <v>-1.3789849312914271E-2</v>
      </c>
      <c r="T240" s="30"/>
      <c r="U240" s="41"/>
      <c r="V240" s="42" t="str">
        <f>V181</f>
        <v xml:space="preserve">Agg. Global Developed </v>
      </c>
      <c r="Z240" s="33"/>
    </row>
    <row r="241" spans="1:29" s="5" customFormat="1">
      <c r="A241" s="112"/>
      <c r="B241" s="26"/>
      <c r="C241" s="25"/>
      <c r="D241" s="53"/>
      <c r="E241" s="10"/>
      <c r="G241" s="10"/>
      <c r="M241" s="53"/>
      <c r="S241" s="53"/>
      <c r="U241" s="47"/>
      <c r="V241" s="47"/>
      <c r="Z241" s="33"/>
    </row>
    <row r="242" spans="1:29" s="5" customFormat="1">
      <c r="A242" s="112"/>
      <c r="B242" s="26"/>
      <c r="C242" s="25"/>
      <c r="D242" s="53"/>
      <c r="E242" s="10"/>
      <c r="G242" s="10"/>
      <c r="M242" s="53"/>
      <c r="S242" s="53"/>
      <c r="U242" s="47"/>
      <c r="V242" s="47"/>
      <c r="Z242" s="33"/>
    </row>
    <row r="243" spans="1:29" s="25" customFormat="1">
      <c r="B243" s="113"/>
      <c r="C243" s="130"/>
      <c r="D243" s="131" t="s">
        <v>379</v>
      </c>
      <c r="E243" s="131" t="s">
        <v>50</v>
      </c>
      <c r="F243" s="131" t="s">
        <v>52</v>
      </c>
      <c r="G243" s="131" t="s">
        <v>49</v>
      </c>
      <c r="H243" s="33"/>
      <c r="I243" s="132" t="s">
        <v>493</v>
      </c>
      <c r="J243" s="132"/>
      <c r="K243" s="132"/>
      <c r="L243" s="132"/>
      <c r="M243" s="132"/>
      <c r="O243" s="132" t="s">
        <v>240</v>
      </c>
      <c r="P243" s="132"/>
      <c r="Q243" s="132"/>
      <c r="R243" s="132"/>
      <c r="S243" s="132"/>
      <c r="T243" s="33"/>
      <c r="U243" s="133" t="s">
        <v>379</v>
      </c>
      <c r="V243" s="131"/>
      <c r="Z243" s="33"/>
      <c r="AC243" s="106"/>
    </row>
    <row r="244" spans="1:29" s="5" customFormat="1">
      <c r="A244" s="25" t="s">
        <v>415</v>
      </c>
      <c r="B244" s="26"/>
      <c r="C244" s="32" t="s">
        <v>160</v>
      </c>
      <c r="D244" s="28" t="str">
        <f t="shared" ref="D244:G254" si="44">D185</f>
        <v>GBP2.24</v>
      </c>
      <c r="E244" s="28" t="str">
        <f t="shared" si="44"/>
        <v>GBP2.40</v>
      </c>
      <c r="F244" s="29">
        <f t="shared" si="44"/>
        <v>7.1189466636911503E-2</v>
      </c>
      <c r="G244" s="28" t="str">
        <f t="shared" si="44"/>
        <v>Neutral</v>
      </c>
      <c r="H244" s="30"/>
      <c r="I244" s="31">
        <f>BT!$D$42</f>
        <v>1.7014490977329975</v>
      </c>
      <c r="J244" s="31">
        <f>BT!$E$42</f>
        <v>1.6352248654772099</v>
      </c>
      <c r="K244" s="31">
        <f>BT!$F$42</f>
        <v>1.5670136631008946</v>
      </c>
      <c r="L244" s="31">
        <f>BT!$G$42</f>
        <v>1.501472576745102</v>
      </c>
      <c r="M244" s="29">
        <f>BT!$H$42</f>
        <v>-2.3130889405749144E-3</v>
      </c>
      <c r="N244" s="30"/>
      <c r="O244" s="483">
        <f>(BT!$D$23/BT!$C$23)-1</f>
        <v>-2.6755148704841636E-2</v>
      </c>
      <c r="P244" s="483">
        <f>(BT!$E$23/BT!$D$23)-1</f>
        <v>-8.8823006469508359E-3</v>
      </c>
      <c r="Q244" s="483">
        <f>(BT!$F$23/BT!$E$23)-1</f>
        <v>-9.0740216853982814E-3</v>
      </c>
      <c r="R244" s="483">
        <f>(BT!$G$23/BT!$F$23)-1</f>
        <v>-8.2733485750845492E-3</v>
      </c>
      <c r="S244" s="483">
        <f>BT!$H$23</f>
        <v>-8.7432824010660326E-3</v>
      </c>
      <c r="T244" s="30"/>
      <c r="U244" s="32" t="str">
        <f t="shared" ref="U244:V248" si="45">U185</f>
        <v>GBP2.24</v>
      </c>
      <c r="V244" s="53" t="str">
        <f t="shared" si="45"/>
        <v>British Telecom</v>
      </c>
      <c r="Z244" s="33"/>
    </row>
    <row r="245" spans="1:29" s="5" customFormat="1">
      <c r="A245" s="25"/>
      <c r="B245" s="26"/>
      <c r="C245" s="32" t="s">
        <v>161</v>
      </c>
      <c r="D245" s="28" t="str">
        <f t="shared" si="44"/>
        <v>EUR 27.67</v>
      </c>
      <c r="E245" s="28" t="str">
        <f t="shared" si="44"/>
        <v>EUR 43.00</v>
      </c>
      <c r="F245" s="29">
        <f t="shared" si="44"/>
        <v>0.55402963498373681</v>
      </c>
      <c r="G245" s="28" t="str">
        <f t="shared" si="44"/>
        <v>Buy</v>
      </c>
      <c r="H245" s="30"/>
      <c r="I245" s="31">
        <f>DT!$D$42</f>
        <v>5.1887456683942688</v>
      </c>
      <c r="J245" s="31">
        <f>DT!$E$42</f>
        <v>5.1173189868791544</v>
      </c>
      <c r="K245" s="31">
        <f>DT!$F$42</f>
        <v>5.0397110148796171</v>
      </c>
      <c r="L245" s="31">
        <f>DT!$G$42</f>
        <v>4.9369333714765231</v>
      </c>
      <c r="M245" s="29">
        <f>DT!$H$42</f>
        <v>-2.5417799419202858E-2</v>
      </c>
      <c r="N245" s="30"/>
      <c r="O245" s="483">
        <f>(DT!$D$23/DT!$C$23)-1</f>
        <v>2.8608694901052889E-2</v>
      </c>
      <c r="P245" s="483">
        <f>(DT!$E$23/DT!$D$23)-1</f>
        <v>3.2005819712549011E-2</v>
      </c>
      <c r="Q245" s="483">
        <f>(DT!$F$23/DT!$E$23)-1</f>
        <v>3.6481393924598926E-2</v>
      </c>
      <c r="R245" s="483">
        <f>(DT!$G$23/DT!$F$23)-1</f>
        <v>3.0349194144782876E-2</v>
      </c>
      <c r="S245" s="483">
        <f>DT!$H$23</f>
        <v>3.2942224541116838E-2</v>
      </c>
      <c r="T245" s="30"/>
      <c r="U245" s="32" t="str">
        <f t="shared" si="45"/>
        <v>EUR 27.67</v>
      </c>
      <c r="V245" s="53" t="str">
        <f t="shared" si="45"/>
        <v>Deutsche Telekom</v>
      </c>
      <c r="Z245" s="33"/>
    </row>
    <row r="246" spans="1:29" s="5" customFormat="1">
      <c r="A246" s="25"/>
      <c r="B246" s="26"/>
      <c r="C246" s="32" t="s">
        <v>373</v>
      </c>
      <c r="D246" s="28" t="str">
        <f t="shared" si="44"/>
        <v>EUR 4.66</v>
      </c>
      <c r="E246" s="28" t="str">
        <f t="shared" si="44"/>
        <v>EUR 4.33</v>
      </c>
      <c r="F246" s="29">
        <f t="shared" si="44"/>
        <v>-7.2021498159240971E-2</v>
      </c>
      <c r="G246" s="28" t="str">
        <f t="shared" si="44"/>
        <v>Neutral</v>
      </c>
      <c r="H246" s="30"/>
      <c r="I246" s="31">
        <f>KPN!$D$42</f>
        <v>3.8167675489070385</v>
      </c>
      <c r="J246" s="31">
        <f>KPN!$E$42</f>
        <v>3.8661249117786398</v>
      </c>
      <c r="K246" s="31">
        <f>KPN!$F$42</f>
        <v>3.9246596038540109</v>
      </c>
      <c r="L246" s="31">
        <f>KPN!$G$42</f>
        <v>3.9337134607296074</v>
      </c>
      <c r="M246" s="29">
        <f>KPN!$H$42</f>
        <v>-4.7944921137217822E-2</v>
      </c>
      <c r="N246" s="30"/>
      <c r="O246" s="483">
        <f>(KPN!$D$23/KPN!$C$23)-1</f>
        <v>3.4794958281555211E-2</v>
      </c>
      <c r="P246" s="483">
        <f>(KPN!$E$23/KPN!$D$23)-1</f>
        <v>1.4472949005391644E-2</v>
      </c>
      <c r="Q246" s="483">
        <f>(KPN!$F$23/KPN!$E$23)-1</f>
        <v>2.0206891515476499E-2</v>
      </c>
      <c r="R246" s="483">
        <f>(KPN!$G$23/KPN!$F$23)-1</f>
        <v>1.9666204064348047E-2</v>
      </c>
      <c r="S246" s="483">
        <f>KPN!$H$23</f>
        <v>1.811206270402943E-2</v>
      </c>
      <c r="T246" s="30"/>
      <c r="U246" s="32" t="str">
        <f t="shared" si="45"/>
        <v>EUR 4.66</v>
      </c>
      <c r="V246" s="53" t="str">
        <f t="shared" si="45"/>
        <v>KPN</v>
      </c>
      <c r="Z246" s="33"/>
    </row>
    <row r="247" spans="1:29" s="5" customFormat="1">
      <c r="A247" s="25"/>
      <c r="B247" s="26"/>
      <c r="C247" s="32" t="s">
        <v>604</v>
      </c>
      <c r="D247" s="28" t="str">
        <f t="shared" si="44"/>
        <v>EUR 17.64</v>
      </c>
      <c r="E247" s="28" t="str">
        <f t="shared" si="44"/>
        <v>EUR 18.80</v>
      </c>
      <c r="F247" s="29">
        <f t="shared" si="44"/>
        <v>6.5759637188208542E-2</v>
      </c>
      <c r="G247" s="28" t="str">
        <f t="shared" si="44"/>
        <v>Neutral</v>
      </c>
      <c r="H247" s="30"/>
      <c r="I247" s="31">
        <f>ORA!$D$42</f>
        <v>3.1798704533830651</v>
      </c>
      <c r="J247" s="31">
        <f>ORA!$E$42</f>
        <v>2.4046908285912298</v>
      </c>
      <c r="K247" s="31">
        <f>ORA!$F$42</f>
        <v>2.3131844344539965</v>
      </c>
      <c r="L247" s="31">
        <f>ORA!$G$42</f>
        <v>2.2918567603767888</v>
      </c>
      <c r="M247" s="29">
        <f>ORA!$H$42</f>
        <v>0.12689580605789597</v>
      </c>
      <c r="N247" s="30"/>
      <c r="O247" s="483">
        <f>(ORA!$D$23/ORA!$C$23)-1</f>
        <v>3.4026277227230395E-3</v>
      </c>
      <c r="P247" s="483">
        <f>(ORA!$E$23/ORA!$D$23)-1</f>
        <v>0.20566795264671756</v>
      </c>
      <c r="Q247" s="483">
        <f>(ORA!$F$23/ORA!$E$23)-1</f>
        <v>1.7623432314528786E-2</v>
      </c>
      <c r="R247" s="483">
        <f>(ORA!$G$23/ORA!$F$23)-1</f>
        <v>1.8697481452279119E-2</v>
      </c>
      <c r="S247" s="483">
        <f>ORA!$H$23</f>
        <v>7.7176035339029614E-2</v>
      </c>
      <c r="T247" s="30"/>
      <c r="U247" s="32" t="str">
        <f t="shared" si="45"/>
        <v>EUR 17.64</v>
      </c>
      <c r="V247" s="53" t="str">
        <f t="shared" si="45"/>
        <v>Orange</v>
      </c>
      <c r="Z247" s="33"/>
    </row>
    <row r="248" spans="1:29" s="5" customFormat="1">
      <c r="A248" s="25"/>
      <c r="B248" s="26"/>
      <c r="C248" s="32" t="s">
        <v>374</v>
      </c>
      <c r="D248" s="28" t="str">
        <f t="shared" si="44"/>
        <v>EUR 18.29</v>
      </c>
      <c r="E248" s="28" t="str">
        <f t="shared" si="44"/>
        <v>EUR 22.10</v>
      </c>
      <c r="F248" s="29">
        <f t="shared" si="44"/>
        <v>0.20831055221432493</v>
      </c>
      <c r="G248" s="28" t="str">
        <f t="shared" si="44"/>
        <v>Buy</v>
      </c>
      <c r="H248" s="30"/>
      <c r="I248" s="31">
        <f>OTE!$D$42</f>
        <v>3.5531552184824453</v>
      </c>
      <c r="J248" s="31">
        <f>OTE!$E$42</f>
        <v>3.2962498995835259</v>
      </c>
      <c r="K248" s="31">
        <f>OTE!$F$42</f>
        <v>3.1382353891750845</v>
      </c>
      <c r="L248" s="31">
        <f>OTE!$G$42</f>
        <v>2.9372535478031758</v>
      </c>
      <c r="M248" s="29">
        <f>OTE!$H$42</f>
        <v>-1.799069031118905E-2</v>
      </c>
      <c r="N248" s="30"/>
      <c r="O248" s="483">
        <f>(OTE!$D$23/OTE!$C$23)-1</f>
        <v>1.5966648705368236E-2</v>
      </c>
      <c r="P248" s="483">
        <f>(OTE!$E$23/OTE!$D$23)-1</f>
        <v>-4.2408063362973869E-2</v>
      </c>
      <c r="Q248" s="483">
        <f>(OTE!$F$23/OTE!$E$23)-1</f>
        <v>-4.9019693955600907E-3</v>
      </c>
      <c r="R248" s="483">
        <f>(OTE!$G$23/OTE!$F$23)-1</f>
        <v>1.3473498686403351E-2</v>
      </c>
      <c r="S248" s="483">
        <f>OTE!$H$23</f>
        <v>-1.1554076471450236E-2</v>
      </c>
      <c r="T248" s="30"/>
      <c r="U248" s="32" t="str">
        <f t="shared" si="45"/>
        <v>EUR 18.29</v>
      </c>
      <c r="V248" s="53" t="str">
        <f t="shared" si="45"/>
        <v>OTE</v>
      </c>
      <c r="Z248" s="33"/>
    </row>
    <row r="249" spans="1:29" s="5" customFormat="1">
      <c r="A249" s="25"/>
      <c r="B249" s="26"/>
      <c r="C249" s="32" t="s">
        <v>686</v>
      </c>
      <c r="D249" s="28" t="str">
        <f t="shared" si="44"/>
        <v>EUR 6.6</v>
      </c>
      <c r="E249" s="28" t="str">
        <f t="shared" si="44"/>
        <v>EUR 13.3</v>
      </c>
      <c r="F249" s="29">
        <f t="shared" si="44"/>
        <v>1.0060331825037707</v>
      </c>
      <c r="G249" s="28" t="str">
        <f t="shared" si="44"/>
        <v>Neutral</v>
      </c>
      <c r="H249" s="30"/>
      <c r="I249" s="31">
        <f>PROX!$D$42</f>
        <v>1.6088891608458176</v>
      </c>
      <c r="J249" s="31">
        <f>PROX!$E$42</f>
        <v>1.482736762539395</v>
      </c>
      <c r="K249" s="31">
        <f>PROX!$F$42</f>
        <v>1.350739563216826</v>
      </c>
      <c r="L249" s="31">
        <f>PROX!$G$42</f>
        <v>1.2452510545386484</v>
      </c>
      <c r="M249" s="29">
        <f>PROX!$H$42</f>
        <v>7.9527247853140137E-2</v>
      </c>
      <c r="N249" s="30"/>
      <c r="O249" s="483">
        <f>(PROX!$D$23/PROX!$C$23)-1</f>
        <v>-1.8976512676932678E-2</v>
      </c>
      <c r="P249" s="483">
        <f>(PROX!$E$23/PROX!$D$23)-1</f>
        <v>-3.2261919205451628E-2</v>
      </c>
      <c r="Q249" s="483">
        <f>(PROX!$F$23/PROX!$E$23)-1</f>
        <v>-1.2194065495643169E-3</v>
      </c>
      <c r="R249" s="483">
        <f>(PROX!$G$23/PROX!$F$23)-1</f>
        <v>3.5840901594386132E-3</v>
      </c>
      <c r="S249" s="483">
        <f>PROX!$H$23</f>
        <v>-1.0094133458249832E-2</v>
      </c>
      <c r="T249" s="30"/>
      <c r="U249" s="32" t="str">
        <f t="shared" ref="U249:U254" si="46">U190</f>
        <v>EUR 6.6</v>
      </c>
      <c r="V249" s="53" t="s">
        <v>686</v>
      </c>
      <c r="Z249" s="33"/>
    </row>
    <row r="250" spans="1:29">
      <c r="C250" s="32" t="s">
        <v>378</v>
      </c>
      <c r="D250" s="28" t="str">
        <f t="shared" si="44"/>
        <v>CHF673</v>
      </c>
      <c r="E250" s="28" t="str">
        <f t="shared" si="44"/>
        <v>CHF570</v>
      </c>
      <c r="F250" s="29">
        <f t="shared" si="44"/>
        <v>-0.15241635687732347</v>
      </c>
      <c r="G250" s="28" t="str">
        <f t="shared" si="44"/>
        <v>Sell</v>
      </c>
      <c r="H250" s="30"/>
      <c r="I250" s="31">
        <f>SWISS!$D$42</f>
        <v>3.6553283239965344</v>
      </c>
      <c r="J250" s="31">
        <f>SWISS!$E$42</f>
        <v>3.4505183993250474</v>
      </c>
      <c r="K250" s="31">
        <f>SWISS!$F$42</f>
        <v>3.1964676920372499</v>
      </c>
      <c r="L250" s="31">
        <f>SWISS!$G$42</f>
        <v>2.9728008895210878</v>
      </c>
      <c r="M250" s="29">
        <f>SWISS!$H$42</f>
        <v>4.5824258642558569E-2</v>
      </c>
      <c r="N250" s="30"/>
      <c r="O250" s="483">
        <f>(SWISS!$D$23/SWISS!$C$23)-1</f>
        <v>-1.989876029088522E-2</v>
      </c>
      <c r="P250" s="483">
        <f>(SWISS!$E$23/SWISS!$D$23)-1</f>
        <v>-2.5065394089835435E-2</v>
      </c>
      <c r="Q250" s="483">
        <f>(SWISS!$F$23/SWISS!$E$23)-1</f>
        <v>-4.329757357889652E-3</v>
      </c>
      <c r="R250" s="483">
        <f>(SWISS!$G$23/SWISS!$F$23)-1</f>
        <v>1.3575907631342421E-3</v>
      </c>
      <c r="S250" s="483">
        <f>SWISS!$H$23</f>
        <v>-9.411224241034577E-3</v>
      </c>
      <c r="T250" s="30"/>
      <c r="U250" s="32" t="str">
        <f t="shared" si="46"/>
        <v>CHF673</v>
      </c>
      <c r="V250" s="53" t="str">
        <f t="shared" ref="V250:V255" si="47">V191</f>
        <v>Swisscom</v>
      </c>
    </row>
    <row r="251" spans="1:29" s="5" customFormat="1">
      <c r="A251" s="25"/>
      <c r="B251" s="26"/>
      <c r="C251" s="32" t="s">
        <v>222</v>
      </c>
      <c r="D251" s="28" t="str">
        <f t="shared" si="44"/>
        <v>EUR 0.66</v>
      </c>
      <c r="E251" s="28" t="str">
        <f t="shared" si="44"/>
        <v>EUR 0.55</v>
      </c>
      <c r="F251" s="29">
        <f t="shared" si="44"/>
        <v>-0.16641406486814181</v>
      </c>
      <c r="G251" s="28" t="str">
        <f t="shared" si="44"/>
        <v>Neutral</v>
      </c>
      <c r="H251" s="30"/>
      <c r="I251" s="31">
        <f>TI!$D$42</f>
        <v>2.7682019166013125</v>
      </c>
      <c r="J251" s="31">
        <f>TI!$E$42</f>
        <v>2.7744706140437456</v>
      </c>
      <c r="K251" s="31">
        <f>TI!$F$42</f>
        <v>2.8191490430404778</v>
      </c>
      <c r="L251" s="31">
        <f>TI!$G$42</f>
        <v>2.8056238064409995</v>
      </c>
      <c r="M251" s="29">
        <f>TI!$H$42</f>
        <v>-5.2369718914665908E-2</v>
      </c>
      <c r="N251" s="30"/>
      <c r="O251" s="483">
        <f>(TI!$D$23/TI!$C$23)-1</f>
        <v>2.4817518248174686E-3</v>
      </c>
      <c r="P251" s="483">
        <f>(TI!$E$23/TI!$D$23)-1</f>
        <v>4.5459326500485675E-2</v>
      </c>
      <c r="Q251" s="483">
        <f>(TI!$F$23/TI!$E$23)-1</f>
        <v>1.9289624965150853E-2</v>
      </c>
      <c r="R251" s="483">
        <f>(TI!$G$23/TI!$F$23)-1</f>
        <v>1.026329369611001E-2</v>
      </c>
      <c r="S251" s="483">
        <f>TI!$H$23</f>
        <v>2.4895940525712312E-2</v>
      </c>
      <c r="T251" s="30"/>
      <c r="U251" s="32" t="str">
        <f t="shared" si="46"/>
        <v>EUR 0.66</v>
      </c>
      <c r="V251" s="53" t="str">
        <f t="shared" si="47"/>
        <v>Telecom Italia</v>
      </c>
      <c r="Z251" s="33"/>
    </row>
    <row r="252" spans="1:29" s="5" customFormat="1">
      <c r="A252" s="25"/>
      <c r="B252" s="26"/>
      <c r="C252" s="32" t="s">
        <v>376</v>
      </c>
      <c r="D252" s="28" t="str">
        <f t="shared" si="44"/>
        <v>EUR 3.88</v>
      </c>
      <c r="E252" s="28" t="str">
        <f t="shared" si="44"/>
        <v>EUR 3.30</v>
      </c>
      <c r="F252" s="29">
        <f t="shared" si="44"/>
        <v>-0.14992272024729525</v>
      </c>
      <c r="G252" s="28" t="str">
        <f t="shared" si="44"/>
        <v>Sell</v>
      </c>
      <c r="H252" s="30"/>
      <c r="I252" s="31">
        <f>TEF!$D$42</f>
        <v>3.6732871556821927</v>
      </c>
      <c r="J252" s="31">
        <f>TEF!$E$42</f>
        <v>3.9521237945598258</v>
      </c>
      <c r="K252" s="31">
        <f>TEF!$F$42</f>
        <v>4.0296232953446811</v>
      </c>
      <c r="L252" s="31">
        <f>TEF!$G$42</f>
        <v>4.2041759617002761</v>
      </c>
      <c r="M252" s="29">
        <f>TEF!$H$42</f>
        <v>-6.9680514730813714E-2</v>
      </c>
      <c r="N252" s="30"/>
      <c r="O252" s="483">
        <f>(TEF!$D$23/TEF!$C$23)-1</f>
        <v>-0.11770102977482044</v>
      </c>
      <c r="P252" s="483">
        <f>(TEF!$E$23/TEF!$D$23)-1</f>
        <v>-1.3042494858747755E-2</v>
      </c>
      <c r="Q252" s="483">
        <f>(TEF!$F$23/TEF!$E$23)-1</f>
        <v>1.5093583026116519E-2</v>
      </c>
      <c r="R252" s="483">
        <f>(TEF!$G$23/TEF!$F$23)-1</f>
        <v>1.5944691870134253E-2</v>
      </c>
      <c r="S252" s="483">
        <f>TEF!$H$23</f>
        <v>5.907857548136608E-3</v>
      </c>
      <c r="T252" s="30"/>
      <c r="U252" s="32" t="str">
        <f t="shared" si="46"/>
        <v>EUR 3.88</v>
      </c>
      <c r="V252" s="53" t="str">
        <f t="shared" si="47"/>
        <v>Telefonica</v>
      </c>
      <c r="Z252" s="33"/>
    </row>
    <row r="253" spans="1:29" s="5" customFormat="1">
      <c r="A253" s="25"/>
      <c r="B253" s="26"/>
      <c r="C253" s="32" t="s">
        <v>411</v>
      </c>
      <c r="D253" s="28" t="str">
        <f t="shared" si="44"/>
        <v>NOK 164</v>
      </c>
      <c r="E253" s="28" t="str">
        <f t="shared" si="44"/>
        <v>NOK 160</v>
      </c>
      <c r="F253" s="29">
        <f t="shared" si="44"/>
        <v>-2.6171637248934898E-2</v>
      </c>
      <c r="G253" s="28" t="str">
        <f t="shared" si="44"/>
        <v>Neutral</v>
      </c>
      <c r="H253" s="30"/>
      <c r="I253" s="31">
        <f>TNOR!$D$42</f>
        <v>5.8305933031298638</v>
      </c>
      <c r="J253" s="31">
        <f>TNOR!$E$42</f>
        <v>20.726928656061038</v>
      </c>
      <c r="K253" s="31">
        <f>TNOR!$F$42</f>
        <v>34.832041906308902</v>
      </c>
      <c r="L253" s="31">
        <f>TNOR!$G$42</f>
        <v>-40.537548819364737</v>
      </c>
      <c r="M253" s="29">
        <f>TNOR!$H$42</f>
        <v>-1.4800639637118969</v>
      </c>
      <c r="N253" s="30"/>
      <c r="O253" s="483">
        <f>(TNOR!$D$23/TNOR!$C$23)-1</f>
        <v>3.7020839032728681E-3</v>
      </c>
      <c r="P253" s="483">
        <f>(TNOR!$E$23/TNOR!$D$23)-1</f>
        <v>-2.2586797242972745E-2</v>
      </c>
      <c r="Q253" s="483">
        <f>(TNOR!$F$23/TNOR!$E$23)-1</f>
        <v>1.2217967295785614E-2</v>
      </c>
      <c r="R253" s="483">
        <f>(TNOR!$G$23/TNOR!$F$23)-1</f>
        <v>1.4009834269883337E-2</v>
      </c>
      <c r="S253" s="483">
        <f>TNOR!$H$23</f>
        <v>1.0708221849318189E-3</v>
      </c>
      <c r="T253" s="30"/>
      <c r="U253" s="32" t="str">
        <f t="shared" si="46"/>
        <v>NOK 164</v>
      </c>
      <c r="V253" s="28" t="str">
        <f t="shared" si="47"/>
        <v>Telenor</v>
      </c>
      <c r="Z253" s="33"/>
    </row>
    <row r="254" spans="1:29" s="5" customFormat="1">
      <c r="A254" s="25"/>
      <c r="B254" s="26"/>
      <c r="C254" s="32" t="s">
        <v>846</v>
      </c>
      <c r="D254" s="28" t="str">
        <f t="shared" si="44"/>
        <v>SEK48.7</v>
      </c>
      <c r="E254" s="28" t="str">
        <f t="shared" si="44"/>
        <v>SEK45.0</v>
      </c>
      <c r="F254" s="29">
        <f t="shared" si="44"/>
        <v>-7.6165058509546357E-2</v>
      </c>
      <c r="G254" s="28" t="str">
        <f t="shared" si="44"/>
        <v>Neutral</v>
      </c>
      <c r="H254" s="30"/>
      <c r="I254" s="31">
        <f>TELIA!$D$42</f>
        <v>4.1046741267900879</v>
      </c>
      <c r="J254" s="31">
        <f>TELIA!$E$42</f>
        <v>4.2264074583584419</v>
      </c>
      <c r="K254" s="31">
        <f>TELIA!$F$42</f>
        <v>4.6073347817969221</v>
      </c>
      <c r="L254" s="31">
        <f>TELIA!$G$42</f>
        <v>5.0240878502321911</v>
      </c>
      <c r="M254" s="29">
        <f>TELIA!$H$42</f>
        <v>-9.4573365329615577E-2</v>
      </c>
      <c r="N254" s="30"/>
      <c r="O254" s="483">
        <f>(TELIA!$D$23/TELIA!$C$23)-1</f>
        <v>-9.1392599502280292E-2</v>
      </c>
      <c r="P254" s="483">
        <f>(TELIA!$E$23/TELIA!$D$23)-1</f>
        <v>-2.2584737114689335E-2</v>
      </c>
      <c r="Q254" s="483">
        <f>(TELIA!$F$23/TELIA!$E$23)-1</f>
        <v>1.9554947868412054E-2</v>
      </c>
      <c r="R254" s="483">
        <f>(TELIA!$G$23/TELIA!$F$23)-1</f>
        <v>1.456412039822208E-2</v>
      </c>
      <c r="S254" s="483">
        <f>TELIA!$H$23</f>
        <v>3.6672446874175257E-3</v>
      </c>
      <c r="T254" s="30"/>
      <c r="U254" s="32" t="str">
        <f t="shared" si="46"/>
        <v>SEK48.7</v>
      </c>
      <c r="V254" s="28" t="str">
        <f t="shared" si="47"/>
        <v>TeliaSonera</v>
      </c>
      <c r="Z254" s="33"/>
    </row>
    <row r="255" spans="1:29" s="5" customFormat="1">
      <c r="A255" s="25"/>
      <c r="B255" s="26"/>
      <c r="C255" s="35" t="str">
        <f>C196</f>
        <v>Agg. W.Europe Incumbent</v>
      </c>
      <c r="D255" s="36"/>
      <c r="E255" s="36"/>
      <c r="F255" s="37"/>
      <c r="G255" s="36"/>
      <c r="H255" s="30"/>
      <c r="I255" s="38">
        <f>'W.EUR INCUMB'!$D$42</f>
        <v>3.7871049735546385</v>
      </c>
      <c r="J255" s="38">
        <f>'W.EUR INCUMB'!$E$42</f>
        <v>3.5748887383450989</v>
      </c>
      <c r="K255" s="38">
        <f>'W.EUR INCUMB'!$F$42</f>
        <v>3.4915824430274522</v>
      </c>
      <c r="L255" s="38">
        <f>'W.EUR INCUMB'!$G$42</f>
        <v>3.4432684732035157</v>
      </c>
      <c r="M255" s="39">
        <f>'W.EUR INCUMB'!$H$42</f>
        <v>-1.4320288778902901E-3</v>
      </c>
      <c r="N255" s="40"/>
      <c r="O255" s="484">
        <f>('W.EUR INCUMB'!$D$23/'W.EUR INCUMB'!$C$23)-1</f>
        <v>-1.0393925133961535E-2</v>
      </c>
      <c r="P255" s="484">
        <f>('W.EUR INCUMB'!$E$23/'W.EUR INCUMB'!$D$23)-1</f>
        <v>3.9544960692350806E-2</v>
      </c>
      <c r="Q255" s="484">
        <f>('W.EUR INCUMB'!$F$23/'W.EUR INCUMB'!$E$23)-1</f>
        <v>2.1387298700717094E-2</v>
      </c>
      <c r="R255" s="484">
        <f>('W.EUR INCUMB'!$G$23/'W.EUR INCUMB'!$F$23)-1</f>
        <v>1.9405248299362077E-2</v>
      </c>
      <c r="S255" s="484">
        <f>'W.EUR INCUMB'!$H$23</f>
        <v>2.6739330529638838E-2</v>
      </c>
      <c r="T255" s="30"/>
      <c r="U255" s="41"/>
      <c r="V255" s="42" t="str">
        <f t="shared" si="47"/>
        <v>Agg. W.Europe Incumbent</v>
      </c>
      <c r="Z255" s="33"/>
    </row>
    <row r="256" spans="1:29" s="5" customFormat="1">
      <c r="A256" s="25"/>
      <c r="B256" s="26"/>
      <c r="C256" s="32"/>
      <c r="D256" s="28"/>
      <c r="E256" s="28"/>
      <c r="F256" s="29"/>
      <c r="G256" s="28"/>
      <c r="H256" s="30"/>
      <c r="I256" s="31"/>
      <c r="J256" s="31"/>
      <c r="K256" s="31"/>
      <c r="L256" s="31"/>
      <c r="M256" s="29"/>
      <c r="N256" s="30"/>
      <c r="O256" s="483"/>
      <c r="P256" s="483"/>
      <c r="Q256" s="483"/>
      <c r="R256" s="483"/>
      <c r="S256" s="483"/>
      <c r="T256" s="30"/>
      <c r="U256" s="32"/>
      <c r="V256" s="28"/>
      <c r="Z256" s="30"/>
    </row>
    <row r="257" spans="1:26" s="5" customFormat="1">
      <c r="A257" s="25"/>
      <c r="B257" s="26" t="s">
        <v>424</v>
      </c>
      <c r="C257" s="32" t="s">
        <v>403</v>
      </c>
      <c r="D257" s="28" t="str">
        <f>B257&amp;TEXT(Prices!$C$45,"0.0")</f>
        <v>US$26.3</v>
      </c>
      <c r="E257" s="28" t="str">
        <f>B257&amp;TEXT(Prices!$E$45,"0.00")</f>
        <v>US$32.00</v>
      </c>
      <c r="F257" s="29">
        <f>Prices!$F$45</f>
        <v>0.21765601217656005</v>
      </c>
      <c r="G257" s="28" t="str">
        <f>Prices!$D$45</f>
        <v>Buy</v>
      </c>
      <c r="H257" s="30"/>
      <c r="I257" s="31">
        <f>ATT!$D$42</f>
        <v>2.4122359415803056</v>
      </c>
      <c r="J257" s="31">
        <f>ATT!$E$42</f>
        <v>2.4538873160978585</v>
      </c>
      <c r="K257" s="31">
        <f>ATT!$F$42</f>
        <v>2.2609837692393797</v>
      </c>
      <c r="L257" s="31">
        <f>ATT!$G$42</f>
        <v>2.1204712872638689</v>
      </c>
      <c r="M257" s="29">
        <f>ATT!$H$42</f>
        <v>2.3691067418790457E-2</v>
      </c>
      <c r="N257" s="30"/>
      <c r="O257" s="483">
        <f>(ATT!$D$23/ATT!$C$23)-1</f>
        <v>9.8907644244858872E-3</v>
      </c>
      <c r="P257" s="483">
        <f>(ATT!$E$23/ATT!$D$23)-1</f>
        <v>6.9419230227580897E-3</v>
      </c>
      <c r="Q257" s="483">
        <f>(ATT!$F$23/ATT!$E$23)-1</f>
        <v>1.8450078391964997E-2</v>
      </c>
      <c r="R257" s="483">
        <f>(ATT!$G$23/ATT!$F$23)-1</f>
        <v>2.1062742880050722E-2</v>
      </c>
      <c r="S257" s="483">
        <f>ATT!$H$23</f>
        <v>1.5466341139514173E-2</v>
      </c>
      <c r="T257" s="30"/>
      <c r="U257" s="32" t="str">
        <f t="shared" ref="U257:V259" si="48">U198</f>
        <v>USD26.3</v>
      </c>
      <c r="V257" s="28" t="str">
        <f t="shared" si="48"/>
        <v>AT&amp;T</v>
      </c>
      <c r="Z257" s="30"/>
    </row>
    <row r="258" spans="1:26" s="5" customFormat="1">
      <c r="A258" s="112"/>
      <c r="B258" s="26" t="s">
        <v>424</v>
      </c>
      <c r="C258" s="32" t="s">
        <v>570</v>
      </c>
      <c r="D258" s="28" t="str">
        <f>B258&amp;TEXT(Prices!$C$46,"0.0")</f>
        <v>US$191.5</v>
      </c>
      <c r="E258" s="28" t="str">
        <f>B258&amp;TEXT(Prices!$E$46,"0.0")</f>
        <v>US$296.0</v>
      </c>
      <c r="F258" s="29">
        <f>Prices!$F$46</f>
        <v>0.54593408889121009</v>
      </c>
      <c r="G258" s="28" t="str">
        <f>Prices!$D$46</f>
        <v>Buy</v>
      </c>
      <c r="H258" s="30"/>
      <c r="I258" s="31">
        <f>TMUS!$D$42</f>
        <v>7.8543506248705031</v>
      </c>
      <c r="J258" s="31">
        <f>TMUS!$E$42</f>
        <v>8.5536284998759484</v>
      </c>
      <c r="K258" s="31">
        <f>TMUS!$F$42</f>
        <v>9.3408797497738902</v>
      </c>
      <c r="L258" s="31">
        <f>TMUS!$G$42</f>
        <v>10.278997516277846</v>
      </c>
      <c r="M258" s="29">
        <f>TMUS!$H$42</f>
        <v>-0.10415045012166879</v>
      </c>
      <c r="N258" s="30"/>
      <c r="O258" s="483">
        <f>(TMUS!$D$23/TMUS!$C$23)-1</f>
        <v>7.5735038963640866E-2</v>
      </c>
      <c r="P258" s="483">
        <f>(TMUS!$E$23/TMUS!$D$23)-1</f>
        <v>7.1026979659290612E-2</v>
      </c>
      <c r="Q258" s="483">
        <f>(TMUS!$F$23/TMUS!$E$23)-1</f>
        <v>4.6037053374521797E-2</v>
      </c>
      <c r="R258" s="483">
        <f>(TMUS!$G$23/TMUS!$F$23)-1</f>
        <v>3.7821093534023964E-2</v>
      </c>
      <c r="S258" s="483">
        <f>TMUS!$H$23</f>
        <v>5.1534011540008029E-2</v>
      </c>
      <c r="T258" s="30"/>
      <c r="U258" s="32" t="str">
        <f t="shared" si="48"/>
        <v>USD191.5</v>
      </c>
      <c r="V258" s="28" t="str">
        <f t="shared" si="48"/>
        <v>TMUS</v>
      </c>
      <c r="Z258" s="30"/>
    </row>
    <row r="259" spans="1:26" s="5" customFormat="1">
      <c r="A259" s="25"/>
      <c r="B259" s="26" t="s">
        <v>424</v>
      </c>
      <c r="C259" s="32" t="s">
        <v>30</v>
      </c>
      <c r="D259" s="28" t="str">
        <f>B259&amp;TEXT(Prices!$C$44,"0.0")</f>
        <v>US$46.9</v>
      </c>
      <c r="E259" s="28" t="str">
        <f>B259&amp;TEXT(Prices!$E$44,"0.00")</f>
        <v>US$42.00</v>
      </c>
      <c r="F259" s="29">
        <f>Prices!$F$44</f>
        <v>-0.10371318822023046</v>
      </c>
      <c r="G259" s="28" t="str">
        <f>Prices!$D$44</f>
        <v>Neutral</v>
      </c>
      <c r="H259" s="30"/>
      <c r="I259" s="31">
        <f>VZN!$D$42</f>
        <v>3.2445604910649291</v>
      </c>
      <c r="J259" s="31">
        <f>VZN!$E$42</f>
        <v>3.0368378597038537</v>
      </c>
      <c r="K259" s="31">
        <f>VZN!$F$42</f>
        <v>2.7970118343958577</v>
      </c>
      <c r="L259" s="31">
        <f>VZN!$G$42</f>
        <v>2.5427987884462389</v>
      </c>
      <c r="M259" s="29">
        <f>VZN!$H$42</f>
        <v>0</v>
      </c>
      <c r="N259" s="30"/>
      <c r="O259" s="483">
        <f>(VZN!$D$23/VZN!$C$23)-1</f>
        <v>1.2541847753711366E-2</v>
      </c>
      <c r="P259" s="483">
        <f>(VZN!$E$23/VZN!$D$23)-1</f>
        <v>1.156545753816518E-2</v>
      </c>
      <c r="Q259" s="483">
        <f>(VZN!$F$23/VZN!$E$23)-1</f>
        <v>1.4303513604769114E-2</v>
      </c>
      <c r="R259" s="483">
        <f>(VZN!$G$23/VZN!$F$23)-1</f>
        <v>1.7277145118853143E-2</v>
      </c>
      <c r="S259" s="483">
        <f>VZN!$H$23</f>
        <v>1.437935736485918E-2</v>
      </c>
      <c r="T259" s="30"/>
      <c r="U259" s="32" t="str">
        <f t="shared" si="48"/>
        <v>USD46.9</v>
      </c>
      <c r="V259" s="28" t="str">
        <f t="shared" si="48"/>
        <v>Verizon</v>
      </c>
      <c r="Z259" s="30"/>
    </row>
    <row r="260" spans="1:26" s="5" customFormat="1">
      <c r="A260" s="25"/>
      <c r="B260" s="26"/>
      <c r="C260" s="35" t="s">
        <v>214</v>
      </c>
      <c r="D260" s="36"/>
      <c r="E260" s="36"/>
      <c r="F260" s="37"/>
      <c r="G260" s="36"/>
      <c r="H260" s="30"/>
      <c r="I260" s="38">
        <f>'US TELCO'!$D$42</f>
        <v>3.4905600577328242</v>
      </c>
      <c r="J260" s="38">
        <f>'US TELCO'!$E$42</f>
        <v>3.4580582032694864</v>
      </c>
      <c r="K260" s="38">
        <f>'US TELCO'!$F$42</f>
        <v>3.2809378565331038</v>
      </c>
      <c r="L260" s="38">
        <f>'US TELCO'!$G$42</f>
        <v>3.1198934529722759</v>
      </c>
      <c r="M260" s="39">
        <f>'US TELCO'!$H$42</f>
        <v>-1.2972016508007167E-3</v>
      </c>
      <c r="N260" s="30"/>
      <c r="O260" s="484">
        <f>('US TELCO'!D$23/'US TELCO'!C$23)-1</f>
        <v>2.6804838214612436E-2</v>
      </c>
      <c r="P260" s="484">
        <f>('US TELCO'!E$23/'US TELCO'!D$23)-1</f>
        <v>2.4931224350213999E-2</v>
      </c>
      <c r="Q260" s="484">
        <f>('US TELCO'!F$23/'US TELCO'!E$23)-1</f>
        <v>2.4106921418918681E-2</v>
      </c>
      <c r="R260" s="484">
        <f>('US TELCO'!G$23/'US TELCO'!F$23)-1</f>
        <v>2.4114563210694717E-2</v>
      </c>
      <c r="S260" s="484">
        <f>'US TELCO'!$H$23</f>
        <v>2.4384163316372609E-2</v>
      </c>
      <c r="T260" s="30"/>
      <c r="U260" s="41"/>
      <c r="V260" s="42" t="str">
        <f>V201</f>
        <v>Agg. US Telecoms</v>
      </c>
      <c r="Z260" s="30"/>
    </row>
    <row r="261" spans="1:26" s="5" customFormat="1">
      <c r="A261" s="25"/>
      <c r="B261" s="26"/>
      <c r="C261" s="32"/>
      <c r="D261" s="28"/>
      <c r="E261" s="28"/>
      <c r="F261" s="29"/>
      <c r="G261" s="28"/>
      <c r="H261" s="30"/>
      <c r="I261" s="31"/>
      <c r="J261" s="31"/>
      <c r="K261" s="31"/>
      <c r="L261" s="31"/>
      <c r="M261" s="29"/>
      <c r="N261" s="30"/>
      <c r="O261" s="483"/>
      <c r="P261" s="483"/>
      <c r="Q261" s="483"/>
      <c r="R261" s="483"/>
      <c r="S261" s="483"/>
      <c r="T261" s="30"/>
      <c r="U261" s="32"/>
      <c r="V261" s="28"/>
      <c r="Z261" s="30"/>
    </row>
    <row r="262" spans="1:26" s="5" customFormat="1">
      <c r="A262" s="25"/>
      <c r="B262" s="26"/>
      <c r="C262" s="32" t="str">
        <f t="shared" ref="C262:G263" si="49">C203</f>
        <v>NTT</v>
      </c>
      <c r="D262" s="28" t="str">
        <f t="shared" si="49"/>
        <v>JPY 152</v>
      </c>
      <c r="E262" s="28" t="str">
        <f t="shared" si="49"/>
        <v>JPY 215</v>
      </c>
      <c r="F262" s="29">
        <f t="shared" si="49"/>
        <v>0.41914191419141922</v>
      </c>
      <c r="G262" s="28" t="str">
        <f t="shared" si="49"/>
        <v>Buy</v>
      </c>
      <c r="H262" s="30"/>
      <c r="I262" s="31">
        <f>NTT!$D$42</f>
        <v>2.0030368441214117</v>
      </c>
      <c r="J262" s="31">
        <f>NTT!$E$42</f>
        <v>1.8268724879897127</v>
      </c>
      <c r="K262" s="31">
        <f>NTT!$F$42</f>
        <v>1.6627867212742913</v>
      </c>
      <c r="L262" s="31">
        <f>NTT!$G$42</f>
        <v>1.5074824694403579</v>
      </c>
      <c r="M262" s="29">
        <f>NTT!$H$42</f>
        <v>4.3842774773172444E-2</v>
      </c>
      <c r="N262" s="30"/>
      <c r="O262" s="483">
        <f>(NTT!$D$23/NTT!$C$23)-1</f>
        <v>3.9877084182581068E-2</v>
      </c>
      <c r="P262" s="483">
        <f>(NTT!$E$23/NTT!$D$23)-1</f>
        <v>4.1515422820975756E-2</v>
      </c>
      <c r="Q262" s="483">
        <f>(NTT!$F$23/NTT!$E$23)-1</f>
        <v>4.1077058344567208E-2</v>
      </c>
      <c r="R262" s="483">
        <f>(NTT!$G$23/NTT!$F$23)-1</f>
        <v>4.1159205670263432E-2</v>
      </c>
      <c r="S262" s="483">
        <f>NTT!$H$23</f>
        <v>4.1250544896828556E-2</v>
      </c>
      <c r="T262" s="30"/>
      <c r="U262" s="32" t="str">
        <f>U203</f>
        <v>JPY 152</v>
      </c>
      <c r="V262" s="28" t="str">
        <f>V203</f>
        <v>NTT</v>
      </c>
      <c r="Z262" s="30"/>
    </row>
    <row r="263" spans="1:26" s="5" customFormat="1">
      <c r="A263" s="25"/>
      <c r="B263" s="26"/>
      <c r="C263" s="32" t="str">
        <f t="shared" si="49"/>
        <v>SingTel</v>
      </c>
      <c r="D263" s="28" t="str">
        <f t="shared" si="49"/>
        <v>SGD 4.63</v>
      </c>
      <c r="E263" s="28" t="str">
        <f t="shared" si="49"/>
        <v>SGD 6.20</v>
      </c>
      <c r="F263" s="29">
        <f t="shared" si="49"/>
        <v>0.33909287257019449</v>
      </c>
      <c r="G263" s="28" t="str">
        <f t="shared" si="49"/>
        <v>Buy</v>
      </c>
      <c r="H263" s="30"/>
      <c r="I263" s="31">
        <f>SINGTEL!$D$42</f>
        <v>4.8149233514461409</v>
      </c>
      <c r="J263" s="31">
        <f>SINGTEL!$E$42</f>
        <v>4.7043641903753457</v>
      </c>
      <c r="K263" s="31">
        <f>SINGTEL!$F$42</f>
        <v>4.6577904843653632</v>
      </c>
      <c r="L263" s="31">
        <f>SINGTEL!$G$42</f>
        <v>4.5139850757041158</v>
      </c>
      <c r="M263" s="29">
        <f>SINGTEL!$H$42</f>
        <v>-2.1045825024283649E-2</v>
      </c>
      <c r="N263" s="30"/>
      <c r="O263" s="483">
        <f>(SINGTEL!$D$23/SINGTEL!$C$23)-1</f>
        <v>2.3752786634777978E-2</v>
      </c>
      <c r="P263" s="483">
        <f>(SINGTEL!$E$23/SINGTEL!$D$23)-1</f>
        <v>3.5201207742260765E-2</v>
      </c>
      <c r="Q263" s="483">
        <f>(SINGTEL!$F$23/SINGTEL!$E$23)-1</f>
        <v>3.0500611502823238E-2</v>
      </c>
      <c r="R263" s="483">
        <f>(SINGTEL!$G$23/SINGTEL!$F$23)-1</f>
        <v>2.2570275879596702E-2</v>
      </c>
      <c r="S263" s="483">
        <f>SINGTEL!$H$23</f>
        <v>2.94108216317297E-2</v>
      </c>
      <c r="T263" s="30"/>
      <c r="U263" s="32" t="str">
        <f>U204</f>
        <v>SGD 4.63</v>
      </c>
      <c r="V263" s="28" t="str">
        <f>V204</f>
        <v>SingTel</v>
      </c>
      <c r="Z263" s="30"/>
    </row>
    <row r="264" spans="1:26" s="5" customFormat="1">
      <c r="A264" s="25"/>
      <c r="B264" s="26"/>
      <c r="C264" s="35" t="str">
        <f>C205</f>
        <v>Agg. Developed Asia Incumbent</v>
      </c>
      <c r="D264" s="42"/>
      <c r="E264" s="42"/>
      <c r="F264" s="39"/>
      <c r="G264" s="42"/>
      <c r="H264" s="40"/>
      <c r="I264" s="38">
        <f>'DM ASIA INCUMB'!$D$42</f>
        <v>2.4594607243120197</v>
      </c>
      <c r="J264" s="38">
        <f>'DM ASIA INCUMB'!$E$42</f>
        <v>2.2702826391705582</v>
      </c>
      <c r="K264" s="38">
        <f>'DM ASIA INCUMB'!$F$42</f>
        <v>2.0952490304358964</v>
      </c>
      <c r="L264" s="38">
        <f>'DM ASIA INCUMB'!$G$42</f>
        <v>1.9218054759258993</v>
      </c>
      <c r="M264" s="39">
        <f>'DM ASIA INCUMB'!$H$42</f>
        <v>3.3856029497000728E-2</v>
      </c>
      <c r="N264" s="40"/>
      <c r="O264" s="484">
        <f>('DM ASIA INCUMB'!$D$23/'DM ASIA INCUMB'!$C$23)-1</f>
        <v>3.8034419790152985E-2</v>
      </c>
      <c r="P264" s="484">
        <f>('DM ASIA INCUMB'!$E$23/'DM ASIA INCUMB'!$D$23)-1</f>
        <v>4.0803770035688469E-2</v>
      </c>
      <c r="Q264" s="484">
        <f>('DM ASIA INCUMB'!$F$23/'DM ASIA INCUMB'!$E$23)-1</f>
        <v>3.9891441156543417E-2</v>
      </c>
      <c r="R264" s="484">
        <f>('DM ASIA INCUMB'!$G$23/'DM ASIA INCUMB'!$F$23)-1</f>
        <v>3.9094209108192057E-2</v>
      </c>
      <c r="S264" s="484">
        <f>'DM ASIA INCUMB'!$H$23</f>
        <v>3.9929572223155851E-2</v>
      </c>
      <c r="T264" s="40"/>
      <c r="U264" s="35"/>
      <c r="V264" s="42" t="str">
        <f>V205</f>
        <v xml:space="preserve">Agg. Developed Asia Incumbent </v>
      </c>
      <c r="Z264" s="30"/>
    </row>
    <row r="265" spans="1:26" s="5" customFormat="1">
      <c r="A265" s="25"/>
      <c r="B265" s="26"/>
      <c r="C265" s="27"/>
      <c r="D265" s="34"/>
      <c r="E265" s="34"/>
      <c r="F265" s="45"/>
      <c r="G265" s="34"/>
      <c r="H265" s="40"/>
      <c r="I265" s="46"/>
      <c r="J265" s="46"/>
      <c r="K265" s="46"/>
      <c r="L265" s="46"/>
      <c r="M265" s="45"/>
      <c r="N265" s="40"/>
      <c r="O265" s="485"/>
      <c r="P265" s="485"/>
      <c r="Q265" s="485"/>
      <c r="R265" s="485"/>
      <c r="S265" s="485"/>
      <c r="T265" s="40"/>
      <c r="U265" s="27"/>
      <c r="V265" s="34"/>
      <c r="Z265" s="30"/>
    </row>
    <row r="266" spans="1:26" s="5" customFormat="1">
      <c r="A266" s="25"/>
      <c r="B266" s="26"/>
      <c r="C266" s="35" t="s">
        <v>717</v>
      </c>
      <c r="D266" s="42"/>
      <c r="E266" s="42"/>
      <c r="F266" s="39"/>
      <c r="G266" s="42"/>
      <c r="H266" s="40"/>
      <c r="I266" s="38">
        <f>'AGG DM INCUMB'!D42</f>
        <v>3.4549705169056364</v>
      </c>
      <c r="J266" s="38">
        <f>'AGG DM INCUMB'!E42</f>
        <v>3.3259411509670569</v>
      </c>
      <c r="K266" s="38">
        <f>'AGG DM INCUMB'!F42</f>
        <v>3.1799932656175369</v>
      </c>
      <c r="L266" s="38">
        <f>'AGG DM INCUMB'!G42</f>
        <v>3.0518533432933617</v>
      </c>
      <c r="M266" s="39">
        <f>'AGG DM INCUMB'!H42</f>
        <v>4.0040806648999894E-3</v>
      </c>
      <c r="N266" s="40"/>
      <c r="O266" s="484">
        <f>('AGG DM INCUMB'!D$23/'AGG DM INCUMB'!C$23)-1</f>
        <v>1.0951230039694337E-2</v>
      </c>
      <c r="P266" s="484">
        <f>('AGG DM INCUMB'!E$23/'AGG DM INCUMB'!D$23)-1</f>
        <v>3.3857476265773734E-2</v>
      </c>
      <c r="Q266" s="484">
        <f>('AGG DM INCUMB'!F$23/'AGG DM INCUMB'!E$23)-1</f>
        <v>2.5094585322668506E-2</v>
      </c>
      <c r="R266" s="484">
        <f>('AGG DM INCUMB'!G$23/'AGG DM INCUMB'!F$23)-1</f>
        <v>2.4110767788777299E-2</v>
      </c>
      <c r="S266" s="484">
        <f>'AGG DM INCUMB'!$H$23</f>
        <v>2.7678288869384726E-2</v>
      </c>
      <c r="T266" s="40"/>
      <c r="U266" s="35"/>
      <c r="V266" s="42" t="str">
        <f>C266</f>
        <v>Agg. DM Incumbent total</v>
      </c>
      <c r="Z266" s="30"/>
    </row>
    <row r="267" spans="1:26" s="5" customFormat="1">
      <c r="A267" s="25"/>
      <c r="B267" s="26"/>
      <c r="C267" s="25"/>
      <c r="D267" s="28"/>
      <c r="E267" s="28"/>
      <c r="F267" s="29"/>
      <c r="G267" s="28"/>
      <c r="H267" s="30"/>
      <c r="I267" s="31"/>
      <c r="J267" s="31"/>
      <c r="K267" s="31"/>
      <c r="L267" s="31"/>
      <c r="M267" s="29"/>
      <c r="N267" s="30"/>
      <c r="O267" s="483"/>
      <c r="P267" s="483"/>
      <c r="Q267" s="483"/>
      <c r="R267" s="483"/>
      <c r="S267" s="483"/>
      <c r="T267" s="30"/>
      <c r="U267" s="32"/>
      <c r="V267" s="34"/>
      <c r="Z267" s="30"/>
    </row>
    <row r="268" spans="1:26" s="5" customFormat="1">
      <c r="A268" s="25" t="s">
        <v>1091</v>
      </c>
      <c r="B268" s="26"/>
      <c r="C268" s="32" t="str">
        <f t="shared" ref="C268:G280" si="50">C209</f>
        <v>1&amp;1</v>
      </c>
      <c r="D268" s="28" t="str">
        <f t="shared" si="50"/>
        <v>EUR 23.2</v>
      </c>
      <c r="E268" s="28" t="str">
        <f t="shared" si="50"/>
        <v>EUR 10.0</v>
      </c>
      <c r="F268" s="29">
        <f t="shared" si="50"/>
        <v>-0.56803455723542107</v>
      </c>
      <c r="G268" s="28" t="str">
        <f t="shared" si="50"/>
        <v>Sell</v>
      </c>
      <c r="H268" s="30"/>
      <c r="I268" s="31">
        <f>DRI!$D$42</f>
        <v>1.482422941486085</v>
      </c>
      <c r="J268" s="31">
        <f>DRI!$E$42</f>
        <v>1.0679095718329881</v>
      </c>
      <c r="K268" s="31">
        <f>DRI!$F$42</f>
        <v>1.0276533766359304</v>
      </c>
      <c r="L268" s="31">
        <f>DRI!$G$42</f>
        <v>0.98448548621391718</v>
      </c>
      <c r="M268" s="29">
        <f>DRI!$H$42</f>
        <v>0.1628840612462068</v>
      </c>
      <c r="N268" s="30"/>
      <c r="O268" s="483">
        <f>(DRI!$D$23/DRI!$C$23)-1</f>
        <v>5.9471495706517885E-3</v>
      </c>
      <c r="P268" s="483">
        <f>(DRI!$E$23/DRI!$D$23)-1</f>
        <v>0.13707631230422224</v>
      </c>
      <c r="Q268" s="483">
        <f>(DRI!$F$23/DRI!$E$23)-1</f>
        <v>-4.8638765595806488E-3</v>
      </c>
      <c r="R268" s="483">
        <f>(DRI!$G$23/DRI!$F$23)-1</f>
        <v>-9.7580639031114025E-4</v>
      </c>
      <c r="S268" s="483">
        <f>DRI!$H$23</f>
        <v>4.1716084399639586E-2</v>
      </c>
      <c r="T268" s="30"/>
      <c r="U268" s="32" t="str">
        <f t="shared" ref="U268:V270" si="51">U209</f>
        <v>EUR 23.2</v>
      </c>
      <c r="V268" s="28" t="str">
        <f t="shared" si="51"/>
        <v>1&amp;1</v>
      </c>
      <c r="Z268" s="33"/>
    </row>
    <row r="269" spans="1:26" s="5" customFormat="1">
      <c r="A269" s="25"/>
      <c r="B269" s="26"/>
      <c r="C269" s="32" t="str">
        <f t="shared" si="50"/>
        <v>Bouygues</v>
      </c>
      <c r="D269" s="28" t="str">
        <f t="shared" si="50"/>
        <v>EUR 51.8</v>
      </c>
      <c r="E269" s="28" t="str">
        <f t="shared" si="50"/>
        <v>EUR 64.0</v>
      </c>
      <c r="F269" s="29">
        <f t="shared" si="50"/>
        <v>0.23599845500193117</v>
      </c>
      <c r="G269" s="28" t="str">
        <f t="shared" si="50"/>
        <v>Buy</v>
      </c>
      <c r="H269" s="30"/>
      <c r="I269" s="31" t="str">
        <f>BOUY!$D$42</f>
        <v>N/A</v>
      </c>
      <c r="J269" s="31" t="str">
        <f>BOUY!$E$42</f>
        <v>N/A</v>
      </c>
      <c r="K269" s="31" t="str">
        <f>BOUY!$F$42</f>
        <v>N/A</v>
      </c>
      <c r="L269" s="31" t="str">
        <f>BOUY!$G$42</f>
        <v>N/A</v>
      </c>
      <c r="M269" s="29" t="str">
        <f>BOUY!$H$42</f>
        <v>nm</v>
      </c>
      <c r="N269" s="30"/>
      <c r="O269" s="483">
        <f>(BOUY!$D$23/BOUY!$C$23)-1</f>
        <v>2.2025655483506323E-3</v>
      </c>
      <c r="P269" s="483">
        <f>(BOUY!$E$23/BOUY!$D$23)-1</f>
        <v>1.3157105231474286E-2</v>
      </c>
      <c r="Q269" s="483">
        <f>(BOUY!$F$23/BOUY!$E$23)-1</f>
        <v>2.2435381285645928E-2</v>
      </c>
      <c r="R269" s="483">
        <f>(BOUY!$G$23/BOUY!$F$23)-1</f>
        <v>2.5339477196699711E-2</v>
      </c>
      <c r="S269" s="483">
        <f>BOUY!$H$23</f>
        <v>2.0297402452326585E-2</v>
      </c>
      <c r="T269" s="30"/>
      <c r="U269" s="32" t="str">
        <f t="shared" si="51"/>
        <v>EUR 51.8</v>
      </c>
      <c r="V269" s="28" t="str">
        <f t="shared" si="51"/>
        <v>Bouygues</v>
      </c>
      <c r="Z269" s="33"/>
    </row>
    <row r="270" spans="1:26" s="5" customFormat="1">
      <c r="A270" s="25"/>
      <c r="B270" s="26"/>
      <c r="C270" s="32" t="str">
        <f t="shared" si="50"/>
        <v>Elisa</v>
      </c>
      <c r="D270" s="28" t="str">
        <f t="shared" si="50"/>
        <v>EUR 41.9</v>
      </c>
      <c r="E270" s="28" t="str">
        <f t="shared" si="50"/>
        <v>EUR 39.0</v>
      </c>
      <c r="F270" s="29">
        <f t="shared" si="50"/>
        <v>-6.9256376181545454E-2</v>
      </c>
      <c r="G270" s="28" t="str">
        <f t="shared" si="50"/>
        <v>Neutral</v>
      </c>
      <c r="H270" s="30"/>
      <c r="I270" s="31">
        <f>ELISA!$D$42</f>
        <v>8.4520846920746546</v>
      </c>
      <c r="J270" s="31">
        <f>ELISA!$E$42</f>
        <v>8.1139991309237303</v>
      </c>
      <c r="K270" s="31">
        <f>ELISA!$F$42</f>
        <v>7.7063217142448348</v>
      </c>
      <c r="L270" s="31">
        <f>ELISA!$G$42</f>
        <v>7.3201625749580836</v>
      </c>
      <c r="M270" s="29">
        <f>ELISA!$H$42</f>
        <v>1.1215524371686048E-3</v>
      </c>
      <c r="N270" s="30"/>
      <c r="O270" s="483">
        <f>(ELISA!$D$23/ELISA!$C$23)-1</f>
        <v>2.9933835272644371E-2</v>
      </c>
      <c r="P270" s="483">
        <f>(ELISA!$E$23/ELISA!$D$23)-1</f>
        <v>3.0666940061235382E-2</v>
      </c>
      <c r="Q270" s="483">
        <f>(ELISA!$F$23/ELISA!$E$23)-1</f>
        <v>3.0109407297483681E-2</v>
      </c>
      <c r="R270" s="483">
        <f>(ELISA!$G$23/ELISA!$F$23)-1</f>
        <v>2.758744548938763E-2</v>
      </c>
      <c r="S270" s="483">
        <f>ELISA!$H$23</f>
        <v>2.9453725359464666E-2</v>
      </c>
      <c r="T270" s="30"/>
      <c r="U270" s="32" t="str">
        <f t="shared" si="51"/>
        <v>EUR 41.9</v>
      </c>
      <c r="V270" s="28" t="str">
        <f t="shared" si="51"/>
        <v>Elisa</v>
      </c>
      <c r="Z270" s="30"/>
    </row>
    <row r="271" spans="1:26" s="5" customFormat="1">
      <c r="A271" s="25"/>
      <c r="B271" s="26"/>
      <c r="C271" s="32" t="str">
        <f t="shared" si="50"/>
        <v>Eutelsat</v>
      </c>
      <c r="D271" s="28" t="str">
        <f t="shared" si="50"/>
        <v>EUR 2.8</v>
      </c>
      <c r="E271" s="28" t="str">
        <f t="shared" si="50"/>
        <v>EUR 1.4</v>
      </c>
      <c r="F271" s="29">
        <f t="shared" si="50"/>
        <v>-0.5</v>
      </c>
      <c r="G271" s="28" t="str">
        <f t="shared" si="50"/>
        <v>Sell</v>
      </c>
      <c r="H271" s="30"/>
      <c r="I271" s="31">
        <f>ETL!$D$42</f>
        <v>1.0673191930854553</v>
      </c>
      <c r="J271" s="31">
        <f>ETL!$E$42</f>
        <v>1.1047135972831503</v>
      </c>
      <c r="K271" s="31">
        <f>ETL!$F$42</f>
        <v>1.1123830060624442</v>
      </c>
      <c r="L271" s="31">
        <f>ETL!$G$42</f>
        <v>1.1051337292330434</v>
      </c>
      <c r="M271" s="29">
        <f>ETL!$H$42</f>
        <v>5.4761920842581358E-2</v>
      </c>
      <c r="N271" s="30"/>
      <c r="O271" s="483">
        <f>(ETL!$D$23/ETL!$C$23)-1</f>
        <v>-3.9949344697274181E-2</v>
      </c>
      <c r="P271" s="483">
        <f>(ETL!$E$23/ETL!$D$23)-1</f>
        <v>2.8577403699787673E-2</v>
      </c>
      <c r="Q271" s="483">
        <f>(ETL!$F$23/ETL!$E$23)-1</f>
        <v>5.4705783602934765E-2</v>
      </c>
      <c r="R271" s="483">
        <f>(ETL!$G$23/ETL!$F$23)-1</f>
        <v>2.504125892006015E-2</v>
      </c>
      <c r="S271" s="483">
        <f>ETL!$H$23</f>
        <v>3.6024162878186994E-2</v>
      </c>
      <c r="T271" s="30"/>
      <c r="U271" s="32" t="str">
        <f t="shared" ref="U271:U280" si="52">U212</f>
        <v>EUR 2.8</v>
      </c>
      <c r="V271" s="28" t="s">
        <v>1283</v>
      </c>
      <c r="Z271" s="30"/>
    </row>
    <row r="272" spans="1:26" s="5" customFormat="1">
      <c r="A272" s="25"/>
      <c r="B272" s="26"/>
      <c r="C272" s="32" t="str">
        <f t="shared" si="50"/>
        <v>Liberty Global (prop.)</v>
      </c>
      <c r="D272" s="28" t="str">
        <f t="shared" si="50"/>
        <v>USD 12.0</v>
      </c>
      <c r="E272" s="28" t="str">
        <f t="shared" si="50"/>
        <v>USD 12.5</v>
      </c>
      <c r="F272" s="29">
        <f t="shared" si="50"/>
        <v>4.4277360066833804E-2</v>
      </c>
      <c r="G272" s="28" t="str">
        <f t="shared" si="50"/>
        <v>Neutral</v>
      </c>
      <c r="H272" s="30"/>
      <c r="I272" s="31">
        <f>LBTY!$D$42</f>
        <v>0.28350511224796332</v>
      </c>
      <c r="J272" s="31">
        <f>LBTY!$E$42</f>
        <v>0.35032043181937339</v>
      </c>
      <c r="K272" s="31">
        <f>LBTY!$F$42</f>
        <v>0.90890841942979161</v>
      </c>
      <c r="L272" s="31">
        <f>LBTY!$G$42</f>
        <v>0.88364711986212552</v>
      </c>
      <c r="M272" s="29">
        <f>LBTY!$H$42</f>
        <v>0</v>
      </c>
      <c r="N272" s="30"/>
      <c r="O272" s="483">
        <f>(LBTY!$D$23/LBTY!$C$23)-1</f>
        <v>0.12362239301468025</v>
      </c>
      <c r="P272" s="483">
        <f>(LBTY!$E$23/LBTY!$D$23)-1</f>
        <v>1.3402457260818679E-2</v>
      </c>
      <c r="Q272" s="483">
        <f>(LBTY!$F$23/LBTY!$E$23)-1</f>
        <v>0.87284463568515225</v>
      </c>
      <c r="R272" s="483">
        <f>(LBTY!$G$23/LBTY!$F$23)-1</f>
        <v>-1.1467560334312177E-2</v>
      </c>
      <c r="S272" s="483">
        <f>LBTY!$H$23</f>
        <v>0.23336478233878566</v>
      </c>
      <c r="T272" s="30"/>
      <c r="U272" s="32" t="str">
        <f t="shared" si="52"/>
        <v>USD 12.0</v>
      </c>
      <c r="V272" s="28" t="str">
        <f t="shared" ref="V272:V280" si="53">V213</f>
        <v>Liberty Global</v>
      </c>
      <c r="Z272" s="33"/>
    </row>
    <row r="273" spans="1:26" s="5" customFormat="1">
      <c r="A273" s="25"/>
      <c r="B273" s="26"/>
      <c r="C273" s="32" t="str">
        <f t="shared" si="50"/>
        <v>NOS</v>
      </c>
      <c r="D273" s="28" t="str">
        <f t="shared" si="50"/>
        <v>EUR 5.65</v>
      </c>
      <c r="E273" s="28" t="str">
        <f t="shared" si="50"/>
        <v>EUR 5.50</v>
      </c>
      <c r="F273" s="29">
        <f t="shared" si="50"/>
        <v>-2.6548672566371723E-2</v>
      </c>
      <c r="G273" s="28" t="str">
        <f t="shared" si="50"/>
        <v>Neutral</v>
      </c>
      <c r="H273" s="30"/>
      <c r="I273" s="31">
        <f>NOS!$D$42</f>
        <v>2.769134752318124</v>
      </c>
      <c r="J273" s="31">
        <f>NOS!$E$42</f>
        <v>2.8360002816676562</v>
      </c>
      <c r="K273" s="31">
        <f>NOS!$F$42</f>
        <v>2.8731941361101079</v>
      </c>
      <c r="L273" s="31">
        <f>NOS!$G$42</f>
        <v>2.8627572163293049</v>
      </c>
      <c r="M273" s="29">
        <f>NOS!$H$42</f>
        <v>-8.0081973769157933E-2</v>
      </c>
      <c r="N273" s="30"/>
      <c r="O273" s="483">
        <f>(NOS!$D$23/NOS!$C$23)-1</f>
        <v>-4.5654108614490818E-2</v>
      </c>
      <c r="P273" s="483">
        <f>(NOS!$E$23/NOS!$D$23)-1</f>
        <v>2.1909633393828454E-3</v>
      </c>
      <c r="Q273" s="483">
        <f>(NOS!$F$23/NOS!$E$23)-1</f>
        <v>-1.0524131948710491E-2</v>
      </c>
      <c r="R273" s="483">
        <f>(NOS!$G$23/NOS!$F$23)-1</f>
        <v>-1.0839708618493149E-2</v>
      </c>
      <c r="S273" s="483">
        <f>NOS!$H$23</f>
        <v>-6.4094452711144223E-3</v>
      </c>
      <c r="T273" s="30"/>
      <c r="U273" s="32" t="str">
        <f t="shared" si="52"/>
        <v>EUR 5.65</v>
      </c>
      <c r="V273" s="28" t="str">
        <f t="shared" si="53"/>
        <v>NOS</v>
      </c>
      <c r="Z273" s="33"/>
    </row>
    <row r="274" spans="1:26" s="5" customFormat="1">
      <c r="A274" s="112"/>
      <c r="B274" s="26"/>
      <c r="C274" s="32" t="str">
        <f t="shared" si="50"/>
        <v>Orange Belgium</v>
      </c>
      <c r="D274" s="28" t="str">
        <f t="shared" si="50"/>
        <v>EUR 21.0</v>
      </c>
      <c r="E274" s="28" t="str">
        <f t="shared" si="50"/>
        <v>EUR 21.1</v>
      </c>
      <c r="F274" s="29">
        <f t="shared" si="50"/>
        <v>5.150744566468024E-3</v>
      </c>
      <c r="G274" s="28" t="str">
        <f t="shared" si="50"/>
        <v>Neutral</v>
      </c>
      <c r="H274" s="30"/>
      <c r="I274" s="31">
        <f>OBEL!$D$42</f>
        <v>1.864492387483484</v>
      </c>
      <c r="J274" s="31">
        <f>OBEL!$E$42</f>
        <v>1.8867570632104971</v>
      </c>
      <c r="K274" s="31">
        <f>OBEL!$F$42</f>
        <v>1.8924378291898745</v>
      </c>
      <c r="L274" s="31">
        <f>OBEL!$G$42</f>
        <v>1.9423168205109202</v>
      </c>
      <c r="M274" s="29">
        <f>OBEL!$H$42</f>
        <v>-2.6452928074725435E-2</v>
      </c>
      <c r="N274" s="30"/>
      <c r="O274" s="483">
        <f>(OBEL!$D$23/OBEL!$C$23)-1</f>
        <v>-1.5242439783472728E-2</v>
      </c>
      <c r="P274" s="483">
        <f>(OBEL!$E$23/OBEL!$D$23)-1</f>
        <v>9.1885158899822628E-3</v>
      </c>
      <c r="Q274" s="483">
        <f>(OBEL!$F$23/OBEL!$E$23)-1</f>
        <v>1.1851982521754456E-2</v>
      </c>
      <c r="R274" s="483">
        <f>(OBEL!$G$23/OBEL!$F$23)-1</f>
        <v>1.2727691091301452E-2</v>
      </c>
      <c r="S274" s="483">
        <f>OBEL!$H$23</f>
        <v>1.1254942588671213E-2</v>
      </c>
      <c r="T274" s="30"/>
      <c r="U274" s="32" t="str">
        <f t="shared" si="52"/>
        <v>EUR 21.0</v>
      </c>
      <c r="V274" s="28" t="str">
        <f t="shared" si="53"/>
        <v>Orange Belgium</v>
      </c>
      <c r="Z274" s="30"/>
    </row>
    <row r="275" spans="1:26" s="5" customFormat="1">
      <c r="A275" s="112"/>
      <c r="B275" s="26"/>
      <c r="C275" s="32" t="str">
        <f t="shared" si="50"/>
        <v>SES</v>
      </c>
      <c r="D275" s="28" t="str">
        <f t="shared" si="50"/>
        <v>EUR 6.6</v>
      </c>
      <c r="E275" s="28" t="str">
        <f t="shared" si="50"/>
        <v>EUR 6.0</v>
      </c>
      <c r="F275" s="404">
        <f t="shared" si="50"/>
        <v>-9.297052154195018E-2</v>
      </c>
      <c r="G275" s="28" t="str">
        <f t="shared" si="50"/>
        <v>Neutral</v>
      </c>
      <c r="H275" s="30"/>
      <c r="I275" s="528" t="str">
        <f>SES!$D$42</f>
        <v>N/A</v>
      </c>
      <c r="J275" s="528" t="str">
        <f>SES!$E$42</f>
        <v>N/A</v>
      </c>
      <c r="K275" s="528" t="str">
        <f>SES!$F$42</f>
        <v>N/A</v>
      </c>
      <c r="L275" s="528" t="str">
        <f>SES!$G$42</f>
        <v>N/A</v>
      </c>
      <c r="M275" s="404" t="str">
        <f>SES!$H$42</f>
        <v>na</v>
      </c>
      <c r="N275" s="30"/>
      <c r="O275" s="529">
        <f>(SES!$D$23/SES!$C$23)-1</f>
        <v>0.31334332833583201</v>
      </c>
      <c r="P275" s="529">
        <f>(SES!$E$23/SES!$D$23)-1</f>
        <v>0.28234398782343995</v>
      </c>
      <c r="Q275" s="529">
        <f>(SES!$F$23/SES!$E$23)-1</f>
        <v>-3.2949735069192077E-2</v>
      </c>
      <c r="R275" s="529">
        <f>(SES!$G$23/SES!$F$23)-1</f>
        <v>-4.2938538050927622E-2</v>
      </c>
      <c r="S275" s="529">
        <f>SES!$H$23</f>
        <v>5.8760683603923392E-2</v>
      </c>
      <c r="T275" s="30"/>
      <c r="U275" s="32" t="str">
        <f t="shared" si="52"/>
        <v>EUR 6.6</v>
      </c>
      <c r="V275" s="28" t="str">
        <f t="shared" si="53"/>
        <v>SES</v>
      </c>
      <c r="Z275" s="30"/>
    </row>
    <row r="276" spans="1:26" s="5" customFormat="1">
      <c r="A276" s="112"/>
      <c r="B276" s="26"/>
      <c r="C276" s="32" t="str">
        <f t="shared" si="50"/>
        <v>Sunrise</v>
      </c>
      <c r="D276" s="28" t="str">
        <f t="shared" si="50"/>
        <v>CHF46.1</v>
      </c>
      <c r="E276" s="28" t="str">
        <f t="shared" si="50"/>
        <v>CHF38.7</v>
      </c>
      <c r="F276" s="29">
        <f t="shared" si="50"/>
        <v>-0.15959504533103386</v>
      </c>
      <c r="G276" s="28" t="str">
        <f t="shared" si="50"/>
        <v>Sell</v>
      </c>
      <c r="H276" s="30"/>
      <c r="I276" s="31" t="str">
        <f>SUNN!$D$42</f>
        <v>N/A</v>
      </c>
      <c r="J276" s="31" t="str">
        <f>SUNN!$E$42</f>
        <v>N/A</v>
      </c>
      <c r="K276" s="31" t="str">
        <f>SUNN!$F$42</f>
        <v>N/A</v>
      </c>
      <c r="L276" s="31" t="str">
        <f>SUNN!$G$42</f>
        <v>N/A</v>
      </c>
      <c r="M276" s="29" t="str">
        <f>SUNN!$H$42</f>
        <v>nm</v>
      </c>
      <c r="N276" s="30"/>
      <c r="O276" s="483">
        <f>(SUNN!$D$23/SUNN!$C$23)-1</f>
        <v>-1.146454605699132E-2</v>
      </c>
      <c r="P276" s="483">
        <f>(SUNN!$E$23/SUNN!$D$23)-1</f>
        <v>-5.7323720325438421E-3</v>
      </c>
      <c r="Q276" s="483">
        <f>(SUNN!$F$23/SUNN!$E$23)-1</f>
        <v>6.8246689668383098E-4</v>
      </c>
      <c r="R276" s="483">
        <f>(SUNN!$G$23/SUNN!$F$23)-1</f>
        <v>1.535039310234243E-4</v>
      </c>
      <c r="S276" s="483">
        <f>SUNN!$H$23</f>
        <v>-1.6363726347560226E-3</v>
      </c>
      <c r="T276" s="30"/>
      <c r="U276" s="32" t="str">
        <f t="shared" si="52"/>
        <v>CHF46.1</v>
      </c>
      <c r="V276" s="28" t="str">
        <f t="shared" si="53"/>
        <v>Sunrise</v>
      </c>
      <c r="Z276" s="30"/>
    </row>
    <row r="277" spans="1:26" s="5" customFormat="1">
      <c r="A277" s="112"/>
      <c r="B277" s="26"/>
      <c r="C277" s="32" t="str">
        <f t="shared" si="50"/>
        <v>Tele2</v>
      </c>
      <c r="D277" s="28" t="str">
        <f t="shared" si="50"/>
        <v>SEK 189.7</v>
      </c>
      <c r="E277" s="28" t="str">
        <f t="shared" si="50"/>
        <v>SEK 170.0</v>
      </c>
      <c r="F277" s="29">
        <f t="shared" si="50"/>
        <v>-0.10361191668863701</v>
      </c>
      <c r="G277" s="28" t="str">
        <f t="shared" si="50"/>
        <v>Neutral</v>
      </c>
      <c r="H277" s="30"/>
      <c r="I277" s="31">
        <f>TELE2!$D$42</f>
        <v>15.829846387891989</v>
      </c>
      <c r="J277" s="31">
        <f>TELE2!$E$42</f>
        <v>33.424595124236411</v>
      </c>
      <c r="K277" s="31">
        <f>TELE2!$F$42</f>
        <v>38.476212625442137</v>
      </c>
      <c r="L277" s="31">
        <f>TELE2!$G$42</f>
        <v>46.000357835067035</v>
      </c>
      <c r="M277" s="29">
        <f>TELE2!$H$42</f>
        <v>-0.33680955227558829</v>
      </c>
      <c r="N277" s="30"/>
      <c r="O277" s="483">
        <f>(TELE2!$D$23/TELE2!$C$23)-1</f>
        <v>1.0384768668267208E-2</v>
      </c>
      <c r="P277" s="483">
        <f>(TELE2!$E$23/TELE2!$D$23)-1</f>
        <v>1.5181270484070808E-2</v>
      </c>
      <c r="Q277" s="483">
        <f>(TELE2!$F$23/TELE2!$E$23)-1</f>
        <v>2.2588964280466861E-2</v>
      </c>
      <c r="R277" s="483">
        <f>(TELE2!$G$23/TELE2!$F$23)-1</f>
        <v>1.7293879479132412E-2</v>
      </c>
      <c r="S277" s="483">
        <f>TELE2!$H$23</f>
        <v>1.8349942633420158E-2</v>
      </c>
      <c r="T277" s="30"/>
      <c r="U277" s="32" t="str">
        <f t="shared" si="52"/>
        <v>SEK 189.7</v>
      </c>
      <c r="V277" s="28" t="str">
        <f t="shared" si="53"/>
        <v>Tele2</v>
      </c>
      <c r="Z277" s="30"/>
    </row>
    <row r="278" spans="1:26" s="5" customFormat="1">
      <c r="A278" s="25"/>
      <c r="B278" s="26"/>
      <c r="C278" s="32" t="str">
        <f t="shared" si="50"/>
        <v>United Internet</v>
      </c>
      <c r="D278" s="28" t="str">
        <f t="shared" si="50"/>
        <v>EUR 26.7</v>
      </c>
      <c r="E278" s="28" t="str">
        <f t="shared" si="50"/>
        <v>EUR 33.0</v>
      </c>
      <c r="F278" s="29">
        <f t="shared" si="50"/>
        <v>0.23688155922038989</v>
      </c>
      <c r="G278" s="28" t="str">
        <f t="shared" si="50"/>
        <v>Neutral</v>
      </c>
      <c r="H278" s="30"/>
      <c r="I278" s="31">
        <f>UTDI!$D$42</f>
        <v>3.1262882806001495</v>
      </c>
      <c r="J278" s="31">
        <f>UTDI!$E$42</f>
        <v>2.7399141310481117</v>
      </c>
      <c r="K278" s="31">
        <f>UTDI!$F$42</f>
        <v>2.5009359404382683</v>
      </c>
      <c r="L278" s="31">
        <f>UTDI!$G$42</f>
        <v>2.2845956155079929</v>
      </c>
      <c r="M278" s="29">
        <f>UTDI!$H$42</f>
        <v>8.6608850493598677E-2</v>
      </c>
      <c r="N278" s="30"/>
      <c r="O278" s="483">
        <f>(UTDI!$D$23/UTDI!$C$23)-1</f>
        <v>-3.3066811435151333E-2</v>
      </c>
      <c r="P278" s="483">
        <f>(UTDI!$E$23/UTDI!$D$23)-1</f>
        <v>2.1238957239821943E-2</v>
      </c>
      <c r="Q278" s="483">
        <f>(UTDI!$F$23/UTDI!$E$23)-1</f>
        <v>1.1632567188124776E-2</v>
      </c>
      <c r="R278" s="483">
        <f>(UTDI!$G$23/UTDI!$F$23)-1</f>
        <v>1.4153117893936251E-2</v>
      </c>
      <c r="S278" s="483">
        <f>UTDI!$H$23</f>
        <v>1.5666750218252812E-2</v>
      </c>
      <c r="T278" s="30"/>
      <c r="U278" s="32" t="str">
        <f t="shared" si="52"/>
        <v>EUR 26.7</v>
      </c>
      <c r="V278" s="28" t="str">
        <f t="shared" si="53"/>
        <v>United Internet</v>
      </c>
      <c r="Z278" s="33"/>
    </row>
    <row r="279" spans="1:26" s="5" customFormat="1">
      <c r="A279" s="112"/>
      <c r="B279" s="26"/>
      <c r="C279" s="32" t="str">
        <f t="shared" si="50"/>
        <v>Vodafone</v>
      </c>
      <c r="D279" s="28" t="str">
        <f t="shared" si="50"/>
        <v>GBP 1.16</v>
      </c>
      <c r="E279" s="28" t="str">
        <f t="shared" si="50"/>
        <v>GBP 1.30</v>
      </c>
      <c r="F279" s="29">
        <f t="shared" si="50"/>
        <v>0.12117291936179386</v>
      </c>
      <c r="G279" s="28" t="str">
        <f t="shared" si="50"/>
        <v>Buy</v>
      </c>
      <c r="H279" s="30"/>
      <c r="I279" s="31">
        <f>VOD!$D$42</f>
        <v>2.1587687636411497</v>
      </c>
      <c r="J279" s="31">
        <f>VOD!$E$42</f>
        <v>2.0745023567935954</v>
      </c>
      <c r="K279" s="31">
        <f>VOD!$F$42</f>
        <v>1.9716361189663059</v>
      </c>
      <c r="L279" s="31">
        <f>VOD!$G$42</f>
        <v>1.8556675430765406</v>
      </c>
      <c r="M279" s="29">
        <f>VOD!$H$42</f>
        <v>1.5113011332504867E-2</v>
      </c>
      <c r="N279" s="30"/>
      <c r="O279" s="483">
        <f>(VOD!$D$23/VOD!$C$23)-1</f>
        <v>0.10700977004079948</v>
      </c>
      <c r="P279" s="483">
        <f>(VOD!$E$23/VOD!$D$23)-1</f>
        <v>4.268616094019273E-2</v>
      </c>
      <c r="Q279" s="483">
        <f>(VOD!$F$23/VOD!$E$23)-1</f>
        <v>1.5499609149991933E-2</v>
      </c>
      <c r="R279" s="483">
        <f>(VOD!$G$23/VOD!$F$23)-1</f>
        <v>1.4470159561295937E-2</v>
      </c>
      <c r="S279" s="483">
        <f>VOD!$H$23</f>
        <v>2.4135802876696921E-2</v>
      </c>
      <c r="T279" s="30"/>
      <c r="U279" s="32" t="str">
        <f t="shared" si="52"/>
        <v>GBP 1.16</v>
      </c>
      <c r="V279" s="28" t="str">
        <f t="shared" si="53"/>
        <v>Vodafone</v>
      </c>
      <c r="Z279" s="30"/>
    </row>
    <row r="280" spans="1:26" s="5" customFormat="1">
      <c r="A280" s="112"/>
      <c r="B280" s="26"/>
      <c r="C280" s="32" t="str">
        <f t="shared" si="50"/>
        <v>Zegona</v>
      </c>
      <c r="D280" s="28" t="str">
        <f t="shared" si="50"/>
        <v>GBP 17.92</v>
      </c>
      <c r="E280" s="28" t="str">
        <f t="shared" si="50"/>
        <v>GBP 14.75</v>
      </c>
      <c r="F280" s="29">
        <f t="shared" si="50"/>
        <v>-0.17689732142857151</v>
      </c>
      <c r="G280" s="28" t="str">
        <f t="shared" si="50"/>
        <v>Neutral</v>
      </c>
      <c r="H280" s="30"/>
      <c r="I280" s="31" t="str">
        <f>ZEG!$D$42</f>
        <v>N/A</v>
      </c>
      <c r="J280" s="31" t="str">
        <f>ZEG!$E$42</f>
        <v>N/A</v>
      </c>
      <c r="K280" s="31" t="str">
        <f>ZEG!$F$42</f>
        <v>N/A</v>
      </c>
      <c r="L280" s="31" t="str">
        <f>ZEG!$G$42</f>
        <v>N/A</v>
      </c>
      <c r="M280" s="29" t="str">
        <f>ZEG!$H$42</f>
        <v>nm</v>
      </c>
      <c r="N280" s="30"/>
      <c r="O280" s="483">
        <f>(ZEG!$D$23/ZEG!$C$23)-1</f>
        <v>-5.7637402756890443E-3</v>
      </c>
      <c r="P280" s="483">
        <f>(ZEG!$E$23/ZEG!$D$23)-1</f>
        <v>5.4005272994688269E-3</v>
      </c>
      <c r="Q280" s="483">
        <f>(ZEG!$F$23/ZEG!$E$23)-1</f>
        <v>3.3671696895101189E-3</v>
      </c>
      <c r="R280" s="483">
        <f>(ZEG!$G$23/ZEG!$F$23)-1</f>
        <v>1.0171316894063143E-3</v>
      </c>
      <c r="S280" s="483">
        <f>ZEG!$H$23</f>
        <v>3.2600106380973326E-3</v>
      </c>
      <c r="T280" s="30"/>
      <c r="U280" s="32" t="str">
        <f t="shared" si="52"/>
        <v>GBP 17.92</v>
      </c>
      <c r="V280" s="28" t="str">
        <f t="shared" si="53"/>
        <v>Zegona</v>
      </c>
      <c r="Z280" s="30"/>
    </row>
    <row r="281" spans="1:26" s="5" customFormat="1">
      <c r="A281" s="112"/>
      <c r="B281" s="26"/>
      <c r="C281" s="35" t="str">
        <f>C222</f>
        <v>Agg. W. Europe Other</v>
      </c>
      <c r="D281" s="36"/>
      <c r="E281" s="36"/>
      <c r="F281" s="37"/>
      <c r="G281" s="36"/>
      <c r="H281" s="30"/>
      <c r="I281" s="38">
        <f>'W.EUR OTHER'!$D$42</f>
        <v>2.9964633075980172</v>
      </c>
      <c r="J281" s="38">
        <f>'W.EUR OTHER'!$E$42</f>
        <v>2.89073467136717</v>
      </c>
      <c r="K281" s="38">
        <f>'W.EUR OTHER'!$F$42</f>
        <v>2.8500424120410317</v>
      </c>
      <c r="L281" s="38">
        <f>'W.EUR OTHER'!$G$42</f>
        <v>2.701072051718306</v>
      </c>
      <c r="M281" s="39">
        <f>'W.EUR OTHER'!$H$42</f>
        <v>1.1940300513105573E-2</v>
      </c>
      <c r="N281" s="40"/>
      <c r="O281" s="484">
        <f>('W.EUR OTHER'!$D$23/'W.EUR OTHER'!$C$23)-1</f>
        <v>3.8780719908275918E-2</v>
      </c>
      <c r="P281" s="484">
        <f>('W.EUR OTHER'!$E$23/'W.EUR OTHER'!$D$23)-1</f>
        <v>2.7976313380914997E-2</v>
      </c>
      <c r="Q281" s="484">
        <f>('W.EUR OTHER'!$F$23/'W.EUR OTHER'!$E$23)-1</f>
        <v>4.4408009104202284E-2</v>
      </c>
      <c r="R281" s="484">
        <f>('W.EUR OTHER'!$G$23/'W.EUR OTHER'!$F$23)-1</f>
        <v>1.5544834995441681E-2</v>
      </c>
      <c r="S281" s="484">
        <f>'W.EUR OTHER'!$H$23</f>
        <v>2.9241923321861041E-2</v>
      </c>
      <c r="T281" s="30"/>
      <c r="U281" s="41"/>
      <c r="V281" s="42" t="str">
        <f>C281</f>
        <v>Agg. W. Europe Other</v>
      </c>
      <c r="Z281" s="33"/>
    </row>
    <row r="282" spans="1:26" s="5" customFormat="1">
      <c r="A282" s="112"/>
      <c r="B282" s="26"/>
      <c r="C282" s="32"/>
      <c r="D282" s="28"/>
      <c r="E282" s="28"/>
      <c r="F282" s="29"/>
      <c r="G282" s="28"/>
      <c r="H282" s="30"/>
      <c r="I282" s="31"/>
      <c r="J282" s="31"/>
      <c r="K282" s="31"/>
      <c r="L282" s="31"/>
      <c r="M282" s="29"/>
      <c r="N282" s="30"/>
      <c r="O282" s="483"/>
      <c r="P282" s="483"/>
      <c r="Q282" s="483"/>
      <c r="R282" s="483"/>
      <c r="S282" s="483"/>
      <c r="T282" s="30"/>
      <c r="U282" s="32"/>
      <c r="V282" s="28"/>
      <c r="W282" s="31"/>
      <c r="X282" s="31"/>
      <c r="Y282" s="109"/>
      <c r="Z282" s="30"/>
    </row>
    <row r="283" spans="1:26" s="5" customFormat="1">
      <c r="A283" s="112"/>
      <c r="B283" s="26"/>
      <c r="C283" s="32" t="str">
        <f t="shared" ref="C283:G285" si="54">C224</f>
        <v>KDDI</v>
      </c>
      <c r="D283" s="28" t="str">
        <f t="shared" si="54"/>
        <v>JPY 2,565</v>
      </c>
      <c r="E283" s="28" t="str">
        <f t="shared" si="54"/>
        <v>JPY 3,150</v>
      </c>
      <c r="F283" s="29">
        <f t="shared" si="54"/>
        <v>0.22807017543859653</v>
      </c>
      <c r="G283" s="28" t="str">
        <f t="shared" si="54"/>
        <v>Buy</v>
      </c>
      <c r="H283" s="30"/>
      <c r="I283" s="31">
        <f>KDDI!$D$42</f>
        <v>4.2685913610544981</v>
      </c>
      <c r="J283" s="31">
        <f>KDDI!$E$42</f>
        <v>4.000328832475617</v>
      </c>
      <c r="K283" s="31">
        <f>KDDI!$F$42</f>
        <v>3.7136200705582914</v>
      </c>
      <c r="L283" s="31">
        <f>KDDI!$G$42</f>
        <v>3.4107272964343345</v>
      </c>
      <c r="M283" s="29">
        <f>KDDI!$H$42</f>
        <v>-7.6835962124383039E-3</v>
      </c>
      <c r="N283" s="30"/>
      <c r="O283" s="483">
        <f>(KDDI!$D$23/KDDI!$E$23)-1</f>
        <v>-3.7515605762121873E-2</v>
      </c>
      <c r="P283" s="483">
        <f>(KDDI!$E$23/KDDI!$D$23)-1</f>
        <v>3.8977884718668809E-2</v>
      </c>
      <c r="Q283" s="483">
        <f>(KDDI!$F$23/KDDI!$E$23)-1</f>
        <v>3.1918408508956775E-2</v>
      </c>
      <c r="R283" s="483">
        <f>(KDDI!$G$23/KDDI!$F$23)-1</f>
        <v>2.8743395503679547E-2</v>
      </c>
      <c r="S283" s="483">
        <f>KDDI!$H$23</f>
        <v>3.3204386111499673E-2</v>
      </c>
      <c r="T283" s="30"/>
      <c r="U283" s="32" t="str">
        <f t="shared" ref="U283:V285" si="55">U224</f>
        <v>JPY 2,565</v>
      </c>
      <c r="V283" s="28" t="str">
        <f t="shared" si="55"/>
        <v>KDDI</v>
      </c>
      <c r="Z283" s="33"/>
    </row>
    <row r="284" spans="1:26" s="5" customFormat="1">
      <c r="A284" s="112"/>
      <c r="B284" s="26"/>
      <c r="C284" s="32" t="str">
        <f t="shared" si="54"/>
        <v>Rakuten</v>
      </c>
      <c r="D284" s="28" t="str">
        <f t="shared" si="54"/>
        <v>JPY 775</v>
      </c>
      <c r="E284" s="28" t="str">
        <f t="shared" si="54"/>
        <v>JPY 510</v>
      </c>
      <c r="F284" s="29">
        <f t="shared" si="54"/>
        <v>-0.3421901199535663</v>
      </c>
      <c r="G284" s="28" t="str">
        <f t="shared" si="54"/>
        <v>Reduce</v>
      </c>
      <c r="H284" s="30"/>
      <c r="I284" s="31">
        <f>RAK!$D$42</f>
        <v>1.9436801562650252</v>
      </c>
      <c r="J284" s="31">
        <f>RAK!$E$42</f>
        <v>1.8712878395276129</v>
      </c>
      <c r="K284" s="31">
        <f>RAK!$F$42</f>
        <v>1.7974338823563369</v>
      </c>
      <c r="L284" s="31">
        <f>RAK!$G$42</f>
        <v>1.7206325559466413</v>
      </c>
      <c r="M284" s="29">
        <f>RAK!$H$42</f>
        <v>3.9502339169816159E-2</v>
      </c>
      <c r="N284" s="30"/>
      <c r="O284" s="483">
        <f>(RAK!$D$23/RAK!$C$23)-1</f>
        <v>9.3611682617054104E-2</v>
      </c>
      <c r="P284" s="483">
        <f>(RAK!$E$23/RAK!$D$23)-1</f>
        <v>0.11166261180958803</v>
      </c>
      <c r="Q284" s="483">
        <f>(RAK!$F$23/RAK!$E$23)-1</f>
        <v>0.10650762428035954</v>
      </c>
      <c r="R284" s="483">
        <f>(RAK!$G$23/RAK!$F$23)-1</f>
        <v>0.10341962377398262</v>
      </c>
      <c r="S284" s="483">
        <f>RAK!$H$23</f>
        <v>0.10719140187087883</v>
      </c>
      <c r="T284" s="30"/>
      <c r="U284" s="32" t="str">
        <f t="shared" si="55"/>
        <v>JPY 775</v>
      </c>
      <c r="V284" s="28" t="str">
        <f t="shared" si="55"/>
        <v>Rakuten</v>
      </c>
      <c r="Z284" s="33"/>
    </row>
    <row r="285" spans="1:26" s="5" customFormat="1">
      <c r="A285" s="112"/>
      <c r="B285" s="26"/>
      <c r="C285" s="32" t="str">
        <f t="shared" si="54"/>
        <v>SoftBank KK (Corp)</v>
      </c>
      <c r="D285" s="28" t="str">
        <f t="shared" si="54"/>
        <v>JPY 220</v>
      </c>
      <c r="E285" s="28" t="str">
        <f t="shared" si="54"/>
        <v>JPY 270</v>
      </c>
      <c r="F285" s="29">
        <f t="shared" si="54"/>
        <v>0.22615803814713908</v>
      </c>
      <c r="G285" s="28" t="str">
        <f t="shared" si="54"/>
        <v>Buy</v>
      </c>
      <c r="H285" s="30"/>
      <c r="I285" s="31">
        <f>SBKK!$D$42</f>
        <v>8.1095514964169233</v>
      </c>
      <c r="J285" s="31">
        <f>SBKK!$E$42</f>
        <v>8.6226512939439353</v>
      </c>
      <c r="K285" s="31">
        <f>SBKK!$F$42</f>
        <v>9.3592561900350102</v>
      </c>
      <c r="L285" s="31">
        <f>SBKK!$G$42</f>
        <v>10.465460045456725</v>
      </c>
      <c r="M285" s="29">
        <f>SBKK!$H$42</f>
        <v>-0.15364861672303309</v>
      </c>
      <c r="N285" s="30"/>
      <c r="O285" s="483">
        <f>(SBKK!$D$23/SBKK!$C$23)-1</f>
        <v>5.6959844374356638E-2</v>
      </c>
      <c r="P285" s="483">
        <f>(SBKK!$E$23/SBKK!$D$23)-1</f>
        <v>5.2020976410882547E-2</v>
      </c>
      <c r="Q285" s="483">
        <f>(SBKK!$F$23/SBKK!$E$23)-1</f>
        <v>5.1682945350710607E-2</v>
      </c>
      <c r="R285" s="483">
        <f>(SBKK!$G$23/SBKK!$F$23)-1</f>
        <v>4.751984707997714E-2</v>
      </c>
      <c r="S285" s="483">
        <f>SBKK!$H$23</f>
        <v>5.040592690688217E-2</v>
      </c>
      <c r="T285" s="30"/>
      <c r="U285" s="32" t="str">
        <f t="shared" si="55"/>
        <v>JPY 220</v>
      </c>
      <c r="V285" s="28" t="str">
        <f t="shared" si="55"/>
        <v>SoftBank KK (Corp)</v>
      </c>
      <c r="Z285" s="33"/>
    </row>
    <row r="286" spans="1:26" s="5" customFormat="1">
      <c r="A286" s="112"/>
      <c r="B286" s="26"/>
      <c r="C286" s="35" t="str">
        <f>C227</f>
        <v>Agg. Developed Asia Other</v>
      </c>
      <c r="D286" s="36"/>
      <c r="E286" s="36"/>
      <c r="F286" s="37"/>
      <c r="G286" s="36"/>
      <c r="H286" s="30"/>
      <c r="I286" s="38">
        <f>'DM ASIA OTHER'!$D$42</f>
        <v>4.9393195072998566</v>
      </c>
      <c r="J286" s="38">
        <f>'DM ASIA OTHER'!$E$42</f>
        <v>4.7856735354130953</v>
      </c>
      <c r="K286" s="38">
        <f>'DM ASIA OTHER'!$F$42</f>
        <v>4.6097730781608321</v>
      </c>
      <c r="L286" s="38">
        <f>'DM ASIA OTHER'!$G$42</f>
        <v>4.4045057967131633</v>
      </c>
      <c r="M286" s="39">
        <f>'DM ASIA OTHER'!$H$42</f>
        <v>-3.5921718528862501E-2</v>
      </c>
      <c r="N286" s="40"/>
      <c r="O286" s="484">
        <f>('DM ASIA OTHER'!$D$23/'DM ASIA OTHER'!$C$23)-1</f>
        <v>5.745959157887337E-2</v>
      </c>
      <c r="P286" s="484">
        <f>('DM ASIA OTHER'!$E$23/'DM ASIA OTHER'!$D$23)-1</f>
        <v>5.6387681368319953E-2</v>
      </c>
      <c r="Q286" s="484">
        <f>('DM ASIA OTHER'!$F$23/'DM ASIA OTHER'!$E$23)-1</f>
        <v>5.3203052424002806E-2</v>
      </c>
      <c r="R286" s="484">
        <f>('DM ASIA OTHER'!$G$23/'DM ASIA OTHER'!$F$23)-1</f>
        <v>5.0230030467978137E-2</v>
      </c>
      <c r="S286" s="484">
        <f>'DM ASIA OTHER'!$H$23</f>
        <v>5.3270587191900365E-2</v>
      </c>
      <c r="T286" s="30"/>
      <c r="U286" s="41"/>
      <c r="V286" s="42" t="str">
        <f>V227</f>
        <v>Agg. Developed Asia Cellular</v>
      </c>
      <c r="Z286" s="33"/>
    </row>
    <row r="287" spans="1:26" s="5" customFormat="1">
      <c r="A287" s="25"/>
      <c r="B287" s="26"/>
      <c r="C287" s="32"/>
      <c r="D287" s="28"/>
      <c r="E287" s="28"/>
      <c r="F287" s="29"/>
      <c r="G287" s="28"/>
      <c r="H287" s="30"/>
      <c r="I287" s="31"/>
      <c r="J287" s="31"/>
      <c r="K287" s="31"/>
      <c r="L287" s="31"/>
      <c r="M287" s="29"/>
      <c r="N287" s="30"/>
      <c r="O287" s="483"/>
      <c r="P287" s="483"/>
      <c r="Q287" s="483"/>
      <c r="R287" s="483"/>
      <c r="S287" s="483"/>
      <c r="T287" s="30"/>
      <c r="U287" s="32"/>
      <c r="V287" s="28"/>
      <c r="Z287" s="33"/>
    </row>
    <row r="288" spans="1:26" s="5" customFormat="1">
      <c r="A288" s="25"/>
      <c r="B288" s="26"/>
      <c r="C288" s="32" t="str">
        <f>C229</f>
        <v>Altice US</v>
      </c>
      <c r="D288" s="28" t="str">
        <f>D229</f>
        <v>US$1.7</v>
      </c>
      <c r="E288" s="28" t="str">
        <f>E229</f>
        <v>US$2.5</v>
      </c>
      <c r="F288" s="29">
        <f>F229</f>
        <v>0.49700598802395213</v>
      </c>
      <c r="G288" s="28" t="str">
        <f>G229</f>
        <v>Neutral</v>
      </c>
      <c r="H288" s="30"/>
      <c r="I288" s="31">
        <f>ATCUS!$D$42</f>
        <v>3.1020772982610838</v>
      </c>
      <c r="J288" s="31">
        <f>ATCUS!$E$42</f>
        <v>3.0198589914567862</v>
      </c>
      <c r="K288" s="31">
        <f>ATCUS!$F$42</f>
        <v>3.0488886337924672</v>
      </c>
      <c r="L288" s="31">
        <f>ATCUS!$G$42</f>
        <v>3.0476875333067586</v>
      </c>
      <c r="M288" s="29">
        <f>ATCUS!$H$42</f>
        <v>1.3830070520095994E-2</v>
      </c>
      <c r="N288" s="30"/>
      <c r="O288" s="483">
        <f>(ATCUS!D$23/ATCUS!C$23)-1</f>
        <v>-4.2559029086745248E-2</v>
      </c>
      <c r="P288" s="483">
        <f>(ATCUS!E$23/ATCUS!D$23)-1</f>
        <v>-3.0599225035140898E-2</v>
      </c>
      <c r="Q288" s="483">
        <f>(ATCUS!$F$23/ATCUS!$E$23)-1</f>
        <v>-0.75964018651353848</v>
      </c>
      <c r="R288" s="483">
        <f>(ATCUS!$G$23/ATCUS!$F$23)-1</f>
        <v>-2.3598208784909591E-3</v>
      </c>
      <c r="S288" s="483">
        <f>ATCUS!$H$23</f>
        <v>-0.38513507765316046</v>
      </c>
      <c r="T288" s="30"/>
      <c r="U288" s="32" t="str">
        <f>D288</f>
        <v>US$1.7</v>
      </c>
      <c r="V288" s="28" t="s">
        <v>257</v>
      </c>
      <c r="Z288" s="33"/>
    </row>
    <row r="289" spans="1:29" s="5" customFormat="1">
      <c r="A289" s="25"/>
      <c r="B289" s="26"/>
      <c r="C289" s="32" t="s">
        <v>258</v>
      </c>
      <c r="D289" s="28" t="str">
        <f>B289&amp;TEXT(Prices!$C$50,"0.0")</f>
        <v>222.0</v>
      </c>
      <c r="E289" s="28" t="str">
        <f>B289&amp;TEXT(Prices!$E$50,"0.0")</f>
        <v>328.0</v>
      </c>
      <c r="F289" s="29">
        <f>Prices!$F$50</f>
        <v>0.47747747747747749</v>
      </c>
      <c r="G289" s="28" t="str">
        <f>Prices!$D$50</f>
        <v>Buy</v>
      </c>
      <c r="H289" s="30"/>
      <c r="I289" s="31">
        <f>CHTR!$D$42</f>
        <v>3.3864783517712551</v>
      </c>
      <c r="J289" s="31">
        <f>CHTR!$E$42</f>
        <v>3.0142159132663759</v>
      </c>
      <c r="K289" s="31">
        <f>CHTR!$F$42</f>
        <v>2.9624024952604997</v>
      </c>
      <c r="L289" s="31">
        <f>CHTR!$G$42</f>
        <v>2.9061328660918369</v>
      </c>
      <c r="M289" s="29">
        <f>CHTR!$H$42</f>
        <v>3.7908798775222463E-2</v>
      </c>
      <c r="N289" s="30"/>
      <c r="O289" s="483">
        <f>(CHTR!D$23/CHTR!C$23)-1</f>
        <v>1.0828921550479542E-2</v>
      </c>
      <c r="P289" s="483">
        <f>(CHTR!E$23/CHTR!D$23)-1</f>
        <v>8.7534565165638956E-3</v>
      </c>
      <c r="Q289" s="483">
        <f>(CHTR!$F$23/CHTR!$E$23)-1</f>
        <v>-0.75065807388581285</v>
      </c>
      <c r="R289" s="483">
        <f>(CHTR!$G$23/CHTR!$F$23)-1</f>
        <v>2.2570076447032683E-3</v>
      </c>
      <c r="S289" s="483">
        <f>CHTR!$H$23</f>
        <v>-0.36828699789101838</v>
      </c>
      <c r="T289" s="30"/>
      <c r="U289" s="32" t="str">
        <f>D289</f>
        <v>222.0</v>
      </c>
      <c r="V289" s="28" t="s">
        <v>258</v>
      </c>
      <c r="Z289" s="33"/>
    </row>
    <row r="290" spans="1:29" s="5" customFormat="1">
      <c r="A290" s="25"/>
      <c r="B290" s="26"/>
      <c r="C290" s="32" t="s">
        <v>257</v>
      </c>
      <c r="D290" s="28" t="str">
        <f>B290&amp;TEXT(Prices!$C$51,"0.0")</f>
        <v>30.2</v>
      </c>
      <c r="E290" s="28" t="str">
        <f>B290&amp;TEXT(Prices!$E$51,"0.0")</f>
        <v>36.0</v>
      </c>
      <c r="F290" s="29">
        <f>Prices!$F$51</f>
        <v>0.19027938502231767</v>
      </c>
      <c r="G290" s="28" t="str">
        <f>Prices!$D$51</f>
        <v>Buy</v>
      </c>
      <c r="H290" s="30"/>
      <c r="I290" s="31">
        <f>CMCSA!$D$42</f>
        <v>2.7929316334239571</v>
      </c>
      <c r="J290" s="31">
        <f>CMCSA!$E$42</f>
        <v>2.4942524149353602</v>
      </c>
      <c r="K290" s="31">
        <f>CMCSA!$F$42</f>
        <v>2.3714016332042931</v>
      </c>
      <c r="L290" s="31">
        <f>CMCSA!$G$42</f>
        <v>2.3392962306718643</v>
      </c>
      <c r="M290" s="29">
        <f>CMCSA!$H$42</f>
        <v>2.3667788155108394E-2</v>
      </c>
      <c r="N290" s="30"/>
      <c r="O290" s="483">
        <f>(CMCSA!D$23/CMCSA!C$23)-1</f>
        <v>7.7035071705910951E-4</v>
      </c>
      <c r="P290" s="483">
        <f>(CMCSA!E$23/CMCSA!D$23)-1</f>
        <v>1.7753746000422455E-2</v>
      </c>
      <c r="Q290" s="483">
        <f>(CMCSA!$F$23/CMCSA!$E$23)-1</f>
        <v>-0.7584633985491317</v>
      </c>
      <c r="R290" s="483">
        <f>(CMCSA!$G$23/CMCSA!$F$23)-1</f>
        <v>1.4274242120056346E-2</v>
      </c>
      <c r="S290" s="483">
        <f>CMCSA!$H$23</f>
        <v>-0.37059959343060145</v>
      </c>
      <c r="T290" s="30"/>
      <c r="U290" s="32" t="str">
        <f>D290</f>
        <v>30.2</v>
      </c>
      <c r="V290" s="28" t="s">
        <v>257</v>
      </c>
      <c r="Z290" s="33"/>
    </row>
    <row r="291" spans="1:29" s="5" customFormat="1">
      <c r="A291" s="25"/>
      <c r="B291" s="26" t="s">
        <v>431</v>
      </c>
      <c r="C291" s="32" t="s">
        <v>1264</v>
      </c>
      <c r="D291" s="28" t="str">
        <f>B291&amp;TEXT(Prices!C$52,"0.00")</f>
        <v>US$ 119.08</v>
      </c>
      <c r="E291" s="28" t="str">
        <f>B291&amp;TEXT(Prices!E$52,"0.00")</f>
        <v>US$ 0.00</v>
      </c>
      <c r="F291" s="29">
        <f>Prices!F$52</f>
        <v>-1</v>
      </c>
      <c r="G291" s="28" t="str">
        <f>Prices!D$52</f>
        <v>Buy</v>
      </c>
      <c r="H291" s="30"/>
      <c r="I291" s="31">
        <f>SATS!D$42</f>
        <v>7.5644714804874802</v>
      </c>
      <c r="J291" s="31">
        <f>SATS!E$42</f>
        <v>4.4207919906724049</v>
      </c>
      <c r="K291" s="31">
        <f>SATS!F$42</f>
        <v>3.3095591789918024</v>
      </c>
      <c r="L291" s="31">
        <f>SATS!G$42</f>
        <v>3.0904787627122214</v>
      </c>
      <c r="M291" s="29">
        <f>SATS!H$42</f>
        <v>4.5519366726737731E-2</v>
      </c>
      <c r="N291" s="30"/>
      <c r="O291" s="483">
        <f>(SATS!$D$23/SATS!$C$23)-1</f>
        <v>-5.0571993904191093E-2</v>
      </c>
      <c r="P291" s="483">
        <f>(SATS!$E$23/SATS!$D$23)-1</f>
        <v>-4.8803404784449E-2</v>
      </c>
      <c r="Q291" s="483">
        <f>(SATS!$F$23/SATS!$E$23)-1</f>
        <v>-3.3694655861741252E-2</v>
      </c>
      <c r="R291" s="483">
        <f>(SATS!$G$23/SATS!$F$23)-1</f>
        <v>-3.212561809903125E-2</v>
      </c>
      <c r="S291" s="483">
        <f>SATS!$H$23</f>
        <v>-3.8237393102962147E-2</v>
      </c>
      <c r="T291" s="30"/>
      <c r="U291" s="32" t="str">
        <f>D291</f>
        <v>US$ 119.08</v>
      </c>
      <c r="V291" s="28" t="str">
        <f>C291</f>
        <v>EchoStar</v>
      </c>
      <c r="Z291" s="33"/>
    </row>
    <row r="292" spans="1:29" s="5" customFormat="1">
      <c r="A292" s="112"/>
      <c r="B292" s="26"/>
      <c r="C292" s="35" t="str">
        <f>C233</f>
        <v>Agg. US Other</v>
      </c>
      <c r="D292" s="42"/>
      <c r="E292" s="42"/>
      <c r="F292" s="39"/>
      <c r="G292" s="42"/>
      <c r="H292" s="40"/>
      <c r="I292" s="38">
        <f>'US OTHER'!D$42</f>
        <v>3.3664790917806555</v>
      </c>
      <c r="J292" s="38">
        <f>'US OTHER'!E$42</f>
        <v>2.8543110594235879</v>
      </c>
      <c r="K292" s="38">
        <f>'US OTHER'!F$42</f>
        <v>2.6938137505758633</v>
      </c>
      <c r="L292" s="38">
        <f>'US OTHER'!G$42</f>
        <v>2.6425352346819628</v>
      </c>
      <c r="M292" s="39">
        <f>'US OTHER'!H$42</f>
        <v>2.9513430354334069E-2</v>
      </c>
      <c r="N292" s="40"/>
      <c r="O292" s="484">
        <f>('US OTHER'!$D$23/'US OTHER'!$C$23)-1</f>
        <v>-2.6487744220156095E-3</v>
      </c>
      <c r="P292" s="484">
        <f>('US OTHER'!$E$23/'US OTHER'!$D$23)-1</f>
        <v>8.0844349732476228E-3</v>
      </c>
      <c r="Q292" s="484">
        <f>('US OTHER'!$F$23/'US OTHER'!$E$23)-1</f>
        <v>-0.70512514816682892</v>
      </c>
      <c r="R292" s="484">
        <f>('US OTHER'!$G$23/'US OTHER'!$F$23)-1</f>
        <v>1.4861584347158896E-4</v>
      </c>
      <c r="S292" s="484">
        <f>'US OTHER'!$H$23</f>
        <v>-0.33257921460153206</v>
      </c>
      <c r="T292" s="40"/>
      <c r="U292" s="35"/>
      <c r="V292" s="42" t="str">
        <f>V233</f>
        <v>Agg. US CATV</v>
      </c>
      <c r="Z292" s="33"/>
    </row>
    <row r="293" spans="1:29" s="5" customFormat="1">
      <c r="A293" s="25"/>
      <c r="B293" s="26"/>
      <c r="C293" s="32"/>
      <c r="D293" s="28"/>
      <c r="E293" s="28"/>
      <c r="F293" s="29"/>
      <c r="G293" s="28"/>
      <c r="H293" s="30"/>
      <c r="I293" s="31"/>
      <c r="J293" s="31"/>
      <c r="K293" s="31"/>
      <c r="L293" s="31"/>
      <c r="M293" s="29"/>
      <c r="N293" s="30"/>
      <c r="O293" s="483"/>
      <c r="P293" s="483"/>
      <c r="Q293" s="483"/>
      <c r="R293" s="483"/>
      <c r="S293" s="483"/>
      <c r="T293" s="30"/>
      <c r="U293" s="32"/>
      <c r="V293" s="28"/>
      <c r="Z293" s="33"/>
    </row>
    <row r="294" spans="1:29" s="5" customFormat="1">
      <c r="A294" s="112"/>
      <c r="B294" s="26"/>
      <c r="C294" s="32"/>
      <c r="D294" s="28"/>
      <c r="E294" s="28"/>
      <c r="F294" s="29"/>
      <c r="G294" s="28"/>
      <c r="H294" s="30"/>
      <c r="I294" s="31"/>
      <c r="J294" s="31"/>
      <c r="K294" s="31"/>
      <c r="L294" s="31"/>
      <c r="M294" s="29"/>
      <c r="N294" s="30"/>
      <c r="O294" s="483"/>
      <c r="P294" s="483"/>
      <c r="Q294" s="483"/>
      <c r="R294" s="483"/>
      <c r="S294" s="483"/>
      <c r="T294" s="30"/>
      <c r="U294" s="32"/>
      <c r="V294" s="28"/>
      <c r="Z294" s="33"/>
    </row>
    <row r="295" spans="1:29" s="5" customFormat="1">
      <c r="A295" s="112"/>
      <c r="B295" s="26"/>
      <c r="C295" s="35" t="str">
        <f>C236</f>
        <v>Agg. W Europe</v>
      </c>
      <c r="D295" s="36"/>
      <c r="E295" s="36"/>
      <c r="F295" s="37"/>
      <c r="G295" s="36"/>
      <c r="H295" s="30"/>
      <c r="I295" s="38">
        <f>'W.EUR AGG'!$D$42</f>
        <v>3.7801075246367821</v>
      </c>
      <c r="J295" s="38">
        <f>'W.EUR AGG'!$E$42</f>
        <v>3.5884819514874939</v>
      </c>
      <c r="K295" s="38">
        <f>'W.EUR AGG'!$F$42</f>
        <v>3.5075311660305806</v>
      </c>
      <c r="L295" s="38">
        <f>'W.EUR AGG'!$G$42</f>
        <v>3.4270294681562508</v>
      </c>
      <c r="M295" s="39">
        <f>'W.EUR AGG'!$H$42</f>
        <v>1.8492126887432736E-3</v>
      </c>
      <c r="N295" s="40"/>
      <c r="O295" s="484">
        <f>('W.EUR AGG'!$D$23/'W.EUR AGG'!$C$23)-1</f>
        <v>3.6607578426648413E-3</v>
      </c>
      <c r="P295" s="484">
        <f>('W.EUR AGG'!$E$23/'W.EUR AGG'!$D$23)-1</f>
        <v>3.5809837793830512E-2</v>
      </c>
      <c r="Q295" s="484">
        <f>('W.EUR AGG'!$F$23/'W.EUR AGG'!$E$23)-1</f>
        <v>2.8725462435246429E-2</v>
      </c>
      <c r="R295" s="484">
        <f>('W.EUR AGG'!$G$23/'W.EUR AGG'!$F$23)-1</f>
        <v>1.8302416909744101E-2</v>
      </c>
      <c r="S295" s="484">
        <f>'W.EUR AGG'!$H$23</f>
        <v>2.7587387501004867E-2</v>
      </c>
      <c r="T295" s="30"/>
      <c r="U295" s="41"/>
      <c r="V295" s="42" t="str">
        <f>V236</f>
        <v>Agg. W Europe</v>
      </c>
      <c r="Z295" s="33"/>
    </row>
    <row r="296" spans="1:29" s="5" customFormat="1">
      <c r="A296" s="112"/>
      <c r="B296" s="26"/>
      <c r="C296" s="25" t="s">
        <v>1268</v>
      </c>
      <c r="D296" s="28"/>
      <c r="E296" s="28"/>
      <c r="F296" s="29"/>
      <c r="G296" s="28"/>
      <c r="H296" s="30"/>
      <c r="I296" s="44">
        <f>'US AGG'!D$42</f>
        <v>3.6903059144146635</v>
      </c>
      <c r="J296" s="44">
        <f>'US AGG'!E$42</f>
        <v>3.4831692775299019</v>
      </c>
      <c r="K296" s="44">
        <f>'US AGG'!F$42</f>
        <v>3.3113436549389141</v>
      </c>
      <c r="L296" s="44">
        <f>'US AGG'!G$42</f>
        <v>3.1806613418187593</v>
      </c>
      <c r="M296" s="43">
        <f>'US AGG'!H$42</f>
        <v>6.5708713943974928E-3</v>
      </c>
      <c r="N296" s="40"/>
      <c r="O296" s="486">
        <f>('US AGG'!D$23/'US AGG'!C$23)-1</f>
        <v>1.4790933470462786E-2</v>
      </c>
      <c r="P296" s="486">
        <f>('US AGG'!E$23/'US AGG'!D$23)-1</f>
        <v>1.7376893152893924E-2</v>
      </c>
      <c r="Q296" s="486">
        <f>('US AGG'!F$23/'US AGG'!E$23)-1</f>
        <v>-0.26323683506864437</v>
      </c>
      <c r="R296" s="486">
        <f>('US AGG'!G$23/'US AGG'!F$23)-1</f>
        <v>2.1401211393188069E-2</v>
      </c>
      <c r="S296" s="486">
        <f>'US AGG'!H$23</f>
        <v>-8.5180568029651904E-2</v>
      </c>
      <c r="T296" s="30"/>
      <c r="U296" s="32"/>
      <c r="V296" s="34" t="str">
        <f>V237</f>
        <v>Agg. US</v>
      </c>
      <c r="Z296" s="33"/>
    </row>
    <row r="297" spans="1:29" s="5" customFormat="1">
      <c r="A297" s="112"/>
      <c r="B297" s="26"/>
      <c r="C297" s="51" t="str">
        <f>C238</f>
        <v xml:space="preserve">Agg. Developed Asia </v>
      </c>
      <c r="D297" s="36"/>
      <c r="E297" s="36"/>
      <c r="F297" s="37"/>
      <c r="G297" s="36"/>
      <c r="H297" s="30"/>
      <c r="I297" s="38">
        <f>'AGG DM ASIA'!$D$42</f>
        <v>3.2125558358605919</v>
      </c>
      <c r="J297" s="38">
        <f>'AGG DM ASIA'!$E$42</f>
        <v>2.9961184514973209</v>
      </c>
      <c r="K297" s="38">
        <f>'AGG DM ASIA'!$F$42</f>
        <v>2.7863314609491354</v>
      </c>
      <c r="L297" s="38">
        <f>'AGG DM ASIA'!$G$42</f>
        <v>2.5704272893604396</v>
      </c>
      <c r="M297" s="39">
        <f>'AGG DM ASIA'!$H$42</f>
        <v>1.367213615390428E-2</v>
      </c>
      <c r="N297" s="40"/>
      <c r="O297" s="484">
        <f>('AGG DM ASIA'!$D$23/'AGG DM ASIA'!$C$23)-1</f>
        <v>4.7511913102773029E-2</v>
      </c>
      <c r="P297" s="484">
        <f>('AGG DM ASIA'!$E$23/'AGG DM ASIA'!$D$23)-1</f>
        <v>4.8479326961264002E-2</v>
      </c>
      <c r="Q297" s="484">
        <f>('AGG DM ASIA'!$F$23/'AGG DM ASIA'!$E$23)-1</f>
        <v>4.6497272958298863E-2</v>
      </c>
      <c r="R297" s="484">
        <f>('AGG DM ASIA'!$G$23/'AGG DM ASIA'!$F$23)-1</f>
        <v>4.4655724562447707E-2</v>
      </c>
      <c r="S297" s="484">
        <f>'AGG DM ASIA'!$H$23</f>
        <v>4.6542943543566917E-2</v>
      </c>
      <c r="T297" s="30"/>
      <c r="U297" s="41"/>
      <c r="V297" s="42" t="str">
        <f>V238</f>
        <v xml:space="preserve">Agg. Developed Asia </v>
      </c>
      <c r="Z297" s="33"/>
    </row>
    <row r="298" spans="1:29" s="5" customFormat="1">
      <c r="A298" s="112"/>
      <c r="B298" s="26"/>
      <c r="C298" s="25"/>
      <c r="D298" s="28"/>
      <c r="E298" s="28"/>
      <c r="F298" s="29"/>
      <c r="G298" s="28"/>
      <c r="H298" s="30"/>
      <c r="I298" s="44"/>
      <c r="J298" s="44"/>
      <c r="K298" s="44"/>
      <c r="L298" s="44"/>
      <c r="M298" s="43"/>
      <c r="N298" s="40"/>
      <c r="O298" s="486"/>
      <c r="P298" s="486"/>
      <c r="Q298" s="486"/>
      <c r="R298" s="486"/>
      <c r="S298" s="486"/>
      <c r="T298" s="30"/>
      <c r="U298" s="32"/>
      <c r="V298" s="34"/>
      <c r="Z298" s="33"/>
    </row>
    <row r="299" spans="1:29" s="5" customFormat="1">
      <c r="A299" s="112"/>
      <c r="B299" s="26"/>
      <c r="C299" s="51" t="str">
        <f>C240</f>
        <v>Agg. Global Developed</v>
      </c>
      <c r="D299" s="36"/>
      <c r="E299" s="36"/>
      <c r="F299" s="37"/>
      <c r="G299" s="36"/>
      <c r="H299" s="30"/>
      <c r="I299" s="38">
        <f>'AGG DM'!$D$42</f>
        <v>3.6519242379972408</v>
      </c>
      <c r="J299" s="38">
        <f>'AGG DM'!$E$42</f>
        <v>3.4495675598502382</v>
      </c>
      <c r="K299" s="38">
        <f>'AGG DM'!$F$42</f>
        <v>3.3035967431434781</v>
      </c>
      <c r="L299" s="38">
        <f>'AGG DM'!$G$42</f>
        <v>3.1754841893117352</v>
      </c>
      <c r="M299" s="39">
        <f>'AGG DM'!$H$42</f>
        <v>5.9470917739592455E-3</v>
      </c>
      <c r="N299" s="40"/>
      <c r="O299" s="484">
        <f>('AGG DM'!$D$23/'AGG DM'!$C$23)-1</f>
        <v>1.5519620076171803E-2</v>
      </c>
      <c r="P299" s="484">
        <f>('AGG DM'!$E$23/'AGG DM'!$D$23)-1</f>
        <v>3.0076659911525194E-2</v>
      </c>
      <c r="Q299" s="484">
        <f>('AGG DM'!$F$23/'AGG DM'!$E$23)-1</f>
        <v>-9.110174527816739E-2</v>
      </c>
      <c r="R299" s="484">
        <f>('AGG DM'!$G$23/'AGG DM'!$F$23)-1</f>
        <v>2.4527425459618168E-2</v>
      </c>
      <c r="S299" s="484">
        <f>'AGG DM'!$H$23</f>
        <v>-1.3789849312914271E-2</v>
      </c>
      <c r="T299" s="30"/>
      <c r="U299" s="41"/>
      <c r="V299" s="42" t="str">
        <f>V240</f>
        <v xml:space="preserve">Agg. Global Developed </v>
      </c>
      <c r="Z299" s="33"/>
    </row>
    <row r="300" spans="1:29" s="5" customFormat="1">
      <c r="A300" s="112"/>
      <c r="B300" s="26"/>
      <c r="C300" s="25"/>
      <c r="D300" s="28"/>
      <c r="E300" s="28"/>
      <c r="F300" s="29"/>
      <c r="G300" s="28"/>
      <c r="H300" s="30"/>
      <c r="I300" s="44"/>
      <c r="J300" s="44"/>
      <c r="K300" s="44"/>
      <c r="L300" s="44"/>
      <c r="M300" s="43"/>
      <c r="N300" s="40"/>
      <c r="O300" s="54"/>
      <c r="P300" s="54"/>
      <c r="Q300" s="54"/>
      <c r="R300" s="54"/>
      <c r="S300" s="43"/>
      <c r="T300" s="30"/>
      <c r="U300" s="32"/>
      <c r="V300" s="34"/>
      <c r="Z300" s="33"/>
    </row>
    <row r="301" spans="1:29" s="5" customFormat="1">
      <c r="A301" s="112"/>
      <c r="B301" s="26"/>
      <c r="C301" s="25"/>
      <c r="D301" s="28"/>
      <c r="E301" s="28"/>
      <c r="F301" s="29"/>
      <c r="G301" s="28"/>
      <c r="H301" s="30"/>
      <c r="I301" s="44"/>
      <c r="J301" s="44"/>
      <c r="K301" s="44"/>
      <c r="L301" s="44"/>
      <c r="M301" s="43"/>
      <c r="N301" s="40"/>
      <c r="O301" s="54"/>
      <c r="P301" s="54"/>
      <c r="Q301" s="54"/>
      <c r="R301" s="54"/>
      <c r="S301" s="43"/>
      <c r="T301" s="30"/>
      <c r="U301" s="32"/>
      <c r="V301" s="34"/>
      <c r="Z301" s="33"/>
    </row>
    <row r="302" spans="1:29" s="25" customFormat="1">
      <c r="B302" s="113"/>
      <c r="C302" s="130"/>
      <c r="D302" s="131" t="s">
        <v>379</v>
      </c>
      <c r="E302" s="131" t="s">
        <v>50</v>
      </c>
      <c r="F302" s="131" t="s">
        <v>52</v>
      </c>
      <c r="G302" s="131" t="s">
        <v>49</v>
      </c>
      <c r="H302" s="33"/>
      <c r="I302" s="132" t="s">
        <v>385</v>
      </c>
      <c r="J302" s="132"/>
      <c r="K302" s="132"/>
      <c r="L302" s="132"/>
      <c r="M302" s="132"/>
      <c r="O302" s="132" t="s">
        <v>386</v>
      </c>
      <c r="P302" s="132"/>
      <c r="Q302" s="132"/>
      <c r="R302" s="132"/>
      <c r="S302" s="132"/>
      <c r="T302" s="33"/>
      <c r="U302" s="133" t="s">
        <v>379</v>
      </c>
      <c r="V302" s="131"/>
      <c r="Z302" s="33"/>
      <c r="AC302" s="106"/>
    </row>
    <row r="303" spans="1:29" s="5" customFormat="1">
      <c r="A303" s="25" t="s">
        <v>415</v>
      </c>
      <c r="B303" s="26"/>
      <c r="C303" s="32" t="s">
        <v>160</v>
      </c>
      <c r="D303" s="28" t="str">
        <f t="shared" ref="D303:G313" si="56">D244</f>
        <v>GBP2.24</v>
      </c>
      <c r="E303" s="28" t="str">
        <f t="shared" si="56"/>
        <v>GBP2.40</v>
      </c>
      <c r="F303" s="29">
        <f t="shared" si="56"/>
        <v>7.1189466636911503E-2</v>
      </c>
      <c r="G303" s="28" t="str">
        <f t="shared" si="56"/>
        <v>Neutral</v>
      </c>
      <c r="H303" s="30"/>
      <c r="I303" s="29">
        <f>(BT!$D$24/BT!$C$24)-1</f>
        <v>2.5757734583136127E-3</v>
      </c>
      <c r="J303" s="29">
        <f>(BT!$E$24/BT!$D$24)-1</f>
        <v>2.2996163569268147E-2</v>
      </c>
      <c r="K303" s="29">
        <f>(BT!$F$24/BT!$E$24)-1</f>
        <v>8.3762913888683066E-3</v>
      </c>
      <c r="L303" s="29">
        <f>(BT!$G$24/BT!$F$24)-1</f>
        <v>-4.6042400338306422E-3</v>
      </c>
      <c r="M303" s="29">
        <f>BT!$H$24</f>
        <v>8.8597740191094232E-3</v>
      </c>
      <c r="N303" s="30"/>
      <c r="O303" s="29">
        <f>(BT!$D$25/BT!$C$25)-1</f>
        <v>-6.2288050898593905E-2</v>
      </c>
      <c r="P303" s="29">
        <f>(BT!$E$25/BT!$D$25)-1</f>
        <v>0.44840350031718557</v>
      </c>
      <c r="Q303" s="29">
        <f>(BT!$F$25/BT!$E$25)-1</f>
        <v>0.139377007961067</v>
      </c>
      <c r="R303" s="29">
        <f>(BT!$G$25/BT!$F$25)-1</f>
        <v>8.5710285734352132E-2</v>
      </c>
      <c r="S303" s="29">
        <f>BT!$H$25</f>
        <v>0.21457309486903919</v>
      </c>
      <c r="T303" s="30"/>
      <c r="U303" s="32" t="str">
        <f t="shared" ref="U303:V307" si="57">U244</f>
        <v>GBP2.24</v>
      </c>
      <c r="V303" s="53" t="str">
        <f t="shared" si="57"/>
        <v>British Telecom</v>
      </c>
      <c r="Z303" s="33"/>
    </row>
    <row r="304" spans="1:29" s="5" customFormat="1">
      <c r="A304" s="25"/>
      <c r="B304" s="26"/>
      <c r="C304" s="32" t="s">
        <v>161</v>
      </c>
      <c r="D304" s="28" t="str">
        <f t="shared" si="56"/>
        <v>EUR 27.67</v>
      </c>
      <c r="E304" s="28" t="str">
        <f t="shared" si="56"/>
        <v>EUR 43.00</v>
      </c>
      <c r="F304" s="29">
        <f t="shared" si="56"/>
        <v>0.55402963498373681</v>
      </c>
      <c r="G304" s="28" t="str">
        <f t="shared" si="56"/>
        <v>Buy</v>
      </c>
      <c r="H304" s="30"/>
      <c r="I304" s="29">
        <f>(DT!$D$24/DT!$C$24)-1</f>
        <v>2.8661151601790502E-2</v>
      </c>
      <c r="J304" s="29">
        <f>(DT!$E$24/DT!$D$24)-1</f>
        <v>5.5952341341050094E-2</v>
      </c>
      <c r="K304" s="29">
        <f>(DT!$F$24/DT!$E$24)-1</f>
        <v>7.0565975986054408E-2</v>
      </c>
      <c r="L304" s="29">
        <f>(DT!$G$24/DT!$F$24)-1</f>
        <v>5.2899031640816663E-2</v>
      </c>
      <c r="M304" s="29">
        <f>DT!$H$24</f>
        <v>5.977782216933325E-2</v>
      </c>
      <c r="N304" s="30"/>
      <c r="O304" s="29">
        <f>(DT!$D$25/DT!$C$25)-1</f>
        <v>1.2333340234875534E-2</v>
      </c>
      <c r="P304" s="29">
        <f>(DT!$E$25/DT!$D$25)-1</f>
        <v>0.10077710735297063</v>
      </c>
      <c r="Q304" s="29">
        <f>(DT!$F$25/DT!$E$25)-1</f>
        <v>0.12468312287533445</v>
      </c>
      <c r="R304" s="29">
        <f>(DT!$G$25/DT!$F$25)-1</f>
        <v>7.5966215347732291E-2</v>
      </c>
      <c r="S304" s="29">
        <f>DT!$H$25</f>
        <v>0.1002956619741584</v>
      </c>
      <c r="T304" s="30"/>
      <c r="U304" s="32" t="str">
        <f t="shared" si="57"/>
        <v>EUR 27.67</v>
      </c>
      <c r="V304" s="53" t="str">
        <f t="shared" si="57"/>
        <v>Deutsche Telekom</v>
      </c>
      <c r="Z304" s="33"/>
    </row>
    <row r="305" spans="1:28" s="5" customFormat="1">
      <c r="A305" s="25"/>
      <c r="B305" s="26"/>
      <c r="C305" s="32" t="s">
        <v>373</v>
      </c>
      <c r="D305" s="28" t="str">
        <f t="shared" si="56"/>
        <v>EUR 4.66</v>
      </c>
      <c r="E305" s="28" t="str">
        <f t="shared" si="56"/>
        <v>EUR 4.33</v>
      </c>
      <c r="F305" s="29">
        <f t="shared" si="56"/>
        <v>-7.2021498159240971E-2</v>
      </c>
      <c r="G305" s="28" t="str">
        <f t="shared" si="56"/>
        <v>Neutral</v>
      </c>
      <c r="H305" s="30"/>
      <c r="I305" s="29">
        <f>(KPN!$D$24/KPN!$C$24)-1</f>
        <v>5.2253689668926961E-2</v>
      </c>
      <c r="J305" s="29">
        <f>(KPN!$E$24/KPN!$D$24)-1</f>
        <v>1.1208683366205285E-2</v>
      </c>
      <c r="K305" s="29">
        <f>(KPN!$F$24/KPN!$E$24)-1</f>
        <v>2.3132220120555935E-2</v>
      </c>
      <c r="L305" s="29">
        <f>(KPN!$G$24/KPN!$F$24)-1</f>
        <v>2.6414913919782679E-2</v>
      </c>
      <c r="M305" s="29">
        <f>KPN!$H$24</f>
        <v>2.0230967832902902E-2</v>
      </c>
      <c r="N305" s="30"/>
      <c r="O305" s="29">
        <f>(KPN!$D$25/KPN!$C$25)-1</f>
        <v>9.7089891330345957E-2</v>
      </c>
      <c r="P305" s="29">
        <f>(KPN!$E$25/KPN!$D$25)-1</f>
        <v>3.3542257001491604E-2</v>
      </c>
      <c r="Q305" s="29">
        <f>(KPN!$F$25/KPN!$E$25)-1</f>
        <v>0.21903617984349477</v>
      </c>
      <c r="R305" s="29">
        <f>(KPN!$G$25/KPN!$F$25)-1</f>
        <v>4.0750731483287339E-2</v>
      </c>
      <c r="S305" s="29">
        <f>KPN!$H$25</f>
        <v>9.4537181734261511E-2</v>
      </c>
      <c r="T305" s="30"/>
      <c r="U305" s="32" t="str">
        <f t="shared" si="57"/>
        <v>EUR 4.66</v>
      </c>
      <c r="V305" s="53" t="str">
        <f t="shared" si="57"/>
        <v>KPN</v>
      </c>
      <c r="Z305" s="33"/>
    </row>
    <row r="306" spans="1:28" s="5" customFormat="1">
      <c r="A306" s="25"/>
      <c r="B306" s="26"/>
      <c r="C306" s="32" t="s">
        <v>604</v>
      </c>
      <c r="D306" s="28" t="str">
        <f t="shared" si="56"/>
        <v>EUR 17.64</v>
      </c>
      <c r="E306" s="28" t="str">
        <f t="shared" si="56"/>
        <v>EUR 18.80</v>
      </c>
      <c r="F306" s="29">
        <f t="shared" si="56"/>
        <v>6.5759637188208542E-2</v>
      </c>
      <c r="G306" s="28" t="str">
        <f t="shared" si="56"/>
        <v>Neutral</v>
      </c>
      <c r="H306" s="30"/>
      <c r="I306" s="29">
        <f>(ORA!$D$24/ORA!$C$24)-1</f>
        <v>2.9812536130151113E-2</v>
      </c>
      <c r="J306" s="29">
        <f>(ORA!$E$24/ORA!$D$24)-1</f>
        <v>0.22228574130212353</v>
      </c>
      <c r="K306" s="29">
        <f>(ORA!$F$24/ORA!$E$24)-1</f>
        <v>2.9649976180073478E-2</v>
      </c>
      <c r="L306" s="29">
        <f>(ORA!$G$24/ORA!$F$24)-1</f>
        <v>3.1072431918499621E-2</v>
      </c>
      <c r="M306" s="29">
        <f>ORA!$H$24</f>
        <v>9.0729798533138561E-2</v>
      </c>
      <c r="N306" s="30"/>
      <c r="O306" s="29">
        <f>(ORA!$D$25/ORA!$C$25)-1</f>
        <v>0.101688951442646</v>
      </c>
      <c r="P306" s="29">
        <f>(ORA!$E$25/ORA!$D$25)-1</f>
        <v>0.29034632741504374</v>
      </c>
      <c r="Q306" s="29">
        <f>(ORA!$F$25/ORA!$E$25)-1</f>
        <v>6.7718425346173339E-2</v>
      </c>
      <c r="R306" s="29">
        <f>(ORA!$G$25/ORA!$F$25)-1</f>
        <v>3.8434798422510852E-2</v>
      </c>
      <c r="S306" s="29">
        <f>ORA!$H$25</f>
        <v>0.12680150962284586</v>
      </c>
      <c r="T306" s="30"/>
      <c r="U306" s="32" t="str">
        <f t="shared" si="57"/>
        <v>EUR 17.64</v>
      </c>
      <c r="V306" s="53" t="str">
        <f t="shared" si="57"/>
        <v>Orange</v>
      </c>
      <c r="Z306" s="33"/>
    </row>
    <row r="307" spans="1:28" s="5" customFormat="1">
      <c r="A307" s="25"/>
      <c r="B307" s="26"/>
      <c r="C307" s="32" t="s">
        <v>374</v>
      </c>
      <c r="D307" s="28" t="str">
        <f t="shared" si="56"/>
        <v>EUR 18.29</v>
      </c>
      <c r="E307" s="28" t="str">
        <f t="shared" si="56"/>
        <v>EUR 22.10</v>
      </c>
      <c r="F307" s="29">
        <f t="shared" si="56"/>
        <v>0.20831055221432493</v>
      </c>
      <c r="G307" s="28" t="str">
        <f t="shared" si="56"/>
        <v>Buy</v>
      </c>
      <c r="H307" s="30"/>
      <c r="I307" s="29">
        <f>(OTE!$D$24/OTE!$C$24)-1</f>
        <v>1.3774716729615166E-2</v>
      </c>
      <c r="J307" s="29">
        <f>(OTE!$E$24/OTE!$D$24)-1</f>
        <v>2.8023260050289878E-2</v>
      </c>
      <c r="K307" s="29">
        <f>(OTE!$F$24/OTE!$E$24)-1</f>
        <v>2.3021351016055291E-2</v>
      </c>
      <c r="L307" s="29">
        <f>(OTE!$G$24/OTE!$F$24)-1</f>
        <v>1.8753199457876235E-2</v>
      </c>
      <c r="M307" s="29">
        <f>OTE!$H$24</f>
        <v>2.3258925503916172E-2</v>
      </c>
      <c r="N307" s="30"/>
      <c r="O307" s="29">
        <f>(OTE!$D$25/OTE!$C$25)-1</f>
        <v>-9.7242573597983162E-3</v>
      </c>
      <c r="P307" s="29">
        <f>(OTE!$E$25/OTE!$D$25)-1</f>
        <v>8.1868497017543396E-2</v>
      </c>
      <c r="Q307" s="29">
        <f>(OTE!$F$25/OTE!$E$25)-1</f>
        <v>4.0281760212173001E-2</v>
      </c>
      <c r="R307" s="29">
        <f>(OTE!$G$25/OTE!$F$25)-1</f>
        <v>5.9161796032609182E-2</v>
      </c>
      <c r="S307" s="29">
        <f>OTE!$H$25</f>
        <v>6.0301205854351947E-2</v>
      </c>
      <c r="T307" s="30"/>
      <c r="U307" s="32" t="str">
        <f t="shared" si="57"/>
        <v>EUR 18.29</v>
      </c>
      <c r="V307" s="53" t="str">
        <f t="shared" si="57"/>
        <v>OTE</v>
      </c>
      <c r="Z307" s="33"/>
    </row>
    <row r="308" spans="1:28" s="5" customFormat="1">
      <c r="A308" s="25"/>
      <c r="B308" s="26"/>
      <c r="C308" s="32" t="s">
        <v>686</v>
      </c>
      <c r="D308" s="28" t="str">
        <f t="shared" si="56"/>
        <v>EUR 6.6</v>
      </c>
      <c r="E308" s="28" t="str">
        <f t="shared" si="56"/>
        <v>EUR 13.3</v>
      </c>
      <c r="F308" s="29">
        <f t="shared" si="56"/>
        <v>1.0060331825037707</v>
      </c>
      <c r="G308" s="28" t="str">
        <f t="shared" si="56"/>
        <v>Neutral</v>
      </c>
      <c r="H308" s="30"/>
      <c r="I308" s="29">
        <f>(PROX!$D$24/PROX!$C$24)-1</f>
        <v>1.7828200972447306E-2</v>
      </c>
      <c r="J308" s="29">
        <f>(PROX!$E$24/PROX!$D$24)-1</f>
        <v>-2.9229252529733407E-2</v>
      </c>
      <c r="K308" s="29">
        <f>(PROX!$F$24/PROX!$E$24)-1</f>
        <v>7.1319687361450779E-3</v>
      </c>
      <c r="L308" s="29">
        <f>(PROX!$G$24/PROX!$F$24)-1</f>
        <v>5.4102914265663493E-3</v>
      </c>
      <c r="M308" s="29">
        <f>PROX!$H$24</f>
        <v>-5.7045247471647631E-3</v>
      </c>
      <c r="N308" s="30"/>
      <c r="O308" s="29">
        <f>(PROX!$D$25/PROX!$C$25)-1</f>
        <v>0.27822580645161299</v>
      </c>
      <c r="P308" s="29">
        <f>(PROX!$E$25/PROX!$D$25)-1</f>
        <v>-4.2227778810753569E-2</v>
      </c>
      <c r="Q308" s="29">
        <f>(PROX!$F$25/PROX!$E$25)-1</f>
        <v>2.1611149967647236E-2</v>
      </c>
      <c r="R308" s="29">
        <f>(PROX!$G$25/PROX!$F$25)-1</f>
        <v>6.2033847627873673E-2</v>
      </c>
      <c r="S308" s="29">
        <f>PROX!$H$25</f>
        <v>1.28895092621375E-2</v>
      </c>
      <c r="T308" s="30"/>
      <c r="U308" s="32" t="str">
        <f t="shared" ref="U308:U313" si="58">U249</f>
        <v>EUR 6.6</v>
      </c>
      <c r="V308" s="53" t="s">
        <v>686</v>
      </c>
      <c r="Z308" s="33"/>
    </row>
    <row r="309" spans="1:28">
      <c r="C309" s="32" t="s">
        <v>378</v>
      </c>
      <c r="D309" s="28" t="str">
        <f t="shared" si="56"/>
        <v>CHF673</v>
      </c>
      <c r="E309" s="28" t="str">
        <f t="shared" si="56"/>
        <v>CHF570</v>
      </c>
      <c r="F309" s="29">
        <f t="shared" si="56"/>
        <v>-0.15241635687732347</v>
      </c>
      <c r="G309" s="28" t="str">
        <f t="shared" si="56"/>
        <v>Sell</v>
      </c>
      <c r="H309" s="30"/>
      <c r="I309" s="29">
        <f>(SWISS!$D$24/SWISS!$C$24)-1</f>
        <v>-1.1756387071038876E-2</v>
      </c>
      <c r="J309" s="29">
        <f>(SWISS!$E$24/SWISS!$D$24)-1</f>
        <v>1.2889691125223646E-2</v>
      </c>
      <c r="K309" s="29">
        <f>(SWISS!$F$24/SWISS!$E$24)-1</f>
        <v>1.5405494927719809E-2</v>
      </c>
      <c r="L309" s="29">
        <f>(SWISS!$G$24/SWISS!$F$24)-1</f>
        <v>2.8838983965281839E-2</v>
      </c>
      <c r="M309" s="29">
        <f>SWISS!$H$24</f>
        <v>1.9020741921777162E-2</v>
      </c>
      <c r="N309" s="30"/>
      <c r="O309" s="29">
        <f>(SWISS!$D$25/SWISS!$C$25)-1</f>
        <v>-5.5077396384166644E-3</v>
      </c>
      <c r="P309" s="29">
        <f>(SWISS!$E$25/SWISS!$D$25)-1</f>
        <v>4.6917582595921159E-2</v>
      </c>
      <c r="Q309" s="29">
        <f>(SWISS!$F$25/SWISS!$E$25)-1</f>
        <v>9.2858703637663798E-2</v>
      </c>
      <c r="R309" s="29">
        <f>(SWISS!$G$25/SWISS!$F$25)-1</f>
        <v>0.10862534624688713</v>
      </c>
      <c r="S309" s="29">
        <f>SWISS!$H$25</f>
        <v>8.2481387083385149E-2</v>
      </c>
      <c r="T309" s="30"/>
      <c r="U309" s="32" t="str">
        <f t="shared" si="58"/>
        <v>CHF673</v>
      </c>
      <c r="V309" s="53" t="str">
        <f t="shared" ref="V309:V314" si="59">V250</f>
        <v>Swisscom</v>
      </c>
    </row>
    <row r="310" spans="1:28" s="5" customFormat="1">
      <c r="A310" s="25"/>
      <c r="B310" s="26"/>
      <c r="C310" s="32" t="s">
        <v>222</v>
      </c>
      <c r="D310" s="28" t="str">
        <f t="shared" si="56"/>
        <v>EUR 0.66</v>
      </c>
      <c r="E310" s="28" t="str">
        <f t="shared" si="56"/>
        <v>EUR 0.55</v>
      </c>
      <c r="F310" s="29">
        <f t="shared" si="56"/>
        <v>-0.16641406486814181</v>
      </c>
      <c r="G310" s="28" t="str">
        <f t="shared" si="56"/>
        <v>Neutral</v>
      </c>
      <c r="H310" s="30"/>
      <c r="I310" s="29">
        <f>(TI!$D$24/TI!$C$24)-1</f>
        <v>2.786291446085265E-2</v>
      </c>
      <c r="J310" s="29">
        <f>(TI!$E$24/TI!$D$24)-1</f>
        <v>9.9115405026494852E-2</v>
      </c>
      <c r="K310" s="29">
        <f>(TI!$F$24/TI!$E$24)-1</f>
        <v>5.9567935787349979E-2</v>
      </c>
      <c r="L310" s="29">
        <f>(TI!$G$24/TI!$F$24)-1</f>
        <v>3.3138536268371155E-2</v>
      </c>
      <c r="M310" s="29">
        <f>TI!$H$24</f>
        <v>6.3596471305999991E-2</v>
      </c>
      <c r="N310" s="30"/>
      <c r="O310" s="29">
        <f>(TI!$D$25/TI!$C$25)-1</f>
        <v>0.11974921630094038</v>
      </c>
      <c r="P310" s="29">
        <f>(TI!$E$25/TI!$D$25)-1</f>
        <v>0.17972034518885249</v>
      </c>
      <c r="Q310" s="29">
        <f>(TI!$F$25/TI!$E$25)-1</f>
        <v>0.13317495467764551</v>
      </c>
      <c r="R310" s="29">
        <f>(TI!$G$25/TI!$F$25)-1</f>
        <v>8.5618613179200942E-2</v>
      </c>
      <c r="S310" s="29">
        <f>TI!$H$25</f>
        <v>0.13218597935818788</v>
      </c>
      <c r="T310" s="30"/>
      <c r="U310" s="32" t="str">
        <f t="shared" si="58"/>
        <v>EUR 0.66</v>
      </c>
      <c r="V310" s="53" t="str">
        <f t="shared" si="59"/>
        <v>Telecom Italia</v>
      </c>
      <c r="Z310" s="33"/>
    </row>
    <row r="311" spans="1:28" s="5" customFormat="1">
      <c r="A311" s="25"/>
      <c r="B311" s="26"/>
      <c r="C311" s="32" t="s">
        <v>376</v>
      </c>
      <c r="D311" s="28" t="str">
        <f t="shared" si="56"/>
        <v>EUR 3.88</v>
      </c>
      <c r="E311" s="28" t="str">
        <f t="shared" si="56"/>
        <v>EUR 3.30</v>
      </c>
      <c r="F311" s="29">
        <f t="shared" si="56"/>
        <v>-0.14992272024729525</v>
      </c>
      <c r="G311" s="28" t="str">
        <f t="shared" si="56"/>
        <v>Sell</v>
      </c>
      <c r="H311" s="30"/>
      <c r="I311" s="29">
        <f>(TEF!$D$24/TEF!$C$24)-1</f>
        <v>-8.4243623503855392E-2</v>
      </c>
      <c r="J311" s="29">
        <f>(TEF!$E$24/TEF!$D$24)-1</f>
        <v>2.9843573028942583E-3</v>
      </c>
      <c r="K311" s="29">
        <f>(TEF!$F$24/TEF!$E$24)-1</f>
        <v>1.6053167376962829E-2</v>
      </c>
      <c r="L311" s="29">
        <f>(TEF!$G$24/TEF!$F$24)-1</f>
        <v>5.2586516463581923E-3</v>
      </c>
      <c r="M311" s="29">
        <f>TEF!$H$24</f>
        <v>8.0826443028532147E-3</v>
      </c>
      <c r="N311" s="30"/>
      <c r="O311" s="29">
        <f>(TEF!$D$25/TEF!$C$25)-1</f>
        <v>-2.9123182497233779E-3</v>
      </c>
      <c r="P311" s="29">
        <f>(TEF!$E$25/TEF!$D$25)-1</f>
        <v>2.7519073495515745E-2</v>
      </c>
      <c r="Q311" s="29">
        <f>(TEF!$F$25/TEF!$E$25)-1</f>
        <v>2.8166692338680965E-2</v>
      </c>
      <c r="R311" s="29">
        <f>(TEF!$G$25/TEF!$F$25)-1</f>
        <v>1.3612489138795203E-2</v>
      </c>
      <c r="S311" s="29">
        <f>TEF!$H$25</f>
        <v>2.3077323581837339E-2</v>
      </c>
      <c r="T311" s="30"/>
      <c r="U311" s="32" t="str">
        <f t="shared" si="58"/>
        <v>EUR 3.88</v>
      </c>
      <c r="V311" s="53" t="str">
        <f t="shared" si="59"/>
        <v>Telefonica</v>
      </c>
      <c r="Z311" s="33"/>
    </row>
    <row r="312" spans="1:28" s="5" customFormat="1">
      <c r="A312" s="25"/>
      <c r="B312" s="26"/>
      <c r="C312" s="32" t="s">
        <v>411</v>
      </c>
      <c r="D312" s="28" t="str">
        <f t="shared" si="56"/>
        <v>NOK 164</v>
      </c>
      <c r="E312" s="28" t="str">
        <f t="shared" si="56"/>
        <v>NOK 160</v>
      </c>
      <c r="F312" s="29">
        <f t="shared" si="56"/>
        <v>-2.6171637248934898E-2</v>
      </c>
      <c r="G312" s="28" t="str">
        <f t="shared" si="56"/>
        <v>Neutral</v>
      </c>
      <c r="H312" s="30"/>
      <c r="I312" s="29">
        <f>(TNOR!$D$24/TNOR!$C$24)-1</f>
        <v>1.974027111559673E-2</v>
      </c>
      <c r="J312" s="29">
        <f>(TNOR!$E$24/TNOR!$D$24)-1</f>
        <v>-1.1828883099402221E-2</v>
      </c>
      <c r="K312" s="29">
        <f>(TNOR!$F$24/TNOR!$E$24)-1</f>
        <v>1.2016308687677002E-2</v>
      </c>
      <c r="L312" s="29">
        <f>(TNOR!$G$24/TNOR!$F$24)-1</f>
        <v>2.2110300757384405E-2</v>
      </c>
      <c r="M312" s="29">
        <f>TNOR!$H$24</f>
        <v>7.3316449902876002E-3</v>
      </c>
      <c r="N312" s="30"/>
      <c r="O312" s="29">
        <f>(TNOR!$D$25/TNOR!$C$25)-1</f>
        <v>0.13565702136905644</v>
      </c>
      <c r="P312" s="29">
        <f>(TNOR!$E$25/TNOR!$D$25)-1</f>
        <v>-1.8091007380907076E-2</v>
      </c>
      <c r="Q312" s="29">
        <f>(TNOR!$F$25/TNOR!$E$25)-1</f>
        <v>6.3426412871216975E-3</v>
      </c>
      <c r="R312" s="29">
        <f>(TNOR!$G$25/TNOR!$F$25)-1</f>
        <v>5.0130754036779024E-2</v>
      </c>
      <c r="S312" s="29">
        <f>TNOR!$H$25</f>
        <v>1.2403170817929521E-2</v>
      </c>
      <c r="T312" s="30"/>
      <c r="U312" s="32" t="str">
        <f t="shared" si="58"/>
        <v>NOK 164</v>
      </c>
      <c r="V312" s="28" t="str">
        <f t="shared" si="59"/>
        <v>Telenor</v>
      </c>
      <c r="Z312" s="33"/>
    </row>
    <row r="313" spans="1:28" s="5" customFormat="1">
      <c r="A313" s="25"/>
      <c r="B313" s="26"/>
      <c r="C313" s="32" t="s">
        <v>846</v>
      </c>
      <c r="D313" s="28" t="str">
        <f t="shared" si="56"/>
        <v>SEK48.7</v>
      </c>
      <c r="E313" s="28" t="str">
        <f t="shared" si="56"/>
        <v>SEK45.0</v>
      </c>
      <c r="F313" s="29">
        <f t="shared" si="56"/>
        <v>-7.6165058509546357E-2</v>
      </c>
      <c r="G313" s="28" t="str">
        <f t="shared" si="56"/>
        <v>Neutral</v>
      </c>
      <c r="H313" s="30"/>
      <c r="I313" s="29">
        <f>(TELIA!$D$24/TELIA!$C$24)-1</f>
        <v>1.8267282184742495E-2</v>
      </c>
      <c r="J313" s="29">
        <f>(TELIA!$E$24/TELIA!$D$24)-1</f>
        <v>-9.6947877221597034E-3</v>
      </c>
      <c r="K313" s="29">
        <f>(TELIA!$F$24/TELIA!$E$24)-1</f>
        <v>4.3421432254617587E-2</v>
      </c>
      <c r="L313" s="29">
        <f>(TELIA!$G$24/TELIA!$F$24)-1</f>
        <v>3.1117845838290803E-2</v>
      </c>
      <c r="M313" s="29">
        <f>TELIA!$H$24</f>
        <v>2.1360458733081122E-2</v>
      </c>
      <c r="N313" s="30"/>
      <c r="O313" s="29">
        <f>(TELIA!$D$25/TELIA!$C$25)-1</f>
        <v>7.2904246354768443E-2</v>
      </c>
      <c r="P313" s="29">
        <f>(TELIA!$E$25/TELIA!$D$25)-1</f>
        <v>2.2925043554094859E-2</v>
      </c>
      <c r="Q313" s="29">
        <f>(TELIA!$F$25/TELIA!$E$25)-1</f>
        <v>7.6085855496047738E-2</v>
      </c>
      <c r="R313" s="29">
        <f>(TELIA!$G$25/TELIA!$F$25)-1</f>
        <v>5.8363159698485267E-2</v>
      </c>
      <c r="S313" s="29">
        <f>TELIA!$H$25</f>
        <v>5.2224677085112248E-2</v>
      </c>
      <c r="T313" s="30"/>
      <c r="U313" s="32" t="str">
        <f t="shared" si="58"/>
        <v>SEK48.7</v>
      </c>
      <c r="V313" s="28" t="str">
        <f t="shared" si="59"/>
        <v>TeliaSonera</v>
      </c>
      <c r="Z313" s="33"/>
    </row>
    <row r="314" spans="1:28" s="5" customFormat="1">
      <c r="A314" s="25"/>
      <c r="B314" s="26"/>
      <c r="C314" s="35" t="str">
        <f>C255</f>
        <v>Agg. W.Europe Incumbent</v>
      </c>
      <c r="D314" s="36"/>
      <c r="E314" s="36"/>
      <c r="F314" s="37"/>
      <c r="G314" s="36"/>
      <c r="H314" s="30"/>
      <c r="I314" s="39">
        <f>('W.EUR INCUMB'!$D$24/'W.EUR INCUMB'!$C$24)-1</f>
        <v>1.1087918587960433E-2</v>
      </c>
      <c r="J314" s="39">
        <f>('W.EUR INCUMB'!$E$24/'W.EUR INCUMB'!$D$24)-1</f>
        <v>6.1549729478648674E-2</v>
      </c>
      <c r="K314" s="39">
        <f>('W.EUR INCUMB'!$F$24/'W.EUR INCUMB'!$E$24)-1</f>
        <v>4.4995199458869539E-2</v>
      </c>
      <c r="L314" s="39">
        <f>('W.EUR INCUMB'!$G$24/'W.EUR INCUMB'!$F$24)-1</f>
        <v>3.5042755112503876E-2</v>
      </c>
      <c r="M314" s="39">
        <f>'W.EUR INCUMB'!$H$24</f>
        <v>4.7138939293228432E-2</v>
      </c>
      <c r="N314" s="40"/>
      <c r="O314" s="39">
        <f>('W.EUR INCUMB'!$D$25/'W.EUR INCUMB'!$C$25)-1</f>
        <v>3.0661401265157595E-2</v>
      </c>
      <c r="P314" s="39">
        <f>('W.EUR INCUMB'!$E$25/'W.EUR INCUMB'!$D$25)-1</f>
        <v>0.12340554169127294</v>
      </c>
      <c r="Q314" s="39">
        <f>('W.EUR INCUMB'!$F$25/'W.EUR INCUMB'!$E$25)-1</f>
        <v>0.10198254207918778</v>
      </c>
      <c r="R314" s="39">
        <f>('W.EUR INCUMB'!$G$25/'W.EUR INCUMB'!$F$25)-1</f>
        <v>6.4796689633712878E-2</v>
      </c>
      <c r="S314" s="39">
        <f>'W.EUR INCUMB'!$H$25</f>
        <v>9.6459655096736707E-2</v>
      </c>
      <c r="T314" s="30"/>
      <c r="U314" s="41"/>
      <c r="V314" s="42" t="str">
        <f t="shared" si="59"/>
        <v>Agg. W.Europe Incumbent</v>
      </c>
      <c r="Z314" s="33"/>
    </row>
    <row r="315" spans="1:28">
      <c r="A315" s="25"/>
      <c r="C315" s="32"/>
      <c r="D315" s="28"/>
      <c r="E315" s="28"/>
      <c r="F315" s="29"/>
      <c r="G315" s="28"/>
      <c r="H315" s="30"/>
      <c r="I315" s="29"/>
      <c r="J315" s="29"/>
      <c r="K315" s="29"/>
      <c r="L315" s="29"/>
      <c r="M315" s="29"/>
      <c r="N315" s="30"/>
      <c r="O315" s="29"/>
      <c r="P315" s="29"/>
      <c r="Q315" s="29"/>
      <c r="R315" s="29"/>
      <c r="S315" s="29"/>
      <c r="T315" s="30"/>
      <c r="U315" s="32"/>
      <c r="V315" s="28"/>
      <c r="Z315" s="33"/>
    </row>
    <row r="316" spans="1:28">
      <c r="A316" s="25"/>
      <c r="B316" s="26" t="s">
        <v>424</v>
      </c>
      <c r="C316" s="32" t="s">
        <v>403</v>
      </c>
      <c r="D316" s="28" t="str">
        <f>B316&amp;TEXT(Prices!$C$45,"0.0")</f>
        <v>US$26.3</v>
      </c>
      <c r="E316" s="28" t="str">
        <f>B316&amp;TEXT(Prices!$E$45,"0.00")</f>
        <v>US$32.00</v>
      </c>
      <c r="F316" s="29">
        <f>Prices!$F$45</f>
        <v>0.21765601217656005</v>
      </c>
      <c r="G316" s="28" t="str">
        <f>Prices!$D$45</f>
        <v>Buy</v>
      </c>
      <c r="H316" s="30"/>
      <c r="I316" s="29">
        <f>(ATT!$D$24/ATT!$C$24)-1</f>
        <v>2.6025166072073169E-2</v>
      </c>
      <c r="J316" s="29">
        <f>(ATT!$E$24/ATT!$D$24)-1</f>
        <v>2.0781332878896608E-2</v>
      </c>
      <c r="K316" s="29">
        <f>(ATT!$F$24/ATT!$E$24)-1</f>
        <v>3.9398778130168122E-2</v>
      </c>
      <c r="L316" s="29">
        <f>(ATT!$G$24/ATT!$F$24)-1</f>
        <v>4.0422849001715333E-2</v>
      </c>
      <c r="M316" s="29">
        <f>ATT!$H$24</f>
        <v>3.3494732747037181E-2</v>
      </c>
      <c r="N316" s="30"/>
      <c r="O316" s="29">
        <f>(ATT!$D$25/ATT!$C$25)-1</f>
        <v>4.2381878964588449E-2</v>
      </c>
      <c r="P316" s="29">
        <f>(ATT!$E$25/ATT!$D$25)-1</f>
        <v>-1.493478865118647E-2</v>
      </c>
      <c r="Q316" s="29">
        <f>(ATT!$F$25/ATT!$E$25)-1</f>
        <v>6.8982142155707749E-2</v>
      </c>
      <c r="R316" s="29">
        <f>(ATT!$G$25/ATT!$F$25)-1</f>
        <v>9.397897246668574E-2</v>
      </c>
      <c r="S316" s="29">
        <f>ATT!$H$25</f>
        <v>4.8290062420434543E-2</v>
      </c>
      <c r="T316" s="30"/>
      <c r="U316" s="32" t="str">
        <f>D316</f>
        <v>US$26.3</v>
      </c>
      <c r="V316" s="28" t="str">
        <f>C316</f>
        <v xml:space="preserve">AT&amp;T </v>
      </c>
      <c r="Z316" s="33"/>
    </row>
    <row r="317" spans="1:28" s="5" customFormat="1">
      <c r="A317" s="112"/>
      <c r="B317" s="26" t="s">
        <v>424</v>
      </c>
      <c r="C317" s="32" t="s">
        <v>570</v>
      </c>
      <c r="D317" s="28" t="str">
        <f>B317&amp;TEXT(Prices!$C$46,"0.0")</f>
        <v>US$191.5</v>
      </c>
      <c r="E317" s="28" t="str">
        <f>B317&amp;TEXT(Prices!$E$46,"0.0")</f>
        <v>US$296.0</v>
      </c>
      <c r="F317" s="29">
        <f>Prices!$F$46</f>
        <v>0.54593408889121009</v>
      </c>
      <c r="G317" s="28" t="str">
        <f>Prices!$D$46</f>
        <v>Buy</v>
      </c>
      <c r="H317" s="30"/>
      <c r="I317" s="29">
        <f>(TMUS!$D$24/TMUS!$C$24)-1</f>
        <v>6.82682249275266E-2</v>
      </c>
      <c r="J317" s="29">
        <f>(TMUS!$E$24/TMUS!$D$24)-1</f>
        <v>0.10330679683900601</v>
      </c>
      <c r="K317" s="29">
        <f>(TMUS!$F$24/TMUS!$E$24)-1</f>
        <v>8.0839109814405674E-2</v>
      </c>
      <c r="L317" s="29">
        <f>(TMUS!$G$24/TMUS!$F$24)-1</f>
        <v>6.1089131534974417E-2</v>
      </c>
      <c r="M317" s="29">
        <f>TMUS!$H$24</f>
        <v>8.1607616837773289E-2</v>
      </c>
      <c r="N317" s="30"/>
      <c r="O317" s="29">
        <f>(TMUS!$D$25/TMUS!$C$25)-1</f>
        <v>4.4169358162855943E-2</v>
      </c>
      <c r="P317" s="29">
        <f>(TMUS!$E$25/TMUS!$D$25)-1</f>
        <v>0.14093333973814093</v>
      </c>
      <c r="Q317" s="29">
        <f>(TMUS!$F$25/TMUS!$E$25)-1</f>
        <v>0.11171637764068265</v>
      </c>
      <c r="R317" s="29">
        <f>(TMUS!$G$25/TMUS!$F$25)-1</f>
        <v>7.944837966761531E-2</v>
      </c>
      <c r="S317" s="29">
        <f>TMUS!$H$25</f>
        <v>0.11041516539179752</v>
      </c>
      <c r="T317" s="30"/>
      <c r="U317" s="32" t="str">
        <f>D317</f>
        <v>US$191.5</v>
      </c>
      <c r="V317" s="28" t="str">
        <f>C317</f>
        <v>TMUS</v>
      </c>
      <c r="Z317" s="33"/>
      <c r="AB317" s="47"/>
    </row>
    <row r="318" spans="1:28" s="5" customFormat="1">
      <c r="A318" s="25"/>
      <c r="B318" s="26" t="s">
        <v>424</v>
      </c>
      <c r="C318" s="32" t="s">
        <v>30</v>
      </c>
      <c r="D318" s="28" t="str">
        <f>B318&amp;TEXT(Prices!$C$44,"0.0")</f>
        <v>US$46.9</v>
      </c>
      <c r="E318" s="28" t="str">
        <f>B318&amp;TEXT(Prices!$E$44,"0.00")</f>
        <v>US$42.00</v>
      </c>
      <c r="F318" s="29">
        <f>Prices!$F$44</f>
        <v>-0.10371318822023046</v>
      </c>
      <c r="G318" s="28" t="str">
        <f>Prices!$D$44</f>
        <v>Neutral</v>
      </c>
      <c r="H318" s="30"/>
      <c r="I318" s="29">
        <f>(VZN!$D$24/VZN!$C$24)-1</f>
        <v>2.5719710024108E-2</v>
      </c>
      <c r="J318" s="29">
        <f>(VZN!$E$24/VZN!$D$24)-1</f>
        <v>1.0994731360470356E-2</v>
      </c>
      <c r="K318" s="29">
        <f>(VZN!$F$24/VZN!$E$24)-1</f>
        <v>1.8729226741136307E-2</v>
      </c>
      <c r="L318" s="29">
        <f>(VZN!$G$24/VZN!$F$24)-1</f>
        <v>2.3002252895452102E-2</v>
      </c>
      <c r="M318" s="29">
        <f>VZN!$H$24</f>
        <v>1.7563255651657173E-2</v>
      </c>
      <c r="N318" s="30"/>
      <c r="O318" s="29">
        <f>(VZN!$D$25/VZN!$C$25)-1</f>
        <v>2.351715740649496E-2</v>
      </c>
      <c r="P318" s="29">
        <f>(VZN!$E$25/VZN!$D$25)-1</f>
        <v>6.6250995699042026E-2</v>
      </c>
      <c r="Q318" s="29">
        <f>(VZN!$F$25/VZN!$E$25)-1</f>
        <v>2.7391109296601712E-2</v>
      </c>
      <c r="R318" s="29">
        <f>(VZN!$G$25/VZN!$F$25)-1</f>
        <v>3.3356702395365811E-2</v>
      </c>
      <c r="S318" s="29">
        <f>VZN!$H$25</f>
        <v>4.2193846308071992E-2</v>
      </c>
      <c r="T318" s="30"/>
      <c r="U318" s="32" t="str">
        <f>D318</f>
        <v>US$46.9</v>
      </c>
      <c r="V318" s="28" t="str">
        <f>C318</f>
        <v>Verizon</v>
      </c>
      <c r="Z318" s="33"/>
    </row>
    <row r="319" spans="1:28" s="5" customFormat="1">
      <c r="A319" s="25"/>
      <c r="B319" s="26"/>
      <c r="C319" s="35" t="s">
        <v>214</v>
      </c>
      <c r="D319" s="36"/>
      <c r="E319" s="36"/>
      <c r="F319" s="37"/>
      <c r="G319" s="36"/>
      <c r="H319" s="30"/>
      <c r="I319" s="39">
        <f>('US TELCO'!D$24/'US TELCO'!C$24)-1</f>
        <v>3.6576341605795593E-2</v>
      </c>
      <c r="J319" s="39">
        <f>('US TELCO'!E$24/'US TELCO'!D$24)-1</f>
        <v>3.8506383948863521E-2</v>
      </c>
      <c r="K319" s="39">
        <f>('US TELCO'!F$24/'US TELCO'!E$24)-1</f>
        <v>4.3135488325036775E-2</v>
      </c>
      <c r="L319" s="39">
        <f>('US TELCO'!G$24/'US TELCO'!F$24)-1</f>
        <v>3.9987516637988607E-2</v>
      </c>
      <c r="M319" s="39">
        <f>'US TELCO'!$H$38</f>
        <v>4.0541340228376743E-2</v>
      </c>
      <c r="N319" s="30"/>
      <c r="O319" s="39">
        <f>('US TELCO'!D$25/'US TELCO'!C$25)-1</f>
        <v>3.522214203471985E-2</v>
      </c>
      <c r="P319" s="39">
        <f>('US TELCO'!E$25/'US TELCO'!D$25)-1</f>
        <v>6.4107832092888728E-2</v>
      </c>
      <c r="Q319" s="39">
        <f>('US TELCO'!F$25/'US TELCO'!E$25)-1</f>
        <v>6.5814784896339296E-2</v>
      </c>
      <c r="R319" s="39">
        <f>('US TELCO'!G$25/'US TELCO'!F$25)-1</f>
        <v>6.5559250045445827E-2</v>
      </c>
      <c r="S319" s="39">
        <f>'US TELCO'!$H$39</f>
        <v>6.51603570146575E-2</v>
      </c>
      <c r="T319" s="30"/>
      <c r="U319" s="41"/>
      <c r="V319" s="42" t="str">
        <f>V260</f>
        <v>Agg. US Telecoms</v>
      </c>
      <c r="Z319" s="33"/>
    </row>
    <row r="320" spans="1:28" s="5" customFormat="1">
      <c r="A320" s="25"/>
      <c r="B320" s="26"/>
      <c r="C320" s="32"/>
      <c r="D320" s="28"/>
      <c r="E320" s="28"/>
      <c r="F320" s="29"/>
      <c r="G320" s="28"/>
      <c r="H320" s="30"/>
      <c r="I320" s="29"/>
      <c r="J320" s="29"/>
      <c r="K320" s="29"/>
      <c r="L320" s="29"/>
      <c r="M320" s="29"/>
      <c r="N320" s="30"/>
      <c r="O320" s="29"/>
      <c r="P320" s="29"/>
      <c r="Q320" s="29"/>
      <c r="R320" s="29"/>
      <c r="S320" s="29"/>
      <c r="T320" s="30"/>
      <c r="U320" s="32"/>
      <c r="V320" s="28"/>
      <c r="Z320" s="33"/>
    </row>
    <row r="321" spans="1:28" s="5" customFormat="1">
      <c r="A321" s="25"/>
      <c r="B321" s="26"/>
      <c r="C321" s="32" t="str">
        <f t="shared" ref="C321:G322" si="60">C262</f>
        <v>NTT</v>
      </c>
      <c r="D321" s="28" t="str">
        <f t="shared" si="60"/>
        <v>JPY 152</v>
      </c>
      <c r="E321" s="28" t="str">
        <f t="shared" si="60"/>
        <v>JPY 215</v>
      </c>
      <c r="F321" s="29">
        <f t="shared" si="60"/>
        <v>0.41914191419141922</v>
      </c>
      <c r="G321" s="28" t="str">
        <f t="shared" si="60"/>
        <v>Buy</v>
      </c>
      <c r="H321" s="30"/>
      <c r="I321" s="29">
        <f>(NTT!$D$24/NTT!$C$24)-1</f>
        <v>8.0388621574200014E-2</v>
      </c>
      <c r="J321" s="29">
        <f>(NTT!$E$24/NTT!$D$24)-1</f>
        <v>8.293410815819402E-2</v>
      </c>
      <c r="K321" s="29">
        <f>(NTT!$F$24/NTT!$E$24)-1</f>
        <v>5.2145678105849136E-2</v>
      </c>
      <c r="L321" s="29">
        <f>(NTT!$G$24/NTT!$F$24)-1</f>
        <v>4.7807597209559294E-2</v>
      </c>
      <c r="M321" s="29">
        <f>NTT!$H$24</f>
        <v>6.0847971687951974E-2</v>
      </c>
      <c r="N321" s="30"/>
      <c r="O321" s="29">
        <f>(NTT!$D$25/NTT!$C$25)-1</f>
        <v>2.6937400184716687E-3</v>
      </c>
      <c r="P321" s="29">
        <f>(NTT!$E$25/NTT!$D$25)-1</f>
        <v>0.25455976763271737</v>
      </c>
      <c r="Q321" s="29">
        <f>(NTT!$F$25/NTT!$E$25)-1</f>
        <v>0.13978652795618318</v>
      </c>
      <c r="R321" s="29">
        <f>(NTT!$G$25/NTT!$F$25)-1</f>
        <v>0.11855366687364799</v>
      </c>
      <c r="S321" s="29">
        <f>NTT!$H$25</f>
        <v>0.16947398973519467</v>
      </c>
      <c r="T321" s="30"/>
      <c r="U321" s="32" t="str">
        <f>U262</f>
        <v>JPY 152</v>
      </c>
      <c r="V321" s="28" t="str">
        <f>V262</f>
        <v>NTT</v>
      </c>
      <c r="Z321" s="33"/>
    </row>
    <row r="322" spans="1:28">
      <c r="A322" s="25"/>
      <c r="C322" s="32" t="str">
        <f t="shared" si="60"/>
        <v>SingTel</v>
      </c>
      <c r="D322" s="28" t="str">
        <f t="shared" si="60"/>
        <v>SGD 4.63</v>
      </c>
      <c r="E322" s="28" t="str">
        <f t="shared" si="60"/>
        <v>SGD 6.20</v>
      </c>
      <c r="F322" s="29">
        <f t="shared" si="60"/>
        <v>0.33909287257019449</v>
      </c>
      <c r="G322" s="28" t="str">
        <f t="shared" si="60"/>
        <v>Buy</v>
      </c>
      <c r="H322" s="30"/>
      <c r="I322" s="29">
        <f>(SINGTEL!$D$24/SINGTEL!$C$24)-1</f>
        <v>5.3673026486787512E-2</v>
      </c>
      <c r="J322" s="29">
        <f>(SINGTEL!$E$24/SINGTEL!$D$24)-1</f>
        <v>6.0763221568894465E-2</v>
      </c>
      <c r="K322" s="29">
        <f>(SINGTEL!$F$24/SINGTEL!$E$24)-1</f>
        <v>4.9877154160680615E-2</v>
      </c>
      <c r="L322" s="29">
        <f>(SINGTEL!$G$24/SINGTEL!$F$24)-1</f>
        <v>3.2312974445525944E-2</v>
      </c>
      <c r="M322" s="29">
        <f>SINGTEL!$H$24</f>
        <v>4.7585410738177014E-2</v>
      </c>
      <c r="N322" s="30"/>
      <c r="O322" s="29">
        <f>(SINGTEL!$D$25/SINGTEL!$C$25)-1</f>
        <v>9.7518643857011256E-2</v>
      </c>
      <c r="P322" s="29">
        <f>(SINGTEL!$E$25/SINGTEL!$D$25)-1</f>
        <v>0.15469961970584789</v>
      </c>
      <c r="Q322" s="29">
        <f>(SINGTEL!$F$25/SINGTEL!$E$25)-1</f>
        <v>0.19530348816998444</v>
      </c>
      <c r="R322" s="29">
        <f>(SINGTEL!$G$25/SINGTEL!$F$25)-1</f>
        <v>4.0447100650119694E-2</v>
      </c>
      <c r="S322" s="29">
        <f>SINGTEL!$H$25</f>
        <v>0.12820773084308579</v>
      </c>
      <c r="T322" s="30"/>
      <c r="U322" s="32" t="str">
        <f>U263</f>
        <v>SGD 4.63</v>
      </c>
      <c r="V322" s="28" t="str">
        <f>V263</f>
        <v>SingTel</v>
      </c>
      <c r="Z322" s="33"/>
      <c r="AB322" s="5"/>
    </row>
    <row r="323" spans="1:28">
      <c r="A323" s="25"/>
      <c r="C323" s="35" t="str">
        <f>C264</f>
        <v>Agg. Developed Asia Incumbent</v>
      </c>
      <c r="D323" s="42"/>
      <c r="E323" s="42"/>
      <c r="F323" s="39"/>
      <c r="G323" s="42"/>
      <c r="H323" s="40"/>
      <c r="I323" s="39">
        <f>('DM ASIA INCUMB'!$D$24/'DM ASIA INCUMB'!$C$24)-1</f>
        <v>7.6978435089218866E-2</v>
      </c>
      <c r="J323" s="39">
        <f>('DM ASIA INCUMB'!$E$24/'DM ASIA INCUMB'!$D$24)-1</f>
        <v>8.0165285170149758E-2</v>
      </c>
      <c r="K323" s="39">
        <f>('DM ASIA INCUMB'!$F$24/'DM ASIA INCUMB'!$E$24)-1</f>
        <v>5.1867461058425324E-2</v>
      </c>
      <c r="L323" s="39">
        <f>('DM ASIA INCUMB'!$G$24/'DM ASIA INCUMB'!$F$24)-1</f>
        <v>4.5910896347671759E-2</v>
      </c>
      <c r="M323" s="39">
        <f>'DM ASIA INCUMB'!$H$24</f>
        <v>5.9209761744593692E-2</v>
      </c>
      <c r="N323" s="40"/>
      <c r="O323" s="39">
        <f>('DM ASIA INCUMB'!$D$25/'DM ASIA INCUMB'!$C$25)-1</f>
        <v>1.7159279906983516E-2</v>
      </c>
      <c r="P323" s="39">
        <f>('DM ASIA INCUMB'!$E$25/'DM ASIA INCUMB'!$D$25)-1</f>
        <v>0.23812258494429694</v>
      </c>
      <c r="Q323" s="39">
        <f>('DM ASIA INCUMB'!$F$25/'DM ASIA INCUMB'!$E$25)-1</f>
        <v>0.14830901270455166</v>
      </c>
      <c r="R323" s="39">
        <f>('DM ASIA INCUMB'!$G$25/'DM ASIA INCUMB'!$F$25)-1</f>
        <v>0.10607272062272988</v>
      </c>
      <c r="S323" s="39">
        <f>'DM ASIA INCUMB'!$H$25</f>
        <v>0.16288124660676906</v>
      </c>
      <c r="T323" s="40"/>
      <c r="U323" s="35"/>
      <c r="V323" s="42" t="str">
        <f>V264</f>
        <v xml:space="preserve">Agg. Developed Asia Incumbent </v>
      </c>
      <c r="Z323" s="33"/>
      <c r="AB323" s="5"/>
    </row>
    <row r="324" spans="1:28">
      <c r="A324" s="25"/>
      <c r="C324" s="27"/>
      <c r="D324" s="34"/>
      <c r="E324" s="34"/>
      <c r="F324" s="45"/>
      <c r="G324" s="34"/>
      <c r="H324" s="40"/>
      <c r="I324" s="45"/>
      <c r="J324" s="45"/>
      <c r="K324" s="45"/>
      <c r="L324" s="45"/>
      <c r="M324" s="45"/>
      <c r="N324" s="40"/>
      <c r="O324" s="45"/>
      <c r="P324" s="45"/>
      <c r="Q324" s="45"/>
      <c r="R324" s="45"/>
      <c r="S324" s="45"/>
      <c r="T324" s="40"/>
      <c r="U324" s="27"/>
      <c r="V324" s="34"/>
      <c r="Z324" s="33"/>
      <c r="AB324" s="5"/>
    </row>
    <row r="325" spans="1:28">
      <c r="A325" s="25"/>
      <c r="C325" s="35" t="s">
        <v>717</v>
      </c>
      <c r="D325" s="42"/>
      <c r="E325" s="42"/>
      <c r="F325" s="39"/>
      <c r="G325" s="42"/>
      <c r="H325" s="40"/>
      <c r="I325" s="39">
        <f>('AGG DM INCUMB'!$D$24/'AGG DM INCUMB'!$C$24)-1</f>
        <v>2.9407516336420469E-2</v>
      </c>
      <c r="J325" s="39">
        <f>('AGG DM INCUMB'!$E$24/'AGG DM INCUMB'!$D$24)-1</f>
        <v>5.2014134789255095E-2</v>
      </c>
      <c r="K325" s="39">
        <f>('AGG DM INCUMB'!$F$24/'AGG DM INCUMB'!$E$24)-1</f>
        <v>4.4759572669393899E-2</v>
      </c>
      <c r="L325" s="39">
        <f>('AGG DM INCUMB'!$G$24/'AGG DM INCUMB'!$F$24)-1</f>
        <v>3.8486237734398632E-2</v>
      </c>
      <c r="M325" s="39">
        <f>'AGG DM INCUMB'!$H$24</f>
        <v>4.50720347564042E-2</v>
      </c>
      <c r="N325" s="40"/>
      <c r="O325" s="39">
        <f>('AGG DM INCUMB'!$D$25/'AGG DM INCUMB'!$C$25)-1</f>
        <v>3.2343401283077444E-2</v>
      </c>
      <c r="P325" s="39">
        <f>('AGG DM INCUMB'!$E$25/'AGG DM INCUMB'!$D$25)-1</f>
        <v>9.7716867165867916E-2</v>
      </c>
      <c r="Q325" s="39">
        <f>('AGG DM INCUMB'!$F$25/'AGG DM INCUMB'!$E$25)-1</f>
        <v>8.5878392542608761E-2</v>
      </c>
      <c r="R325" s="39">
        <f>('AGG DM INCUMB'!$G$25/'AGG DM INCUMB'!$F$25)-1</f>
        <v>6.8087081032697006E-2</v>
      </c>
      <c r="S325" s="39">
        <f>'AGG DM INCUMB'!$H$25</f>
        <v>8.38255803885537E-2</v>
      </c>
      <c r="T325" s="40"/>
      <c r="U325" s="35"/>
      <c r="V325" s="42" t="str">
        <f>C325</f>
        <v>Agg. DM Incumbent total</v>
      </c>
      <c r="Z325" s="33"/>
      <c r="AB325" s="5"/>
    </row>
    <row r="326" spans="1:28" s="5" customFormat="1">
      <c r="A326" s="25"/>
      <c r="B326" s="26"/>
      <c r="C326" s="25"/>
      <c r="D326" s="28"/>
      <c r="E326" s="28"/>
      <c r="F326" s="29"/>
      <c r="G326" s="28"/>
      <c r="H326" s="30"/>
      <c r="I326" s="29"/>
      <c r="J326" s="29"/>
      <c r="K326" s="29"/>
      <c r="L326" s="29"/>
      <c r="M326" s="29"/>
      <c r="N326" s="30"/>
      <c r="O326" s="29"/>
      <c r="P326" s="29"/>
      <c r="Q326" s="29"/>
      <c r="R326" s="29"/>
      <c r="S326" s="29"/>
      <c r="T326" s="30"/>
      <c r="U326" s="32"/>
      <c r="V326" s="34"/>
      <c r="Z326" s="33"/>
      <c r="AB326" s="47"/>
    </row>
    <row r="327" spans="1:28" s="5" customFormat="1">
      <c r="A327" s="25" t="s">
        <v>1091</v>
      </c>
      <c r="B327" s="26"/>
      <c r="C327" s="32" t="str">
        <f t="shared" ref="C327:G339" si="61">C268</f>
        <v>1&amp;1</v>
      </c>
      <c r="D327" s="28" t="str">
        <f t="shared" si="61"/>
        <v>EUR 23.2</v>
      </c>
      <c r="E327" s="28" t="str">
        <f t="shared" si="61"/>
        <v>EUR 10.0</v>
      </c>
      <c r="F327" s="29">
        <f t="shared" si="61"/>
        <v>-0.56803455723542107</v>
      </c>
      <c r="G327" s="28" t="str">
        <f t="shared" si="61"/>
        <v>Sell</v>
      </c>
      <c r="H327" s="30"/>
      <c r="I327" s="29">
        <f>(DRI!$D$24/DRI!$C$24)-1</f>
        <v>-0.17880015684224293</v>
      </c>
      <c r="J327" s="29">
        <f>(DRI!$E$24/DRI!$D$24)-1</f>
        <v>0.27327709692821855</v>
      </c>
      <c r="K327" s="29">
        <f>(DRI!$F$24/DRI!$E$24)-1</f>
        <v>0.125262205488889</v>
      </c>
      <c r="L327" s="29">
        <f>(DRI!$G$24/DRI!$F$24)-1</f>
        <v>0.11035864825542041</v>
      </c>
      <c r="M327" s="29">
        <f>DRI!$H$24</f>
        <v>0.16738286137637948</v>
      </c>
      <c r="N327" s="30"/>
      <c r="O327" s="29">
        <f>(DRI!$D$25/DRI!$C$25)-1</f>
        <v>-0.84060175273769011</v>
      </c>
      <c r="P327" s="29">
        <f>(DRI!$E$25/DRI!$D$25)-1</f>
        <v>0.23197333140082366</v>
      </c>
      <c r="Q327" s="29">
        <f>(DRI!$F$25/DRI!$E$25)-1</f>
        <v>1.4147260855215733</v>
      </c>
      <c r="R327" s="29">
        <f>(DRI!$G$25/DRI!$F$25)-1</f>
        <v>0.5808239798403485</v>
      </c>
      <c r="S327" s="29">
        <f>DRI!$H$25</f>
        <v>0.67539635094445916</v>
      </c>
      <c r="T327" s="30"/>
      <c r="U327" s="32" t="str">
        <f t="shared" ref="U327:V329" si="62">U268</f>
        <v>EUR 23.2</v>
      </c>
      <c r="V327" s="28" t="str">
        <f t="shared" si="62"/>
        <v>1&amp;1</v>
      </c>
      <c r="Z327" s="33"/>
    </row>
    <row r="328" spans="1:28" s="5" customFormat="1">
      <c r="A328" s="25"/>
      <c r="B328" s="26"/>
      <c r="C328" s="32" t="str">
        <f t="shared" si="61"/>
        <v>Bouygues</v>
      </c>
      <c r="D328" s="28" t="str">
        <f t="shared" si="61"/>
        <v>EUR 51.8</v>
      </c>
      <c r="E328" s="28" t="str">
        <f t="shared" si="61"/>
        <v>EUR 64.0</v>
      </c>
      <c r="F328" s="29">
        <f t="shared" si="61"/>
        <v>0.23599845500193117</v>
      </c>
      <c r="G328" s="28" t="str">
        <f t="shared" si="61"/>
        <v>Buy</v>
      </c>
      <c r="H328" s="30"/>
      <c r="I328" s="29">
        <f>(BOUY!$D$24/BOUY!$C$24)-1</f>
        <v>8.1697276757441317E-2</v>
      </c>
      <c r="J328" s="29">
        <f>(BOUY!$E$24/BOUY!$D$24)-1</f>
        <v>1.1098203926244832E-2</v>
      </c>
      <c r="K328" s="29">
        <f>(BOUY!$F$24/BOUY!$E$24)-1</f>
        <v>4.7382251097737527E-2</v>
      </c>
      <c r="L328" s="29">
        <f>(BOUY!$G$24/BOUY!$F$24)-1</f>
        <v>7.4404238482385088E-2</v>
      </c>
      <c r="M328" s="29">
        <f>BOUY!$H$24</f>
        <v>4.3971767355378111E-2</v>
      </c>
      <c r="N328" s="30"/>
      <c r="O328" s="29">
        <f>(BOUY!$D$25/BOUY!$C$25)-1</f>
        <v>0.1848049281314168</v>
      </c>
      <c r="P328" s="29">
        <f>(BOUY!$E$25/BOUY!$D$25)-1</f>
        <v>5.2379387379680509E-2</v>
      </c>
      <c r="Q328" s="29">
        <f>(BOUY!$F$25/BOUY!$E$25)-1</f>
        <v>8.8878762737670591E-2</v>
      </c>
      <c r="R328" s="29">
        <f>(BOUY!$G$25/BOUY!$F$25)-1</f>
        <v>0.13882360822545281</v>
      </c>
      <c r="S328" s="29">
        <f>BOUY!$H$25</f>
        <v>9.2788478291361498E-2</v>
      </c>
      <c r="T328" s="30"/>
      <c r="U328" s="32" t="str">
        <f t="shared" si="62"/>
        <v>EUR 51.8</v>
      </c>
      <c r="V328" s="28" t="str">
        <f t="shared" si="62"/>
        <v>Bouygues</v>
      </c>
      <c r="Z328" s="33"/>
    </row>
    <row r="329" spans="1:28" s="5" customFormat="1">
      <c r="A329" s="25"/>
      <c r="B329" s="26"/>
      <c r="C329" s="32" t="str">
        <f t="shared" si="61"/>
        <v>Elisa</v>
      </c>
      <c r="D329" s="28" t="str">
        <f t="shared" si="61"/>
        <v>EUR 41.9</v>
      </c>
      <c r="E329" s="28" t="str">
        <f t="shared" si="61"/>
        <v>EUR 39.0</v>
      </c>
      <c r="F329" s="29">
        <f t="shared" si="61"/>
        <v>-6.9256376181545454E-2</v>
      </c>
      <c r="G329" s="28" t="str">
        <f t="shared" si="61"/>
        <v>Neutral</v>
      </c>
      <c r="H329" s="30"/>
      <c r="I329" s="29">
        <f>(ELISA!$D$24/ELISA!$C$24)-1</f>
        <v>3.1656880265509502E-2</v>
      </c>
      <c r="J329" s="29">
        <f>(ELISA!$E$24/ELISA!$D$24)-1</f>
        <v>2.6240993012325964E-2</v>
      </c>
      <c r="K329" s="29">
        <f>(ELISA!$F$24/ELISA!$E$24)-1</f>
        <v>3.3186732772048755E-2</v>
      </c>
      <c r="L329" s="29">
        <f>(ELISA!$G$24/ELISA!$F$24)-1</f>
        <v>3.9007874513923957E-2</v>
      </c>
      <c r="M329" s="29">
        <f>ELISA!$H$24</f>
        <v>3.2798676558669415E-2</v>
      </c>
      <c r="N329" s="30"/>
      <c r="O329" s="29">
        <f>(ELISA!$D$25/ELISA!$C$25)-1</f>
        <v>8.2104832104832104E-2</v>
      </c>
      <c r="P329" s="29">
        <f>(ELISA!$E$25/ELISA!$D$25)-1</f>
        <v>2.2391177532709028E-2</v>
      </c>
      <c r="Q329" s="29">
        <f>(ELISA!$F$25/ELISA!$E$25)-1</f>
        <v>3.7599754804090058E-2</v>
      </c>
      <c r="R329" s="29">
        <f>(ELISA!$G$25/ELISA!$F$25)-1</f>
        <v>4.2956795238235923E-2</v>
      </c>
      <c r="S329" s="29">
        <f>ELISA!$H$25</f>
        <v>3.4279119950668679E-2</v>
      </c>
      <c r="T329" s="30"/>
      <c r="U329" s="32" t="str">
        <f t="shared" si="62"/>
        <v>EUR 41.9</v>
      </c>
      <c r="V329" s="28" t="str">
        <f t="shared" si="62"/>
        <v>Elisa</v>
      </c>
      <c r="Z329" s="33"/>
    </row>
    <row r="330" spans="1:28" s="5" customFormat="1">
      <c r="A330" s="25"/>
      <c r="B330" s="26"/>
      <c r="C330" s="32" t="str">
        <f t="shared" si="61"/>
        <v>Eutelsat</v>
      </c>
      <c r="D330" s="28" t="str">
        <f t="shared" si="61"/>
        <v>EUR 2.8</v>
      </c>
      <c r="E330" s="28" t="str">
        <f t="shared" si="61"/>
        <v>EUR 1.4</v>
      </c>
      <c r="F330" s="29">
        <f t="shared" si="61"/>
        <v>-0.5</v>
      </c>
      <c r="G330" s="28" t="str">
        <f t="shared" si="61"/>
        <v>Sell</v>
      </c>
      <c r="H330" s="30"/>
      <c r="I330" s="29">
        <f>(ETL!$D$24/ETL!$C$24)-1</f>
        <v>-6.2597267854055061E-2</v>
      </c>
      <c r="J330" s="29">
        <f>(ETL!$E$24/ETL!$D$24)-1</f>
        <v>0.13384576402619808</v>
      </c>
      <c r="K330" s="29">
        <f>(ETL!$F$24/ETL!$E$24)-1</f>
        <v>0.15493582808628159</v>
      </c>
      <c r="L330" s="29">
        <f>(ETL!$G$24/ETL!$F$24)-1</f>
        <v>6.5683319286216735E-2</v>
      </c>
      <c r="M330" s="29">
        <f>ETL!$H$24</f>
        <v>0.11749777732434397</v>
      </c>
      <c r="N330" s="30"/>
      <c r="O330" s="29">
        <f>(ETL!$D$25/ETL!$C$25)-1</f>
        <v>-2.8569807037457426</v>
      </c>
      <c r="P330" s="29">
        <f>(ETL!$E$25/ETL!$D$25)-1</f>
        <v>-0.43355069889548292</v>
      </c>
      <c r="Q330" s="29">
        <f>(ETL!$F$25/ETL!$E$25)-1</f>
        <v>1.104807615391592</v>
      </c>
      <c r="R330" s="29">
        <f>(ETL!$G$25/ETL!$F$25)-1</f>
        <v>-0.88853969355681706</v>
      </c>
      <c r="S330" s="29">
        <f>ETL!$H$25</f>
        <v>-0.48969334962295685</v>
      </c>
      <c r="T330" s="30"/>
      <c r="U330" s="32" t="str">
        <f t="shared" ref="U330:U339" si="63">U271</f>
        <v>EUR 2.8</v>
      </c>
      <c r="V330" s="28" t="s">
        <v>1283</v>
      </c>
      <c r="Z330" s="33"/>
    </row>
    <row r="331" spans="1:28" s="5" customFormat="1">
      <c r="A331" s="25"/>
      <c r="B331" s="26"/>
      <c r="C331" s="32" t="str">
        <f t="shared" si="61"/>
        <v>Liberty Global (prop.)</v>
      </c>
      <c r="D331" s="28" t="str">
        <f t="shared" si="61"/>
        <v>USD 12.0</v>
      </c>
      <c r="E331" s="28" t="str">
        <f t="shared" si="61"/>
        <v>USD 12.5</v>
      </c>
      <c r="F331" s="29">
        <f t="shared" si="61"/>
        <v>4.4277360066833804E-2</v>
      </c>
      <c r="G331" s="28" t="str">
        <f t="shared" si="61"/>
        <v>Neutral</v>
      </c>
      <c r="H331" s="30"/>
      <c r="I331" s="29">
        <f>(LBTY!$D$24/LBTY!$C$24)-1</f>
        <v>0.12260664831101153</v>
      </c>
      <c r="J331" s="29">
        <f>(LBTY!$E$24/LBTY!$D$24)-1</f>
        <v>0.10304082369813172</v>
      </c>
      <c r="K331" s="29">
        <f>(LBTY!$F$24/LBTY!$E$24)-1</f>
        <v>0.94308097391520929</v>
      </c>
      <c r="L331" s="29">
        <f>(LBTY!$G$24/LBTY!$F$24)-1</f>
        <v>9.8829005756320143E-3</v>
      </c>
      <c r="M331" s="29">
        <f>LBTY!$H$24</f>
        <v>0.29355381567250971</v>
      </c>
      <c r="N331" s="30"/>
      <c r="O331" s="29">
        <f>(LBTY!$D$25/LBTY!$C$25)-1</f>
        <v>-1.8980997789715377</v>
      </c>
      <c r="P331" s="29">
        <f>(LBTY!$E$25/LBTY!$D$25)-1</f>
        <v>-2.1500849077056587</v>
      </c>
      <c r="Q331" s="29">
        <f>(LBTY!$F$25/LBTY!$E$25)-1</f>
        <v>10.557848125162264</v>
      </c>
      <c r="R331" s="29">
        <f>(LBTY!$G$25/LBTY!$F$25)-1</f>
        <v>8.3022562617152129E-2</v>
      </c>
      <c r="S331" s="29">
        <f>LBTY!$H$25</f>
        <v>-3.4326602794785916</v>
      </c>
      <c r="T331" s="30"/>
      <c r="U331" s="32" t="str">
        <f t="shared" si="63"/>
        <v>USD 12.0</v>
      </c>
      <c r="V331" s="28" t="str">
        <f t="shared" ref="V331:V340" si="64">V272</f>
        <v>Liberty Global</v>
      </c>
      <c r="Z331" s="33"/>
    </row>
    <row r="332" spans="1:28" s="5" customFormat="1">
      <c r="A332" s="25"/>
      <c r="B332" s="26"/>
      <c r="C332" s="32" t="str">
        <f t="shared" si="61"/>
        <v>NOS</v>
      </c>
      <c r="D332" s="28" t="str">
        <f t="shared" si="61"/>
        <v>EUR 5.65</v>
      </c>
      <c r="E332" s="28" t="str">
        <f t="shared" si="61"/>
        <v>EUR 5.50</v>
      </c>
      <c r="F332" s="29">
        <f t="shared" si="61"/>
        <v>-2.6548672566371723E-2</v>
      </c>
      <c r="G332" s="28" t="str">
        <f t="shared" si="61"/>
        <v>Neutral</v>
      </c>
      <c r="H332" s="30"/>
      <c r="I332" s="29">
        <f>(NOS!$D$24/NOS!$C$24)-1</f>
        <v>3.4933862479245015E-2</v>
      </c>
      <c r="J332" s="29">
        <f>(NOS!$E$24/NOS!$D$24)-1</f>
        <v>1.0463187412790287E-2</v>
      </c>
      <c r="K332" s="29">
        <f>(NOS!$F$24/NOS!$E$24)-1</f>
        <v>-2.4173594446355806E-2</v>
      </c>
      <c r="L332" s="29">
        <f>(NOS!$G$24/NOS!$F$24)-1</f>
        <v>-3.295961336420361E-2</v>
      </c>
      <c r="M332" s="29">
        <f>NOS!$H$24</f>
        <v>-1.5733830763602685E-2</v>
      </c>
      <c r="N332" s="30"/>
      <c r="O332" s="29">
        <f>(NOS!$D$25/NOS!$C$25)-1</f>
        <v>0.11387349745209896</v>
      </c>
      <c r="P332" s="29">
        <f>(NOS!$E$25/NOS!$D$25)-1</f>
        <v>9.4531367109224052E-2</v>
      </c>
      <c r="Q332" s="29">
        <f>(NOS!$F$25/NOS!$E$25)-1</f>
        <v>-4.5602559237136409E-2</v>
      </c>
      <c r="R332" s="29">
        <f>(NOS!$G$25/NOS!$F$25)-1</f>
        <v>-6.5185301519361638E-2</v>
      </c>
      <c r="S332" s="29">
        <f>NOS!$H$25</f>
        <v>-7.8873126453591347E-3</v>
      </c>
      <c r="T332" s="30"/>
      <c r="U332" s="32" t="str">
        <f t="shared" si="63"/>
        <v>EUR 5.65</v>
      </c>
      <c r="V332" s="28" t="str">
        <f t="shared" si="64"/>
        <v>NOS</v>
      </c>
      <c r="Z332" s="33"/>
    </row>
    <row r="333" spans="1:28" s="5" customFormat="1">
      <c r="A333" s="112"/>
      <c r="B333" s="26"/>
      <c r="C333" s="32" t="str">
        <f t="shared" si="61"/>
        <v>Orange Belgium</v>
      </c>
      <c r="D333" s="28" t="str">
        <f t="shared" si="61"/>
        <v>EUR 21.0</v>
      </c>
      <c r="E333" s="28" t="str">
        <f t="shared" si="61"/>
        <v>EUR 21.1</v>
      </c>
      <c r="F333" s="29">
        <f t="shared" si="61"/>
        <v>5.150744566468024E-3</v>
      </c>
      <c r="G333" s="28" t="str">
        <f t="shared" si="61"/>
        <v>Neutral</v>
      </c>
      <c r="H333" s="30"/>
      <c r="I333" s="29">
        <f>(OBEL!$D$24/OBEL!$C$24)-1</f>
        <v>4.2789898322071362E-2</v>
      </c>
      <c r="J333" s="29">
        <f>(OBEL!$E$24/OBEL!$D$24)-1</f>
        <v>3.3666808130358605E-2</v>
      </c>
      <c r="K333" s="29">
        <f>(OBEL!$F$24/OBEL!$E$24)-1</f>
        <v>9.3225388366355855E-3</v>
      </c>
      <c r="L333" s="29">
        <f>(OBEL!$G$24/OBEL!$F$24)-1</f>
        <v>2.6977347090595405E-3</v>
      </c>
      <c r="M333" s="29">
        <f>OBEL!$H$24</f>
        <v>1.5142145595676837E-2</v>
      </c>
      <c r="N333" s="30"/>
      <c r="O333" s="29">
        <f>(OBEL!$D$25/OBEL!$C$25)-1</f>
        <v>9.6509308030075847E-2</v>
      </c>
      <c r="P333" s="29">
        <f>(OBEL!$E$25/OBEL!$D$25)-1</f>
        <v>0.18552065239411375</v>
      </c>
      <c r="Q333" s="29">
        <f>(OBEL!$F$25/OBEL!$E$25)-1</f>
        <v>9.9325296761447746E-3</v>
      </c>
      <c r="R333" s="29">
        <f>(OBEL!$G$25/OBEL!$F$25)-1</f>
        <v>-8.4274491700903287E-2</v>
      </c>
      <c r="S333" s="29">
        <f>OBEL!$H$25</f>
        <v>3.1150996116782403E-2</v>
      </c>
      <c r="T333" s="30"/>
      <c r="U333" s="32" t="str">
        <f t="shared" si="63"/>
        <v>EUR 21.0</v>
      </c>
      <c r="V333" s="28" t="str">
        <f t="shared" si="64"/>
        <v>Orange Belgium</v>
      </c>
      <c r="Z333" s="33"/>
    </row>
    <row r="334" spans="1:28" s="5" customFormat="1">
      <c r="A334" s="112"/>
      <c r="B334" s="26"/>
      <c r="C334" s="32" t="str">
        <f t="shared" si="61"/>
        <v>SES</v>
      </c>
      <c r="D334" s="28" t="str">
        <f t="shared" si="61"/>
        <v>EUR 6.6</v>
      </c>
      <c r="E334" s="28" t="str">
        <f t="shared" si="61"/>
        <v>EUR 6.0</v>
      </c>
      <c r="F334" s="404">
        <f t="shared" si="61"/>
        <v>-9.297052154195018E-2</v>
      </c>
      <c r="G334" s="28" t="str">
        <f t="shared" si="61"/>
        <v>Neutral</v>
      </c>
      <c r="H334" s="30"/>
      <c r="I334" s="404">
        <f>(SES!$D$24/SES!$C$24)-1</f>
        <v>0.1138861138861138</v>
      </c>
      <c r="J334" s="404">
        <f>(SES!$E$24/SES!$D$24)-1</f>
        <v>0.20713004484304931</v>
      </c>
      <c r="K334" s="404">
        <f>(SES!$F$24/SES!$E$24)-1</f>
        <v>-2.3780873851627415E-2</v>
      </c>
      <c r="L334" s="404">
        <f>(SES!$G$24/SES!$F$24)-1</f>
        <v>-1.125316849987279E-2</v>
      </c>
      <c r="M334" s="404">
        <f>SES!$H$24</f>
        <v>5.2273965190706928E-2</v>
      </c>
      <c r="N334" s="30"/>
      <c r="O334" s="404">
        <f>(SES!$D$25/SES!$C$25)-1</f>
        <v>0.31368821292775673</v>
      </c>
      <c r="P334" s="404">
        <f>(SES!$E$25/SES!$D$25)-1</f>
        <v>0.16635311143270637</v>
      </c>
      <c r="Q334" s="404">
        <f>(SES!$F$25/SES!$E$25)-1</f>
        <v>-0.18860706887598233</v>
      </c>
      <c r="R334" s="404">
        <f>(SES!$G$25/SES!$F$25)-1</f>
        <v>-0.69545299099364244</v>
      </c>
      <c r="S334" s="404">
        <f>SES!$H$25</f>
        <v>-0.33945075036748218</v>
      </c>
      <c r="T334" s="30"/>
      <c r="U334" s="32" t="str">
        <f t="shared" si="63"/>
        <v>EUR 6.6</v>
      </c>
      <c r="V334" s="28" t="str">
        <f t="shared" si="64"/>
        <v>SES</v>
      </c>
      <c r="Z334" s="33"/>
    </row>
    <row r="335" spans="1:28" s="5" customFormat="1">
      <c r="A335" s="112"/>
      <c r="B335" s="26"/>
      <c r="C335" s="32" t="str">
        <f t="shared" si="61"/>
        <v>Sunrise</v>
      </c>
      <c r="D335" s="28" t="str">
        <f t="shared" si="61"/>
        <v>CHF46.1</v>
      </c>
      <c r="E335" s="28" t="str">
        <f t="shared" si="61"/>
        <v>CHF38.7</v>
      </c>
      <c r="F335" s="29">
        <f t="shared" si="61"/>
        <v>-0.15959504533103386</v>
      </c>
      <c r="G335" s="28" t="str">
        <f t="shared" si="61"/>
        <v>Sell</v>
      </c>
      <c r="H335" s="30"/>
      <c r="I335" s="29">
        <f>(SUNN!$D$24/SUNN!$C$24)-1</f>
        <v>-5.6290736717357071E-3</v>
      </c>
      <c r="J335" s="29">
        <f>(SUNN!$E$24/SUNN!$D$24)-1</f>
        <v>-6.1286695927094126E-3</v>
      </c>
      <c r="K335" s="29">
        <f>(SUNN!$F$24/SUNN!$E$24)-1</f>
        <v>7.2390120363752253E-3</v>
      </c>
      <c r="L335" s="29">
        <f>(SUNN!$G$24/SUNN!$F$24)-1</f>
        <v>1.3934557310357754E-4</v>
      </c>
      <c r="M335" s="29">
        <f>SUNN!$H$24</f>
        <v>4.0166232677041336E-4</v>
      </c>
      <c r="N335" s="30"/>
      <c r="O335" s="29">
        <f>(SUNN!$D$25/SUNN!$C$25)-1</f>
        <v>3.1231700175678556E-2</v>
      </c>
      <c r="P335" s="29">
        <f>(SUNN!$E$25/SUNN!$D$25)-1</f>
        <v>5.7638906751207086E-2</v>
      </c>
      <c r="Q335" s="29">
        <f>(SUNN!$F$25/SUNN!$E$25)-1</f>
        <v>1.7737745216729772E-2</v>
      </c>
      <c r="R335" s="29">
        <f>(SUNN!$G$25/SUNN!$F$25)-1</f>
        <v>5.3490486753526856E-3</v>
      </c>
      <c r="S335" s="29">
        <f>SUNN!$H$25</f>
        <v>2.6668074180640877E-2</v>
      </c>
      <c r="T335" s="30"/>
      <c r="U335" s="32" t="str">
        <f t="shared" si="63"/>
        <v>CHF46.1</v>
      </c>
      <c r="V335" s="28" t="str">
        <f t="shared" si="64"/>
        <v>Sunrise</v>
      </c>
      <c r="Z335" s="33"/>
    </row>
    <row r="336" spans="1:28" s="5" customFormat="1">
      <c r="A336" s="112"/>
      <c r="B336" s="26"/>
      <c r="C336" s="32" t="str">
        <f t="shared" si="61"/>
        <v>Tele2</v>
      </c>
      <c r="D336" s="28" t="str">
        <f t="shared" si="61"/>
        <v>SEK 189.7</v>
      </c>
      <c r="E336" s="28" t="str">
        <f t="shared" si="61"/>
        <v>SEK 170.0</v>
      </c>
      <c r="F336" s="29">
        <f t="shared" si="61"/>
        <v>-0.10361191668863701</v>
      </c>
      <c r="G336" s="28" t="str">
        <f t="shared" si="61"/>
        <v>Neutral</v>
      </c>
      <c r="H336" s="30"/>
      <c r="I336" s="29">
        <f>(TELE2!$D$24/TELE2!$C$24)-1</f>
        <v>0.10516908458554775</v>
      </c>
      <c r="J336" s="29">
        <f>(TELE2!$E$24/TELE2!$D$24)-1</f>
        <v>2.4299524720455379E-2</v>
      </c>
      <c r="K336" s="29">
        <f>(TELE2!$F$24/TELE2!$E$24)-1</f>
        <v>2.9002245415686634E-2</v>
      </c>
      <c r="L336" s="29">
        <f>(TELE2!$G$24/TELE2!$F$24)-1</f>
        <v>2.6631930224143563E-2</v>
      </c>
      <c r="M336" s="29">
        <f>TELE2!$H$24</f>
        <v>2.664277163225548E-2</v>
      </c>
      <c r="N336" s="30"/>
      <c r="O336" s="29">
        <f>(TELE2!$D$25/TELE2!$C$25)-1</f>
        <v>0.29802402200575928</v>
      </c>
      <c r="P336" s="29">
        <f>(TELE2!$E$25/TELE2!$D$25)-1</f>
        <v>3.2643141012487886E-2</v>
      </c>
      <c r="Q336" s="29">
        <f>(TELE2!$F$25/TELE2!$E$25)-1</f>
        <v>3.8485583977829974E-2</v>
      </c>
      <c r="R336" s="29">
        <f>(TELE2!$G$25/TELE2!$F$25)-1</f>
        <v>3.5356582530738034E-2</v>
      </c>
      <c r="S336" s="29">
        <f>TELE2!$H$25</f>
        <v>3.5492351228082031E-2</v>
      </c>
      <c r="T336" s="30"/>
      <c r="U336" s="32" t="str">
        <f t="shared" si="63"/>
        <v>SEK 189.7</v>
      </c>
      <c r="V336" s="28" t="str">
        <f t="shared" si="64"/>
        <v>Tele2</v>
      </c>
      <c r="Z336" s="33"/>
    </row>
    <row r="337" spans="1:28" s="5" customFormat="1">
      <c r="A337" s="25"/>
      <c r="B337" s="26"/>
      <c r="C337" s="32" t="str">
        <f t="shared" si="61"/>
        <v>United Internet</v>
      </c>
      <c r="D337" s="28" t="str">
        <f t="shared" si="61"/>
        <v>EUR 26.7</v>
      </c>
      <c r="E337" s="28" t="str">
        <f t="shared" si="61"/>
        <v>EUR 33.0</v>
      </c>
      <c r="F337" s="29">
        <f t="shared" si="61"/>
        <v>0.23688155922038989</v>
      </c>
      <c r="G337" s="28" t="str">
        <f t="shared" si="61"/>
        <v>Neutral</v>
      </c>
      <c r="H337" s="30"/>
      <c r="I337" s="29">
        <f>(UTDI!$D$24/UTDI!$C$24)-1</f>
        <v>-4.2281600837336897E-2</v>
      </c>
      <c r="J337" s="29">
        <f>(UTDI!$E$24/UTDI!$D$24)-1</f>
        <v>0.11464453895164728</v>
      </c>
      <c r="K337" s="29">
        <f>(UTDI!$F$24/UTDI!$E$24)-1</f>
        <v>9.3011499530220698E-2</v>
      </c>
      <c r="L337" s="29">
        <f>(UTDI!$G$24/UTDI!$F$24)-1</f>
        <v>8.4272732337357548E-2</v>
      </c>
      <c r="M337" s="29">
        <f>UTDI!$H$24</f>
        <v>9.7235591687371947E-2</v>
      </c>
      <c r="N337" s="30"/>
      <c r="O337" s="29">
        <f>(UTDI!$D$25/UTDI!$C$25)-1</f>
        <v>-1.0620067514513831E-2</v>
      </c>
      <c r="P337" s="29">
        <f>(UTDI!$E$25/UTDI!$D$25)-1</f>
        <v>0.66103420463245621</v>
      </c>
      <c r="Q337" s="29">
        <f>(UTDI!$F$25/UTDI!$E$25)-1</f>
        <v>0.17815167386119501</v>
      </c>
      <c r="R337" s="29">
        <f>(UTDI!$G$25/UTDI!$F$25)-1</f>
        <v>0.15646763297130839</v>
      </c>
      <c r="S337" s="29">
        <f>UTDI!$H$25</f>
        <v>0.31291845859545808</v>
      </c>
      <c r="T337" s="30"/>
      <c r="U337" s="32" t="str">
        <f t="shared" si="63"/>
        <v>EUR 26.7</v>
      </c>
      <c r="V337" s="28" t="str">
        <f t="shared" si="64"/>
        <v>United Internet</v>
      </c>
      <c r="Z337" s="33"/>
    </row>
    <row r="338" spans="1:28" s="5" customFormat="1">
      <c r="A338" s="112"/>
      <c r="B338" s="26"/>
      <c r="C338" s="32" t="str">
        <f t="shared" si="61"/>
        <v>Vodafone</v>
      </c>
      <c r="D338" s="28" t="str">
        <f t="shared" si="61"/>
        <v>GBP 1.16</v>
      </c>
      <c r="E338" s="28" t="str">
        <f t="shared" si="61"/>
        <v>GBP 1.30</v>
      </c>
      <c r="F338" s="29">
        <f t="shared" si="61"/>
        <v>0.12117291936179386</v>
      </c>
      <c r="G338" s="28" t="str">
        <f t="shared" si="61"/>
        <v>Buy</v>
      </c>
      <c r="H338" s="30"/>
      <c r="I338" s="29">
        <f>(VOD!$D$24/VOD!$C$24)-1</f>
        <v>8.5272052429017142E-2</v>
      </c>
      <c r="J338" s="29">
        <f>(VOD!$E$24/VOD!$D$24)-1</f>
        <v>6.1008590938052665E-2</v>
      </c>
      <c r="K338" s="29">
        <f>(VOD!$F$24/VOD!$E$24)-1</f>
        <v>4.0941563044681439E-2</v>
      </c>
      <c r="L338" s="29">
        <f>(VOD!$G$24/VOD!$F$24)-1</f>
        <v>4.3661603362455503E-2</v>
      </c>
      <c r="M338" s="29">
        <f>VOD!$H$24</f>
        <v>4.8499719491322812E-2</v>
      </c>
      <c r="N338" s="30"/>
      <c r="O338" s="29">
        <f>(VOD!$D$25/VOD!$C$25)-1</f>
        <v>-3.104571652021848E-2</v>
      </c>
      <c r="P338" s="29">
        <f>(VOD!$E$25/VOD!$D$25)-1</f>
        <v>0.11669179700270926</v>
      </c>
      <c r="Q338" s="29">
        <f>(VOD!$F$25/VOD!$E$25)-1</f>
        <v>9.5356688266944989E-2</v>
      </c>
      <c r="R338" s="29">
        <f>(VOD!$G$25/VOD!$F$25)-1</f>
        <v>0.11296150792724236</v>
      </c>
      <c r="S338" s="29">
        <f>VOD!$H$25</f>
        <v>0.10829747782754473</v>
      </c>
      <c r="T338" s="30"/>
      <c r="U338" s="32" t="str">
        <f t="shared" si="63"/>
        <v>GBP 1.16</v>
      </c>
      <c r="V338" s="28" t="str">
        <f t="shared" si="64"/>
        <v>Vodafone</v>
      </c>
      <c r="Z338" s="33"/>
    </row>
    <row r="339" spans="1:28" s="5" customFormat="1">
      <c r="A339" s="112"/>
      <c r="B339" s="26"/>
      <c r="C339" s="32" t="str">
        <f t="shared" si="61"/>
        <v>Zegona</v>
      </c>
      <c r="D339" s="28" t="str">
        <f t="shared" si="61"/>
        <v>GBP 17.92</v>
      </c>
      <c r="E339" s="28" t="str">
        <f t="shared" si="61"/>
        <v>GBP 14.75</v>
      </c>
      <c r="F339" s="29">
        <f t="shared" si="61"/>
        <v>-0.17689732142857151</v>
      </c>
      <c r="G339" s="28" t="str">
        <f t="shared" si="61"/>
        <v>Neutral</v>
      </c>
      <c r="H339" s="30"/>
      <c r="I339" s="29">
        <f>(ZEG!$D$24/ZEG!$C$24)-1</f>
        <v>-5.386360638910237E-2</v>
      </c>
      <c r="J339" s="29">
        <f>(ZEG!$E$24/ZEG!$D$24)-1</f>
        <v>6.1182144760588919E-2</v>
      </c>
      <c r="K339" s="29">
        <f>(ZEG!$F$24/ZEG!$E$24)-1</f>
        <v>3.2605889414843325E-2</v>
      </c>
      <c r="L339" s="29">
        <f>(ZEG!$G$24/ZEG!$F$24)-1</f>
        <v>4.7921606322571808E-3</v>
      </c>
      <c r="M339" s="29">
        <f>ZEG!$H$24</f>
        <v>3.2603493272179707E-2</v>
      </c>
      <c r="N339" s="30"/>
      <c r="O339" s="29">
        <f>(ZEG!$D$25/ZEG!$C$25)-1</f>
        <v>-2.9834234716759833E-2</v>
      </c>
      <c r="P339" s="29">
        <f>(ZEG!$E$25/ZEG!$D$25)-1</f>
        <v>7.6248261170353882E-2</v>
      </c>
      <c r="Q339" s="29">
        <f>(ZEG!$F$25/ZEG!$E$25)-1</f>
        <v>3.3810858983551517E-2</v>
      </c>
      <c r="R339" s="29">
        <f>(ZEG!$G$25/ZEG!$F$25)-1</f>
        <v>-6.8210380205870891E-3</v>
      </c>
      <c r="S339" s="29">
        <f>ZEG!$H$25</f>
        <v>3.3856719209723884E-2</v>
      </c>
      <c r="T339" s="30"/>
      <c r="U339" s="32" t="str">
        <f t="shared" si="63"/>
        <v>GBP 17.92</v>
      </c>
      <c r="V339" s="28" t="str">
        <f t="shared" si="64"/>
        <v>Zegona</v>
      </c>
      <c r="Z339" s="33"/>
    </row>
    <row r="340" spans="1:28">
      <c r="C340" s="35" t="str">
        <f>C281</f>
        <v>Agg. W. Europe Other</v>
      </c>
      <c r="D340" s="36"/>
      <c r="E340" s="36"/>
      <c r="F340" s="37"/>
      <c r="G340" s="36"/>
      <c r="H340" s="30"/>
      <c r="I340" s="39">
        <f>('W.EUR OTHER'!$D$24/'W.EUR OTHER'!$C$24)-1</f>
        <v>6.4171763422686823E-2</v>
      </c>
      <c r="J340" s="39">
        <f>('W.EUR OTHER'!$E$24/'W.EUR OTHER'!$D$24)-1</f>
        <v>5.5597165671761761E-2</v>
      </c>
      <c r="K340" s="39">
        <f>('W.EUR OTHER'!$F$24/'W.EUR OTHER'!$E$24)-1</f>
        <v>7.9922891982179056E-2</v>
      </c>
      <c r="L340" s="39">
        <f>('W.EUR OTHER'!$G$24/'W.EUR OTHER'!$F$24)-1</f>
        <v>4.0009986027120137E-2</v>
      </c>
      <c r="M340" s="39">
        <f>'W.EUR OTHER'!$H$24</f>
        <v>5.8382923375347229E-2</v>
      </c>
      <c r="N340" s="40"/>
      <c r="O340" s="39">
        <f>('W.EUR OTHER'!$D$25/'W.EUR OTHER'!$C$25)-1</f>
        <v>6.7735504278922942E-3</v>
      </c>
      <c r="P340" s="39">
        <f>('W.EUR OTHER'!$E$25/'W.EUR OTHER'!$D$25)-1</f>
        <v>0.13629576097570895</v>
      </c>
      <c r="Q340" s="39">
        <f>('W.EUR OTHER'!$F$25/'W.EUR OTHER'!$E$25)-1</f>
        <v>0.11787655745414538</v>
      </c>
      <c r="R340" s="39">
        <f>('W.EUR OTHER'!$G$25/'W.EUR OTHER'!$F$25)-1</f>
        <v>8.2969271001090306E-2</v>
      </c>
      <c r="S340" s="39">
        <f>'W.EUR OTHER'!$H$25</f>
        <v>0.11215962069465446</v>
      </c>
      <c r="T340" s="30"/>
      <c r="U340" s="41"/>
      <c r="V340" s="42" t="str">
        <f t="shared" si="64"/>
        <v>Agg. W. Europe Other</v>
      </c>
      <c r="Z340" s="33"/>
      <c r="AB340" s="5"/>
    </row>
    <row r="341" spans="1:28" s="5" customFormat="1">
      <c r="A341" s="112"/>
      <c r="B341" s="26"/>
      <c r="C341" s="32"/>
      <c r="D341" s="28"/>
      <c r="E341" s="28"/>
      <c r="F341" s="29"/>
      <c r="G341" s="28"/>
      <c r="H341" s="30"/>
      <c r="I341" s="29"/>
      <c r="J341" s="29"/>
      <c r="K341" s="29"/>
      <c r="L341" s="29"/>
      <c r="M341" s="29"/>
      <c r="N341" s="30"/>
      <c r="O341" s="29"/>
      <c r="P341" s="29"/>
      <c r="Q341" s="29"/>
      <c r="R341" s="29"/>
      <c r="S341" s="29"/>
      <c r="T341" s="30"/>
      <c r="U341" s="32"/>
      <c r="V341" s="28"/>
      <c r="Z341" s="33"/>
      <c r="AB341" s="47"/>
    </row>
    <row r="342" spans="1:28" s="5" customFormat="1">
      <c r="A342" s="112"/>
      <c r="B342" s="26"/>
      <c r="C342" s="32" t="str">
        <f t="shared" ref="C342:G344" si="65">C283</f>
        <v>KDDI</v>
      </c>
      <c r="D342" s="28" t="str">
        <f t="shared" si="65"/>
        <v>JPY 2,565</v>
      </c>
      <c r="E342" s="28" t="str">
        <f t="shared" si="65"/>
        <v>JPY 3,150</v>
      </c>
      <c r="F342" s="29">
        <f t="shared" si="65"/>
        <v>0.22807017543859653</v>
      </c>
      <c r="G342" s="28" t="str">
        <f t="shared" si="65"/>
        <v>Buy</v>
      </c>
      <c r="H342" s="30"/>
      <c r="I342" s="29">
        <f>(KDDI!$D$24/KDDI!$C$24)-1</f>
        <v>5.0352423481570874E-2</v>
      </c>
      <c r="J342" s="29">
        <f>(KDDI!$E$24/KDDI!$D$24)-1</f>
        <v>3.9027426123990461E-2</v>
      </c>
      <c r="K342" s="29">
        <f>(KDDI!$F$24/KDDI!$E$24)-1</f>
        <v>3.3445011294549909E-2</v>
      </c>
      <c r="L342" s="29">
        <f>(KDDI!$G$24/KDDI!$F$24)-1</f>
        <v>3.0017152412858517E-2</v>
      </c>
      <c r="M342" s="29">
        <f>KDDI!$H$24</f>
        <v>3.4156534467740363E-2</v>
      </c>
      <c r="N342" s="30"/>
      <c r="O342" s="29">
        <f>(KDDI!$D$25/KDDI!$C$25)-1</f>
        <v>6.0194253363199612E-2</v>
      </c>
      <c r="P342" s="29">
        <f>(KDDI!$E$25/KDDI!$D$25)-1</f>
        <v>9.8736338941426638E-2</v>
      </c>
      <c r="Q342" s="29">
        <f>(KDDI!$F$25/KDDI!$E$25)-1</f>
        <v>5.9414287476371008E-2</v>
      </c>
      <c r="R342" s="29">
        <f>(KDDI!$G$25/KDDI!$F$25)-1</f>
        <v>5.3861472389141296E-2</v>
      </c>
      <c r="S342" s="29">
        <f>KDDI!$H$25</f>
        <v>7.0485889852950789E-2</v>
      </c>
      <c r="T342" s="30"/>
      <c r="U342" s="32" t="str">
        <f t="shared" ref="U342:V344" si="66">U283</f>
        <v>JPY 2,565</v>
      </c>
      <c r="V342" s="28" t="str">
        <f t="shared" si="66"/>
        <v>KDDI</v>
      </c>
      <c r="Z342" s="33"/>
    </row>
    <row r="343" spans="1:28" s="5" customFormat="1">
      <c r="A343" s="112"/>
      <c r="B343" s="26"/>
      <c r="C343" s="32" t="str">
        <f t="shared" si="65"/>
        <v>Rakuten</v>
      </c>
      <c r="D343" s="28" t="str">
        <f t="shared" si="65"/>
        <v>JPY 775</v>
      </c>
      <c r="E343" s="28" t="str">
        <f t="shared" si="65"/>
        <v>JPY 510</v>
      </c>
      <c r="F343" s="29">
        <f t="shared" si="65"/>
        <v>-0.3421901199535663</v>
      </c>
      <c r="G343" s="28" t="str">
        <f t="shared" si="65"/>
        <v>Reduce</v>
      </c>
      <c r="H343" s="30"/>
      <c r="I343" s="29">
        <f>(RAK!$D$24/RAK!$C$24)-1</f>
        <v>0.27367981972978206</v>
      </c>
      <c r="J343" s="29">
        <f>(RAK!$E$24/RAK!$D$24)-1</f>
        <v>0.40239429959160877</v>
      </c>
      <c r="K343" s="29">
        <f>(RAK!$F$24/RAK!$E$24)-1</f>
        <v>0.23117970730353843</v>
      </c>
      <c r="L343" s="29">
        <f>(RAK!$G$24/RAK!$F$24)-1</f>
        <v>0.16725764473725913</v>
      </c>
      <c r="M343" s="29">
        <f>RAK!$H$24</f>
        <v>0.26314373139908542</v>
      </c>
      <c r="N343" s="30"/>
      <c r="O343" s="29">
        <f>(RAK!$D$25/RAK!$C$25)-1</f>
        <v>0.87201693593012641</v>
      </c>
      <c r="P343" s="29">
        <f>(RAK!$E$25/RAK!$D$25)-1</f>
        <v>0.80957178495240667</v>
      </c>
      <c r="Q343" s="29">
        <f>(RAK!$F$25/RAK!$E$25)-1</f>
        <v>0.62175924955193107</v>
      </c>
      <c r="R343" s="29">
        <f>(RAK!$G$25/RAK!$F$25)-1</f>
        <v>0.26284192900363013</v>
      </c>
      <c r="S343" s="29">
        <f>RAK!$H$25</f>
        <v>0.54752282813769182</v>
      </c>
      <c r="T343" s="30"/>
      <c r="U343" s="32" t="str">
        <f t="shared" si="66"/>
        <v>JPY 775</v>
      </c>
      <c r="V343" s="28" t="str">
        <f t="shared" si="66"/>
        <v>Rakuten</v>
      </c>
      <c r="Z343" s="33"/>
    </row>
    <row r="344" spans="1:28" s="5" customFormat="1">
      <c r="A344" s="112"/>
      <c r="B344" s="26"/>
      <c r="C344" s="32" t="str">
        <f t="shared" si="65"/>
        <v>SoftBank KK (Corp)</v>
      </c>
      <c r="D344" s="28" t="str">
        <f t="shared" si="65"/>
        <v>JPY 220</v>
      </c>
      <c r="E344" s="28" t="str">
        <f t="shared" si="65"/>
        <v>JPY 270</v>
      </c>
      <c r="F344" s="29">
        <f t="shared" si="65"/>
        <v>0.22615803814713908</v>
      </c>
      <c r="G344" s="28" t="str">
        <f t="shared" si="65"/>
        <v>Buy</v>
      </c>
      <c r="H344" s="30"/>
      <c r="I344" s="29">
        <f>(SBKK!$D$24/SBKK!$C$24)-1</f>
        <v>1.4689039046763996E-2</v>
      </c>
      <c r="J344" s="29">
        <f>(SBKK!$E$24/SBKK!$D$24)-1</f>
        <v>7.8427084784866263E-2</v>
      </c>
      <c r="K344" s="29">
        <f>(SBKK!$F$24/SBKK!$E$24)-1</f>
        <v>7.3449890627105274E-2</v>
      </c>
      <c r="L344" s="29">
        <f>(SBKK!$G$24/SBKK!$F$24)-1</f>
        <v>6.1851493933226198E-2</v>
      </c>
      <c r="M344" s="29">
        <f>SBKK!$H$24</f>
        <v>7.1220269421736537E-2</v>
      </c>
      <c r="N344" s="30"/>
      <c r="O344" s="29">
        <f>(SBKK!$D$25/SBKK!$C$25)-1</f>
        <v>0.20660498629328772</v>
      </c>
      <c r="P344" s="29">
        <f>(SBKK!$E$25/SBKK!$D$25)-1</f>
        <v>0.10808971770111353</v>
      </c>
      <c r="Q344" s="29">
        <f>(SBKK!$F$25/SBKK!$E$25)-1</f>
        <v>0.10004639768640455</v>
      </c>
      <c r="R344" s="29">
        <f>(SBKK!$G$25/SBKK!$F$25)-1</f>
        <v>8.2068456510754118E-2</v>
      </c>
      <c r="S344" s="29">
        <f>SBKK!$H$25</f>
        <v>9.6680753411503284E-2</v>
      </c>
      <c r="T344" s="30"/>
      <c r="U344" s="32" t="str">
        <f t="shared" si="66"/>
        <v>JPY 220</v>
      </c>
      <c r="V344" s="28" t="str">
        <f t="shared" si="66"/>
        <v>SoftBank KK (Corp)</v>
      </c>
      <c r="Z344" s="33"/>
    </row>
    <row r="345" spans="1:28">
      <c r="C345" s="35" t="str">
        <f>C286</f>
        <v>Agg. Developed Asia Other</v>
      </c>
      <c r="D345" s="36"/>
      <c r="E345" s="36"/>
      <c r="F345" s="37"/>
      <c r="G345" s="36"/>
      <c r="H345" s="30"/>
      <c r="I345" s="39">
        <f>('DM ASIA OTHER'!$D$24/'DM ASIA OTHER'!$C$24)-1</f>
        <v>5.2984451510709629E-2</v>
      </c>
      <c r="J345" s="39">
        <f>('DM ASIA OTHER'!$E$24/'DM ASIA OTHER'!$D$24)-1</f>
        <v>9.2695657729117364E-2</v>
      </c>
      <c r="K345" s="39">
        <f>('DM ASIA OTHER'!$F$24/'DM ASIA OTHER'!$E$24)-1</f>
        <v>7.6096566879135574E-2</v>
      </c>
      <c r="L345" s="39">
        <f>('DM ASIA OTHER'!$G$24/'DM ASIA OTHER'!$F$24)-1</f>
        <v>6.3881446217023408E-2</v>
      </c>
      <c r="M345" s="39">
        <f>'DM ASIA OTHER'!$H$24</f>
        <v>7.7493269443907886E-2</v>
      </c>
      <c r="N345" s="40"/>
      <c r="O345" s="39">
        <f>('DM ASIA OTHER'!$D$25/'DM ASIA OTHER'!$C$25)-1</f>
        <v>0.15158383117817209</v>
      </c>
      <c r="P345" s="39">
        <f>('DM ASIA OTHER'!$E$25/'DM ASIA OTHER'!$D$25)-1</f>
        <v>0.13894599967438115</v>
      </c>
      <c r="Q345" s="39">
        <f>('DM ASIA OTHER'!$F$25/'DM ASIA OTHER'!$E$25)-1</f>
        <v>0.12312412762108971</v>
      </c>
      <c r="R345" s="39">
        <f>('DM ASIA OTHER'!$G$25/'DM ASIA OTHER'!$F$25)-1</f>
        <v>9.0735542742792719E-2</v>
      </c>
      <c r="S345" s="39">
        <f>'DM ASIA OTHER'!$H$25</f>
        <v>0.11742088784493321</v>
      </c>
      <c r="T345" s="30"/>
      <c r="U345" s="41"/>
      <c r="V345" s="42" t="str">
        <f>V286</f>
        <v>Agg. Developed Asia Cellular</v>
      </c>
      <c r="Z345" s="33"/>
      <c r="AB345" s="5"/>
    </row>
    <row r="346" spans="1:28" s="5" customFormat="1">
      <c r="A346" s="25"/>
      <c r="B346" s="26"/>
      <c r="C346" s="32"/>
      <c r="D346" s="28"/>
      <c r="E346" s="28"/>
      <c r="F346" s="29"/>
      <c r="G346" s="28"/>
      <c r="H346" s="30"/>
      <c r="I346" s="29"/>
      <c r="J346" s="29"/>
      <c r="K346" s="29"/>
      <c r="L346" s="29"/>
      <c r="M346" s="29"/>
      <c r="N346" s="30"/>
      <c r="O346" s="29"/>
      <c r="P346" s="29"/>
      <c r="Q346" s="29"/>
      <c r="R346" s="29"/>
      <c r="S346" s="29"/>
      <c r="T346" s="30"/>
      <c r="U346" s="32"/>
      <c r="V346" s="28"/>
      <c r="Z346" s="33"/>
    </row>
    <row r="347" spans="1:28" s="5" customFormat="1">
      <c r="A347" s="25"/>
      <c r="B347" s="26" t="s">
        <v>424</v>
      </c>
      <c r="C347" s="32" t="str">
        <f>C288</f>
        <v>Altice US</v>
      </c>
      <c r="D347" s="28" t="str">
        <f>D288</f>
        <v>US$1.7</v>
      </c>
      <c r="E347" s="28" t="str">
        <f>E288</f>
        <v>US$2.5</v>
      </c>
      <c r="F347" s="29">
        <f>F288</f>
        <v>0.49700598802395213</v>
      </c>
      <c r="G347" s="28" t="str">
        <f>G288</f>
        <v>Neutral</v>
      </c>
      <c r="H347" s="30"/>
      <c r="I347" s="29">
        <f>(ATCUS!D$24/ATCUS!C$24)-1</f>
        <v>-6.6635079400507613E-2</v>
      </c>
      <c r="J347" s="29">
        <f>(ATCUS!E$24/ATCUS!D$24)-1</f>
        <v>-5.4229693894798592E-2</v>
      </c>
      <c r="K347" s="29">
        <f>(ATCUS!F$24/ATCUS!E$24)-1</f>
        <v>-0.76590341971316489</v>
      </c>
      <c r="L347" s="29">
        <f>(ATCUS!G$24/ATCUS!F$24)-1</f>
        <v>6.0049010405320846E-3</v>
      </c>
      <c r="M347" s="29">
        <f>ATCUS!$H$24</f>
        <v>-0.39383115197016383</v>
      </c>
      <c r="N347" s="30"/>
      <c r="O347" s="29">
        <f>(ATCUS!D$25/ATCUS!C$25)-1</f>
        <v>-2.4677104169281372E-2</v>
      </c>
      <c r="P347" s="29">
        <f>(ATCUS!E$25/ATCUS!D$25)-1</f>
        <v>3.9961052036181277E-2</v>
      </c>
      <c r="Q347" s="29">
        <f>(ATCUS!F$25/ATCUS!E$25)-1</f>
        <v>-0.77633715927133451</v>
      </c>
      <c r="R347" s="29">
        <f>(ATCUS!G$25/ATCUS!F$25)-1</f>
        <v>-5.1021698390119941E-2</v>
      </c>
      <c r="S347" s="29">
        <f>ATCUS!$H$25</f>
        <v>-0.39564925120086247</v>
      </c>
      <c r="T347" s="30"/>
      <c r="U347" s="32" t="str">
        <f>D347</f>
        <v>US$1.7</v>
      </c>
      <c r="V347" s="28" t="str">
        <f>C347</f>
        <v>Altice US</v>
      </c>
      <c r="Z347" s="33"/>
    </row>
    <row r="348" spans="1:28" s="5" customFormat="1">
      <c r="A348" s="25"/>
      <c r="B348" s="26" t="s">
        <v>424</v>
      </c>
      <c r="C348" s="32" t="s">
        <v>258</v>
      </c>
      <c r="D348" s="28" t="str">
        <f>B348&amp;TEXT(Prices!$C$50,"0.0")</f>
        <v>US$222.0</v>
      </c>
      <c r="E348" s="28" t="str">
        <f>B348&amp;TEXT(Prices!$E$50,"0.0")</f>
        <v>US$328.0</v>
      </c>
      <c r="F348" s="29">
        <f>Prices!$F$50</f>
        <v>0.47747747747747749</v>
      </c>
      <c r="G348" s="28" t="str">
        <f>Prices!$D$50</f>
        <v>Buy</v>
      </c>
      <c r="H348" s="30"/>
      <c r="I348" s="29">
        <f>(CHTR!D$24/CHTR!C$24)-1</f>
        <v>1.286084381939312E-2</v>
      </c>
      <c r="J348" s="29">
        <f>(CHTR!E$24/CHTR!D$24)-1</f>
        <v>3.0830364483420025E-2</v>
      </c>
      <c r="K348" s="29">
        <f>(CHTR!F$24/CHTR!E$24)-1</f>
        <v>-0.74464974079489565</v>
      </c>
      <c r="L348" s="29">
        <f>(CHTR!G$24/CHTR!F$24)-1</f>
        <v>-1.2146451500954392E-2</v>
      </c>
      <c r="M348" s="29">
        <f>CHTR!$H$24</f>
        <v>-0.36172864127266646</v>
      </c>
      <c r="N348" s="30"/>
      <c r="O348" s="29">
        <f>(CHTR!D$25/CHTR!C$25)-1</f>
        <v>-0.11936274509803924</v>
      </c>
      <c r="P348" s="29">
        <f>(CHTR!E$25/CHTR!D$25)-1</f>
        <v>4.8334724928100981E-2</v>
      </c>
      <c r="Q348" s="29">
        <f>(CHTR!F$25/CHTR!E$25)-1</f>
        <v>-0.70230088495575216</v>
      </c>
      <c r="R348" s="29">
        <f>(CHTR!G$25/CHTR!F$25)-1</f>
        <v>-0.16200951248513673</v>
      </c>
      <c r="S348" s="29">
        <f>CHTR!$H$25</f>
        <v>-0.36050247502601085</v>
      </c>
      <c r="T348" s="30"/>
      <c r="U348" s="32" t="str">
        <f>D348</f>
        <v>US$222.0</v>
      </c>
      <c r="V348" s="28" t="str">
        <f>C348</f>
        <v>Charter</v>
      </c>
      <c r="Z348" s="33"/>
    </row>
    <row r="349" spans="1:28" s="5" customFormat="1">
      <c r="A349" s="25"/>
      <c r="B349" s="26" t="s">
        <v>424</v>
      </c>
      <c r="C349" s="32" t="s">
        <v>257</v>
      </c>
      <c r="D349" s="28" t="str">
        <f>B349&amp;TEXT(Prices!$C$51,"0.0")</f>
        <v>US$30.2</v>
      </c>
      <c r="E349" s="28" t="str">
        <f>B349&amp;TEXT(Prices!$E$51,"0.0")</f>
        <v>US$36.0</v>
      </c>
      <c r="F349" s="29">
        <f>Prices!$F$51</f>
        <v>0.19027938502231767</v>
      </c>
      <c r="G349" s="28" t="str">
        <f>Prices!$D$51</f>
        <v>Buy</v>
      </c>
      <c r="H349" s="30"/>
      <c r="I349" s="29">
        <f>(CMCSA!D$24/CMCSA!C$24)-1</f>
        <v>3.0719408476459709E-2</v>
      </c>
      <c r="J349" s="29">
        <f>(CMCSA!E$24/CMCSA!D$24)-1</f>
        <v>1.1566234315107726E-2</v>
      </c>
      <c r="K349" s="29">
        <f>(CMCSA!F$24/CMCSA!E$24)-1</f>
        <v>-0.74965065089254757</v>
      </c>
      <c r="L349" s="29">
        <f>(CMCSA!G$24/CMCSA!F$24)-1</f>
        <v>7.890043017521764E-2</v>
      </c>
      <c r="M349" s="29">
        <f>CMCSA!$H$24</f>
        <v>-0.35110556083741551</v>
      </c>
      <c r="N349" s="30"/>
      <c r="O349" s="29">
        <f>(CMCSA!D$25/CMCSA!C$25)-1</f>
        <v>-1.9066811050353127E-2</v>
      </c>
      <c r="P349" s="29">
        <f>(CMCSA!E$25/CMCSA!D$25)-1</f>
        <v>1.9389531068451094E-2</v>
      </c>
      <c r="Q349" s="29">
        <f>(CMCSA!F$25/CMCSA!E$25)-1</f>
        <v>-0.71882291135524345</v>
      </c>
      <c r="R349" s="29">
        <f>(CMCSA!G$25/CMCSA!F$25)-1</f>
        <v>4.4786371754361953E-2</v>
      </c>
      <c r="S349" s="29">
        <f>CMCSA!$H$25</f>
        <v>-0.33096444351986132</v>
      </c>
      <c r="T349" s="30"/>
      <c r="U349" s="32" t="str">
        <f>D349</f>
        <v>US$30.2</v>
      </c>
      <c r="V349" s="28" t="str">
        <f>C349</f>
        <v>Comcast</v>
      </c>
      <c r="Z349" s="33"/>
    </row>
    <row r="350" spans="1:28" s="5" customFormat="1">
      <c r="A350" s="25"/>
      <c r="B350" s="26" t="s">
        <v>431</v>
      </c>
      <c r="C350" s="32" t="s">
        <v>1264</v>
      </c>
      <c r="D350" s="28" t="str">
        <f>B350&amp;TEXT(Prices!C$52,"0.0")</f>
        <v>US$ 119.1</v>
      </c>
      <c r="E350" s="28" t="str">
        <f>B350&amp;TEXT(Prices!E$52,"0.0")</f>
        <v>US$ 0.0</v>
      </c>
      <c r="F350" s="29">
        <f>Prices!F$52</f>
        <v>-1</v>
      </c>
      <c r="G350" s="28" t="str">
        <f>Prices!D$52</f>
        <v>Buy</v>
      </c>
      <c r="H350" s="30"/>
      <c r="I350" s="29">
        <f>(SATS!D$24/SATS!C$24)-1</f>
        <v>-0.32770849952962344</v>
      </c>
      <c r="J350" s="29">
        <f>(SATS!E$24/SATS!D$24)-1</f>
        <v>0.87161703637805976</v>
      </c>
      <c r="K350" s="29">
        <f>(SATS!F$24/SATS!E$24)-1</f>
        <v>6.6534182428171773E-2</v>
      </c>
      <c r="L350" s="29">
        <f>(SATS!G$24/SATS!F$24)-1</f>
        <v>2.842813594178395E-2</v>
      </c>
      <c r="M350" s="29">
        <f>SATS!H$42</f>
        <v>4.5519366726737731E-2</v>
      </c>
      <c r="N350" s="30"/>
      <c r="O350" s="29">
        <f>(SATS!D$25/SATS!C$25)-1</f>
        <v>0.20079416229570701</v>
      </c>
      <c r="P350" s="29">
        <f>(SATS!E$25/SATS!D$25)-1</f>
        <v>12.05722842974064</v>
      </c>
      <c r="Q350" s="29">
        <f>(SATS!F$25/SATS!E$25)-1</f>
        <v>0.42180734414517129</v>
      </c>
      <c r="R350" s="29">
        <f>(SATS!G$25/SATS!F$25)-1</f>
        <v>5.3053306992538074E-2</v>
      </c>
      <c r="S350" s="29">
        <f>SATS!$H$25</f>
        <v>1.6938952456665</v>
      </c>
      <c r="T350" s="30"/>
      <c r="U350" s="32" t="str">
        <f>D350</f>
        <v>US$ 119.1</v>
      </c>
      <c r="V350" s="28" t="str">
        <f>C350</f>
        <v>EchoStar</v>
      </c>
      <c r="Z350" s="33"/>
    </row>
    <row r="351" spans="1:28" s="5" customFormat="1">
      <c r="A351" s="25"/>
      <c r="B351" s="26"/>
      <c r="C351" s="35" t="str">
        <f>C292</f>
        <v>Agg. US Other</v>
      </c>
      <c r="D351" s="42"/>
      <c r="E351" s="42"/>
      <c r="F351" s="39"/>
      <c r="G351" s="42"/>
      <c r="H351" s="40"/>
      <c r="I351" s="39">
        <f>('US OTHER'!D$24/'US OTHER'!C$24)-1</f>
        <v>9.5743130756353878E-3</v>
      </c>
      <c r="J351" s="39">
        <f>('US OTHER'!E$24/'US OTHER'!D$24)-1</f>
        <v>2.9073979490719548E-2</v>
      </c>
      <c r="K351" s="39">
        <f>('US OTHER'!F$24/'US OTHER'!E$24)-1</f>
        <v>-0.72351727761468054</v>
      </c>
      <c r="L351" s="39">
        <f>('US OTHER'!G$24/'US OTHER'!F$24)-1</f>
        <v>4.0975353795521752E-2</v>
      </c>
      <c r="M351" s="39">
        <f>'US OTHER'!$H$24</f>
        <v>-0.33342091865491441</v>
      </c>
      <c r="N351" s="40"/>
      <c r="O351" s="39">
        <f>('US OTHER'!D$25/'US OTHER'!C$25)-1</f>
        <v>-4.9461275738379773E-2</v>
      </c>
      <c r="P351" s="39">
        <f>('US OTHER'!E$25/'US OTHER'!D$25)-1</f>
        <v>5.9351411652394104E-2</v>
      </c>
      <c r="Q351" s="39">
        <f>('US OTHER'!F$25/'US OTHER'!E$25)-1</f>
        <v>-0.68109411810053999</v>
      </c>
      <c r="R351" s="39">
        <f>('US OTHER'!G$25/'US OTHER'!F$25)-1</f>
        <v>-1.1282231099821405E-2</v>
      </c>
      <c r="S351" s="39">
        <f>'US OTHER'!$H$25</f>
        <v>-0.30616164120376743</v>
      </c>
      <c r="T351" s="40"/>
      <c r="U351" s="35"/>
      <c r="V351" s="42" t="str">
        <f>V292</f>
        <v>Agg. US CATV</v>
      </c>
      <c r="Z351" s="33"/>
      <c r="AB351" s="47"/>
    </row>
    <row r="352" spans="1:28">
      <c r="A352" s="25"/>
      <c r="C352" s="32"/>
      <c r="D352" s="28"/>
      <c r="E352" s="28"/>
      <c r="F352" s="29"/>
      <c r="G352" s="28"/>
      <c r="H352" s="30"/>
      <c r="I352" s="29"/>
      <c r="J352" s="29"/>
      <c r="K352" s="29"/>
      <c r="L352" s="29"/>
      <c r="M352" s="29"/>
      <c r="N352" s="30"/>
      <c r="O352" s="29"/>
      <c r="P352" s="29"/>
      <c r="Q352" s="29"/>
      <c r="R352" s="29"/>
      <c r="S352" s="29"/>
      <c r="T352" s="30"/>
      <c r="U352" s="32"/>
      <c r="V352" s="28"/>
      <c r="Z352" s="33"/>
    </row>
    <row r="353" spans="1:29" s="5" customFormat="1">
      <c r="A353" s="112"/>
      <c r="B353" s="26"/>
      <c r="C353" s="32"/>
      <c r="D353" s="28"/>
      <c r="E353" s="28"/>
      <c r="F353" s="29"/>
      <c r="G353" s="28"/>
      <c r="H353" s="30"/>
      <c r="I353" s="29"/>
      <c r="J353" s="29"/>
      <c r="K353" s="29"/>
      <c r="L353" s="29"/>
      <c r="M353" s="29"/>
      <c r="N353" s="30"/>
      <c r="O353" s="29"/>
      <c r="P353" s="29"/>
      <c r="Q353" s="29"/>
      <c r="R353" s="29"/>
      <c r="S353" s="29"/>
      <c r="T353" s="30"/>
      <c r="U353" s="32"/>
      <c r="V353" s="28"/>
      <c r="Z353" s="33"/>
    </row>
    <row r="354" spans="1:29" s="5" customFormat="1">
      <c r="A354" s="112"/>
      <c r="B354" s="26"/>
      <c r="C354" s="35" t="str">
        <f>C295</f>
        <v>Agg. W Europe</v>
      </c>
      <c r="D354" s="36"/>
      <c r="E354" s="36"/>
      <c r="F354" s="37"/>
      <c r="G354" s="36"/>
      <c r="H354" s="30"/>
      <c r="I354" s="39">
        <f>('W.EUR AGG'!$D$24/'W.EUR AGG'!$C$24)-1</f>
        <v>2.2337962406631551E-2</v>
      </c>
      <c r="J354" s="39">
        <f>('W.EUR AGG'!$E$24/'W.EUR AGG'!$D$24)-1</f>
        <v>5.9425494213141583E-2</v>
      </c>
      <c r="K354" s="39">
        <f>('W.EUR AGG'!$F$24/'W.EUR AGG'!$E$24)-1</f>
        <v>5.2644022293688586E-2</v>
      </c>
      <c r="L354" s="39">
        <f>('W.EUR AGG'!$G$24/'W.EUR AGG'!$F$24)-1</f>
        <v>3.6007126201358375E-2</v>
      </c>
      <c r="M354" s="39">
        <f>'W.EUR AGG'!$H$24</f>
        <v>4.9312622085556201E-2</v>
      </c>
      <c r="N354" s="40"/>
      <c r="O354" s="39">
        <f>('W.EUR AGG'!$D$25/'W.EUR AGG'!$C$25)-1</f>
        <v>2.7047168011737899E-2</v>
      </c>
      <c r="P354" s="39">
        <f>('W.EUR AGG'!$E$25/'W.EUR AGG'!$D$25)-1</f>
        <v>0.13095168515622624</v>
      </c>
      <c r="Q354" s="39">
        <f>('W.EUR AGG'!$F$25/'W.EUR AGG'!$E$25)-1</f>
        <v>0.1093814494991332</v>
      </c>
      <c r="R354" s="39">
        <f>('W.EUR AGG'!$G$25/'W.EUR AGG'!$F$25)-1</f>
        <v>7.160429078548658E-2</v>
      </c>
      <c r="S354" s="39">
        <f>'W.EUR AGG'!$H$25</f>
        <v>0.10370530962179392</v>
      </c>
      <c r="T354" s="30"/>
      <c r="U354" s="41"/>
      <c r="V354" s="42" t="str">
        <f>V295</f>
        <v>Agg. W Europe</v>
      </c>
      <c r="Z354" s="33"/>
    </row>
    <row r="355" spans="1:29" s="5" customFormat="1">
      <c r="A355" s="112"/>
      <c r="B355" s="26"/>
      <c r="C355" s="25" t="s">
        <v>1268</v>
      </c>
      <c r="D355" s="28"/>
      <c r="E355" s="28"/>
      <c r="F355" s="29"/>
      <c r="G355" s="28"/>
      <c r="H355" s="30"/>
      <c r="I355" s="43">
        <f>('US AGG'!D$24/'US AGG'!C$24)-1</f>
        <v>2.659652683313718E-2</v>
      </c>
      <c r="J355" s="43">
        <f>('US AGG'!E$24/'US AGG'!D$24)-1</f>
        <v>3.3213924761163582E-2</v>
      </c>
      <c r="K355" s="43">
        <f>('US AGG'!F$24/'US AGG'!E$24)-1</f>
        <v>-0.19564516286341316</v>
      </c>
      <c r="L355" s="43">
        <f>('US AGG'!G$24/'US AGG'!F$24)-1</f>
        <v>4.1288037944404277E-2</v>
      </c>
      <c r="M355" s="43">
        <f>'US AGG'!H$24</f>
        <v>-4.7051122988827743E-2</v>
      </c>
      <c r="N355" s="40"/>
      <c r="O355" s="43">
        <f>('US AGG'!D$25/'US AGG'!C$25)-1</f>
        <v>7.8843422887053816E-3</v>
      </c>
      <c r="P355" s="43">
        <f>('US AGG'!E$25/'US AGG'!D$25)-1</f>
        <v>4.8593911961671621E-2</v>
      </c>
      <c r="Q355" s="43">
        <f>('US AGG'!F$25/'US AGG'!E$25)-1</f>
        <v>-0.16261778032509855</v>
      </c>
      <c r="R355" s="43">
        <f>('US AGG'!G$25/'US AGG'!F$25)-1</f>
        <v>5.6382563523196039E-2</v>
      </c>
      <c r="S355" s="43">
        <f>'US AGG'!H$39</f>
        <v>-2.4746695718171785E-2</v>
      </c>
      <c r="T355" s="30"/>
      <c r="U355" s="32"/>
      <c r="V355" s="34" t="str">
        <f>V296</f>
        <v>Agg. US</v>
      </c>
      <c r="Z355" s="33"/>
    </row>
    <row r="356" spans="1:29" s="5" customFormat="1">
      <c r="A356" s="112"/>
      <c r="B356" s="26"/>
      <c r="C356" s="51" t="str">
        <f>C297</f>
        <v xml:space="preserve">Agg. Developed Asia </v>
      </c>
      <c r="D356" s="36"/>
      <c r="E356" s="36"/>
      <c r="F356" s="37"/>
      <c r="G356" s="36"/>
      <c r="H356" s="30"/>
      <c r="I356" s="39">
        <f>('AGG DM ASIA'!$D$24/'AGG DM ASIA'!$C$24)-1</f>
        <v>6.4671324580430234E-2</v>
      </c>
      <c r="J356" s="39">
        <f>('AGG DM ASIA'!$E$24/'AGG DM ASIA'!$D$24)-1</f>
        <v>8.652187411251111E-2</v>
      </c>
      <c r="K356" s="39">
        <f>('AGG DM ASIA'!$F$24/'AGG DM ASIA'!$E$24)-1</f>
        <v>6.4228593912849963E-2</v>
      </c>
      <c r="L356" s="39">
        <f>('AGG DM ASIA'!$G$24/'AGG DM ASIA'!$F$24)-1</f>
        <v>5.5181298531279621E-2</v>
      </c>
      <c r="M356" s="39">
        <f>'AGG DM ASIA'!$H$24</f>
        <v>6.8563070672120974E-2</v>
      </c>
      <c r="N356" s="40"/>
      <c r="O356" s="39">
        <f>('AGG DM ASIA'!$D$25/'AGG DM ASIA'!$C$25)-1</f>
        <v>0.10068835172256341</v>
      </c>
      <c r="P356" s="39">
        <f>('AGG DM ASIA'!$E$25/'AGG DM ASIA'!$D$25)-1</f>
        <v>0.17364639006940519</v>
      </c>
      <c r="Q356" s="39">
        <f>('AGG DM ASIA'!$F$25/'AGG DM ASIA'!$E$25)-1</f>
        <v>0.13242003015884696</v>
      </c>
      <c r="R356" s="39">
        <f>('AGG DM ASIA'!$G$25/'AGG DM ASIA'!$F$25)-1</f>
        <v>9.6476023608333517E-2</v>
      </c>
      <c r="S356" s="39">
        <f>'AGG DM ASIA'!$H$25</f>
        <v>0.13374308127739076</v>
      </c>
      <c r="T356" s="30"/>
      <c r="U356" s="41"/>
      <c r="V356" s="42" t="str">
        <f>V297</f>
        <v xml:space="preserve">Agg. Developed Asia </v>
      </c>
      <c r="Z356" s="33"/>
    </row>
    <row r="357" spans="1:29" s="5" customFormat="1">
      <c r="A357" s="112"/>
      <c r="B357" s="26"/>
      <c r="C357" s="25"/>
      <c r="D357" s="28"/>
      <c r="E357" s="28"/>
      <c r="F357" s="29"/>
      <c r="G357" s="28"/>
      <c r="H357" s="30"/>
      <c r="I357" s="43"/>
      <c r="J357" s="43"/>
      <c r="K357" s="43"/>
      <c r="L357" s="43"/>
      <c r="M357" s="43"/>
      <c r="N357" s="40"/>
      <c r="O357" s="43"/>
      <c r="P357" s="43"/>
      <c r="Q357" s="43"/>
      <c r="R357" s="43"/>
      <c r="S357" s="43"/>
      <c r="T357" s="30"/>
      <c r="U357" s="32"/>
      <c r="V357" s="34"/>
      <c r="Z357" s="33"/>
    </row>
    <row r="358" spans="1:29" s="5" customFormat="1">
      <c r="A358" s="112"/>
      <c r="B358" s="26"/>
      <c r="C358" s="51" t="str">
        <f>C299</f>
        <v>Agg. Global Developed</v>
      </c>
      <c r="D358" s="36"/>
      <c r="E358" s="36"/>
      <c r="F358" s="37"/>
      <c r="G358" s="36"/>
      <c r="H358" s="30"/>
      <c r="I358" s="39">
        <f>('AGG DM'!$D$24/'AGG DM'!$C$24)-1</f>
        <v>2.9710794984572964E-2</v>
      </c>
      <c r="J358" s="39">
        <f>('AGG DM'!$E$24/'AGG DM'!$D$24)-1</f>
        <v>4.9380491826430672E-2</v>
      </c>
      <c r="K358" s="39">
        <f>('AGG DM'!$F$24/'AGG DM'!$E$24)-1</f>
        <v>-7.1481972285193485E-2</v>
      </c>
      <c r="L358" s="39">
        <f>('AGG DM'!$G$24/'AGG DM'!$F$24)-1</f>
        <v>4.119952418840378E-2</v>
      </c>
      <c r="M358" s="39">
        <f>'AGG DM'!$H$24</f>
        <v>4.8141968520647449E-3</v>
      </c>
      <c r="N358" s="40"/>
      <c r="O358" s="39">
        <f>('AGG DM'!$D$25/'AGG DM'!$C$25)-1</f>
        <v>2.3593650855119774E-2</v>
      </c>
      <c r="P358" s="39">
        <f>('AGG DM'!$E$25/'AGG DM'!$D$25)-1</f>
        <v>8.9016415627442003E-2</v>
      </c>
      <c r="Q358" s="39">
        <f>('AGG DM'!$F$25/'AGG DM'!$E$25)-1</f>
        <v>-3.6241103782971074E-2</v>
      </c>
      <c r="R358" s="39">
        <f>('AGG DM'!$G$25/'AGG DM'!$F$25)-1</f>
        <v>6.7872136631760505E-2</v>
      </c>
      <c r="S358" s="39">
        <f>'AGG DM'!$H$25</f>
        <v>3.8741206712421539E-2</v>
      </c>
      <c r="T358" s="30"/>
      <c r="U358" s="41"/>
      <c r="V358" s="42" t="str">
        <f>V299</f>
        <v xml:space="preserve">Agg. Global Developed </v>
      </c>
      <c r="Z358" s="33"/>
    </row>
    <row r="359" spans="1:29" s="5" customFormat="1">
      <c r="A359" s="112"/>
      <c r="B359" s="26"/>
      <c r="C359" s="27"/>
      <c r="D359" s="28"/>
      <c r="E359" s="28"/>
      <c r="F359" s="29"/>
      <c r="G359" s="28"/>
      <c r="H359" s="105"/>
      <c r="I359" s="29"/>
      <c r="J359" s="29"/>
      <c r="K359" s="29"/>
      <c r="L359" s="29"/>
      <c r="M359" s="29"/>
      <c r="N359" s="30"/>
      <c r="O359" s="29"/>
      <c r="P359" s="29"/>
      <c r="Q359" s="29"/>
      <c r="R359" s="29"/>
      <c r="S359" s="29"/>
      <c r="T359" s="30"/>
      <c r="U359" s="32"/>
      <c r="V359" s="34"/>
      <c r="Z359" s="33"/>
    </row>
    <row r="360" spans="1:29" s="5" customFormat="1">
      <c r="A360" s="112"/>
      <c r="B360" s="26"/>
      <c r="C360" s="27"/>
      <c r="D360" s="28"/>
      <c r="E360" s="28"/>
      <c r="F360" s="29"/>
      <c r="G360" s="28"/>
      <c r="H360" s="105"/>
      <c r="I360" s="29"/>
      <c r="J360" s="29"/>
      <c r="K360" s="29"/>
      <c r="L360" s="29"/>
      <c r="M360" s="29"/>
      <c r="N360" s="30"/>
      <c r="O360" s="29"/>
      <c r="P360" s="29"/>
      <c r="Q360" s="29"/>
      <c r="R360" s="29"/>
      <c r="S360" s="29"/>
      <c r="T360" s="30"/>
      <c r="U360" s="32"/>
      <c r="V360" s="34"/>
      <c r="Z360" s="33"/>
    </row>
    <row r="361" spans="1:29" s="25" customFormat="1">
      <c r="B361" s="113"/>
      <c r="C361" s="130"/>
      <c r="D361" s="131" t="s">
        <v>379</v>
      </c>
      <c r="E361" s="131" t="s">
        <v>50</v>
      </c>
      <c r="F361" s="131" t="s">
        <v>52</v>
      </c>
      <c r="G361" s="131" t="s">
        <v>49</v>
      </c>
      <c r="H361" s="33"/>
      <c r="I361" s="132" t="s">
        <v>383</v>
      </c>
      <c r="J361" s="132"/>
      <c r="K361" s="132"/>
      <c r="L361" s="132"/>
      <c r="M361" s="132"/>
      <c r="O361" s="132" t="s">
        <v>384</v>
      </c>
      <c r="P361" s="132"/>
      <c r="Q361" s="132"/>
      <c r="R361" s="132"/>
      <c r="S361" s="132"/>
      <c r="T361" s="33"/>
      <c r="U361" s="133" t="s">
        <v>379</v>
      </c>
      <c r="V361" s="131"/>
      <c r="Z361" s="33"/>
      <c r="AC361" s="106"/>
    </row>
    <row r="362" spans="1:29" s="5" customFormat="1">
      <c r="A362" s="25" t="s">
        <v>415</v>
      </c>
      <c r="B362" s="26"/>
      <c r="C362" s="32" t="s">
        <v>160</v>
      </c>
      <c r="D362" s="28" t="str">
        <f t="shared" ref="D362:G372" si="67">D303</f>
        <v>GBP2.24</v>
      </c>
      <c r="E362" s="28" t="str">
        <f t="shared" si="67"/>
        <v>GBP2.40</v>
      </c>
      <c r="F362" s="29">
        <f t="shared" si="67"/>
        <v>7.1189466636911503E-2</v>
      </c>
      <c r="G362" s="28" t="str">
        <f t="shared" si="67"/>
        <v>Neutral</v>
      </c>
      <c r="H362" s="30"/>
      <c r="I362" s="29">
        <f>BT!$D$24/BT!$D$23</f>
        <v>0.36155192651596485</v>
      </c>
      <c r="J362" s="29">
        <f>BT!$E$24/BT!$E$23</f>
        <v>0.3731809390532928</v>
      </c>
      <c r="K362" s="29">
        <f>BT!$F$24/BT!$F$23</f>
        <v>0.37975269553393803</v>
      </c>
      <c r="L362" s="29">
        <f>BT!$G$24/BT!$G$23</f>
        <v>0.38115767326318006</v>
      </c>
      <c r="M362" s="29">
        <f t="shared" ref="M362:M373" si="68">L362-I362</f>
        <v>1.9605746747215214E-2</v>
      </c>
      <c r="N362" s="30"/>
      <c r="O362" s="29">
        <f>BT!$D$25/BT!$D$23</f>
        <v>0.10378013955713164</v>
      </c>
      <c r="P362" s="29">
        <f>BT!$E$25/BT!$E$23</f>
        <v>0.15166263047877537</v>
      </c>
      <c r="Q362" s="29">
        <f>BT!$F$25/BT!$F$23</f>
        <v>0.17438327172360268</v>
      </c>
      <c r="R362" s="29">
        <f>BT!$G$25/BT!$G$23</f>
        <v>0.1909091698789121</v>
      </c>
      <c r="S362" s="29">
        <f t="shared" ref="S362:S373" si="69">R362-O362</f>
        <v>8.712903032178046E-2</v>
      </c>
      <c r="T362" s="30"/>
      <c r="U362" s="32" t="str">
        <f t="shared" ref="U362:V366" si="70">U303</f>
        <v>GBP2.24</v>
      </c>
      <c r="V362" s="53" t="str">
        <f t="shared" si="70"/>
        <v>British Telecom</v>
      </c>
      <c r="Z362" s="33"/>
    </row>
    <row r="363" spans="1:29" s="5" customFormat="1">
      <c r="A363" s="25"/>
      <c r="B363" s="26"/>
      <c r="C363" s="32" t="s">
        <v>161</v>
      </c>
      <c r="D363" s="28" t="str">
        <f t="shared" si="67"/>
        <v>EUR 27.67</v>
      </c>
      <c r="E363" s="28" t="str">
        <f t="shared" si="67"/>
        <v>EUR 43.00</v>
      </c>
      <c r="F363" s="29">
        <f t="shared" si="67"/>
        <v>0.55402963498373681</v>
      </c>
      <c r="G363" s="28" t="str">
        <f t="shared" si="67"/>
        <v>Buy</v>
      </c>
      <c r="H363" s="30"/>
      <c r="I363" s="29">
        <f>DT!$D$24/DT!$D$23</f>
        <v>0.3686062428095162</v>
      </c>
      <c r="J363" s="29">
        <f>DT!$E$24/DT!$E$23</f>
        <v>0.377159331558858</v>
      </c>
      <c r="K363" s="29">
        <f>DT!$F$24/DT!$F$23</f>
        <v>0.3895621766674281</v>
      </c>
      <c r="L363" s="29">
        <f>DT!$G$24/DT!$G$23</f>
        <v>0.39808798891474406</v>
      </c>
      <c r="M363" s="29">
        <f t="shared" si="68"/>
        <v>2.9481746105227857E-2</v>
      </c>
      <c r="N363" s="30"/>
      <c r="O363" s="29">
        <f>DT!$D$25/DT!$D$23</f>
        <v>0.21745628080285845</v>
      </c>
      <c r="P363" s="29">
        <f>DT!$E$25/DT!$E$23</f>
        <v>0.23194723439115808</v>
      </c>
      <c r="Q363" s="29">
        <f>DT!$F$25/DT!$F$23</f>
        <v>0.25168530901416475</v>
      </c>
      <c r="R363" s="29">
        <f>DT!$G$25/DT!$G$23</f>
        <v>0.26282826340575788</v>
      </c>
      <c r="S363" s="29">
        <f t="shared" si="69"/>
        <v>4.537198260289943E-2</v>
      </c>
      <c r="T363" s="30"/>
      <c r="U363" s="32" t="str">
        <f t="shared" si="70"/>
        <v>EUR 27.67</v>
      </c>
      <c r="V363" s="53" t="str">
        <f t="shared" si="70"/>
        <v>Deutsche Telekom</v>
      </c>
      <c r="Z363" s="33"/>
    </row>
    <row r="364" spans="1:29" s="5" customFormat="1">
      <c r="A364" s="25"/>
      <c r="B364" s="26"/>
      <c r="C364" s="32" t="s">
        <v>373</v>
      </c>
      <c r="D364" s="28" t="str">
        <f t="shared" si="67"/>
        <v>EUR 4.66</v>
      </c>
      <c r="E364" s="28" t="str">
        <f t="shared" si="67"/>
        <v>EUR 4.33</v>
      </c>
      <c r="F364" s="29">
        <f t="shared" si="67"/>
        <v>-7.2021498159240971E-2</v>
      </c>
      <c r="G364" s="28" t="str">
        <f t="shared" si="67"/>
        <v>Neutral</v>
      </c>
      <c r="H364" s="30"/>
      <c r="I364" s="29">
        <f>KPN!$D$24/KPN!$D$23</f>
        <v>0.45256476239492194</v>
      </c>
      <c r="J364" s="29">
        <f>KPN!$E$24/KPN!$E$23</f>
        <v>0.45110854652949095</v>
      </c>
      <c r="K364" s="29">
        <f>KPN!$F$24/KPN!$F$23</f>
        <v>0.45240204958865798</v>
      </c>
      <c r="L364" s="29">
        <f>KPN!$G$24/KPN!$G$23</f>
        <v>0.45539629433121009</v>
      </c>
      <c r="M364" s="29">
        <f t="shared" si="68"/>
        <v>2.8315319362881564E-3</v>
      </c>
      <c r="N364" s="30"/>
      <c r="O364" s="29">
        <f>KPN!$D$25/KPN!$D$23</f>
        <v>0.23571796191456509</v>
      </c>
      <c r="P364" s="29">
        <f>KPN!$E$25/KPN!$E$23</f>
        <v>0.24014881285087525</v>
      </c>
      <c r="Q364" s="29">
        <f>KPN!$F$25/KPN!$F$23</f>
        <v>0.28695168974678537</v>
      </c>
      <c r="R364" s="29">
        <f>KPN!$G$25/KPN!$G$23</f>
        <v>0.29288524010499184</v>
      </c>
      <c r="S364" s="29">
        <f t="shared" si="69"/>
        <v>5.7167278190426746E-2</v>
      </c>
      <c r="T364" s="30"/>
      <c r="U364" s="32" t="str">
        <f t="shared" si="70"/>
        <v>EUR 4.66</v>
      </c>
      <c r="V364" s="53" t="str">
        <f t="shared" si="70"/>
        <v>KPN</v>
      </c>
      <c r="Z364" s="33"/>
    </row>
    <row r="365" spans="1:29" s="5" customFormat="1">
      <c r="A365" s="25"/>
      <c r="B365" s="26"/>
      <c r="C365" s="32" t="s">
        <v>604</v>
      </c>
      <c r="D365" s="28" t="str">
        <f t="shared" si="67"/>
        <v>EUR 17.64</v>
      </c>
      <c r="E365" s="28" t="str">
        <f t="shared" si="67"/>
        <v>EUR 18.80</v>
      </c>
      <c r="F365" s="29">
        <f t="shared" si="67"/>
        <v>6.5759637188208542E-2</v>
      </c>
      <c r="G365" s="28" t="str">
        <f t="shared" si="67"/>
        <v>Neutral</v>
      </c>
      <c r="H365" s="30"/>
      <c r="I365" s="29">
        <f>ORA!$D$24/ORA!$D$23</f>
        <v>0.30866336633663366</v>
      </c>
      <c r="J365" s="29">
        <f>ORA!$E$24/ORA!$E$23</f>
        <v>0.31291769073514514</v>
      </c>
      <c r="K365" s="29">
        <f>ORA!$F$24/ORA!$F$23</f>
        <v>0.31661583507265489</v>
      </c>
      <c r="L365" s="29">
        <f>ORA!$G$24/ORA!$G$23</f>
        <v>0.32046202626011067</v>
      </c>
      <c r="M365" s="29">
        <f t="shared" si="68"/>
        <v>1.1798659923477006E-2</v>
      </c>
      <c r="N365" s="30"/>
      <c r="O365" s="29">
        <f>ORA!$D$25/ORA!$D$23</f>
        <v>0.155</v>
      </c>
      <c r="P365" s="29">
        <f>ORA!$E$25/ORA!$E$23</f>
        <v>0.16588620466379475</v>
      </c>
      <c r="Q365" s="29">
        <f>ORA!$F$25/ORA!$F$23</f>
        <v>0.17405235729235397</v>
      </c>
      <c r="R365" s="29">
        <f>ORA!$G$25/ORA!$G$23</f>
        <v>0.177424630815989</v>
      </c>
      <c r="S365" s="29">
        <f t="shared" si="69"/>
        <v>2.2424630815989E-2</v>
      </c>
      <c r="T365" s="30"/>
      <c r="U365" s="32" t="str">
        <f t="shared" si="70"/>
        <v>EUR 17.64</v>
      </c>
      <c r="V365" s="53" t="str">
        <f t="shared" si="70"/>
        <v>Orange</v>
      </c>
      <c r="Z365" s="33"/>
    </row>
    <row r="366" spans="1:29" s="5" customFormat="1">
      <c r="A366" s="25"/>
      <c r="B366" s="26"/>
      <c r="C366" s="32" t="s">
        <v>374</v>
      </c>
      <c r="D366" s="28" t="str">
        <f t="shared" si="67"/>
        <v>EUR 18.29</v>
      </c>
      <c r="E366" s="28" t="str">
        <f t="shared" si="67"/>
        <v>EUR 22.10</v>
      </c>
      <c r="F366" s="29">
        <f t="shared" si="67"/>
        <v>0.20831055221432493</v>
      </c>
      <c r="G366" s="28" t="str">
        <f t="shared" si="67"/>
        <v>Buy</v>
      </c>
      <c r="H366" s="30"/>
      <c r="I366" s="29">
        <f>OTE!$D$24/OTE!$D$23</f>
        <v>0.38211813309513176</v>
      </c>
      <c r="J366" s="29">
        <f>OTE!$E$24/OTE!$E$23</f>
        <v>0.410223095955003</v>
      </c>
      <c r="K366" s="29">
        <f>OTE!$F$24/OTE!$F$23</f>
        <v>0.4217343145448324</v>
      </c>
      <c r="L366" s="29">
        <f>OTE!$G$24/OTE!$G$23</f>
        <v>0.42393134385911135</v>
      </c>
      <c r="M366" s="29">
        <f t="shared" si="68"/>
        <v>4.1813210763979591E-2</v>
      </c>
      <c r="N366" s="30"/>
      <c r="O366" s="29">
        <f>OTE!$D$25/OTE!$D$23</f>
        <v>0.20751451540866456</v>
      </c>
      <c r="P366" s="29">
        <f>OTE!$E$25/OTE!$E$23</f>
        <v>0.2344458096451093</v>
      </c>
      <c r="Q366" s="29">
        <f>OTE!$F$25/OTE!$F$23</f>
        <v>0.2450911287442098</v>
      </c>
      <c r="R366" s="29">
        <f>OTE!$G$25/OTE!$G$23</f>
        <v>0.25614005738565576</v>
      </c>
      <c r="S366" s="29">
        <f t="shared" si="69"/>
        <v>4.8625541976991205E-2</v>
      </c>
      <c r="T366" s="30"/>
      <c r="U366" s="32" t="str">
        <f t="shared" si="70"/>
        <v>EUR 18.29</v>
      </c>
      <c r="V366" s="53" t="str">
        <f t="shared" si="70"/>
        <v>OTE</v>
      </c>
      <c r="Z366" s="33"/>
    </row>
    <row r="367" spans="1:29" s="5" customFormat="1">
      <c r="A367" s="25"/>
      <c r="B367" s="26"/>
      <c r="C367" s="32" t="s">
        <v>686</v>
      </c>
      <c r="D367" s="28" t="str">
        <f t="shared" si="67"/>
        <v>EUR 6.6</v>
      </c>
      <c r="E367" s="28" t="str">
        <f t="shared" si="67"/>
        <v>EUR 13.3</v>
      </c>
      <c r="F367" s="29">
        <f t="shared" si="67"/>
        <v>1.0060331825037707</v>
      </c>
      <c r="G367" s="28" t="str">
        <f t="shared" si="67"/>
        <v>Neutral</v>
      </c>
      <c r="H367" s="30"/>
      <c r="I367" s="29">
        <f>PROX!$D$24/PROX!$D$23</f>
        <v>0.29871571270017439</v>
      </c>
      <c r="J367" s="29">
        <f>PROX!$E$24/PROX!$E$23</f>
        <v>0.29965181845585104</v>
      </c>
      <c r="K367" s="29">
        <f>PROX!$F$24/PROX!$F$23</f>
        <v>0.30215737854320196</v>
      </c>
      <c r="L367" s="29">
        <f>PROX!$G$24/PROX!$G$23</f>
        <v>0.302707208092094</v>
      </c>
      <c r="M367" s="29">
        <f t="shared" si="68"/>
        <v>3.9914953919196194E-3</v>
      </c>
      <c r="N367" s="30"/>
      <c r="O367" s="29">
        <f>PROX!$D$25/PROX!$D$23</f>
        <v>0.10052322815918821</v>
      </c>
      <c r="P367" s="29">
        <f>PROX!$E$25/PROX!$E$23</f>
        <v>9.9488030310940168E-2</v>
      </c>
      <c r="Q367" s="29">
        <f>PROX!$F$25/PROX!$F$23</f>
        <v>0.10176217051119496</v>
      </c>
      <c r="R367" s="29">
        <f>PROX!$G$25/PROX!$G$23</f>
        <v>0.10768890275432562</v>
      </c>
      <c r="S367" s="29">
        <f t="shared" si="69"/>
        <v>7.1656745951374085E-3</v>
      </c>
      <c r="T367" s="30"/>
      <c r="U367" s="32" t="str">
        <f t="shared" ref="U367:U372" si="71">U308</f>
        <v>EUR 6.6</v>
      </c>
      <c r="V367" s="53" t="s">
        <v>686</v>
      </c>
      <c r="Z367" s="33"/>
    </row>
    <row r="368" spans="1:29">
      <c r="C368" s="32" t="s">
        <v>378</v>
      </c>
      <c r="D368" s="28" t="str">
        <f t="shared" si="67"/>
        <v>CHF673</v>
      </c>
      <c r="E368" s="28" t="str">
        <f t="shared" si="67"/>
        <v>CHF570</v>
      </c>
      <c r="F368" s="29">
        <f t="shared" si="67"/>
        <v>-0.15241635687732347</v>
      </c>
      <c r="G368" s="28" t="str">
        <f t="shared" si="67"/>
        <v>Sell</v>
      </c>
      <c r="H368" s="30"/>
      <c r="I368" s="29">
        <f>SWISS!$D$24/SWISS!$D$23</f>
        <v>0.33124802423561367</v>
      </c>
      <c r="J368" s="29">
        <f>SWISS!$E$24/SWISS!$E$23</f>
        <v>0.34414380915387016</v>
      </c>
      <c r="K368" s="29">
        <f>SWISS!$F$24/SWISS!$F$23</f>
        <v>0.35096510862161329</v>
      </c>
      <c r="L368" s="29">
        <f>SWISS!$G$24/SWISS!$G$23</f>
        <v>0.36059704254734964</v>
      </c>
      <c r="M368" s="29">
        <f t="shared" si="68"/>
        <v>2.9349018311735975E-2</v>
      </c>
      <c r="N368" s="30"/>
      <c r="O368" s="29">
        <f>SWISS!$D$25/SWISS!$D$23</f>
        <v>0.12758637110704169</v>
      </c>
      <c r="P368" s="29">
        <f>SWISS!$E$25/SWISS!$E$23</f>
        <v>0.13700653808146615</v>
      </c>
      <c r="Q368" s="29">
        <f>SWISS!$F$25/SWISS!$F$23</f>
        <v>0.15037989605903562</v>
      </c>
      <c r="R368" s="29">
        <f>SWISS!$G$25/SWISS!$G$23</f>
        <v>0.16648894048924706</v>
      </c>
      <c r="S368" s="29">
        <f t="shared" si="69"/>
        <v>3.8902569382205376E-2</v>
      </c>
      <c r="T368" s="30"/>
      <c r="U368" s="32" t="str">
        <f t="shared" si="71"/>
        <v>CHF673</v>
      </c>
      <c r="V368" s="53" t="str">
        <f t="shared" ref="V368:V373" si="72">V309</f>
        <v>Swisscom</v>
      </c>
    </row>
    <row r="369" spans="1:28" s="5" customFormat="1">
      <c r="A369" s="25"/>
      <c r="B369" s="26"/>
      <c r="C369" s="32" t="s">
        <v>222</v>
      </c>
      <c r="D369" s="28" t="str">
        <f t="shared" si="67"/>
        <v>EUR 0.66</v>
      </c>
      <c r="E369" s="28" t="str">
        <f t="shared" si="67"/>
        <v>EUR 0.55</v>
      </c>
      <c r="F369" s="29">
        <f t="shared" si="67"/>
        <v>-0.16641406486814181</v>
      </c>
      <c r="G369" s="28" t="str">
        <f t="shared" si="67"/>
        <v>Neutral</v>
      </c>
      <c r="H369" s="30"/>
      <c r="I369" s="29">
        <f>TI!$D$24/TI!$D$23</f>
        <v>0.26860346585117229</v>
      </c>
      <c r="J369" s="29">
        <f>TI!$E$24/TI!$E$23</f>
        <v>0.2823889936959631</v>
      </c>
      <c r="K369" s="29">
        <f>TI!$F$24/TI!$F$23</f>
        <v>0.29354789434821194</v>
      </c>
      <c r="L369" s="29">
        <f>TI!$G$24/TI!$G$23</f>
        <v>0.30019465597133754</v>
      </c>
      <c r="M369" s="29">
        <f t="shared" si="68"/>
        <v>3.1591190120165258E-2</v>
      </c>
      <c r="N369" s="30"/>
      <c r="O369" s="29">
        <f>TI!$D$25/TI!$D$23</f>
        <v>0.13004223095966216</v>
      </c>
      <c r="P369" s="29">
        <f>TI!$E$25/TI!$E$23</f>
        <v>0.14674264383903785</v>
      </c>
      <c r="Q369" s="29">
        <f>TI!$F$25/TI!$F$23</f>
        <v>0.16313821381951654</v>
      </c>
      <c r="R369" s="29">
        <f>TI!$G$25/TI!$G$23</f>
        <v>0.17530665772812828</v>
      </c>
      <c r="S369" s="29">
        <f t="shared" si="69"/>
        <v>4.5264426768466121E-2</v>
      </c>
      <c r="T369" s="30"/>
      <c r="U369" s="32" t="str">
        <f t="shared" si="71"/>
        <v>EUR 0.66</v>
      </c>
      <c r="V369" s="53" t="str">
        <f t="shared" si="72"/>
        <v>Telecom Italia</v>
      </c>
      <c r="Z369" s="33"/>
    </row>
    <row r="370" spans="1:28" s="5" customFormat="1">
      <c r="A370" s="25"/>
      <c r="B370" s="26"/>
      <c r="C370" s="32" t="s">
        <v>376</v>
      </c>
      <c r="D370" s="28" t="str">
        <f t="shared" si="67"/>
        <v>EUR 3.88</v>
      </c>
      <c r="E370" s="28" t="str">
        <f t="shared" si="67"/>
        <v>EUR 3.30</v>
      </c>
      <c r="F370" s="29">
        <f t="shared" si="67"/>
        <v>-0.14992272024729525</v>
      </c>
      <c r="G370" s="28" t="str">
        <f t="shared" si="67"/>
        <v>Sell</v>
      </c>
      <c r="H370" s="30"/>
      <c r="I370" s="29">
        <f>TEF!$D$24/TEF!$D$23</f>
        <v>0.26453496139910848</v>
      </c>
      <c r="J370" s="29">
        <f>TEF!$E$24/TEF!$E$23</f>
        <v>0.2688306506216373</v>
      </c>
      <c r="K370" s="29">
        <f>TEF!$F$24/TEF!$F$23</f>
        <v>0.26908478057544449</v>
      </c>
      <c r="L370" s="29">
        <f>TEF!$G$24/TEF!$G$23</f>
        <v>0.26625445840156509</v>
      </c>
      <c r="M370" s="29">
        <f t="shared" si="68"/>
        <v>1.7194970024566048E-3</v>
      </c>
      <c r="N370" s="30"/>
      <c r="O370" s="29">
        <f>TEF!$D$25/TEF!$D$23</f>
        <v>0.1425679097454203</v>
      </c>
      <c r="P370" s="29">
        <f>TEF!$E$25/TEF!$E$23</f>
        <v>0.14842710630265782</v>
      </c>
      <c r="Q370" s="29">
        <f>TEF!$F$25/TEF!$F$23</f>
        <v>0.15033865792517689</v>
      </c>
      <c r="R370" s="29">
        <f>TEF!$G$25/TEF!$G$23</f>
        <v>0.14999354048773694</v>
      </c>
      <c r="S370" s="29">
        <f t="shared" si="69"/>
        <v>7.4256307423166412E-3</v>
      </c>
      <c r="T370" s="30"/>
      <c r="U370" s="32" t="str">
        <f t="shared" si="71"/>
        <v>EUR 3.88</v>
      </c>
      <c r="V370" s="53" t="str">
        <f t="shared" si="72"/>
        <v>Telefonica</v>
      </c>
      <c r="Z370" s="33"/>
    </row>
    <row r="371" spans="1:28" s="5" customFormat="1">
      <c r="A371" s="25"/>
      <c r="B371" s="26"/>
      <c r="C371" s="32" t="s">
        <v>377</v>
      </c>
      <c r="D371" s="28" t="str">
        <f t="shared" si="67"/>
        <v>NOK 164</v>
      </c>
      <c r="E371" s="28" t="str">
        <f t="shared" si="67"/>
        <v>NOK 160</v>
      </c>
      <c r="F371" s="29">
        <f t="shared" si="67"/>
        <v>-2.6171637248934898E-2</v>
      </c>
      <c r="G371" s="28" t="str">
        <f t="shared" si="67"/>
        <v>Neutral</v>
      </c>
      <c r="H371" s="30"/>
      <c r="I371" s="29">
        <f>TNOR!$D$24/TNOR!$D$23</f>
        <v>0.400034263715077</v>
      </c>
      <c r="J371" s="29">
        <f>TNOR!$E$24/TNOR!$E$23</f>
        <v>0.40443724727555491</v>
      </c>
      <c r="K371" s="29">
        <f>TNOR!$F$24/TNOR!$F$23</f>
        <v>0.40435667347130727</v>
      </c>
      <c r="L371" s="29">
        <f>TNOR!$G$24/TNOR!$G$23</f>
        <v>0.40758689626772637</v>
      </c>
      <c r="M371" s="29">
        <f t="shared" si="68"/>
        <v>7.5526325526493743E-3</v>
      </c>
      <c r="N371" s="30"/>
      <c r="O371" s="29">
        <f>TNOR!$D$25/TNOR!$D$23</f>
        <v>0.26221744703347927</v>
      </c>
      <c r="P371" s="29">
        <f>TNOR!$E$25/TNOR!$E$23</f>
        <v>0.26342356389040789</v>
      </c>
      <c r="Q371" s="29">
        <f>TNOR!$F$25/TNOR!$F$23</f>
        <v>0.26189454606398554</v>
      </c>
      <c r="R371" s="29">
        <f>TNOR!$G$25/TNOR!$G$23</f>
        <v>0.27122371779985555</v>
      </c>
      <c r="S371" s="29">
        <f t="shared" si="69"/>
        <v>9.0062707663762787E-3</v>
      </c>
      <c r="T371" s="30"/>
      <c r="U371" s="32" t="str">
        <f t="shared" si="71"/>
        <v>NOK 164</v>
      </c>
      <c r="V371" s="28" t="str">
        <f t="shared" si="72"/>
        <v>Telenor</v>
      </c>
      <c r="Z371" s="33"/>
    </row>
    <row r="372" spans="1:28" s="5" customFormat="1">
      <c r="A372" s="25"/>
      <c r="B372" s="26"/>
      <c r="C372" s="32" t="s">
        <v>846</v>
      </c>
      <c r="D372" s="28" t="str">
        <f t="shared" si="67"/>
        <v>SEK48.7</v>
      </c>
      <c r="E372" s="28" t="str">
        <f t="shared" si="67"/>
        <v>SEK45.0</v>
      </c>
      <c r="F372" s="29">
        <f t="shared" si="67"/>
        <v>-7.6165058509546357E-2</v>
      </c>
      <c r="G372" s="28" t="str">
        <f t="shared" si="67"/>
        <v>Neutral</v>
      </c>
      <c r="H372" s="30"/>
      <c r="I372" s="29">
        <f>TELIA!$D$24/TELIA!$D$23</f>
        <v>0.346923971017151</v>
      </c>
      <c r="J372" s="29">
        <f>TELIA!$E$24/TELIA!$E$23</f>
        <v>0.35149913226055718</v>
      </c>
      <c r="K372" s="29">
        <f>TELIA!$F$24/TELIA!$F$23</f>
        <v>0.35972727981591984</v>
      </c>
      <c r="L372" s="29">
        <f>TELIA!$G$24/TELIA!$G$23</f>
        <v>0.3655966245952702</v>
      </c>
      <c r="M372" s="29">
        <f t="shared" si="68"/>
        <v>1.8672653578119203E-2</v>
      </c>
      <c r="N372" s="30"/>
      <c r="O372" s="29">
        <f>TELIA!$D$25/TELIA!$D$23</f>
        <v>0.18852565319845119</v>
      </c>
      <c r="P372" s="29">
        <f>TELIA!$E$25/TELIA!$E$23</f>
        <v>0.19730366337825286</v>
      </c>
      <c r="Q372" s="29">
        <f>TELIA!$F$25/TELIA!$F$23</f>
        <v>0.20824349079250778</v>
      </c>
      <c r="R372" s="29">
        <f>TELIA!$G$25/TELIA!$G$23</f>
        <v>0.21723342514349298</v>
      </c>
      <c r="S372" s="29">
        <f t="shared" si="69"/>
        <v>2.8707771945041788E-2</v>
      </c>
      <c r="T372" s="30"/>
      <c r="U372" s="32" t="str">
        <f t="shared" si="71"/>
        <v>SEK48.7</v>
      </c>
      <c r="V372" s="28" t="str">
        <f t="shared" si="72"/>
        <v>TeliaSonera</v>
      </c>
      <c r="Z372" s="33"/>
    </row>
    <row r="373" spans="1:28" s="5" customFormat="1">
      <c r="A373" s="25"/>
      <c r="B373" s="26"/>
      <c r="C373" s="35" t="str">
        <f>C314</f>
        <v>Agg. W.Europe Incumbent</v>
      </c>
      <c r="D373" s="36"/>
      <c r="E373" s="36"/>
      <c r="F373" s="37"/>
      <c r="G373" s="36"/>
      <c r="H373" s="30"/>
      <c r="I373" s="39">
        <f>'W.EUR INCUMB'!$D$24/'W.EUR INCUMB'!$D$23</f>
        <v>0.33927738744908631</v>
      </c>
      <c r="J373" s="39">
        <f>'W.EUR INCUMB'!$E$24/'W.EUR INCUMB'!$E$23</f>
        <v>0.34645910709328914</v>
      </c>
      <c r="K373" s="39">
        <f>'W.EUR INCUMB'!$F$24/'W.EUR INCUMB'!$F$23</f>
        <v>0.35446701185911211</v>
      </c>
      <c r="L373" s="39">
        <f>'W.EUR INCUMB'!$G$24/'W.EUR INCUMB'!$G$23</f>
        <v>0.35990447681451437</v>
      </c>
      <c r="M373" s="39">
        <f t="shared" si="68"/>
        <v>2.0627089365428064E-2</v>
      </c>
      <c r="N373" s="40"/>
      <c r="O373" s="39">
        <f>'W.EUR INCUMB'!$D$25/'W.EUR INCUMB'!$D$23</f>
        <v>0.17781201907319147</v>
      </c>
      <c r="P373" s="39">
        <f>'W.EUR INCUMB'!$E$25/'W.EUR INCUMB'!$E$23</f>
        <v>0.19215619829766492</v>
      </c>
      <c r="Q373" s="39">
        <f>'W.EUR INCUMB'!$F$25/'W.EUR INCUMB'!$F$23</f>
        <v>0.20731878705139475</v>
      </c>
      <c r="R373" s="39">
        <f>'W.EUR INCUMB'!$G$25/'W.EUR INCUMB'!$G$23</f>
        <v>0.21655014874553097</v>
      </c>
      <c r="S373" s="39">
        <f t="shared" si="69"/>
        <v>3.87381296723395E-2</v>
      </c>
      <c r="T373" s="30"/>
      <c r="U373" s="41"/>
      <c r="V373" s="42" t="str">
        <f t="shared" si="72"/>
        <v>Agg. W.Europe Incumbent</v>
      </c>
      <c r="Z373" s="33"/>
    </row>
    <row r="374" spans="1:28" s="5" customFormat="1">
      <c r="A374" s="25"/>
      <c r="B374" s="26"/>
      <c r="C374" s="32"/>
      <c r="D374" s="28"/>
      <c r="E374" s="28"/>
      <c r="F374" s="29"/>
      <c r="G374" s="28"/>
      <c r="H374" s="30"/>
      <c r="I374" s="29"/>
      <c r="J374" s="29"/>
      <c r="K374" s="29"/>
      <c r="L374" s="29"/>
      <c r="M374" s="29"/>
      <c r="N374" s="30"/>
      <c r="O374" s="29"/>
      <c r="P374" s="29"/>
      <c r="Q374" s="29"/>
      <c r="R374" s="29"/>
      <c r="S374" s="29"/>
      <c r="T374" s="30"/>
      <c r="U374" s="32"/>
      <c r="V374" s="28"/>
      <c r="Z374" s="33"/>
    </row>
    <row r="375" spans="1:28" s="5" customFormat="1">
      <c r="A375" s="25"/>
      <c r="B375" s="26" t="s">
        <v>424</v>
      </c>
      <c r="C375" s="32" t="s">
        <v>403</v>
      </c>
      <c r="D375" s="28" t="str">
        <f>B375&amp;TEXT(Prices!$C$45,"0.0")</f>
        <v>US$26.3</v>
      </c>
      <c r="E375" s="28" t="str">
        <f>B375&amp;TEXT(Prices!$E$45,"0.00")</f>
        <v>US$32.00</v>
      </c>
      <c r="F375" s="29">
        <f>Prices!$F$45</f>
        <v>0.21765601217656005</v>
      </c>
      <c r="G375" s="28" t="str">
        <f>Prices!$D$45</f>
        <v>Buy</v>
      </c>
      <c r="H375" s="30"/>
      <c r="I375" s="29">
        <f>(ATT!D$24/ATT!D$23)</f>
        <v>0.45885586379874699</v>
      </c>
      <c r="J375" s="29">
        <f>(ATT!E$24/ATT!E$23)</f>
        <v>0.46516237882092448</v>
      </c>
      <c r="K375" s="29">
        <f>(ATT!F$24/ATT!F$23)</f>
        <v>0.47473039517260818</v>
      </c>
      <c r="L375" s="29">
        <f>(ATT!G$24/ATT!G$23)</f>
        <v>0.48373163519807177</v>
      </c>
      <c r="M375" s="29">
        <f>L375-I375</f>
        <v>2.4875771399324786E-2</v>
      </c>
      <c r="N375" s="30"/>
      <c r="O375" s="29">
        <f>ATT!$D$25/ATT!$D$23</f>
        <v>0.2388320376711941</v>
      </c>
      <c r="P375" s="29">
        <f>ATT!$E$25/ATT!$E$23</f>
        <v>0.23364319856620502</v>
      </c>
      <c r="Q375" s="29">
        <f>ATT!$F$25/ATT!$F$23</f>
        <v>0.24523578740134322</v>
      </c>
      <c r="R375" s="29">
        <f>ATT!$G$25/ATT!$G$23</f>
        <v>0.26274858874651602</v>
      </c>
      <c r="S375" s="29">
        <f>ATT!$H$25</f>
        <v>4.8290062420434543E-2</v>
      </c>
      <c r="T375" s="30"/>
      <c r="U375" s="32" t="str">
        <f>D375</f>
        <v>US$26.3</v>
      </c>
      <c r="V375" s="28" t="str">
        <f>C375</f>
        <v xml:space="preserve">AT&amp;T </v>
      </c>
      <c r="Z375" s="33"/>
    </row>
    <row r="376" spans="1:28" s="5" customFormat="1">
      <c r="A376" s="112"/>
      <c r="B376" s="26" t="s">
        <v>424</v>
      </c>
      <c r="C376" s="32" t="s">
        <v>570</v>
      </c>
      <c r="D376" s="28" t="str">
        <f>B376&amp;TEXT(Prices!$C$46,"0.0")</f>
        <v>US$191.5</v>
      </c>
      <c r="E376" s="28" t="str">
        <f>B376&amp;TEXT(Prices!$E$46,"0.0")</f>
        <v>US$296.0</v>
      </c>
      <c r="F376" s="29">
        <f>Prices!$F$46</f>
        <v>0.54593408889121009</v>
      </c>
      <c r="G376" s="28" t="str">
        <f>Prices!$D$46</f>
        <v>Buy</v>
      </c>
      <c r="H376" s="30"/>
      <c r="I376" s="29">
        <f>(TMUS!D$24/TMUS!D$23)</f>
        <v>0.46994166315075292</v>
      </c>
      <c r="J376" s="29">
        <f>(TMUS!E$24/TMUS!E$23)</f>
        <v>0.48410529418875287</v>
      </c>
      <c r="K376" s="29">
        <f>(TMUS!F$24/TMUS!F$23)</f>
        <v>0.50021166414654006</v>
      </c>
      <c r="L376" s="29">
        <f>(TMUS!G$24/TMUS!G$23)</f>
        <v>0.51142645259359987</v>
      </c>
      <c r="M376" s="29">
        <f>L376-I376</f>
        <v>4.1484789442846948E-2</v>
      </c>
      <c r="N376" s="30"/>
      <c r="O376" s="29">
        <f>TMUS!$D$25/TMUS!$D$23</f>
        <v>0.33153294615046536</v>
      </c>
      <c r="P376" s="29">
        <f>TMUS!$E$25/TMUS!$E$23</f>
        <v>0.35317223437733075</v>
      </c>
      <c r="Q376" s="29">
        <f>TMUS!$F$25/TMUS!$F$23</f>
        <v>0.37534746576960548</v>
      </c>
      <c r="R376" s="29">
        <f>TMUS!$G$25/TMUS!$G$23</f>
        <v>0.3904027546382331</v>
      </c>
      <c r="S376" s="29">
        <f>TMUS!$H$25</f>
        <v>0.11041516539179752</v>
      </c>
      <c r="T376" s="30"/>
      <c r="U376" s="32" t="str">
        <f>D376</f>
        <v>US$191.5</v>
      </c>
      <c r="V376" s="28" t="str">
        <f>C376</f>
        <v>TMUS</v>
      </c>
      <c r="Z376" s="33"/>
    </row>
    <row r="377" spans="1:28">
      <c r="A377" s="25"/>
      <c r="B377" s="26" t="s">
        <v>424</v>
      </c>
      <c r="C377" s="32" t="s">
        <v>30</v>
      </c>
      <c r="D377" s="28" t="str">
        <f>B377&amp;TEXT(Prices!$C$44,"0.0")</f>
        <v>US$46.9</v>
      </c>
      <c r="E377" s="28" t="str">
        <f>B377&amp;TEXT(Prices!$E$44,"0.00")</f>
        <v>US$42.00</v>
      </c>
      <c r="F377" s="29">
        <f>Prices!$F$44</f>
        <v>-0.10371318822023046</v>
      </c>
      <c r="G377" s="28" t="str">
        <f>Prices!$D$44</f>
        <v>Neutral</v>
      </c>
      <c r="H377" s="30"/>
      <c r="I377" s="29">
        <f>(VZN!D$24/VZN!D$23)</f>
        <v>0.44300039474247294</v>
      </c>
      <c r="J377" s="29">
        <f>(VZN!E$24/VZN!E$23)</f>
        <v>0.44275045350523057</v>
      </c>
      <c r="K377" s="29">
        <f>(VZN!F$24/VZN!F$23)</f>
        <v>0.44468230770067424</v>
      </c>
      <c r="L377" s="29">
        <f>(VZN!G$24/VZN!G$23)</f>
        <v>0.44718492377747171</v>
      </c>
      <c r="M377" s="29">
        <f>L377-I377</f>
        <v>4.184529034998774E-3</v>
      </c>
      <c r="N377" s="30"/>
      <c r="O377" s="29">
        <f>VZN!$D$25/VZN!$D$23</f>
        <v>0.28721279434760039</v>
      </c>
      <c r="P377" s="29">
        <f>VZN!$E$25/VZN!$E$23</f>
        <v>0.30273960589355037</v>
      </c>
      <c r="Q377" s="29">
        <f>VZN!$F$25/VZN!$F$23</f>
        <v>0.30664586620784068</v>
      </c>
      <c r="R377" s="29">
        <f>VZN!$G$25/VZN!$G$23</f>
        <v>0.31149285386794268</v>
      </c>
      <c r="S377" s="29">
        <f>VZN!$H$25</f>
        <v>4.2193846308071992E-2</v>
      </c>
      <c r="T377" s="30"/>
      <c r="U377" s="32" t="str">
        <f>D377</f>
        <v>US$46.9</v>
      </c>
      <c r="V377" s="28" t="str">
        <f>C377</f>
        <v>Verizon</v>
      </c>
      <c r="Z377" s="33"/>
      <c r="AB377" s="5"/>
    </row>
    <row r="378" spans="1:28">
      <c r="A378" s="25"/>
      <c r="C378" s="35" t="s">
        <v>214</v>
      </c>
      <c r="D378" s="36"/>
      <c r="E378" s="36"/>
      <c r="F378" s="37"/>
      <c r="G378" s="36"/>
      <c r="H378" s="30"/>
      <c r="I378" s="39">
        <f>'US TELCO'!D$24/'US TELCO'!D$23</f>
        <v>0.45539619639326384</v>
      </c>
      <c r="J378" s="39">
        <f>'US TELCO'!E$24/'US TELCO'!E$23</f>
        <v>0.46142789481339525</v>
      </c>
      <c r="K378" s="39">
        <f>'US TELCO'!F$24/'US TELCO'!F$23</f>
        <v>0.47000152261061839</v>
      </c>
      <c r="L378" s="39">
        <f>'US TELCO'!G$24/'US TELCO'!G$23</f>
        <v>0.47728616882809505</v>
      </c>
      <c r="M378" s="39">
        <f>L378-I378</f>
        <v>2.1889972434831206E-2</v>
      </c>
      <c r="N378" s="30"/>
      <c r="O378" s="39">
        <f>'US TELCO'!$D$25/'US TELCO'!D$23</f>
        <v>0.28130448778263989</v>
      </c>
      <c r="P378" s="39">
        <f>'US TELCO'!$D$25/'US TELCO'!E$23</f>
        <v>0.27446181860737173</v>
      </c>
      <c r="Q378" s="39">
        <f>'US TELCO'!$D$25/'US TELCO'!F$23</f>
        <v>0.26800113627500921</v>
      </c>
      <c r="R378" s="39">
        <f>'US TELCO'!$D$25/'US TELCO'!G$23</f>
        <v>0.26169058218916508</v>
      </c>
      <c r="S378" s="39">
        <f>'US TELCO'!$H$39</f>
        <v>6.51603570146575E-2</v>
      </c>
      <c r="T378" s="30"/>
      <c r="U378" s="41"/>
      <c r="V378" s="42" t="str">
        <f>C378</f>
        <v>Agg. US Telecoms</v>
      </c>
      <c r="Z378" s="33"/>
    </row>
    <row r="379" spans="1:28">
      <c r="A379" s="25"/>
      <c r="C379" s="32"/>
      <c r="D379" s="28"/>
      <c r="E379" s="28"/>
      <c r="F379" s="29"/>
      <c r="G379" s="28"/>
      <c r="H379" s="30"/>
      <c r="I379" s="29"/>
      <c r="J379" s="29"/>
      <c r="K379" s="29"/>
      <c r="L379" s="29"/>
      <c r="M379" s="29"/>
      <c r="N379" s="30"/>
      <c r="O379" s="29"/>
      <c r="P379" s="29"/>
      <c r="Q379" s="29"/>
      <c r="R379" s="29"/>
      <c r="S379" s="29"/>
      <c r="T379" s="30"/>
      <c r="U379" s="32"/>
      <c r="V379" s="28"/>
      <c r="Z379" s="33"/>
    </row>
    <row r="380" spans="1:28">
      <c r="A380" s="25"/>
      <c r="C380" s="32" t="str">
        <f t="shared" ref="C380:G381" si="73">C321</f>
        <v>NTT</v>
      </c>
      <c r="D380" s="28" t="str">
        <f t="shared" si="73"/>
        <v>JPY 152</v>
      </c>
      <c r="E380" s="28" t="str">
        <f t="shared" si="73"/>
        <v>JPY 215</v>
      </c>
      <c r="F380" s="29">
        <f t="shared" si="73"/>
        <v>0.41914191419141922</v>
      </c>
      <c r="G380" s="28" t="str">
        <f t="shared" si="73"/>
        <v>Buy</v>
      </c>
      <c r="H380" s="30"/>
      <c r="I380" s="29">
        <f>NTT!$D$24/NTT!$D$23</f>
        <v>0.24557244360857008</v>
      </c>
      <c r="J380" s="29">
        <f>NTT!$E$24/NTT!$E$23</f>
        <v>0.2553382978114449</v>
      </c>
      <c r="K380" s="29">
        <f>NTT!$F$24/NTT!$F$23</f>
        <v>0.25805302724123552</v>
      </c>
      <c r="L380" s="29">
        <f>NTT!$G$24/NTT!$G$23</f>
        <v>0.25970084205539334</v>
      </c>
      <c r="M380" s="29">
        <f t="shared" ref="M380:M382" si="74">L380-I380</f>
        <v>1.4128398446823259E-2</v>
      </c>
      <c r="N380" s="30"/>
      <c r="O380" s="29">
        <f>NTT!$D$25/NTT!$D$23</f>
        <v>8.1053027590211241E-2</v>
      </c>
      <c r="P380" s="29">
        <f>NTT!$E$25/NTT!$E$23</f>
        <v>9.7632608439042035E-2</v>
      </c>
      <c r="Q380" s="29">
        <f>NTT!$F$25/NTT!$F$23</f>
        <v>0.10688962060598074</v>
      </c>
      <c r="R380" s="29">
        <f>NTT!$G$25/NTT!$G$23</f>
        <v>0.11483524943006475</v>
      </c>
      <c r="S380" s="29">
        <f t="shared" ref="S380:S382" si="75">R380-O380</f>
        <v>3.3782221839853507E-2</v>
      </c>
      <c r="T380" s="30"/>
      <c r="U380" s="32" t="str">
        <f>U321</f>
        <v>JPY 152</v>
      </c>
      <c r="V380" s="28" t="str">
        <f>V321</f>
        <v>NTT</v>
      </c>
      <c r="Z380" s="33"/>
    </row>
    <row r="381" spans="1:28">
      <c r="A381" s="25"/>
      <c r="C381" s="32" t="str">
        <f t="shared" si="73"/>
        <v>SingTel</v>
      </c>
      <c r="D381" s="28" t="str">
        <f t="shared" si="73"/>
        <v>SGD 4.63</v>
      </c>
      <c r="E381" s="28" t="str">
        <f t="shared" si="73"/>
        <v>SGD 6.20</v>
      </c>
      <c r="F381" s="29">
        <f t="shared" si="73"/>
        <v>0.33909287257019449</v>
      </c>
      <c r="G381" s="28" t="str">
        <f t="shared" si="73"/>
        <v>Buy</v>
      </c>
      <c r="H381" s="30"/>
      <c r="I381" s="29">
        <f>SINGTEL!$D$24/SINGTEL!$D$23</f>
        <v>0.27589602315359568</v>
      </c>
      <c r="J381" s="29">
        <f>SINGTEL!$E$24/SINGTEL!$E$23</f>
        <v>0.28270866779293757</v>
      </c>
      <c r="K381" s="29">
        <f>SINGTEL!$F$24/SINGTEL!$F$23</f>
        <v>0.28802444975375285</v>
      </c>
      <c r="L381" s="29">
        <f>SINGTEL!$G$24/SINGTEL!$G$23</f>
        <v>0.2907686478394586</v>
      </c>
      <c r="M381" s="29">
        <f t="shared" si="74"/>
        <v>1.4872624685862923E-2</v>
      </c>
      <c r="N381" s="30"/>
      <c r="O381" s="29">
        <f>SINGTEL!$D$25/SINGTEL!$D$23</f>
        <v>0.12572728629741795</v>
      </c>
      <c r="P381" s="29">
        <f>SINGTEL!$E$25/SINGTEL!$E$23</f>
        <v>0.14024061079961789</v>
      </c>
      <c r="Q381" s="29">
        <f>SINGTEL!$F$25/SINGTEL!$F$23</f>
        <v>0.16266859951437612</v>
      </c>
      <c r="R381" s="29">
        <f>SINGTEL!$G$25/SINGTEL!$G$23</f>
        <v>0.16551241193272895</v>
      </c>
      <c r="S381" s="29">
        <f t="shared" si="75"/>
        <v>3.9785125635311003E-2</v>
      </c>
      <c r="T381" s="30"/>
      <c r="U381" s="32" t="str">
        <f>U322</f>
        <v>SGD 4.63</v>
      </c>
      <c r="V381" s="28" t="str">
        <f>V322</f>
        <v>SingTel</v>
      </c>
      <c r="W381" s="43"/>
      <c r="X381" s="43"/>
      <c r="Y381" s="43"/>
      <c r="Z381" s="33"/>
    </row>
    <row r="382" spans="1:28">
      <c r="A382" s="25"/>
      <c r="C382" s="35" t="str">
        <f>C323</f>
        <v>Agg. Developed Asia Incumbent</v>
      </c>
      <c r="D382" s="42"/>
      <c r="E382" s="42"/>
      <c r="F382" s="39"/>
      <c r="G382" s="42"/>
      <c r="H382" s="40"/>
      <c r="I382" s="39">
        <f>'DM ASIA INCUMB'!$D$24/'DM ASIA INCUMB'!$D$23</f>
        <v>0.24899010670272773</v>
      </c>
      <c r="J382" s="39">
        <f>'DM ASIA INCUMB'!$E$24/'DM ASIA INCUMB'!$E$23</f>
        <v>0.25840650980912161</v>
      </c>
      <c r="K382" s="39">
        <f>'DM ASIA INCUMB'!$F$24/'DM ASIA INCUMB'!$F$23</f>
        <v>0.26138247574341961</v>
      </c>
      <c r="L382" s="39">
        <f>'DM ASIA INCUMB'!$G$24/'DM ASIA INCUMB'!$G$23</f>
        <v>0.26309720244616297</v>
      </c>
      <c r="M382" s="39">
        <f t="shared" si="74"/>
        <v>1.4107095743435244E-2</v>
      </c>
      <c r="N382" s="40"/>
      <c r="O382" s="39">
        <f>'DM ASIA INCUMB'!$D$25/'DM ASIA INCUMB'!$D$23</f>
        <v>8.6088104831529816E-2</v>
      </c>
      <c r="P382" s="39">
        <f>'DM ASIA INCUMB'!$E$25/'DM ASIA INCUMB'!$E$23</f>
        <v>0.10240895542040024</v>
      </c>
      <c r="Q382" s="39">
        <f>'DM ASIA INCUMB'!$F$25/'DM ASIA INCUMB'!$F$23</f>
        <v>0.11308596439654836</v>
      </c>
      <c r="R382" s="39">
        <f>'DM ASIA INCUMB'!$G$25/'DM ASIA INCUMB'!$G$23</f>
        <v>0.12037532228351758</v>
      </c>
      <c r="S382" s="39">
        <f t="shared" si="75"/>
        <v>3.4287217451987761E-2</v>
      </c>
      <c r="T382" s="40"/>
      <c r="U382" s="35"/>
      <c r="V382" s="42" t="str">
        <f>V323</f>
        <v xml:space="preserve">Agg. Developed Asia Incumbent </v>
      </c>
      <c r="W382" s="43"/>
      <c r="X382" s="43"/>
      <c r="Y382" s="43"/>
      <c r="Z382" s="33"/>
    </row>
    <row r="383" spans="1:28">
      <c r="A383" s="25"/>
      <c r="C383" s="27"/>
      <c r="D383" s="34"/>
      <c r="E383" s="34"/>
      <c r="F383" s="45"/>
      <c r="G383" s="34"/>
      <c r="H383" s="40"/>
      <c r="I383" s="45"/>
      <c r="J383" s="45"/>
      <c r="K383" s="45"/>
      <c r="L383" s="45"/>
      <c r="M383" s="45"/>
      <c r="N383" s="40"/>
      <c r="O383" s="45"/>
      <c r="P383" s="45"/>
      <c r="Q383" s="45"/>
      <c r="R383" s="45"/>
      <c r="S383" s="45"/>
      <c r="T383" s="40"/>
      <c r="U383" s="27"/>
      <c r="V383" s="34"/>
      <c r="W383" s="43"/>
      <c r="X383" s="43"/>
      <c r="Y383" s="43"/>
      <c r="Z383" s="33"/>
    </row>
    <row r="384" spans="1:28">
      <c r="A384" s="25"/>
      <c r="C384" s="35" t="s">
        <v>717</v>
      </c>
      <c r="D384" s="42"/>
      <c r="E384" s="42"/>
      <c r="F384" s="39"/>
      <c r="G384" s="42"/>
      <c r="H384" s="40"/>
      <c r="I384" s="39">
        <f>'AGG DM INCUMB'!$D$24/'AGG DM INCUMB'!$D$23</f>
        <v>0.37315507332437603</v>
      </c>
      <c r="J384" s="39">
        <f>'AGG DM INCUMB'!$E$24/'AGG DM INCUMB'!$E$23</f>
        <v>0.37970844204123932</v>
      </c>
      <c r="K384" s="39">
        <f>'AGG DM INCUMB'!$F$24/'AGG DM INCUMB'!$F$23</f>
        <v>0.3869926105610012</v>
      </c>
      <c r="L384" s="39">
        <f>'AGG DM INCUMB'!$G$24/'AGG DM INCUMB'!$G$23</f>
        <v>0.39242483607534584</v>
      </c>
      <c r="M384" s="39">
        <f>L384-I384</f>
        <v>1.926976275096981E-2</v>
      </c>
      <c r="N384" s="40"/>
      <c r="O384" s="39">
        <f>'AGG DM INCUMB'!$D$25/'AGG DM INCUMB'!$D$23</f>
        <v>0.20641995546062267</v>
      </c>
      <c r="P384" s="39">
        <f>'AGG DM INCUMB'!$E$25/'AGG DM INCUMB'!$E$23</f>
        <v>0.21917011970275008</v>
      </c>
      <c r="Q384" s="39">
        <f>'AGG DM INCUMB'!$F$25/'AGG DM INCUMB'!$F$23</f>
        <v>0.23216598807931535</v>
      </c>
      <c r="R384" s="39">
        <f>'AGG DM INCUMB'!$G$25/'AGG DM INCUMB'!$G$23</f>
        <v>0.24213542159909443</v>
      </c>
      <c r="S384" s="39">
        <f>R384-O384</f>
        <v>3.5715466138471763E-2</v>
      </c>
      <c r="T384" s="40"/>
      <c r="U384" s="35"/>
      <c r="V384" s="42" t="str">
        <f>C384</f>
        <v>Agg. DM Incumbent total</v>
      </c>
      <c r="W384" s="43"/>
      <c r="X384" s="43"/>
      <c r="Y384" s="43"/>
      <c r="Z384" s="33"/>
    </row>
    <row r="385" spans="1:29">
      <c r="A385" s="25"/>
      <c r="C385" s="25"/>
      <c r="D385" s="28"/>
      <c r="E385" s="28"/>
      <c r="F385" s="29"/>
      <c r="G385" s="28"/>
      <c r="H385" s="30"/>
      <c r="I385" s="29"/>
      <c r="J385" s="29"/>
      <c r="K385" s="29"/>
      <c r="L385" s="29"/>
      <c r="M385" s="29"/>
      <c r="N385" s="30"/>
      <c r="O385" s="29"/>
      <c r="P385" s="29"/>
      <c r="Q385" s="29"/>
      <c r="R385" s="29"/>
      <c r="S385" s="29"/>
      <c r="T385" s="30"/>
      <c r="U385" s="32"/>
      <c r="V385" s="34"/>
      <c r="W385" s="43"/>
      <c r="X385" s="43"/>
      <c r="Y385" s="43"/>
      <c r="Z385" s="33"/>
    </row>
    <row r="386" spans="1:29">
      <c r="A386" s="25" t="s">
        <v>1091</v>
      </c>
      <c r="C386" s="32" t="str">
        <f t="shared" ref="C386:G398" si="76">C327</f>
        <v>1&amp;1</v>
      </c>
      <c r="D386" s="28" t="str">
        <f t="shared" si="76"/>
        <v>EUR 23.2</v>
      </c>
      <c r="E386" s="28" t="str">
        <f t="shared" si="76"/>
        <v>EUR 10.0</v>
      </c>
      <c r="F386" s="29">
        <f t="shared" si="76"/>
        <v>-0.56803455723542107</v>
      </c>
      <c r="G386" s="28" t="str">
        <f t="shared" si="76"/>
        <v>Sell</v>
      </c>
      <c r="H386" s="30"/>
      <c r="I386" s="29">
        <f>DRI!$D$24/DRI!$D$23</f>
        <v>0.11064674300001151</v>
      </c>
      <c r="J386" s="29">
        <f>DRI!$E$24/DRI!$E$23</f>
        <v>0.12390018346800646</v>
      </c>
      <c r="K386" s="29">
        <f>DRI!$F$24/DRI!$F$23</f>
        <v>0.14010163074743845</v>
      </c>
      <c r="L386" s="29">
        <f>DRI!$G$24/DRI!$G$23</f>
        <v>0.15571500503208341</v>
      </c>
      <c r="M386" s="29">
        <f>L386-I386</f>
        <v>4.5068262032071899E-2</v>
      </c>
      <c r="N386" s="30"/>
      <c r="O386" s="29">
        <f>DRI!$D$25/DRI!$D$23</f>
        <v>1.0125301121128165E-2</v>
      </c>
      <c r="P386" s="29">
        <f>DRI!$E$25/DRI!$E$23</f>
        <v>1.097032874456305E-2</v>
      </c>
      <c r="Q386" s="29">
        <f>DRI!$F$25/DRI!$F$23</f>
        <v>2.6619814477902987E-2</v>
      </c>
      <c r="R386" s="29">
        <f>DRI!$G$25/DRI!$G$23</f>
        <v>4.2122344318331048E-2</v>
      </c>
      <c r="S386" s="29">
        <f>R386-O386</f>
        <v>3.1997043197202882E-2</v>
      </c>
      <c r="T386" s="30"/>
      <c r="U386" s="32" t="str">
        <f t="shared" ref="U386:V388" si="77">U327</f>
        <v>EUR 23.2</v>
      </c>
      <c r="V386" s="28" t="str">
        <f t="shared" si="77"/>
        <v>1&amp;1</v>
      </c>
      <c r="W386" s="43"/>
      <c r="X386" s="43"/>
      <c r="Y386" s="43"/>
      <c r="Z386" s="33"/>
    </row>
    <row r="387" spans="1:29">
      <c r="A387" s="25"/>
      <c r="C387" s="32" t="str">
        <f t="shared" si="76"/>
        <v>Bouygues</v>
      </c>
      <c r="D387" s="28" t="str">
        <f t="shared" si="76"/>
        <v>EUR 51.8</v>
      </c>
      <c r="E387" s="28" t="str">
        <f t="shared" si="76"/>
        <v>EUR 64.0</v>
      </c>
      <c r="F387" s="29">
        <f t="shared" si="76"/>
        <v>0.23599845500193117</v>
      </c>
      <c r="G387" s="28" t="str">
        <f t="shared" si="76"/>
        <v>Buy</v>
      </c>
      <c r="H387" s="30"/>
      <c r="I387" s="29">
        <f>BOUY!$D$24/BOUY!$D$23</f>
        <v>9.0089139722559206E-2</v>
      </c>
      <c r="J387" s="29">
        <f>BOUY!$E$24/BOUY!$E$23</f>
        <v>8.9906063824059343E-2</v>
      </c>
      <c r="K387" s="29">
        <f>BOUY!$F$24/BOUY!$F$23</f>
        <v>9.2099723111080611E-2</v>
      </c>
      <c r="L387" s="29">
        <f>BOUY!$G$24/BOUY!$G$23</f>
        <v>9.6506898519246431E-2</v>
      </c>
      <c r="M387" s="29">
        <f>L387-I387</f>
        <v>6.4177587966872257E-3</v>
      </c>
      <c r="N387" s="30"/>
      <c r="O387" s="29">
        <f>BOUY!$D$25/BOUY!$D$23</f>
        <v>5.0723491042073243E-2</v>
      </c>
      <c r="P387" s="29">
        <f>BOUY!$E$25/BOUY!$E$23</f>
        <v>5.2687146102992626E-2</v>
      </c>
      <c r="Q387" s="29">
        <f>BOUY!$F$25/BOUY!$F$23</f>
        <v>5.6111041842729026E-2</v>
      </c>
      <c r="R387" s="29">
        <f>BOUY!$G$25/BOUY!$G$23</f>
        <v>6.2321387748896194E-2</v>
      </c>
      <c r="S387" s="29">
        <f>R387-O387</f>
        <v>1.1597896706822951E-2</v>
      </c>
      <c r="T387" s="30"/>
      <c r="U387" s="32" t="str">
        <f t="shared" si="77"/>
        <v>EUR 51.8</v>
      </c>
      <c r="V387" s="28" t="str">
        <f t="shared" si="77"/>
        <v>Bouygues</v>
      </c>
      <c r="W387" s="43"/>
      <c r="X387" s="43"/>
      <c r="Y387" s="43"/>
      <c r="Z387" s="33"/>
    </row>
    <row r="388" spans="1:29">
      <c r="C388" s="32" t="str">
        <f t="shared" si="76"/>
        <v>Elisa</v>
      </c>
      <c r="D388" s="28" t="str">
        <f t="shared" si="76"/>
        <v>EUR 41.9</v>
      </c>
      <c r="E388" s="28" t="str">
        <f t="shared" si="76"/>
        <v>EUR 39.0</v>
      </c>
      <c r="F388" s="29">
        <f t="shared" si="76"/>
        <v>-6.9256376181545454E-2</v>
      </c>
      <c r="G388" s="28" t="str">
        <f t="shared" si="76"/>
        <v>Neutral</v>
      </c>
      <c r="H388" s="30"/>
      <c r="I388" s="29">
        <f>ELISA!$D$24/ELISA!$D$23</f>
        <v>0.3580700899384166</v>
      </c>
      <c r="J388" s="29">
        <f>ELISA!$E$24/ELISA!$E$23</f>
        <v>0.35653244552947538</v>
      </c>
      <c r="K388" s="29">
        <f>ELISA!$F$24/ELISA!$F$23</f>
        <v>0.35759754246904729</v>
      </c>
      <c r="L388" s="29">
        <f>ELISA!$G$24/ELISA!$G$23</f>
        <v>0.36157181966661606</v>
      </c>
      <c r="M388" s="29">
        <f t="shared" ref="M388:M399" si="78">L388-I388</f>
        <v>3.5017297281994542E-3</v>
      </c>
      <c r="N388" s="30"/>
      <c r="O388" s="29">
        <f>ELISA!$D$25/ELISA!$D$23</f>
        <v>0.23415001550662357</v>
      </c>
      <c r="P388" s="29">
        <f>ELISA!$E$25/ELISA!$E$23</f>
        <v>0.23226990288336577</v>
      </c>
      <c r="Q388" s="29">
        <f>ELISA!$F$25/ELISA!$F$23</f>
        <v>0.23395883250151817</v>
      </c>
      <c r="R388" s="29">
        <f>ELISA!$G$25/ELISA!$G$23</f>
        <v>0.23745809199454898</v>
      </c>
      <c r="S388" s="29">
        <f t="shared" ref="S388:S399" si="79">R388-O388</f>
        <v>3.3080764879254154E-3</v>
      </c>
      <c r="T388" s="30"/>
      <c r="U388" s="32" t="str">
        <f t="shared" si="77"/>
        <v>EUR 41.9</v>
      </c>
      <c r="V388" s="28" t="str">
        <f t="shared" si="77"/>
        <v>Elisa</v>
      </c>
      <c r="W388" s="43"/>
      <c r="X388" s="43"/>
      <c r="Y388" s="43"/>
      <c r="Z388" s="33"/>
    </row>
    <row r="389" spans="1:29">
      <c r="C389" s="32" t="str">
        <f t="shared" si="76"/>
        <v>Eutelsat</v>
      </c>
      <c r="D389" s="28" t="str">
        <f t="shared" si="76"/>
        <v>EUR 2.8</v>
      </c>
      <c r="E389" s="28" t="str">
        <f t="shared" si="76"/>
        <v>EUR 1.4</v>
      </c>
      <c r="F389" s="29">
        <f t="shared" si="76"/>
        <v>-0.5</v>
      </c>
      <c r="G389" s="28" t="str">
        <f t="shared" si="76"/>
        <v>Sell</v>
      </c>
      <c r="H389" s="30"/>
      <c r="I389" s="29">
        <f>ETL!$D$24/ETL!$D$23</f>
        <v>0.45401439680406025</v>
      </c>
      <c r="J389" s="29">
        <f>ETL!$E$24/ETL!$E$23</f>
        <v>0.50047988490853856</v>
      </c>
      <c r="K389" s="29">
        <f>ETL!$F$24/ETL!$F$23</f>
        <v>0.54804113080978234</v>
      </c>
      <c r="L389" s="29">
        <f>ETL!$G$24/ETL!$G$23</f>
        <v>0.56977052026379738</v>
      </c>
      <c r="M389" s="29">
        <f t="shared" ref="M389" si="80">L389-I389</f>
        <v>0.11575612345973713</v>
      </c>
      <c r="N389" s="30"/>
      <c r="O389" s="29">
        <f>ETL!$D$25/ETL!$D$23</f>
        <v>-0.27403340829051553</v>
      </c>
      <c r="P389" s="29">
        <f>ETL!$E$25/ETL!$E$23</f>
        <v>-0.15091332168790025</v>
      </c>
      <c r="Q389" s="29">
        <f>ETL!$F$25/ETL!$F$23</f>
        <v>-0.30116788367998254</v>
      </c>
      <c r="R389" s="29">
        <f>ETL!$G$25/ETL!$G$23</f>
        <v>-3.2748208244009445E-2</v>
      </c>
      <c r="S389" s="29">
        <f t="shared" ref="S389" si="81">R389-O389</f>
        <v>0.24128520004650608</v>
      </c>
      <c r="T389" s="30"/>
      <c r="U389" s="32" t="str">
        <f t="shared" ref="U389:U398" si="82">U330</f>
        <v>EUR 2.8</v>
      </c>
      <c r="V389" s="28" t="s">
        <v>1283</v>
      </c>
      <c r="W389" s="43"/>
      <c r="X389" s="43"/>
      <c r="Y389" s="43"/>
      <c r="Z389" s="33"/>
    </row>
    <row r="390" spans="1:29">
      <c r="A390" s="25"/>
      <c r="C390" s="32" t="str">
        <f t="shared" si="76"/>
        <v>Liberty Global (prop.)</v>
      </c>
      <c r="D390" s="28" t="str">
        <f t="shared" si="76"/>
        <v>USD 12.0</v>
      </c>
      <c r="E390" s="28" t="str">
        <f t="shared" si="76"/>
        <v>USD 12.5</v>
      </c>
      <c r="F390" s="29">
        <f t="shared" si="76"/>
        <v>4.4277360066833804E-2</v>
      </c>
      <c r="G390" s="28" t="str">
        <f t="shared" si="76"/>
        <v>Neutral</v>
      </c>
      <c r="H390" s="30"/>
      <c r="I390" s="29">
        <f>LBTY!$D$24/LBTY!$D$23</f>
        <v>0.26688531310853747</v>
      </c>
      <c r="J390" s="29">
        <f>LBTY!$E$24/LBTY!$E$23</f>
        <v>0.29049208781265978</v>
      </c>
      <c r="K390" s="29">
        <f>LBTY!$F$24/LBTY!$F$23</f>
        <v>0.30138626458739332</v>
      </c>
      <c r="L390" s="29">
        <f>LBTY!$G$24/LBTY!$G$23</f>
        <v>0.30789564698362848</v>
      </c>
      <c r="M390" s="29">
        <f>L390-I390</f>
        <v>4.101033387509101E-2</v>
      </c>
      <c r="N390" s="30"/>
      <c r="O390" s="29">
        <f>LBTY!$D$25/LBTY!$D$23</f>
        <v>-1.7997335246489689E-2</v>
      </c>
      <c r="P390" s="29">
        <f>LBTY!$E$25/LBTY!$E$23</f>
        <v>2.0424722179827652E-2</v>
      </c>
      <c r="Q390" s="29">
        <f>LBTY!$F$25/LBTY!$F$23</f>
        <v>0.12604667384314022</v>
      </c>
      <c r="R390" s="29">
        <f>LBTY!$G$25/LBTY!$G$23</f>
        <v>0.13809500451106382</v>
      </c>
      <c r="S390" s="29">
        <f>R390-O390</f>
        <v>0.15609233975755352</v>
      </c>
      <c r="T390" s="30"/>
      <c r="U390" s="32" t="str">
        <f t="shared" si="82"/>
        <v>USD 12.0</v>
      </c>
      <c r="V390" s="28" t="str">
        <f t="shared" ref="V390:V398" si="83">V331</f>
        <v>Liberty Global</v>
      </c>
      <c r="W390" s="43"/>
      <c r="X390" s="43"/>
      <c r="Y390" s="43"/>
      <c r="Z390" s="33"/>
    </row>
    <row r="391" spans="1:29">
      <c r="A391" s="25"/>
      <c r="C391" s="32" t="str">
        <f t="shared" si="76"/>
        <v>NOS</v>
      </c>
      <c r="D391" s="28" t="str">
        <f t="shared" si="76"/>
        <v>EUR 5.65</v>
      </c>
      <c r="E391" s="28" t="str">
        <f t="shared" si="76"/>
        <v>EUR 5.50</v>
      </c>
      <c r="F391" s="29">
        <f t="shared" si="76"/>
        <v>-2.6548672566371723E-2</v>
      </c>
      <c r="G391" s="28" t="str">
        <f t="shared" si="76"/>
        <v>Neutral</v>
      </c>
      <c r="H391" s="30"/>
      <c r="I391" s="29">
        <f>NOS!$D$24/NOS!$D$23</f>
        <v>0.37323479027111711</v>
      </c>
      <c r="J391" s="29">
        <f>NOS!$E$24/NOS!$E$23</f>
        <v>0.37631552231725945</v>
      </c>
      <c r="K391" s="29">
        <f>NOS!$F$24/NOS!$F$23</f>
        <v>0.3711243854992719</v>
      </c>
      <c r="L391" s="29">
        <f>NOS!$G$24/NOS!$G$23</f>
        <v>0.3628251885667011</v>
      </c>
      <c r="M391" s="29">
        <f>L391-I391</f>
        <v>-1.0409601704416016E-2</v>
      </c>
      <c r="N391" s="30"/>
      <c r="O391" s="29">
        <f>NOS!$D$25/NOS!$D$23</f>
        <v>0.17230225787466416</v>
      </c>
      <c r="P391" s="29">
        <f>NOS!$E$25/NOS!$E$23</f>
        <v>0.18817793491089166</v>
      </c>
      <c r="Q391" s="29">
        <f>NOS!$F$25/NOS!$F$23</f>
        <v>0.18150674037225367</v>
      </c>
      <c r="R391" s="29">
        <f>NOS!$G$25/NOS!$G$23</f>
        <v>0.17153455334960491</v>
      </c>
      <c r="S391" s="29">
        <f>R391-O391</f>
        <v>-7.6770452505925402E-4</v>
      </c>
      <c r="T391" s="30"/>
      <c r="U391" s="32" t="str">
        <f t="shared" si="82"/>
        <v>EUR 5.65</v>
      </c>
      <c r="V391" s="28" t="str">
        <f t="shared" si="83"/>
        <v>NOS</v>
      </c>
      <c r="W391" s="43"/>
      <c r="X391" s="43"/>
      <c r="Y391" s="43"/>
      <c r="Z391" s="33"/>
    </row>
    <row r="392" spans="1:29">
      <c r="C392" s="32" t="str">
        <f t="shared" si="76"/>
        <v>Orange Belgium</v>
      </c>
      <c r="D392" s="28" t="str">
        <f t="shared" si="76"/>
        <v>EUR 21.0</v>
      </c>
      <c r="E392" s="28" t="str">
        <f t="shared" si="76"/>
        <v>EUR 21.1</v>
      </c>
      <c r="F392" s="29">
        <f t="shared" si="76"/>
        <v>5.150744566468024E-3</v>
      </c>
      <c r="G392" s="28" t="str">
        <f t="shared" si="76"/>
        <v>Neutral</v>
      </c>
      <c r="H392" s="30"/>
      <c r="I392" s="29">
        <f>OBEL!$D$24/OBEL!$D$23</f>
        <v>0.27875858289365191</v>
      </c>
      <c r="J392" s="29">
        <f>OBEL!$E$24/OBEL!$E$23</f>
        <v>0.28551998965675451</v>
      </c>
      <c r="K392" s="29">
        <f>OBEL!$F$24/OBEL!$F$23</f>
        <v>0.28480624224380524</v>
      </c>
      <c r="L392" s="29">
        <f>OBEL!$G$24/OBEL!$G$23</f>
        <v>0.28198554896936995</v>
      </c>
      <c r="M392" s="29">
        <f t="shared" si="78"/>
        <v>3.2269660757180407E-3</v>
      </c>
      <c r="N392" s="30"/>
      <c r="O392" s="29">
        <f>OBEL!$D$25/OBEL!$D$23</f>
        <v>8.7315985968901222E-2</v>
      </c>
      <c r="P392" s="29">
        <f>OBEL!$E$25/OBEL!$E$23</f>
        <v>0.1025724163725738</v>
      </c>
      <c r="Q392" s="29">
        <f>OBEL!$F$25/OBEL!$F$23</f>
        <v>0.10237783957686825</v>
      </c>
      <c r="R392" s="29">
        <f>OBEL!$G$25/OBEL!$G$23</f>
        <v>9.2571774238805832E-2</v>
      </c>
      <c r="S392" s="29">
        <f t="shared" si="79"/>
        <v>5.2557882699046099E-3</v>
      </c>
      <c r="T392" s="30"/>
      <c r="U392" s="32" t="str">
        <f t="shared" si="82"/>
        <v>EUR 21.0</v>
      </c>
      <c r="V392" s="28" t="str">
        <f t="shared" si="83"/>
        <v>Orange Belgium</v>
      </c>
      <c r="W392" s="43"/>
      <c r="X392" s="43"/>
      <c r="Y392" s="43"/>
      <c r="Z392" s="33"/>
    </row>
    <row r="393" spans="1:29">
      <c r="C393" s="32" t="str">
        <f t="shared" si="76"/>
        <v>SES</v>
      </c>
      <c r="D393" s="28" t="str">
        <f t="shared" si="76"/>
        <v>EUR 6.6</v>
      </c>
      <c r="E393" s="28" t="str">
        <f t="shared" si="76"/>
        <v>EUR 6.0</v>
      </c>
      <c r="F393" s="404">
        <f t="shared" si="76"/>
        <v>-9.297052154195018E-2</v>
      </c>
      <c r="G393" s="28" t="str">
        <f t="shared" si="76"/>
        <v>Neutral</v>
      </c>
      <c r="H393" s="30"/>
      <c r="I393" s="404">
        <f>SES!$D$24/SES!$D$23</f>
        <v>0.42427701674277019</v>
      </c>
      <c r="J393" s="404">
        <f>SES!$E$24/SES!$E$23</f>
        <v>0.39939169139465874</v>
      </c>
      <c r="K393" s="404">
        <f>SES!$F$24/SES!$F$23</f>
        <v>0.40317843043258045</v>
      </c>
      <c r="L393" s="404">
        <f>SES!$G$24/SES!$G$23</f>
        <v>0.41652643165420977</v>
      </c>
      <c r="M393" s="404">
        <f>L393-I393</f>
        <v>-7.7505850885604133E-3</v>
      </c>
      <c r="N393" s="30"/>
      <c r="O393" s="404">
        <f>SES!$D$25/SES!$D$23</f>
        <v>0.26293759512937598</v>
      </c>
      <c r="P393" s="404">
        <f>SES!$E$25/SES!$E$23</f>
        <v>0.23915430267062315</v>
      </c>
      <c r="Q393" s="404">
        <f>SES!$F$25/SES!$F$23</f>
        <v>0.20065979781177298</v>
      </c>
      <c r="R393" s="404">
        <f>SES!$G$25/SES!$G$23</f>
        <v>6.3852055151132764E-2</v>
      </c>
      <c r="S393" s="404">
        <f>R393-O393</f>
        <v>-0.19908553997824321</v>
      </c>
      <c r="T393" s="30"/>
      <c r="U393" s="32" t="str">
        <f t="shared" si="82"/>
        <v>EUR 6.6</v>
      </c>
      <c r="V393" s="28" t="str">
        <f t="shared" si="83"/>
        <v>SES</v>
      </c>
      <c r="W393" s="530"/>
      <c r="X393" s="530"/>
      <c r="Y393" s="530"/>
      <c r="Z393" s="33"/>
    </row>
    <row r="394" spans="1:29">
      <c r="C394" s="32" t="str">
        <f t="shared" si="76"/>
        <v>Sunrise</v>
      </c>
      <c r="D394" s="28" t="str">
        <f t="shared" si="76"/>
        <v>CHF46.1</v>
      </c>
      <c r="E394" s="28" t="str">
        <f t="shared" si="76"/>
        <v>CHF38.7</v>
      </c>
      <c r="F394" s="52">
        <f t="shared" si="76"/>
        <v>-0.15959504533103386</v>
      </c>
      <c r="G394" s="28" t="str">
        <f t="shared" si="76"/>
        <v>Sell</v>
      </c>
      <c r="H394" s="30"/>
      <c r="I394" s="52">
        <f>SUNN!$D$24/SUNN!$D$23</f>
        <v>0.33750083797010128</v>
      </c>
      <c r="J394" s="52">
        <f>SUNN!$E$24/SUNN!$E$23</f>
        <v>0.3373663160819505</v>
      </c>
      <c r="K394" s="52">
        <f>SUNN!$F$24/SUNN!$F$23</f>
        <v>0.33957676500373718</v>
      </c>
      <c r="L394" s="52">
        <f>SUNN!$G$24/SUNN!$G$23</f>
        <v>0.33957195789226752</v>
      </c>
      <c r="M394" s="52">
        <f t="shared" ref="M394" si="84">L394-I394</f>
        <v>2.0711199221662424E-3</v>
      </c>
      <c r="N394" s="30"/>
      <c r="O394" s="52">
        <f>SUNN!$D$25/SUNN!$D$23</f>
        <v>0.17707984179124495</v>
      </c>
      <c r="P394" s="52">
        <f>SUNN!$E$25/SUNN!$E$23</f>
        <v>0.18836631608195045</v>
      </c>
      <c r="Q394" s="52">
        <f>SUNN!$F$25/SUNN!$F$23</f>
        <v>0.19157676500373724</v>
      </c>
      <c r="R394" s="52">
        <f>SUNN!$G$25/SUNN!$G$23</f>
        <v>0.1925719578922675</v>
      </c>
      <c r="S394" s="52">
        <f t="shared" ref="S394" si="85">R394-O394</f>
        <v>1.5492116101022552E-2</v>
      </c>
      <c r="T394" s="30"/>
      <c r="U394" s="32" t="str">
        <f t="shared" si="82"/>
        <v>CHF46.1</v>
      </c>
      <c r="V394" s="28" t="str">
        <f t="shared" si="83"/>
        <v>Sunrise</v>
      </c>
      <c r="W394" s="45"/>
      <c r="X394" s="45"/>
      <c r="Y394" s="45"/>
      <c r="Z394" s="33"/>
    </row>
    <row r="395" spans="1:29">
      <c r="C395" s="32" t="str">
        <f t="shared" si="76"/>
        <v>Tele2</v>
      </c>
      <c r="D395" s="28" t="str">
        <f t="shared" si="76"/>
        <v>SEK 189.7</v>
      </c>
      <c r="E395" s="28" t="str">
        <f t="shared" si="76"/>
        <v>SEK 170.0</v>
      </c>
      <c r="F395" s="29">
        <f t="shared" si="76"/>
        <v>-0.10361191668863701</v>
      </c>
      <c r="G395" s="28" t="str">
        <f t="shared" si="76"/>
        <v>Neutral</v>
      </c>
      <c r="H395" s="30"/>
      <c r="I395" s="29">
        <f>TELE2!$D$24/TELE2!$D$23</f>
        <v>0.39238863816710184</v>
      </c>
      <c r="J395" s="29">
        <f>TELE2!$E$24/TELE2!$E$23</f>
        <v>0.39591303274204348</v>
      </c>
      <c r="K395" s="29">
        <f>TELE2!$F$24/TELE2!$F$23</f>
        <v>0.39839604563653408</v>
      </c>
      <c r="L395" s="29">
        <f>TELE2!$G$24/TELE2!$G$23</f>
        <v>0.40205304443089473</v>
      </c>
      <c r="M395" s="29">
        <f t="shared" si="78"/>
        <v>9.6644062637928907E-3</v>
      </c>
      <c r="N395" s="30"/>
      <c r="O395" s="29">
        <f>TELE2!$D$25/TELE2!$D$23</f>
        <v>0.28400335827021111</v>
      </c>
      <c r="P395" s="29">
        <f>TELE2!$E$25/TELE2!$E$23</f>
        <v>0.28888842659833869</v>
      </c>
      <c r="Q395" s="29">
        <f>TELE2!$F$25/TELE2!$F$23</f>
        <v>0.29337933116803033</v>
      </c>
      <c r="R395" s="29">
        <f>TELE2!$G$25/TELE2!$G$23</f>
        <v>0.29858846871152955</v>
      </c>
      <c r="S395" s="29">
        <f t="shared" si="79"/>
        <v>1.4585110441318438E-2</v>
      </c>
      <c r="T395" s="30"/>
      <c r="U395" s="32" t="str">
        <f t="shared" si="82"/>
        <v>SEK 189.7</v>
      </c>
      <c r="V395" s="28" t="str">
        <f t="shared" si="83"/>
        <v>Tele2</v>
      </c>
      <c r="W395" s="43"/>
      <c r="X395" s="43"/>
      <c r="Y395" s="43"/>
      <c r="Z395" s="33"/>
    </row>
    <row r="396" spans="1:29">
      <c r="A396" s="25"/>
      <c r="C396" s="32" t="str">
        <f t="shared" si="76"/>
        <v>United Internet</v>
      </c>
      <c r="D396" s="28" t="str">
        <f t="shared" si="76"/>
        <v>EUR 26.7</v>
      </c>
      <c r="E396" s="28" t="str">
        <f t="shared" si="76"/>
        <v>EUR 33.0</v>
      </c>
      <c r="F396" s="29">
        <f t="shared" si="76"/>
        <v>0.23688155922038989</v>
      </c>
      <c r="G396" s="28" t="str">
        <f t="shared" si="76"/>
        <v>Neutral</v>
      </c>
      <c r="H396" s="30"/>
      <c r="I396" s="29">
        <f>UTDI!$D$24/UTDI!$D$23</f>
        <v>0.17582901681400023</v>
      </c>
      <c r="J396" s="29">
        <f>UTDI!$E$24/UTDI!$E$23</f>
        <v>0.19191086668948754</v>
      </c>
      <c r="K396" s="29">
        <f>UTDI!$F$24/UTDI!$F$23</f>
        <v>0.20734878549774249</v>
      </c>
      <c r="L396" s="29">
        <f>UTDI!$G$24/UTDI!$G$23</f>
        <v>0.22168509885898971</v>
      </c>
      <c r="M396" s="29">
        <f>L396-I396</f>
        <v>4.5856082044989477E-2</v>
      </c>
      <c r="N396" s="30"/>
      <c r="O396" s="29">
        <f>UTDI!$D$25/UTDI!$D$23</f>
        <v>5.6415300903609557E-2</v>
      </c>
      <c r="P396" s="29">
        <f>UTDI!$E$25/UTDI!$E$23</f>
        <v>9.1758881504871923E-2</v>
      </c>
      <c r="Q396" s="29">
        <f>UTDI!$F$25/UTDI!$F$23</f>
        <v>0.10686279123761382</v>
      </c>
      <c r="R396" s="29">
        <f>UTDI!$G$25/UTDI!$G$23</f>
        <v>0.12185867898519352</v>
      </c>
      <c r="S396" s="29">
        <f>R396-O396</f>
        <v>6.5443378081583958E-2</v>
      </c>
      <c r="T396" s="30"/>
      <c r="U396" s="32" t="str">
        <f t="shared" si="82"/>
        <v>EUR 26.7</v>
      </c>
      <c r="V396" s="28" t="str">
        <f t="shared" si="83"/>
        <v>United Internet</v>
      </c>
      <c r="W396" s="43"/>
      <c r="X396" s="43"/>
      <c r="Y396" s="43"/>
      <c r="Z396" s="33"/>
    </row>
    <row r="397" spans="1:29">
      <c r="C397" s="32" t="str">
        <f t="shared" si="76"/>
        <v>Vodafone</v>
      </c>
      <c r="D397" s="28" t="str">
        <f t="shared" si="76"/>
        <v>GBP 1.16</v>
      </c>
      <c r="E397" s="28" t="str">
        <f t="shared" si="76"/>
        <v>GBP 1.30</v>
      </c>
      <c r="F397" s="29">
        <f t="shared" si="76"/>
        <v>0.12117291936179386</v>
      </c>
      <c r="G397" s="28" t="str">
        <f t="shared" si="76"/>
        <v>Buy</v>
      </c>
      <c r="H397" s="30"/>
      <c r="I397" s="29">
        <f>VOD!$D$24/VOD!$D$23</f>
        <v>0.28619244203773492</v>
      </c>
      <c r="J397" s="29">
        <f>VOD!$E$24/VOD!$E$23</f>
        <v>0.29122151136040125</v>
      </c>
      <c r="K397" s="29">
        <f>VOD!$F$24/VOD!$F$23</f>
        <v>0.29851766804861002</v>
      </c>
      <c r="L397" s="29">
        <f>VOD!$G$24/VOD!$G$23</f>
        <v>0.30710753306175403</v>
      </c>
      <c r="M397" s="29">
        <f t="shared" si="78"/>
        <v>2.0915091024019117E-2</v>
      </c>
      <c r="N397" s="30"/>
      <c r="O397" s="29">
        <f>VOD!$D$25/VOD!$D$23</f>
        <v>0.10754133867927114</v>
      </c>
      <c r="P397" s="29">
        <f>VOD!$E$25/VOD!$E$23</f>
        <v>0.11517418686515062</v>
      </c>
      <c r="Q397" s="29">
        <f>VOD!$F$25/VOD!$F$23</f>
        <v>0.12423127962013419</v>
      </c>
      <c r="R397" s="29">
        <f>VOD!$G$25/VOD!$G$23</f>
        <v>0.13629245867374501</v>
      </c>
      <c r="S397" s="29">
        <f t="shared" si="79"/>
        <v>2.875111999447387E-2</v>
      </c>
      <c r="T397" s="30"/>
      <c r="U397" s="32" t="str">
        <f t="shared" si="82"/>
        <v>GBP 1.16</v>
      </c>
      <c r="V397" s="28" t="str">
        <f t="shared" si="83"/>
        <v>Vodafone</v>
      </c>
      <c r="W397" s="43"/>
      <c r="X397" s="43"/>
      <c r="Y397" s="43"/>
      <c r="Z397" s="33"/>
    </row>
    <row r="398" spans="1:29">
      <c r="C398" s="32" t="str">
        <f t="shared" si="76"/>
        <v>Zegona</v>
      </c>
      <c r="D398" s="28" t="str">
        <f t="shared" si="76"/>
        <v>GBP 17.92</v>
      </c>
      <c r="E398" s="28" t="str">
        <f t="shared" si="76"/>
        <v>GBP 14.75</v>
      </c>
      <c r="F398" s="29">
        <f t="shared" si="76"/>
        <v>-0.17689732142857151</v>
      </c>
      <c r="G398" s="28" t="str">
        <f t="shared" si="76"/>
        <v>Neutral</v>
      </c>
      <c r="H398" s="30"/>
      <c r="I398" s="29">
        <f>ZEG!$D$24/ZEG!$D$23</f>
        <v>0.24885329449048368</v>
      </c>
      <c r="J398" s="29">
        <f>ZEG!$E$24/ZEG!$E$23</f>
        <v>0.26266016936302183</v>
      </c>
      <c r="K398" s="29">
        <f>ZEG!$F$24/ZEG!$F$23</f>
        <v>0.27031424387035341</v>
      </c>
      <c r="L398" s="29">
        <f>ZEG!$G$24/ZEG!$G$23</f>
        <v>0.27133365109323809</v>
      </c>
      <c r="M398" s="29">
        <f t="shared" ref="M398" si="86">L398-I398</f>
        <v>2.2480356602754409E-2</v>
      </c>
      <c r="N398" s="30"/>
      <c r="O398" s="29">
        <f>ZEG!$D$25/ZEG!$D$23</f>
        <v>0.16778532330910426</v>
      </c>
      <c r="P398" s="29">
        <f>ZEG!$E$25/ZEG!$E$23</f>
        <v>0.17960868087703111</v>
      </c>
      <c r="Q398" s="29">
        <f>ZEG!$F$25/ZEG!$F$23</f>
        <v>0.1850582820203743</v>
      </c>
      <c r="R398" s="29">
        <f>ZEG!$G$25/ZEG!$G$23</f>
        <v>0.18360923766858833</v>
      </c>
      <c r="S398" s="29">
        <f t="shared" ref="S398" si="87">R398-O398</f>
        <v>1.5823914359484076E-2</v>
      </c>
      <c r="T398" s="30"/>
      <c r="U398" s="32" t="str">
        <f t="shared" si="82"/>
        <v>GBP 17.92</v>
      </c>
      <c r="V398" s="28" t="str">
        <f t="shared" si="83"/>
        <v>Zegona</v>
      </c>
      <c r="W398" s="43"/>
      <c r="X398" s="43"/>
      <c r="Y398" s="43"/>
      <c r="Z398" s="33"/>
    </row>
    <row r="399" spans="1:29">
      <c r="C399" s="35" t="str">
        <f>C340</f>
        <v>Agg. W. Europe Other</v>
      </c>
      <c r="D399" s="36"/>
      <c r="E399" s="36"/>
      <c r="F399" s="37"/>
      <c r="G399" s="36"/>
      <c r="H399" s="30"/>
      <c r="I399" s="39">
        <f>'W.EUR OTHER'!$D$24/'W.EUR OTHER'!$D$23</f>
        <v>0.2019595670572448</v>
      </c>
      <c r="J399" s="39">
        <f>'W.EUR OTHER'!$E$24/'W.EUR OTHER'!$E$23</f>
        <v>0.20738604945552599</v>
      </c>
      <c r="K399" s="39">
        <f>'W.EUR OTHER'!$F$24/'W.EUR OTHER'!$F$23</f>
        <v>0.21443817007575811</v>
      </c>
      <c r="L399" s="39">
        <f>'W.EUR OTHER'!$G$24/'W.EUR OTHER'!$G$23</f>
        <v>0.21960412832503984</v>
      </c>
      <c r="M399" s="39">
        <f t="shared" si="78"/>
        <v>1.7644561267795039E-2</v>
      </c>
      <c r="N399" s="40"/>
      <c r="O399" s="39">
        <f>'W.EUR OTHER'!$D$25/'W.EUR OTHER'!$D$23</f>
        <v>8.5662836891774091E-2</v>
      </c>
      <c r="P399" s="39">
        <f>'W.EUR OTHER'!$E$25/'W.EUR OTHER'!$E$23</f>
        <v>9.4689261966688837E-2</v>
      </c>
      <c r="Q399" s="39">
        <f>'W.EUR OTHER'!$F$25/'W.EUR OTHER'!$F$23</f>
        <v>0.10135014790434736</v>
      </c>
      <c r="R399" s="39">
        <f>'W.EUR OTHER'!$G$25/'W.EUR OTHER'!$G$23</f>
        <v>0.10807902517894881</v>
      </c>
      <c r="S399" s="39">
        <f t="shared" si="79"/>
        <v>2.2416188287174718E-2</v>
      </c>
      <c r="T399" s="30"/>
      <c r="U399" s="41"/>
      <c r="V399" s="42" t="str">
        <f>C399</f>
        <v>Agg. W. Europe Other</v>
      </c>
      <c r="W399" s="43"/>
      <c r="X399" s="43"/>
      <c r="Y399" s="43"/>
      <c r="Z399" s="33"/>
      <c r="AC399" s="47"/>
    </row>
    <row r="400" spans="1:29">
      <c r="C400" s="32"/>
      <c r="D400" s="28"/>
      <c r="E400" s="28"/>
      <c r="F400" s="29"/>
      <c r="G400" s="28"/>
      <c r="H400" s="30"/>
      <c r="I400" s="29"/>
      <c r="J400" s="29"/>
      <c r="K400" s="29"/>
      <c r="L400" s="29"/>
      <c r="M400" s="29"/>
      <c r="N400" s="30"/>
      <c r="O400" s="29"/>
      <c r="P400" s="29"/>
      <c r="Q400" s="29"/>
      <c r="R400" s="29"/>
      <c r="S400" s="29"/>
      <c r="T400" s="30"/>
      <c r="U400" s="32"/>
      <c r="V400" s="28"/>
      <c r="W400" s="43"/>
      <c r="X400" s="43"/>
      <c r="Y400" s="43"/>
      <c r="Z400" s="33"/>
      <c r="AC400" s="47"/>
    </row>
    <row r="401" spans="1:28">
      <c r="C401" s="32" t="str">
        <f t="shared" ref="C401:G403" si="88">C342</f>
        <v>KDDI</v>
      </c>
      <c r="D401" s="28" t="str">
        <f t="shared" si="88"/>
        <v>JPY 2,565</v>
      </c>
      <c r="E401" s="28" t="str">
        <f t="shared" si="88"/>
        <v>JPY 3,150</v>
      </c>
      <c r="F401" s="29">
        <f t="shared" si="88"/>
        <v>0.22807017543859653</v>
      </c>
      <c r="G401" s="28" t="str">
        <f t="shared" si="88"/>
        <v>Buy</v>
      </c>
      <c r="H401" s="30"/>
      <c r="I401" s="29">
        <f>KDDI!$D$24/KDDI!$D$23</f>
        <v>0.31129158593541595</v>
      </c>
      <c r="J401" s="29">
        <f>KDDI!$E$24/KDDI!$E$23</f>
        <v>0.31130642919903001</v>
      </c>
      <c r="K401" s="29">
        <f>KDDI!$F$24/KDDI!$F$23</f>
        <v>0.31176697070896875</v>
      </c>
      <c r="L401" s="29">
        <f>KDDI!$G$24/KDDI!$G$23</f>
        <v>0.31215299052181034</v>
      </c>
      <c r="M401" s="29">
        <f t="shared" ref="M401:M404" si="89">L401-I401</f>
        <v>8.6140458639438755E-4</v>
      </c>
      <c r="N401" s="30"/>
      <c r="O401" s="29">
        <f>KDDI!$D$25/KDDI!$D$23</f>
        <v>0.1977188809815239</v>
      </c>
      <c r="P401" s="29">
        <f>KDDI!$E$25/KDDI!$E$23</f>
        <v>0.20909099474052717</v>
      </c>
      <c r="Q401" s="29">
        <f>KDDI!$F$25/KDDI!$F$23</f>
        <v>0.21466230797339106</v>
      </c>
      <c r="R401" s="29">
        <f>KDDI!$G$25/KDDI!$G$23</f>
        <v>0.21990356092301155</v>
      </c>
      <c r="S401" s="29">
        <f t="shared" ref="S401:S404" si="90">R401-O401</f>
        <v>2.2184679941487651E-2</v>
      </c>
      <c r="T401" s="30"/>
      <c r="U401" s="32" t="str">
        <f t="shared" ref="U401:V403" si="91">U342</f>
        <v>JPY 2,565</v>
      </c>
      <c r="V401" s="28" t="str">
        <f t="shared" si="91"/>
        <v>KDDI</v>
      </c>
      <c r="W401" s="43"/>
      <c r="X401" s="43"/>
      <c r="Y401" s="43"/>
      <c r="Z401" s="33"/>
    </row>
    <row r="402" spans="1:28">
      <c r="C402" s="32" t="str">
        <f t="shared" si="88"/>
        <v>Rakuten</v>
      </c>
      <c r="D402" s="28" t="str">
        <f t="shared" si="88"/>
        <v>JPY 775</v>
      </c>
      <c r="E402" s="28" t="str">
        <f t="shared" si="88"/>
        <v>JPY 510</v>
      </c>
      <c r="F402" s="29">
        <f t="shared" si="88"/>
        <v>-0.3421901199535663</v>
      </c>
      <c r="G402" s="28" t="str">
        <f t="shared" si="88"/>
        <v>Reduce</v>
      </c>
      <c r="H402" s="30"/>
      <c r="I402" s="29">
        <f>RAK!$D$24/RAK!$D$23</f>
        <v>0.16660164571916003</v>
      </c>
      <c r="J402" s="29">
        <f>RAK!$E$24/RAK!$E$23</f>
        <v>0.21017275905214147</v>
      </c>
      <c r="K402" s="29">
        <f>RAK!$F$24/RAK!$F$23</f>
        <v>0.23385327881611562</v>
      </c>
      <c r="L402" s="29">
        <f>RAK!$G$24/RAK!$G$23</f>
        <v>0.24738279215242368</v>
      </c>
      <c r="M402" s="29">
        <f>L402-I402</f>
        <v>8.0781146433263645E-2</v>
      </c>
      <c r="N402" s="30"/>
      <c r="O402" s="29">
        <f>RAK!$D$25/RAK!$D$23</f>
        <v>5.1873716503308527E-2</v>
      </c>
      <c r="P402" s="29">
        <f>RAK!$E$25/RAK!$E$23</f>
        <v>8.4440380352636707E-2</v>
      </c>
      <c r="Q402" s="29">
        <f>RAK!$F$25/RAK!$F$23</f>
        <v>0.12376052805025615</v>
      </c>
      <c r="R402" s="29">
        <f>RAK!$G$25/RAK!$G$23</f>
        <v>0.14164147583576672</v>
      </c>
      <c r="S402" s="29">
        <f>R402-O402</f>
        <v>8.9767759332458202E-2</v>
      </c>
      <c r="T402" s="30"/>
      <c r="U402" s="32" t="str">
        <f t="shared" si="91"/>
        <v>JPY 775</v>
      </c>
      <c r="V402" s="28" t="str">
        <f t="shared" si="91"/>
        <v>Rakuten</v>
      </c>
      <c r="W402" s="43"/>
      <c r="X402" s="43"/>
      <c r="Y402" s="43"/>
      <c r="Z402" s="33"/>
    </row>
    <row r="403" spans="1:28">
      <c r="C403" s="32" t="str">
        <f t="shared" si="88"/>
        <v>SoftBank KK (Corp)</v>
      </c>
      <c r="D403" s="28" t="str">
        <f t="shared" si="88"/>
        <v>JPY 220</v>
      </c>
      <c r="E403" s="28" t="str">
        <f t="shared" si="88"/>
        <v>JPY 270</v>
      </c>
      <c r="F403" s="29">
        <f t="shared" si="88"/>
        <v>0.22615803814713908</v>
      </c>
      <c r="G403" s="28" t="str">
        <f t="shared" si="88"/>
        <v>Buy</v>
      </c>
      <c r="H403" s="30"/>
      <c r="I403" s="29">
        <f>SBKK!$D$24/SBKK!$D$23</f>
        <v>0.25716468834245787</v>
      </c>
      <c r="J403" s="29">
        <f>SBKK!$E$24/SBKK!$E$23</f>
        <v>0.26361961536634687</v>
      </c>
      <c r="K403" s="29">
        <f>SBKK!$F$24/SBKK!$F$23</f>
        <v>0.26907581655971125</v>
      </c>
      <c r="L403" s="29">
        <f>SBKK!$G$24/SBKK!$G$23</f>
        <v>0.27275717838825614</v>
      </c>
      <c r="M403" s="29">
        <f t="shared" si="89"/>
        <v>1.5592490045798268E-2</v>
      </c>
      <c r="N403" s="30"/>
      <c r="O403" s="29">
        <f>SBKK!$D$25/SBKK!$D$23</f>
        <v>0.17611085825715786</v>
      </c>
      <c r="P403" s="29">
        <f>SBKK!$E$25/SBKK!$E$23</f>
        <v>0.18549690128427387</v>
      </c>
      <c r="Q403" s="29">
        <f>SBKK!$F$25/SBKK!$F$23</f>
        <v>0.19402729590875759</v>
      </c>
      <c r="R403" s="29">
        <f>SBKK!$G$25/SBKK!$G$23</f>
        <v>0.20042657634620945</v>
      </c>
      <c r="S403" s="29">
        <f t="shared" si="90"/>
        <v>2.4315718089051586E-2</v>
      </c>
      <c r="T403" s="30"/>
      <c r="U403" s="32" t="str">
        <f t="shared" si="91"/>
        <v>JPY 220</v>
      </c>
      <c r="V403" s="28" t="str">
        <f t="shared" si="91"/>
        <v>SoftBank KK (Corp)</v>
      </c>
      <c r="W403" s="43"/>
      <c r="X403" s="43"/>
      <c r="Y403" s="43"/>
      <c r="Z403" s="33"/>
    </row>
    <row r="404" spans="1:28">
      <c r="C404" s="35" t="str">
        <f>C345</f>
        <v>Agg. Developed Asia Other</v>
      </c>
      <c r="D404" s="36"/>
      <c r="E404" s="36"/>
      <c r="F404" s="37"/>
      <c r="G404" s="36"/>
      <c r="H404" s="30"/>
      <c r="I404" s="39">
        <f>'DM ASIA OTHER'!$D$24/'DM ASIA OTHER'!$D$23</f>
        <v>0.26413809550338568</v>
      </c>
      <c r="J404" s="39">
        <f>'DM ASIA OTHER'!$E$24/'DM ASIA OTHER'!$E$23</f>
        <v>0.27321650478121895</v>
      </c>
      <c r="K404" s="39">
        <f>'DM ASIA OTHER'!$F$24/'DM ASIA OTHER'!$F$23</f>
        <v>0.27915542224560891</v>
      </c>
      <c r="L404" s="39">
        <f>'DM ASIA OTHER'!$G$24/'DM ASIA OTHER'!$G$23</f>
        <v>0.28278402418720167</v>
      </c>
      <c r="M404" s="39">
        <f t="shared" si="89"/>
        <v>1.8645928683815982E-2</v>
      </c>
      <c r="N404" s="40"/>
      <c r="O404" s="39">
        <f>'DM ASIA OTHER'!$D$25/'DM ASIA OTHER'!$D$23</f>
        <v>0.16481032369053134</v>
      </c>
      <c r="P404" s="39">
        <f>'DM ASIA OTHER'!$E$25/'DM ASIA OTHER'!$E$23</f>
        <v>0.17769050338530368</v>
      </c>
      <c r="Q404" s="39">
        <f>'DM ASIA OTHER'!$F$25/'DM ASIA OTHER'!$F$23</f>
        <v>0.18948719446060661</v>
      </c>
      <c r="R404" s="39">
        <f>'DM ASIA OTHER'!$G$25/'DM ASIA OTHER'!$G$23</f>
        <v>0.19679537996138136</v>
      </c>
      <c r="S404" s="39">
        <f t="shared" si="90"/>
        <v>3.1985056270850021E-2</v>
      </c>
      <c r="T404" s="30"/>
      <c r="U404" s="41"/>
      <c r="V404" s="42" t="str">
        <f>V345</f>
        <v>Agg. Developed Asia Cellular</v>
      </c>
      <c r="W404" s="43"/>
      <c r="X404" s="43"/>
      <c r="Y404" s="43"/>
      <c r="Z404" s="33"/>
    </row>
    <row r="405" spans="1:28">
      <c r="A405" s="25"/>
      <c r="C405" s="32"/>
      <c r="D405" s="28"/>
      <c r="E405" s="28"/>
      <c r="F405" s="29"/>
      <c r="G405" s="28"/>
      <c r="H405" s="30"/>
      <c r="I405" s="29"/>
      <c r="J405" s="29"/>
      <c r="K405" s="29"/>
      <c r="L405" s="29"/>
      <c r="M405" s="29"/>
      <c r="N405" s="30"/>
      <c r="O405" s="29"/>
      <c r="P405" s="29"/>
      <c r="Q405" s="29"/>
      <c r="R405" s="29"/>
      <c r="S405" s="29"/>
      <c r="T405" s="30"/>
      <c r="U405" s="32"/>
      <c r="V405" s="28"/>
      <c r="W405" s="43"/>
      <c r="X405" s="43"/>
      <c r="Y405" s="43"/>
      <c r="Z405" s="33"/>
    </row>
    <row r="406" spans="1:28">
      <c r="A406" s="25"/>
      <c r="B406" s="26" t="s">
        <v>424</v>
      </c>
      <c r="C406" s="32" t="str">
        <f>C347</f>
        <v>Altice US</v>
      </c>
      <c r="D406" s="28" t="str">
        <f>D347</f>
        <v>US$1.7</v>
      </c>
      <c r="E406" s="28" t="str">
        <f>E347</f>
        <v>US$2.5</v>
      </c>
      <c r="F406" s="29">
        <f>F347</f>
        <v>0.49700598802395213</v>
      </c>
      <c r="G406" s="28" t="str">
        <f>G347</f>
        <v>Neutral</v>
      </c>
      <c r="H406" s="30"/>
      <c r="I406" s="29">
        <f>(ATCUS!D$24/ATCUS!D$23)</f>
        <v>0.39069665426157052</v>
      </c>
      <c r="J406" s="29">
        <f>(ATCUS!E$24/ATCUS!E$23)</f>
        <v>0.38117288931261517</v>
      </c>
      <c r="K406" s="29">
        <f>(ATCUS!F$24/ATCUS!F$23)</f>
        <v>0.37124038578587754</v>
      </c>
      <c r="L406" s="29">
        <f>(ATCUS!G$24/ATCUS!G$23)</f>
        <v>0.37435305371685856</v>
      </c>
      <c r="M406" s="29">
        <f t="shared" ref="M406:M410" si="92">L406-I406</f>
        <v>-1.6343600544711956E-2</v>
      </c>
      <c r="N406" s="30"/>
      <c r="O406" s="29">
        <f>(ATCUS!D$25/ATCUS!D$23)</f>
        <v>0.20613465490766328</v>
      </c>
      <c r="P406" s="29">
        <f>(ATCUS!E$25/ATCUS!E$23)</f>
        <v>0.22113868496407971</v>
      </c>
      <c r="Q406" s="29">
        <f>(ATCUS!F$25/ATCUS!F$23)</f>
        <v>0.20577693815215667</v>
      </c>
      <c r="R406" s="29">
        <f>(ATCUS!G$25/ATCUS!G$23)</f>
        <v>0.19573976005063326</v>
      </c>
      <c r="S406" s="29">
        <f t="shared" ref="S406:S410" si="93">R406-O406</f>
        <v>-1.0394894857030018E-2</v>
      </c>
      <c r="T406" s="30"/>
      <c r="U406" s="32" t="str">
        <f>D406</f>
        <v>US$1.7</v>
      </c>
      <c r="V406" s="28" t="str">
        <f>C406</f>
        <v>Altice US</v>
      </c>
      <c r="W406" s="43"/>
      <c r="X406" s="43"/>
      <c r="Y406" s="43"/>
      <c r="Z406" s="33"/>
    </row>
    <row r="407" spans="1:28">
      <c r="A407" s="25"/>
      <c r="B407" s="26" t="s">
        <v>424</v>
      </c>
      <c r="C407" s="32" t="s">
        <v>258</v>
      </c>
      <c r="D407" s="28" t="str">
        <f>B407&amp;TEXT(Prices!$C$50,"0.0")</f>
        <v>US$222.0</v>
      </c>
      <c r="E407" s="28" t="str">
        <f>B407&amp;TEXT(Prices!$E$50,"0.0")</f>
        <v>US$328.0</v>
      </c>
      <c r="F407" s="29">
        <f>Prices!$F$50</f>
        <v>0.47747747747747749</v>
      </c>
      <c r="G407" s="28" t="str">
        <f>Prices!$D$50</f>
        <v>Buy</v>
      </c>
      <c r="H407" s="30"/>
      <c r="I407" s="29">
        <f>(CHTR!D$24/CHTR!D$23)</f>
        <v>0.40093760873148132</v>
      </c>
      <c r="J407" s="29">
        <f>(CHTR!E$24/CHTR!E$23)</f>
        <v>0.4097122628664791</v>
      </c>
      <c r="K407" s="29">
        <f>(CHTR!F$24/CHTR!F$23)</f>
        <v>0.41958500182016745</v>
      </c>
      <c r="L407" s="29">
        <f>(CHTR!G$24/CHTR!G$23)</f>
        <v>0.41355513584192938</v>
      </c>
      <c r="M407" s="29">
        <f t="shared" si="92"/>
        <v>1.2617527110448057E-2</v>
      </c>
      <c r="N407" s="30"/>
      <c r="O407" s="29">
        <f>(CHTR!D$25/CHTR!D$23)</f>
        <v>0.19739227571556761</v>
      </c>
      <c r="P407" s="29">
        <f>(CHTR!E$25/CHTR!E$23)</f>
        <v>0.20513751474993192</v>
      </c>
      <c r="Q407" s="29">
        <f>(CHTR!F$25/CHTR!F$23)</f>
        <v>0.24492173279941754</v>
      </c>
      <c r="R407" s="29">
        <f>(CHTR!G$25/CHTR!G$23)</f>
        <v>0.20477989248874037</v>
      </c>
      <c r="S407" s="29">
        <f t="shared" si="93"/>
        <v>7.3876167731727616E-3</v>
      </c>
      <c r="T407" s="30"/>
      <c r="U407" s="32" t="str">
        <f>D407</f>
        <v>US$222.0</v>
      </c>
      <c r="V407" s="28" t="str">
        <f>C407</f>
        <v>Charter</v>
      </c>
      <c r="W407" s="43"/>
      <c r="X407" s="43"/>
      <c r="Y407" s="43"/>
      <c r="Z407" s="33"/>
    </row>
    <row r="408" spans="1:28">
      <c r="A408" s="25"/>
      <c r="B408" s="26" t="s">
        <v>424</v>
      </c>
      <c r="C408" s="32" t="s">
        <v>257</v>
      </c>
      <c r="D408" s="28" t="str">
        <f>B408&amp;TEXT(Prices!$C$51,"0.0")</f>
        <v>US$30.2</v>
      </c>
      <c r="E408" s="28" t="str">
        <f>B408&amp;TEXT(Prices!$E$51,"0.0")</f>
        <v>US$36.0</v>
      </c>
      <c r="F408" s="29">
        <f>Prices!$F$51</f>
        <v>0.19027938502231767</v>
      </c>
      <c r="G408" s="28" t="str">
        <f>Prices!$D$51</f>
        <v>Buy</v>
      </c>
      <c r="H408" s="30"/>
      <c r="I408" s="29">
        <f>(CMCSA!D$24/CMCSA!D$23)</f>
        <v>0.30956763356074668</v>
      </c>
      <c r="J408" s="29">
        <f>(CMCSA!E$24/CMCSA!E$23)</f>
        <v>0.30768559347238567</v>
      </c>
      <c r="K408" s="29">
        <f>(CMCSA!F$24/CMCSA!F$23)</f>
        <v>0.31891186508733188</v>
      </c>
      <c r="L408" s="29">
        <f>(CMCSA!G$24/CMCSA!G$23)</f>
        <v>0.33923187057527232</v>
      </c>
      <c r="M408" s="29">
        <f t="shared" si="92"/>
        <v>2.9664237014525641E-2</v>
      </c>
      <c r="N408" s="30"/>
      <c r="O408" s="29">
        <f>(CMCSA!D$25/CMCSA!D$23)</f>
        <v>0.20888607477302853</v>
      </c>
      <c r="P408" s="29">
        <f>(CMCSA!E$25/CMCSA!E$23)</f>
        <v>0.20922180699054738</v>
      </c>
      <c r="Q408" s="29">
        <f>(CMCSA!F$25/CMCSA!F$23)</f>
        <v>0.24355885698989493</v>
      </c>
      <c r="R408" s="29">
        <f>(CMCSA!G$25/CMCSA!G$23)</f>
        <v>0.25088577027374753</v>
      </c>
      <c r="S408" s="29">
        <f t="shared" si="93"/>
        <v>4.1999695500718998E-2</v>
      </c>
      <c r="T408" s="30"/>
      <c r="U408" s="32" t="str">
        <f>D408</f>
        <v>US$30.2</v>
      </c>
      <c r="V408" s="28" t="str">
        <f>C408</f>
        <v>Comcast</v>
      </c>
      <c r="W408" s="43"/>
      <c r="X408" s="43"/>
      <c r="Y408" s="43"/>
      <c r="Z408" s="33"/>
    </row>
    <row r="409" spans="1:28" s="5" customFormat="1">
      <c r="A409" s="25"/>
      <c r="B409" s="26" t="s">
        <v>431</v>
      </c>
      <c r="C409" s="32" t="s">
        <v>1264</v>
      </c>
      <c r="D409" s="28" t="str">
        <f>B409&amp;TEXT(Prices!C$52,"0.00")</f>
        <v>US$ 119.08</v>
      </c>
      <c r="E409" s="28" t="str">
        <f>B409&amp;TEXT(Prices!E$52,"0.00")</f>
        <v>US$ 0.00</v>
      </c>
      <c r="F409" s="29">
        <f>Prices!F$52</f>
        <v>-1</v>
      </c>
      <c r="G409" s="28" t="str">
        <f>Prices!D$52</f>
        <v>Buy</v>
      </c>
      <c r="H409" s="30"/>
      <c r="I409" s="29">
        <f>(SATS!D$24/SATS!D$23)</f>
        <v>7.2759732806509186E-2</v>
      </c>
      <c r="J409" s="29">
        <f>(SATS!E$24/SATS!E$23)</f>
        <v>0.14316531006097513</v>
      </c>
      <c r="K409" s="29">
        <f>(SATS!F$24/SATS!F$23)</f>
        <v>0.15801495649817174</v>
      </c>
      <c r="L409" s="29">
        <f>(SATS!G$24/SATS!G$23)</f>
        <v>0.16790094892599844</v>
      </c>
      <c r="M409" s="29">
        <f t="shared" si="92"/>
        <v>9.5141216119489253E-2</v>
      </c>
      <c r="N409" s="30"/>
      <c r="O409" s="29">
        <f>(SATS!D$25/SATS!D$23)</f>
        <v>6.4930782797536024E-3</v>
      </c>
      <c r="P409" s="29">
        <f>(SATS!E$25/SATS!E$23)</f>
        <v>8.9131528368978016E-2</v>
      </c>
      <c r="Q409" s="29">
        <f>(SATS!F$25/SATS!F$23)</f>
        <v>0.13114680819954611</v>
      </c>
      <c r="R409" s="29">
        <f>(SATS!G$25/SATS!G$23)</f>
        <v>0.14268853754017305</v>
      </c>
      <c r="S409" s="29">
        <f t="shared" si="93"/>
        <v>0.13619545926041945</v>
      </c>
      <c r="T409" s="30"/>
      <c r="U409" s="32" t="str">
        <f>D409</f>
        <v>US$ 119.08</v>
      </c>
      <c r="V409" s="28" t="str">
        <f>C409</f>
        <v>EchoStar</v>
      </c>
      <c r="W409" s="43"/>
      <c r="X409" s="43"/>
      <c r="Y409" s="43"/>
      <c r="Z409" s="33"/>
    </row>
    <row r="410" spans="1:28">
      <c r="A410" s="25"/>
      <c r="C410" s="35" t="str">
        <f>C351</f>
        <v>Agg. US Other</v>
      </c>
      <c r="D410" s="42"/>
      <c r="E410" s="42"/>
      <c r="F410" s="39"/>
      <c r="G410" s="42"/>
      <c r="H410" s="40"/>
      <c r="I410" s="39">
        <f>('US OTHER'!D$24/'US OTHER'!D$23)</f>
        <v>0.32044725447129546</v>
      </c>
      <c r="J410" s="39">
        <f>('US OTHER'!E$24/'US OTHER'!E$23)</f>
        <v>0.32711935621186583</v>
      </c>
      <c r="K410" s="39">
        <f>('US OTHER'!F$24/'US OTHER'!F$23)</f>
        <v>0.30671605119299511</v>
      </c>
      <c r="L410" s="39">
        <f>('US OTHER'!G$24/'US OTHER'!G$23)</f>
        <v>0.3192364063176017</v>
      </c>
      <c r="M410" s="39">
        <f t="shared" si="92"/>
        <v>-1.2108481536937665E-3</v>
      </c>
      <c r="N410" s="40"/>
      <c r="O410" s="39">
        <f>('US OTHER'!D$25/'US OTHER'!D$23)</f>
        <v>0.190456706973539</v>
      </c>
      <c r="P410" s="39">
        <f>('US OTHER'!E$25/'US OTHER'!E$23)</f>
        <v>0.20014254202470572</v>
      </c>
      <c r="Q410" s="39">
        <f>('US OTHER'!F$25/'US OTHER'!F$23)</f>
        <v>0.21645329696036331</v>
      </c>
      <c r="R410" s="39">
        <f>('US OTHER'!G$25/'US OTHER'!G$23)</f>
        <v>0.213979420109733</v>
      </c>
      <c r="S410" s="39">
        <f t="shared" si="93"/>
        <v>2.3522713136194001E-2</v>
      </c>
      <c r="T410" s="40"/>
      <c r="U410" s="35"/>
      <c r="V410" s="42" t="str">
        <f>V351</f>
        <v>Agg. US CATV</v>
      </c>
      <c r="W410" s="43"/>
      <c r="X410" s="43"/>
      <c r="Y410" s="43"/>
      <c r="Z410" s="33"/>
    </row>
    <row r="411" spans="1:28">
      <c r="A411" s="25"/>
      <c r="C411" s="32"/>
      <c r="D411" s="28"/>
      <c r="E411" s="28"/>
      <c r="F411" s="29"/>
      <c r="G411" s="28"/>
      <c r="H411" s="30"/>
      <c r="I411" s="29"/>
      <c r="J411" s="29"/>
      <c r="K411" s="29"/>
      <c r="L411" s="29"/>
      <c r="M411" s="29"/>
      <c r="N411" s="30"/>
      <c r="O411" s="29"/>
      <c r="P411" s="29"/>
      <c r="Q411" s="29"/>
      <c r="R411" s="29"/>
      <c r="S411" s="29"/>
      <c r="T411" s="30"/>
      <c r="U411" s="32"/>
      <c r="V411" s="28"/>
      <c r="W411" s="43"/>
      <c r="X411" s="43"/>
      <c r="Y411" s="43"/>
      <c r="Z411" s="33"/>
    </row>
    <row r="412" spans="1:28" s="5" customFormat="1">
      <c r="A412" s="112"/>
      <c r="B412" s="26"/>
      <c r="C412" s="32"/>
      <c r="D412" s="28"/>
      <c r="E412" s="28"/>
      <c r="F412" s="29"/>
      <c r="G412" s="28"/>
      <c r="H412" s="30"/>
      <c r="I412" s="29"/>
      <c r="J412" s="29"/>
      <c r="K412" s="29"/>
      <c r="L412" s="29"/>
      <c r="M412" s="29"/>
      <c r="N412" s="30"/>
      <c r="O412" s="29"/>
      <c r="P412" s="29"/>
      <c r="Q412" s="29"/>
      <c r="R412" s="29"/>
      <c r="S412" s="29"/>
      <c r="T412" s="30"/>
      <c r="U412" s="32"/>
      <c r="V412" s="28"/>
      <c r="W412" s="43"/>
      <c r="X412" s="43"/>
      <c r="Y412" s="43"/>
      <c r="Z412" s="33"/>
    </row>
    <row r="413" spans="1:28" s="5" customFormat="1">
      <c r="A413" s="112"/>
      <c r="B413" s="26"/>
      <c r="C413" s="35" t="str">
        <f>C354</f>
        <v>Agg. W Europe</v>
      </c>
      <c r="D413" s="36"/>
      <c r="E413" s="36"/>
      <c r="F413" s="37"/>
      <c r="G413" s="36"/>
      <c r="H413" s="30"/>
      <c r="I413" s="39">
        <f>'W.EUR AGG'!$D$24/'W.EUR AGG'!$D$23</f>
        <v>0.30009316485878201</v>
      </c>
      <c r="J413" s="39">
        <f>'W.EUR AGG'!$E$24/'W.EUR AGG'!$E$23</f>
        <v>0.30693505495917245</v>
      </c>
      <c r="K413" s="39">
        <f>'W.EUR AGG'!$F$24/'W.EUR AGG'!$F$23</f>
        <v>0.31407150171078313</v>
      </c>
      <c r="L413" s="39">
        <f>'W.EUR AGG'!$G$24/'W.EUR AGG'!$G$23</f>
        <v>0.31953210412341887</v>
      </c>
      <c r="M413" s="39">
        <f>L413-I413</f>
        <v>1.9438939264636856E-2</v>
      </c>
      <c r="N413" s="40"/>
      <c r="O413" s="39">
        <f>'W.EUR AGG'!$D$25/'W.EUR AGG'!$D$23</f>
        <v>0.15008614384800245</v>
      </c>
      <c r="P413" s="39">
        <f>'W.EUR AGG'!$E$25/'W.EUR AGG'!$E$23</f>
        <v>0.1638719493773369</v>
      </c>
      <c r="Q413" s="39">
        <f>'W.EUR AGG'!$F$25/'W.EUR AGG'!$F$23</f>
        <v>0.17672013318511776</v>
      </c>
      <c r="R413" s="39">
        <f>'W.EUR AGG'!$G$25/'W.EUR AGG'!$G$23</f>
        <v>0.18597034618070613</v>
      </c>
      <c r="S413" s="39">
        <f>R413-O413</f>
        <v>3.5884202332703674E-2</v>
      </c>
      <c r="T413" s="30"/>
      <c r="U413" s="41"/>
      <c r="V413" s="42" t="str">
        <f>V354</f>
        <v>Agg. W Europe</v>
      </c>
      <c r="W413" s="43"/>
      <c r="X413" s="43"/>
      <c r="Y413" s="43"/>
      <c r="Z413" s="33"/>
      <c r="AB413" s="47"/>
    </row>
    <row r="414" spans="1:28" s="5" customFormat="1">
      <c r="A414" s="112"/>
      <c r="B414" s="26"/>
      <c r="C414" s="25" t="s">
        <v>1268</v>
      </c>
      <c r="D414" s="28"/>
      <c r="E414" s="28"/>
      <c r="F414" s="29"/>
      <c r="G414" s="28"/>
      <c r="H414" s="30"/>
      <c r="I414" s="43">
        <f>'US AGG'!D$24/'US AGG'!D$23</f>
        <v>0.40936923248406737</v>
      </c>
      <c r="J414" s="43">
        <f>'US AGG'!E$24/'US AGG'!E$23</f>
        <v>0.41574169240323416</v>
      </c>
      <c r="K414" s="43">
        <f>'US AGG'!F$24/'US AGG'!F$23</f>
        <v>0.45388241052339912</v>
      </c>
      <c r="L414" s="43">
        <f>'US AGG'!G$24/'US AGG'!G$23</f>
        <v>0.46271956547489457</v>
      </c>
      <c r="M414" s="43">
        <f>L414-I414</f>
        <v>5.3350332990827198E-2</v>
      </c>
      <c r="N414" s="40"/>
      <c r="O414" s="43">
        <f>'US AGG'!D$25/'US AGG'!D$23</f>
        <v>0.25128129597845372</v>
      </c>
      <c r="P414" s="43">
        <f>'US AGG'!E$25/'US AGG'!E$23</f>
        <v>0.25899156834226156</v>
      </c>
      <c r="Q414" s="43">
        <f>'US AGG'!F$25/'US AGG'!F$23</f>
        <v>0.29436180403472423</v>
      </c>
      <c r="R414" s="43">
        <f>'US AGG'!G$25/'US AGG'!G$23</f>
        <v>0.30444322336897173</v>
      </c>
      <c r="S414" s="43">
        <f>R414-O414</f>
        <v>5.3161927390518005E-2</v>
      </c>
      <c r="T414" s="30"/>
      <c r="U414" s="32"/>
      <c r="V414" s="34" t="str">
        <f>V355</f>
        <v>Agg. US</v>
      </c>
      <c r="W414" s="43"/>
      <c r="X414" s="43"/>
      <c r="Y414" s="43"/>
      <c r="Z414" s="33"/>
    </row>
    <row r="415" spans="1:28" s="5" customFormat="1">
      <c r="A415" s="112"/>
      <c r="B415" s="26"/>
      <c r="C415" s="51" t="str">
        <f>C356</f>
        <v xml:space="preserve">Agg. Developed Asia </v>
      </c>
      <c r="D415" s="36"/>
      <c r="E415" s="36"/>
      <c r="F415" s="37"/>
      <c r="G415" s="36"/>
      <c r="H415" s="30"/>
      <c r="I415" s="39">
        <f>'AGG DM ASIA'!$D$24/'AGG DM ASIA'!$D$23</f>
        <v>0.2564509583378351</v>
      </c>
      <c r="J415" s="39">
        <f>'AGG DM ASIA'!$E$24/'AGG DM ASIA'!$E$23</f>
        <v>0.26575590830077322</v>
      </c>
      <c r="K415" s="39">
        <f>'AGG DM ASIA'!$F$24/'AGG DM ASIA'!$F$23</f>
        <v>0.27025874211354423</v>
      </c>
      <c r="L415" s="39">
        <f>'AGG DM ASIA'!$G$24/'AGG DM ASIA'!$G$23</f>
        <v>0.27298177163796583</v>
      </c>
      <c r="M415" s="39">
        <f>L415-I415</f>
        <v>1.6530813300130731E-2</v>
      </c>
      <c r="N415" s="40"/>
      <c r="O415" s="39">
        <f>'AGG DM ASIA'!$D$25/'AGG DM ASIA'!$D$23</f>
        <v>0.12486122534426423</v>
      </c>
      <c r="P415" s="39">
        <f>'AGG DM ASIA'!$E$25/'AGG DM ASIA'!$E$23</f>
        <v>0.13976711091639124</v>
      </c>
      <c r="Q415" s="39">
        <f>'AGG DM ASIA'!$F$25/'AGG DM ASIA'!$F$23</f>
        <v>0.151242702727484</v>
      </c>
      <c r="R415" s="39">
        <f>'AGG DM ASIA'!$G$25/'AGG DM ASIA'!$G$23</f>
        <v>0.15874511897770743</v>
      </c>
      <c r="S415" s="39">
        <f>R415-O415</f>
        <v>3.3883893633443199E-2</v>
      </c>
      <c r="T415" s="30"/>
      <c r="U415" s="41"/>
      <c r="V415" s="42" t="str">
        <f>V356</f>
        <v xml:space="preserve">Agg. Developed Asia </v>
      </c>
      <c r="W415" s="43"/>
      <c r="X415" s="43"/>
      <c r="Y415" s="43"/>
      <c r="Z415" s="33"/>
    </row>
    <row r="416" spans="1:28" s="5" customFormat="1">
      <c r="A416" s="112"/>
      <c r="B416" s="26"/>
      <c r="C416" s="25"/>
      <c r="D416" s="28"/>
      <c r="E416" s="28"/>
      <c r="F416" s="29"/>
      <c r="G416" s="28"/>
      <c r="H416" s="30"/>
      <c r="I416" s="43"/>
      <c r="J416" s="43"/>
      <c r="K416" s="43"/>
      <c r="L416" s="43"/>
      <c r="M416" s="43"/>
      <c r="N416" s="40"/>
      <c r="O416" s="43"/>
      <c r="P416" s="43"/>
      <c r="Q416" s="43"/>
      <c r="R416" s="43"/>
      <c r="S416" s="43"/>
      <c r="T416" s="30"/>
      <c r="U416" s="32"/>
      <c r="V416" s="34"/>
      <c r="W416" s="43"/>
      <c r="X416" s="43"/>
      <c r="Y416" s="43"/>
      <c r="Z416" s="33"/>
    </row>
    <row r="417" spans="1:29" s="5" customFormat="1">
      <c r="A417" s="112"/>
      <c r="B417" s="26"/>
      <c r="C417" s="51" t="str">
        <f>C358</f>
        <v>Agg. Global Developed</v>
      </c>
      <c r="D417" s="36"/>
      <c r="E417" s="36"/>
      <c r="F417" s="37"/>
      <c r="G417" s="36"/>
      <c r="H417" s="30"/>
      <c r="I417" s="39">
        <f>'AGG DM'!$D$24/'AGG DM'!$D$23</f>
        <v>0.33934647164823334</v>
      </c>
      <c r="J417" s="39">
        <f>'AGG DM'!$E$24/'AGG DM'!$E$23</f>
        <v>0.34570588886886661</v>
      </c>
      <c r="K417" s="39">
        <f>'AGG DM'!$F$24/'AGG DM'!$F$23</f>
        <v>0.35316840849271303</v>
      </c>
      <c r="L417" s="39">
        <f>'AGG DM'!$G$24/'AGG DM'!$G$23</f>
        <v>0.35891550557177571</v>
      </c>
      <c r="M417" s="39">
        <f>L417-I417</f>
        <v>1.9569033923542367E-2</v>
      </c>
      <c r="N417" s="40"/>
      <c r="O417" s="39">
        <f>'AGG DM'!$D$25/'AGG DM'!$D$23</f>
        <v>0.18897843813540285</v>
      </c>
      <c r="P417" s="39">
        <f>'AGG DM'!$E$25/'AGG DM'!$E$23</f>
        <v>0.19979155856882075</v>
      </c>
      <c r="Q417" s="39">
        <f>'AGG DM'!$F$25/'AGG DM'!$F$23</f>
        <v>0.21185087655239979</v>
      </c>
      <c r="R417" s="39">
        <f>'AGG DM'!$G$25/'AGG DM'!$G$23</f>
        <v>0.22081365766253894</v>
      </c>
      <c r="S417" s="39">
        <f>R417-O417</f>
        <v>3.1835219527136083E-2</v>
      </c>
      <c r="T417" s="30"/>
      <c r="U417" s="41"/>
      <c r="V417" s="42" t="str">
        <f>V358</f>
        <v xml:space="preserve">Agg. Global Developed </v>
      </c>
      <c r="W417" s="43"/>
      <c r="X417" s="43"/>
      <c r="Y417" s="43"/>
      <c r="Z417" s="33"/>
    </row>
    <row r="418" spans="1:29" s="5" customFormat="1">
      <c r="A418" s="112"/>
      <c r="B418" s="26"/>
      <c r="C418" s="25"/>
      <c r="D418" s="28"/>
      <c r="E418" s="28"/>
      <c r="F418" s="29"/>
      <c r="G418" s="28"/>
      <c r="H418" s="30"/>
      <c r="I418" s="43"/>
      <c r="J418" s="43"/>
      <c r="K418" s="43"/>
      <c r="L418" s="43"/>
      <c r="M418" s="56"/>
      <c r="N418" s="57"/>
      <c r="O418" s="43"/>
      <c r="P418" s="43"/>
      <c r="Q418" s="43"/>
      <c r="R418" s="43"/>
      <c r="S418" s="43"/>
      <c r="T418" s="30"/>
      <c r="U418" s="32"/>
      <c r="V418" s="34"/>
      <c r="W418" s="43"/>
      <c r="X418" s="43"/>
      <c r="Y418" s="43"/>
      <c r="Z418" s="33"/>
    </row>
    <row r="419" spans="1:29" s="5" customFormat="1">
      <c r="A419" s="112"/>
      <c r="B419" s="26"/>
      <c r="C419" s="25"/>
      <c r="D419" s="28"/>
      <c r="E419" s="28"/>
      <c r="F419" s="29"/>
      <c r="G419" s="28"/>
      <c r="H419" s="30"/>
      <c r="I419" s="43"/>
      <c r="J419" s="43"/>
      <c r="K419" s="43"/>
      <c r="L419" s="43"/>
      <c r="M419" s="56"/>
      <c r="N419" s="57"/>
      <c r="O419" s="43"/>
      <c r="P419" s="43"/>
      <c r="Q419" s="43"/>
      <c r="R419" s="43"/>
      <c r="S419" s="43"/>
      <c r="T419" s="30"/>
      <c r="U419" s="32"/>
      <c r="V419" s="34"/>
      <c r="W419" s="43"/>
      <c r="X419" s="43"/>
      <c r="Y419" s="43"/>
      <c r="Z419" s="33"/>
    </row>
    <row r="420" spans="1:29" s="25" customFormat="1">
      <c r="B420" s="113"/>
      <c r="C420" s="130"/>
      <c r="D420" s="131" t="s">
        <v>379</v>
      </c>
      <c r="E420" s="131" t="s">
        <v>50</v>
      </c>
      <c r="F420" s="131" t="s">
        <v>52</v>
      </c>
      <c r="G420" s="131" t="s">
        <v>49</v>
      </c>
      <c r="H420" s="33"/>
      <c r="I420" s="132" t="s">
        <v>387</v>
      </c>
      <c r="J420" s="132"/>
      <c r="K420" s="132"/>
      <c r="L420" s="132"/>
      <c r="M420" s="132"/>
      <c r="O420" s="132" t="s">
        <v>241</v>
      </c>
      <c r="P420" s="132"/>
      <c r="Q420" s="132"/>
      <c r="R420" s="132"/>
      <c r="S420" s="132"/>
      <c r="T420" s="33"/>
      <c r="U420" s="133" t="s">
        <v>379</v>
      </c>
      <c r="V420" s="131"/>
      <c r="Z420" s="33"/>
      <c r="AC420" s="106"/>
    </row>
    <row r="421" spans="1:29" s="5" customFormat="1">
      <c r="A421" s="25" t="s">
        <v>415</v>
      </c>
      <c r="B421" s="26"/>
      <c r="C421" s="32" t="s">
        <v>160</v>
      </c>
      <c r="D421" s="28" t="str">
        <f t="shared" ref="D421:G431" si="94">D362</f>
        <v>GBP2.24</v>
      </c>
      <c r="E421" s="28" t="str">
        <f t="shared" si="94"/>
        <v>GBP2.40</v>
      </c>
      <c r="F421" s="29">
        <f t="shared" si="94"/>
        <v>7.1189466636911503E-2</v>
      </c>
      <c r="G421" s="28" t="str">
        <f t="shared" si="94"/>
        <v>Neutral</v>
      </c>
      <c r="H421" s="30"/>
      <c r="I421" s="29">
        <f>BT!$D$30/BT!$D$23</f>
        <v>8.1776844425119621E-2</v>
      </c>
      <c r="J421" s="29">
        <f>BT!$E$30/BT!$E$23</f>
        <v>8.1711208126486162E-2</v>
      </c>
      <c r="K421" s="29">
        <f>BT!$F$30/BT!$F$23</f>
        <v>7.9720286489447303E-2</v>
      </c>
      <c r="L421" s="29">
        <f>BT!$G$30/BT!$G$23</f>
        <v>8.0560142930951942E-2</v>
      </c>
      <c r="M421" s="29">
        <f t="shared" ref="M421:M432" si="95">L421-I421</f>
        <v>-1.2167014941676796E-3</v>
      </c>
      <c r="N421" s="30"/>
      <c r="O421" s="31">
        <f>BT!$D$12/BT!$D$24</f>
        <v>2.2375597754626364</v>
      </c>
      <c r="P421" s="31">
        <f>BT!$E$12/BT!$E$24</f>
        <v>2.2191433556356066</v>
      </c>
      <c r="Q421" s="31">
        <f>BT!$F$12/BT!$F$24</f>
        <v>2.1836444161520405</v>
      </c>
      <c r="R421" s="31">
        <f>BT!$G$12/BT!$G$24</f>
        <v>2.1716591143122983</v>
      </c>
      <c r="S421" s="29">
        <f t="shared" ref="S421:S432" si="96">R421-O421</f>
        <v>-6.5900661150338102E-2</v>
      </c>
      <c r="T421" s="30"/>
      <c r="U421" s="32" t="str">
        <f t="shared" ref="U421:U431" si="97">U362</f>
        <v>GBP2.24</v>
      </c>
      <c r="V421" s="53" t="str">
        <f>C421</f>
        <v>British Telecom</v>
      </c>
      <c r="W421" s="43"/>
      <c r="X421" s="43"/>
      <c r="Y421" s="43"/>
      <c r="Z421" s="33"/>
    </row>
    <row r="422" spans="1:29">
      <c r="A422" s="25"/>
      <c r="C422" s="32" t="s">
        <v>161</v>
      </c>
      <c r="D422" s="28" t="str">
        <f t="shared" si="94"/>
        <v>EUR 27.67</v>
      </c>
      <c r="E422" s="28" t="str">
        <f t="shared" si="94"/>
        <v>EUR 43.00</v>
      </c>
      <c r="F422" s="29">
        <f t="shared" si="94"/>
        <v>0.55402963498373681</v>
      </c>
      <c r="G422" s="28" t="str">
        <f t="shared" si="94"/>
        <v>Buy</v>
      </c>
      <c r="H422" s="30"/>
      <c r="I422" s="29">
        <f>DT!$D$30/DT!$D$23</f>
        <v>8.2061789874119301E-2</v>
      </c>
      <c r="J422" s="29">
        <f>DT!$E$30/DT!$E$23</f>
        <v>8.2903501781732128E-2</v>
      </c>
      <c r="K422" s="29">
        <f>DT!$F$30/DT!$F$23</f>
        <v>9.091620412808922E-2</v>
      </c>
      <c r="L422" s="29">
        <f>DT!$G$30/DT!$G$23</f>
        <v>9.8803290623035389E-2</v>
      </c>
      <c r="M422" s="29">
        <f t="shared" si="95"/>
        <v>1.6741500748916088E-2</v>
      </c>
      <c r="N422" s="30"/>
      <c r="O422" s="31">
        <f>DT!$D$12/DT!$D$24</f>
        <v>2.2341777919533423</v>
      </c>
      <c r="P422" s="31">
        <f>DT!$E$12/DT!$E$24</f>
        <v>2.1021531298720997</v>
      </c>
      <c r="Q422" s="31">
        <f>DT!$F$12/DT!$F$24</f>
        <v>1.8335930442725052</v>
      </c>
      <c r="R422" s="31">
        <f>DT!$G$12/DT!$G$24</f>
        <v>1.614722410960004</v>
      </c>
      <c r="S422" s="29">
        <f t="shared" si="96"/>
        <v>-0.6194553809933383</v>
      </c>
      <c r="T422" s="30"/>
      <c r="U422" s="32" t="str">
        <f t="shared" si="97"/>
        <v>EUR 27.67</v>
      </c>
      <c r="V422" s="53" t="str">
        <f>C422</f>
        <v>Deutsche Telekom</v>
      </c>
      <c r="W422" s="43"/>
      <c r="X422" s="43"/>
      <c r="Y422" s="43"/>
      <c r="Z422" s="33"/>
      <c r="AB422" s="5"/>
    </row>
    <row r="423" spans="1:29" s="5" customFormat="1">
      <c r="A423" s="25"/>
      <c r="B423" s="26"/>
      <c r="C423" s="32" t="s">
        <v>373</v>
      </c>
      <c r="D423" s="28" t="str">
        <f t="shared" si="94"/>
        <v>EUR 4.66</v>
      </c>
      <c r="E423" s="28" t="str">
        <f t="shared" si="94"/>
        <v>EUR 4.33</v>
      </c>
      <c r="F423" s="29">
        <f t="shared" si="94"/>
        <v>-7.2021498159240971E-2</v>
      </c>
      <c r="G423" s="28" t="str">
        <f t="shared" si="94"/>
        <v>Neutral</v>
      </c>
      <c r="H423" s="30"/>
      <c r="I423" s="29">
        <f>KPN!$D$30/KPN!$D$23</f>
        <v>0.1315834620003431</v>
      </c>
      <c r="J423" s="29">
        <f>KPN!$E$30/KPN!$E$23</f>
        <v>8.4682004786835671E-2</v>
      </c>
      <c r="K423" s="29">
        <f>KPN!$F$30/KPN!$F$23</f>
        <v>9.7625538321986172E-2</v>
      </c>
      <c r="L423" s="29">
        <f>KPN!$G$30/KPN!$G$23</f>
        <v>0.11194033718752254</v>
      </c>
      <c r="M423" s="29">
        <f t="shared" si="95"/>
        <v>-1.9643124812820559E-2</v>
      </c>
      <c r="N423" s="30"/>
      <c r="O423" s="31">
        <f>KPN!$D$12/KPN!$D$24</f>
        <v>2.3889310083396511</v>
      </c>
      <c r="P423" s="31">
        <f>KPN!$E$12/KPN!$E$24</f>
        <v>2.4158908422658323</v>
      </c>
      <c r="Q423" s="31">
        <f>KPN!$F$12/KPN!$F$24</f>
        <v>2.3632001255124298</v>
      </c>
      <c r="R423" s="31">
        <f>KPN!$G$12/KPN!$G$24</f>
        <v>2.3323077716337055</v>
      </c>
      <c r="S423" s="29">
        <f t="shared" si="96"/>
        <v>-5.6623236705945601E-2</v>
      </c>
      <c r="T423" s="30"/>
      <c r="U423" s="32" t="str">
        <f t="shared" si="97"/>
        <v>EUR 4.66</v>
      </c>
      <c r="V423" s="53" t="str">
        <f>C423</f>
        <v>KPN</v>
      </c>
      <c r="W423" s="43"/>
      <c r="X423" s="43"/>
      <c r="Y423" s="43"/>
      <c r="Z423" s="33"/>
      <c r="AB423" s="47"/>
    </row>
    <row r="424" spans="1:29" s="5" customFormat="1">
      <c r="A424" s="25"/>
      <c r="B424" s="26"/>
      <c r="C424" s="32" t="s">
        <v>604</v>
      </c>
      <c r="D424" s="28" t="str">
        <f t="shared" si="94"/>
        <v>EUR 17.64</v>
      </c>
      <c r="E424" s="28" t="str">
        <f t="shared" si="94"/>
        <v>EUR 18.80</v>
      </c>
      <c r="F424" s="29">
        <f t="shared" si="94"/>
        <v>6.5759637188208542E-2</v>
      </c>
      <c r="G424" s="28" t="str">
        <f t="shared" si="94"/>
        <v>Neutral</v>
      </c>
      <c r="H424" s="30"/>
      <c r="I424" s="29">
        <f>ORA!$D$30/ORA!$D$23</f>
        <v>6.9851485148514858E-2</v>
      </c>
      <c r="J424" s="29">
        <f>ORA!$E$30/ORA!$E$23</f>
        <v>8.6555284125281434E-2</v>
      </c>
      <c r="K424" s="29">
        <f>ORA!$F$30/ORA!$F$23</f>
        <v>5.9372410306334084E-2</v>
      </c>
      <c r="L424" s="29">
        <f>ORA!$G$30/ORA!$G$23</f>
        <v>6.6051221163906493E-2</v>
      </c>
      <c r="M424" s="29">
        <f t="shared" si="95"/>
        <v>-3.8002639846083652E-3</v>
      </c>
      <c r="N424" s="30"/>
      <c r="O424" s="31">
        <f>ORA!$D$12/ORA!$D$24</f>
        <v>2.2604976944667201</v>
      </c>
      <c r="P424" s="31">
        <f>ORA!$E$12/ORA!$E$24</f>
        <v>2.6768871673739585</v>
      </c>
      <c r="Q424" s="31">
        <f>ORA!$F$12/ORA!$F$24</f>
        <v>2.6533357842619161</v>
      </c>
      <c r="R424" s="31">
        <f>ORA!$G$12/ORA!$G$24</f>
        <v>2.4543668561404122</v>
      </c>
      <c r="S424" s="29">
        <f t="shared" si="96"/>
        <v>0.19386916167369206</v>
      </c>
      <c r="T424" s="30"/>
      <c r="U424" s="32" t="str">
        <f t="shared" si="97"/>
        <v>EUR 17.64</v>
      </c>
      <c r="V424" s="53" t="str">
        <f>C424</f>
        <v>Orange</v>
      </c>
      <c r="W424" s="43"/>
      <c r="X424" s="43"/>
      <c r="Y424" s="43"/>
      <c r="Z424" s="33"/>
    </row>
    <row r="425" spans="1:29" s="5" customFormat="1">
      <c r="A425" s="25"/>
      <c r="B425" s="26"/>
      <c r="C425" s="32" t="s">
        <v>374</v>
      </c>
      <c r="D425" s="28" t="str">
        <f t="shared" si="94"/>
        <v>EUR 18.29</v>
      </c>
      <c r="E425" s="28" t="str">
        <f t="shared" si="94"/>
        <v>EUR 22.10</v>
      </c>
      <c r="F425" s="29">
        <f t="shared" si="94"/>
        <v>0.20831055221432493</v>
      </c>
      <c r="G425" s="28" t="str">
        <f t="shared" si="94"/>
        <v>Buy</v>
      </c>
      <c r="H425" s="30"/>
      <c r="I425" s="29">
        <f>OTE!$D$30/OTE!$D$23</f>
        <v>0.14991704459418553</v>
      </c>
      <c r="J425" s="29">
        <f>OTE!$E$30/OTE!$E$23</f>
        <v>0.16131965046714142</v>
      </c>
      <c r="K425" s="29">
        <f>OTE!$F$30/OTE!$F$23</f>
        <v>0.17235664293462374</v>
      </c>
      <c r="L425" s="29">
        <f>OTE!$G$30/OTE!$G$23</f>
        <v>0.1763535870107458</v>
      </c>
      <c r="M425" s="29">
        <f t="shared" si="95"/>
        <v>2.6436542416560266E-2</v>
      </c>
      <c r="N425" s="30"/>
      <c r="O425" s="31">
        <f>OTE!$D$12/OTE!$D$24</f>
        <v>0.40397399371758352</v>
      </c>
      <c r="P425" s="31">
        <f>OTE!$E$12/OTE!$E$24</f>
        <v>0.2464721775589622</v>
      </c>
      <c r="Q425" s="31">
        <f>OTE!$F$12/OTE!$F$24</f>
        <v>0.30738389185369358</v>
      </c>
      <c r="R425" s="31">
        <f>OTE!$G$12/OTE!$G$24</f>
        <v>0.2805222726998795</v>
      </c>
      <c r="S425" s="29">
        <f t="shared" si="96"/>
        <v>-0.12345172101770402</v>
      </c>
      <c r="T425" s="30"/>
      <c r="U425" s="32" t="str">
        <f t="shared" si="97"/>
        <v>EUR 18.29</v>
      </c>
      <c r="V425" s="53" t="str">
        <f>C425</f>
        <v>OTE</v>
      </c>
      <c r="W425" s="43"/>
      <c r="X425" s="43"/>
      <c r="Y425" s="43"/>
      <c r="Z425" s="33"/>
    </row>
    <row r="426" spans="1:29" s="5" customFormat="1">
      <c r="A426" s="25"/>
      <c r="B426" s="26"/>
      <c r="C426" s="32" t="s">
        <v>686</v>
      </c>
      <c r="D426" s="28" t="str">
        <f t="shared" si="94"/>
        <v>EUR 6.6</v>
      </c>
      <c r="E426" s="28" t="str">
        <f t="shared" si="94"/>
        <v>EUR 13.3</v>
      </c>
      <c r="F426" s="29">
        <f t="shared" si="94"/>
        <v>1.0060331825037707</v>
      </c>
      <c r="G426" s="28" t="str">
        <f t="shared" si="94"/>
        <v>Neutral</v>
      </c>
      <c r="H426" s="30"/>
      <c r="I426" s="29">
        <f>PROX!$D$30/PROX!$D$23</f>
        <v>6.7372090963314465E-2</v>
      </c>
      <c r="J426" s="29">
        <f>PROX!$E$30/PROX!$E$23</f>
        <v>5.9020639841818844E-2</v>
      </c>
      <c r="K426" s="29">
        <f>PROX!$F$30/PROX!$F$23</f>
        <v>6.1274327155640462E-2</v>
      </c>
      <c r="L426" s="29">
        <f>PROX!$G$30/PROX!$G$23</f>
        <v>6.442477992600916E-2</v>
      </c>
      <c r="M426" s="29">
        <f t="shared" si="95"/>
        <v>-2.9473110373053057E-3</v>
      </c>
      <c r="N426" s="30"/>
      <c r="O426" s="31">
        <f>PROX!$D$12/PROX!$D$24</f>
        <v>2.2653927813163484</v>
      </c>
      <c r="P426" s="31">
        <f>PROX!$E$12/PROX!$E$24</f>
        <v>2.346059355970028</v>
      </c>
      <c r="Q426" s="31">
        <f>PROX!$F$12/PROX!$F$24</f>
        <v>2.3443124670496172</v>
      </c>
      <c r="R426" s="31">
        <f>PROX!$G$12/PROX!$G$24</f>
        <v>2.3674453838947387</v>
      </c>
      <c r="S426" s="29">
        <f t="shared" si="96"/>
        <v>0.10205260257839033</v>
      </c>
      <c r="T426" s="30"/>
      <c r="U426" s="32" t="str">
        <f t="shared" si="97"/>
        <v>EUR 6.6</v>
      </c>
      <c r="V426" s="53" t="s">
        <v>686</v>
      </c>
      <c r="W426" s="43"/>
      <c r="X426" s="43"/>
      <c r="Y426" s="43"/>
      <c r="Z426" s="33"/>
    </row>
    <row r="427" spans="1:29">
      <c r="C427" s="32" t="s">
        <v>378</v>
      </c>
      <c r="D427" s="28" t="str">
        <f t="shared" si="94"/>
        <v>CHF673</v>
      </c>
      <c r="E427" s="28" t="str">
        <f t="shared" si="94"/>
        <v>CHF570</v>
      </c>
      <c r="F427" s="29">
        <f t="shared" si="94"/>
        <v>-0.15241635687732347</v>
      </c>
      <c r="G427" s="28" t="str">
        <f t="shared" si="94"/>
        <v>Sell</v>
      </c>
      <c r="H427" s="30"/>
      <c r="I427" s="29">
        <f>SWISS!$D$30/SWISS!$D$23</f>
        <v>0.26633501955224409</v>
      </c>
      <c r="J427" s="29">
        <f>SWISS!$E$30/SWISS!$E$23</f>
        <v>0.27056968808354392</v>
      </c>
      <c r="K427" s="29">
        <f>SWISS!$F$30/SWISS!$F$23</f>
        <v>0.26975619119208916</v>
      </c>
      <c r="L427" s="29">
        <f>SWISS!$G$30/SWISS!$G$23</f>
        <v>0.27225714234207782</v>
      </c>
      <c r="M427" s="29">
        <f t="shared" si="95"/>
        <v>5.9221227898337281E-3</v>
      </c>
      <c r="N427" s="30"/>
      <c r="O427" s="31">
        <f>SWISS!$D$12/SWISS!$D$24</f>
        <v>2.3883272532685562</v>
      </c>
      <c r="P427" s="31">
        <f>SWISS!$E$12/SWISS!$E$24</f>
        <v>2.3380892459290319</v>
      </c>
      <c r="Q427" s="31">
        <f>SWISS!$F$12/SWISS!$F$24</f>
        <v>2.264522427436416</v>
      </c>
      <c r="R427" s="31">
        <f>SWISS!$G$12/SWISS!$G$24</f>
        <v>2.2169412009624847</v>
      </c>
      <c r="S427" s="29">
        <f t="shared" si="96"/>
        <v>-0.17138605230607151</v>
      </c>
      <c r="T427" s="30"/>
      <c r="U427" s="32" t="str">
        <f t="shared" si="97"/>
        <v>CHF673</v>
      </c>
      <c r="V427" s="53" t="str">
        <f t="shared" ref="V427:V431" si="98">C427</f>
        <v>Swisscom</v>
      </c>
    </row>
    <row r="428" spans="1:29" s="5" customFormat="1">
      <c r="A428" s="25"/>
      <c r="B428" s="26"/>
      <c r="C428" s="32" t="s">
        <v>222</v>
      </c>
      <c r="D428" s="28" t="str">
        <f t="shared" si="94"/>
        <v>EUR 0.66</v>
      </c>
      <c r="E428" s="28" t="str">
        <f t="shared" si="94"/>
        <v>EUR 0.55</v>
      </c>
      <c r="F428" s="29">
        <f t="shared" si="94"/>
        <v>-0.16641406486814181</v>
      </c>
      <c r="G428" s="28" t="str">
        <f t="shared" si="94"/>
        <v>Neutral</v>
      </c>
      <c r="H428" s="30"/>
      <c r="I428" s="29">
        <f>TI!$D$30/TI!$D$23</f>
        <v>3.7789427697684577E-2</v>
      </c>
      <c r="J428" s="29">
        <f>TI!$E$30/TI!$E$23</f>
        <v>4.6296330277236973E-2</v>
      </c>
      <c r="K428" s="29">
        <f>TI!$F$30/TI!$F$23</f>
        <v>7.2381238462082748E-2</v>
      </c>
      <c r="L428" s="29">
        <f>TI!$G$30/TI!$G$23</f>
        <v>8.8561015103028079E-2</v>
      </c>
      <c r="M428" s="29">
        <f t="shared" si="95"/>
        <v>5.0771587405343502E-2</v>
      </c>
      <c r="N428" s="30"/>
      <c r="O428" s="31">
        <f>TI!$D$12/TI!$D$24</f>
        <v>1.6682027649769586</v>
      </c>
      <c r="P428" s="31">
        <f>TI!$E$12/TI!$E$24</f>
        <v>1.4018531908595055</v>
      </c>
      <c r="Q428" s="31">
        <f>TI!$F$12/TI!$F$24</f>
        <v>1.2227434467926155</v>
      </c>
      <c r="R428" s="31">
        <f>TI!$G$12/TI!$G$24</f>
        <v>1.039104371047475</v>
      </c>
      <c r="S428" s="29">
        <f t="shared" si="96"/>
        <v>-0.62909839392948363</v>
      </c>
      <c r="T428" s="30"/>
      <c r="U428" s="32" t="str">
        <f t="shared" si="97"/>
        <v>EUR 0.66</v>
      </c>
      <c r="V428" s="53" t="str">
        <f t="shared" si="98"/>
        <v>Telecom Italia</v>
      </c>
      <c r="W428" s="43"/>
      <c r="X428" s="43"/>
      <c r="Y428" s="43"/>
      <c r="Z428" s="33"/>
    </row>
    <row r="429" spans="1:29" s="5" customFormat="1">
      <c r="A429" s="25"/>
      <c r="B429" s="26"/>
      <c r="C429" s="32" t="s">
        <v>376</v>
      </c>
      <c r="D429" s="28" t="str">
        <f t="shared" si="94"/>
        <v>EUR 3.88</v>
      </c>
      <c r="E429" s="28" t="str">
        <f t="shared" si="94"/>
        <v>EUR 3.30</v>
      </c>
      <c r="F429" s="29">
        <f t="shared" si="94"/>
        <v>-0.14992272024729525</v>
      </c>
      <c r="G429" s="28" t="str">
        <f t="shared" si="94"/>
        <v>Sell</v>
      </c>
      <c r="H429" s="30"/>
      <c r="I429" s="29">
        <f>TEF!$D$30/TEF!$D$23</f>
        <v>5.8660687899093282E-2</v>
      </c>
      <c r="J429" s="29">
        <f>TEF!$E$30/TEF!$E$23</f>
        <v>5.966042544351164E-2</v>
      </c>
      <c r="K429" s="29">
        <f>TEF!$F$30/TEF!$F$23</f>
        <v>7.151309873161904E-2</v>
      </c>
      <c r="L429" s="29">
        <f>TEF!$G$30/TEF!$G$23</f>
        <v>7.3288302901351784E-2</v>
      </c>
      <c r="M429" s="29">
        <f t="shared" si="95"/>
        <v>1.4627615002258502E-2</v>
      </c>
      <c r="N429" s="30"/>
      <c r="O429" s="31">
        <f>TEF!$D$12/TEF!$D$24</f>
        <v>3.5425446621516281</v>
      </c>
      <c r="P429" s="31">
        <f>TEF!$E$12/TEF!$E$24</f>
        <v>3.3839064172184963</v>
      </c>
      <c r="Q429" s="31">
        <f>TEF!$F$12/TEF!$F$24</f>
        <v>3.2726952887127094</v>
      </c>
      <c r="R429" s="31">
        <f>TEF!$G$12/TEF!$G$24</f>
        <v>3.1695638811139961</v>
      </c>
      <c r="S429" s="29">
        <f t="shared" si="96"/>
        <v>-0.37298078103763199</v>
      </c>
      <c r="T429" s="30"/>
      <c r="U429" s="32" t="str">
        <f t="shared" si="97"/>
        <v>EUR 3.88</v>
      </c>
      <c r="V429" s="53" t="str">
        <f t="shared" si="98"/>
        <v>Telefonica</v>
      </c>
      <c r="W429" s="43"/>
      <c r="X429" s="43"/>
      <c r="Y429" s="43"/>
      <c r="Z429" s="33"/>
    </row>
    <row r="430" spans="1:29" s="5" customFormat="1">
      <c r="A430" s="25"/>
      <c r="B430" s="26"/>
      <c r="C430" s="32" t="s">
        <v>377</v>
      </c>
      <c r="D430" s="28" t="str">
        <f t="shared" si="94"/>
        <v>NOK 164</v>
      </c>
      <c r="E430" s="28" t="str">
        <f t="shared" si="94"/>
        <v>NOK 160</v>
      </c>
      <c r="F430" s="29">
        <f t="shared" si="94"/>
        <v>-2.6171637248934898E-2</v>
      </c>
      <c r="G430" s="28" t="str">
        <f t="shared" si="94"/>
        <v>Neutral</v>
      </c>
      <c r="H430" s="30"/>
      <c r="I430" s="29">
        <f>TNOR!$D$30/TNOR!$D$23</f>
        <v>0.10090034001644493</v>
      </c>
      <c r="J430" s="29">
        <f>TNOR!$E$30/TNOR!$E$23</f>
        <v>8.8767836962844612E-2</v>
      </c>
      <c r="K430" s="29">
        <f>TNOR!$F$30/TNOR!$F$23</f>
        <v>9.6182587299993655E-2</v>
      </c>
      <c r="L430" s="29">
        <f>TNOR!$G$30/TNOR!$G$23</f>
        <v>9.6155353773650379E-2</v>
      </c>
      <c r="M430" s="29">
        <f t="shared" si="95"/>
        <v>-4.7449862427945549E-3</v>
      </c>
      <c r="N430" s="30"/>
      <c r="O430" s="31">
        <f>TNOR!$D$12/TNOR!$D$24</f>
        <v>2.0775101675342569</v>
      </c>
      <c r="P430" s="31">
        <f>TNOR!$E$12/TNOR!$E$24</f>
        <v>1.5070877727879262</v>
      </c>
      <c r="Q430" s="31">
        <f>TNOR!$F$12/TNOR!$F$24</f>
        <v>1.6840106133378874</v>
      </c>
      <c r="R430" s="31">
        <f>TNOR!$G$12/TNOR!$G$24</f>
        <v>1.7992474904265607</v>
      </c>
      <c r="S430" s="29">
        <f t="shared" si="96"/>
        <v>-0.27826267710769614</v>
      </c>
      <c r="T430" s="30"/>
      <c r="U430" s="32" t="str">
        <f t="shared" si="97"/>
        <v>NOK 164</v>
      </c>
      <c r="V430" s="28" t="str">
        <f t="shared" si="98"/>
        <v>Telenor</v>
      </c>
      <c r="W430" s="43"/>
      <c r="X430" s="43"/>
      <c r="Y430" s="43"/>
      <c r="Z430" s="33"/>
    </row>
    <row r="431" spans="1:29" s="5" customFormat="1">
      <c r="A431" s="25"/>
      <c r="B431" s="26"/>
      <c r="C431" s="32" t="s">
        <v>846</v>
      </c>
      <c r="D431" s="28" t="str">
        <f t="shared" si="94"/>
        <v>SEK48.7</v>
      </c>
      <c r="E431" s="28" t="str">
        <f t="shared" si="94"/>
        <v>SEK45.0</v>
      </c>
      <c r="F431" s="29">
        <f t="shared" si="94"/>
        <v>-7.6165058509546357E-2</v>
      </c>
      <c r="G431" s="28" t="str">
        <f t="shared" si="94"/>
        <v>Neutral</v>
      </c>
      <c r="H431" s="30"/>
      <c r="I431" s="29">
        <f>TELIA!$D$30/TELIA!$D$23</f>
        <v>7.0185303137507635E-2</v>
      </c>
      <c r="J431" s="29">
        <f>TELIA!$E$30/TELIA!$E$23</f>
        <v>5.4225165157210237E-2</v>
      </c>
      <c r="K431" s="29">
        <f>TELIA!$F$30/TELIA!$F$23</f>
        <v>5.9837446611350528E-2</v>
      </c>
      <c r="L431" s="29">
        <f>TELIA!$G$30/TELIA!$G$23</f>
        <v>7.3488919660940538E-2</v>
      </c>
      <c r="M431" s="29">
        <f t="shared" si="95"/>
        <v>3.3036165234329035E-3</v>
      </c>
      <c r="N431" s="30"/>
      <c r="O431" s="31">
        <f>TELIA!$D$12/TELIA!$D$24</f>
        <v>1.888475344277398</v>
      </c>
      <c r="P431" s="31">
        <f>TELIA!$E$12/TELIA!$E$24</f>
        <v>1.8020597163648286</v>
      </c>
      <c r="Q431" s="31">
        <f>TELIA!$F$12/TELIA!$F$24</f>
        <v>1.6994663037267794</v>
      </c>
      <c r="R431" s="31">
        <f>TELIA!$G$12/TELIA!$G$24</f>
        <v>1.6166861223076527</v>
      </c>
      <c r="S431" s="29">
        <f t="shared" si="96"/>
        <v>-0.27178922196974531</v>
      </c>
      <c r="T431" s="30"/>
      <c r="U431" s="32" t="str">
        <f t="shared" si="97"/>
        <v>SEK48.7</v>
      </c>
      <c r="V431" s="28" t="str">
        <f t="shared" si="98"/>
        <v>Telia</v>
      </c>
      <c r="W431" s="43"/>
      <c r="X431" s="43"/>
      <c r="Y431" s="43"/>
      <c r="Z431" s="33"/>
    </row>
    <row r="432" spans="1:29" s="5" customFormat="1">
      <c r="A432" s="25"/>
      <c r="B432" s="26"/>
      <c r="C432" s="35" t="str">
        <f>C373</f>
        <v>Agg. W.Europe Incumbent</v>
      </c>
      <c r="D432" s="36"/>
      <c r="E432" s="36"/>
      <c r="F432" s="37"/>
      <c r="G432" s="36"/>
      <c r="H432" s="30"/>
      <c r="I432" s="39">
        <f>'W.EUR INCUMB'!$D$30/'W.EUR INCUMB'!$D$23</f>
        <v>8.7583067741532378E-2</v>
      </c>
      <c r="J432" s="39">
        <f>'W.EUR INCUMB'!$E$30/'W.EUR INCUMB'!$E$23</f>
        <v>8.8924326586277996E-2</v>
      </c>
      <c r="K432" s="39">
        <f>'W.EUR INCUMB'!$F$30/'W.EUR INCUMB'!$F$23</f>
        <v>9.0882980208929681E-2</v>
      </c>
      <c r="L432" s="39">
        <f>'W.EUR INCUMB'!$G$30/'W.EUR INCUMB'!$G$23</f>
        <v>9.7243886342249258E-2</v>
      </c>
      <c r="M432" s="39">
        <f t="shared" si="95"/>
        <v>9.6608186007168806E-3</v>
      </c>
      <c r="N432" s="40"/>
      <c r="O432" s="38">
        <f>'W.EUR INCUMB'!$D$12/'W.EUR INCUMB'!$D$24</f>
        <v>2.3219922065078968</v>
      </c>
      <c r="P432" s="38">
        <f>'W.EUR INCUMB'!$E$12/'W.EUR INCUMB'!$E$24</f>
        <v>2.2688396703193767</v>
      </c>
      <c r="Q432" s="38">
        <f>'W.EUR INCUMB'!$F$12/'W.EUR INCUMB'!$F$24</f>
        <v>2.1108658760155681</v>
      </c>
      <c r="R432" s="38">
        <f>'W.EUR INCUMB'!$G$12/'W.EUR INCUMB'!$G$24</f>
        <v>1.9507737203414601</v>
      </c>
      <c r="S432" s="39">
        <f t="shared" si="96"/>
        <v>-0.37121848616643671</v>
      </c>
      <c r="T432" s="30"/>
      <c r="U432" s="41"/>
      <c r="V432" s="42" t="str">
        <f>V373</f>
        <v>Agg. W.Europe Incumbent</v>
      </c>
      <c r="W432" s="43"/>
      <c r="X432" s="43"/>
      <c r="Y432" s="43"/>
      <c r="Z432" s="33"/>
    </row>
    <row r="433" spans="1:28" s="5" customFormat="1">
      <c r="A433" s="25"/>
      <c r="B433" s="26"/>
      <c r="C433" s="32"/>
      <c r="D433" s="28"/>
      <c r="E433" s="28"/>
      <c r="F433" s="29"/>
      <c r="G433" s="28"/>
      <c r="H433" s="30"/>
      <c r="I433" s="29"/>
      <c r="J433" s="29"/>
      <c r="K433" s="29"/>
      <c r="L433" s="29"/>
      <c r="M433" s="29"/>
      <c r="N433" s="30"/>
      <c r="O433" s="31"/>
      <c r="P433" s="31"/>
      <c r="Q433" s="31"/>
      <c r="R433" s="31"/>
      <c r="S433" s="29"/>
      <c r="T433" s="30"/>
      <c r="U433" s="32"/>
      <c r="V433" s="28"/>
      <c r="W433" s="43"/>
      <c r="X433" s="43"/>
      <c r="Y433" s="43"/>
      <c r="Z433" s="33"/>
    </row>
    <row r="434" spans="1:28" s="5" customFormat="1">
      <c r="A434" s="25"/>
      <c r="B434" s="26" t="s">
        <v>424</v>
      </c>
      <c r="C434" s="32" t="s">
        <v>403</v>
      </c>
      <c r="D434" s="28" t="str">
        <f>B434&amp;TEXT(Prices!$C$45,"0.0")</f>
        <v>US$26.3</v>
      </c>
      <c r="E434" s="28" t="str">
        <f>B434&amp;TEXT(Prices!$E$45,"0.00")</f>
        <v>US$32.00</v>
      </c>
      <c r="F434" s="29">
        <f>Prices!$F$45</f>
        <v>0.21765601217656005</v>
      </c>
      <c r="G434" s="28" t="str">
        <f>Prices!$D$45</f>
        <v>Buy</v>
      </c>
      <c r="H434" s="30"/>
      <c r="I434" s="29">
        <f>(ATT!D$30/ATT!D$23)</f>
        <v>0.14518149098203717</v>
      </c>
      <c r="J434" s="29">
        <f>(ATT!E$30/ATT!E$23)</f>
        <v>0.16791848545375782</v>
      </c>
      <c r="K434" s="29">
        <f>(ATT!F$30/ATT!F$23)</f>
        <v>0.16949997443806866</v>
      </c>
      <c r="L434" s="29">
        <f>(ATT!G$30/ATT!G$23)</f>
        <v>0.17715414842358027</v>
      </c>
      <c r="M434" s="29">
        <f>L434-I434</f>
        <v>3.1972657441543095E-2</v>
      </c>
      <c r="N434" s="30"/>
      <c r="O434" s="31">
        <f>(ATT!D$12/ATT!D$24)</f>
        <v>2.5207855241299049</v>
      </c>
      <c r="P434" s="31">
        <f>(ATT!E$12/ATT!E$24)</f>
        <v>3.0005482046665337</v>
      </c>
      <c r="Q434" s="31">
        <f>(ATT!F$12/ATT!F$24)</f>
        <v>2.8487340169165276</v>
      </c>
      <c r="R434" s="31">
        <f>(ATT!G$12/ATT!G$24)</f>
        <v>2.7</v>
      </c>
      <c r="S434" s="29">
        <f>R434-O434</f>
        <v>0.17921447587009531</v>
      </c>
      <c r="T434" s="30"/>
      <c r="U434" s="32" t="str">
        <f>D434</f>
        <v>US$26.3</v>
      </c>
      <c r="V434" s="28" t="str">
        <f>C434</f>
        <v xml:space="preserve">AT&amp;T </v>
      </c>
      <c r="W434" s="43"/>
      <c r="X434" s="43"/>
      <c r="Y434" s="43"/>
      <c r="Z434" s="33"/>
    </row>
    <row r="435" spans="1:28" s="5" customFormat="1">
      <c r="A435" s="112"/>
      <c r="B435" s="26" t="s">
        <v>424</v>
      </c>
      <c r="C435" s="32" t="s">
        <v>570</v>
      </c>
      <c r="D435" s="28" t="str">
        <f>B435&amp;TEXT(Prices!$C$46,"0.0")</f>
        <v>US$191.5</v>
      </c>
      <c r="E435" s="28" t="str">
        <f>B435&amp;TEXT(Prices!$E$46,"0.0")</f>
        <v>US$296.0</v>
      </c>
      <c r="F435" s="29">
        <f>Prices!$F$46</f>
        <v>0.54593408889121009</v>
      </c>
      <c r="G435" s="28" t="str">
        <f>Prices!$D$46</f>
        <v>Buy</v>
      </c>
      <c r="H435" s="30"/>
      <c r="I435" s="29">
        <f>(TMUS!D$30/TMUS!D$23)</f>
        <v>0.15462871237113443</v>
      </c>
      <c r="J435" s="29">
        <f>(TMUS!E$30/TMUS!E$23)</f>
        <v>0.15450834973561411</v>
      </c>
      <c r="K435" s="29">
        <f>(TMUS!F$30/TMUS!F$23)</f>
        <v>0.18573514098886509</v>
      </c>
      <c r="L435" s="29">
        <f>(TMUS!G$30/TMUS!G$23)</f>
        <v>0.19795854837481405</v>
      </c>
      <c r="M435" s="29">
        <f>L435-I435</f>
        <v>4.3329836003679623E-2</v>
      </c>
      <c r="N435" s="30"/>
      <c r="O435" s="31">
        <f>(TMUS!D$12/TMUS!D$24)</f>
        <v>2.4649999999999999</v>
      </c>
      <c r="P435" s="31">
        <f>(TMUS!E$12/TMUS!E$24)</f>
        <v>2.4625863309393905</v>
      </c>
      <c r="Q435" s="31">
        <f>(TMUS!F$12/TMUS!F$24)</f>
        <v>2.4601726618787811</v>
      </c>
      <c r="R435" s="31">
        <f>(TMUS!G$12/TMUS!G$24)</f>
        <v>2.5</v>
      </c>
      <c r="S435" s="29">
        <f>R435-O435</f>
        <v>3.5000000000000142E-2</v>
      </c>
      <c r="T435" s="30"/>
      <c r="U435" s="32" t="str">
        <f>D435</f>
        <v>US$191.5</v>
      </c>
      <c r="V435" s="28" t="str">
        <f>C435</f>
        <v>TMUS</v>
      </c>
      <c r="W435" s="43"/>
      <c r="X435" s="43"/>
      <c r="Y435" s="43"/>
      <c r="Z435" s="33"/>
    </row>
    <row r="436" spans="1:28">
      <c r="A436" s="25"/>
      <c r="B436" s="26" t="s">
        <v>424</v>
      </c>
      <c r="C436" s="32" t="s">
        <v>30</v>
      </c>
      <c r="D436" s="28" t="str">
        <f>B436&amp;TEXT(Prices!$C$44,"0.0")</f>
        <v>US$46.9</v>
      </c>
      <c r="E436" s="28" t="str">
        <f>B436&amp;TEXT(Prices!$E$44,"0.00")</f>
        <v>US$42.00</v>
      </c>
      <c r="F436" s="29">
        <f>Prices!$F$44</f>
        <v>-0.10371318822023046</v>
      </c>
      <c r="G436" s="28" t="str">
        <f>Prices!$D$44</f>
        <v>Neutral</v>
      </c>
      <c r="H436" s="30"/>
      <c r="I436" s="29">
        <f>(VZN!D$30/VZN!D$23)</f>
        <v>0.17486688384811805</v>
      </c>
      <c r="J436" s="29">
        <f>(VZN!E$30/VZN!E$23)</f>
        <v>0.17802052188064432</v>
      </c>
      <c r="K436" s="29">
        <f>(VZN!F$30/VZN!F$23)</f>
        <v>0.18313797600169049</v>
      </c>
      <c r="L436" s="29">
        <f>(VZN!G$30/VZN!G$23)</f>
        <v>0.19056149092341637</v>
      </c>
      <c r="M436" s="29">
        <f>L436-I436</f>
        <v>1.5694607075298322E-2</v>
      </c>
      <c r="N436" s="30"/>
      <c r="O436" s="31">
        <f>(VZN!D$12/VZN!D$24)</f>
        <v>2.205107286860208</v>
      </c>
      <c r="P436" s="31">
        <f>(VZN!E$12/VZN!E$24)</f>
        <v>2.0367140497832303</v>
      </c>
      <c r="Q436" s="31">
        <f>(VZN!F$12/VZN!F$24)</f>
        <v>1.8043690745051246</v>
      </c>
      <c r="R436" s="31">
        <f>(VZN!G$12/VZN!G$24)</f>
        <v>1.5522141530424081</v>
      </c>
      <c r="S436" s="29">
        <f>R436-O436</f>
        <v>-0.6528931338177999</v>
      </c>
      <c r="T436" s="30"/>
      <c r="U436" s="32" t="str">
        <f>D436</f>
        <v>US$46.9</v>
      </c>
      <c r="V436" s="28" t="str">
        <f>C436</f>
        <v>Verizon</v>
      </c>
      <c r="W436" s="43"/>
      <c r="X436" s="43"/>
      <c r="Y436" s="43"/>
      <c r="Z436" s="33"/>
      <c r="AB436" s="5"/>
    </row>
    <row r="437" spans="1:28">
      <c r="A437" s="25"/>
      <c r="C437" s="35" t="s">
        <v>214</v>
      </c>
      <c r="D437" s="36"/>
      <c r="E437" s="36"/>
      <c r="F437" s="37"/>
      <c r="G437" s="36"/>
      <c r="H437" s="30"/>
      <c r="I437" s="39">
        <f>('US TELCO'!D$30/'US TELCO'!D$23)</f>
        <v>0.15927725470298271</v>
      </c>
      <c r="J437" s="39">
        <f>('US TELCO'!E$30/'US TELCO'!E$23)</f>
        <v>0.16831765139551938</v>
      </c>
      <c r="K437" s="39">
        <f>('US TELCO'!F$30/'US TELCO'!F$23)</f>
        <v>0.17913104741097402</v>
      </c>
      <c r="L437" s="39">
        <f>('US TELCO'!G$30/'US TELCO'!G$23)</f>
        <v>0.18796688452772584</v>
      </c>
      <c r="M437" s="39">
        <f>L437-I437</f>
        <v>2.8689629824743129E-2</v>
      </c>
      <c r="N437" s="30"/>
      <c r="O437" s="38">
        <f>('US TELCO'!D$12/'US TELCO'!D$24)</f>
        <v>2.3850998809573833</v>
      </c>
      <c r="P437" s="38">
        <f>('US TELCO'!E$12/'US TELCO'!E$24)</f>
        <v>2.4916374016140392</v>
      </c>
      <c r="Q437" s="38">
        <f>('US TELCO'!F$12/'US TELCO'!F$24)</f>
        <v>2.356294415676651</v>
      </c>
      <c r="R437" s="38">
        <f>('US TELCO'!G$12/'US TELCO'!G$24)</f>
        <v>2.2295285142467507</v>
      </c>
      <c r="S437" s="39">
        <f>R437-O437</f>
        <v>-0.15557136671063265</v>
      </c>
      <c r="T437" s="30"/>
      <c r="U437" s="41"/>
      <c r="V437" s="42" t="str">
        <f>C437</f>
        <v>Agg. US Telecoms</v>
      </c>
      <c r="Z437" s="33"/>
    </row>
    <row r="438" spans="1:28">
      <c r="A438" s="25"/>
      <c r="C438" s="32"/>
      <c r="D438" s="28"/>
      <c r="E438" s="28"/>
      <c r="F438" s="29"/>
      <c r="G438" s="28"/>
      <c r="H438" s="30"/>
      <c r="I438" s="29"/>
      <c r="J438" s="29"/>
      <c r="K438" s="29"/>
      <c r="L438" s="29"/>
      <c r="M438" s="29"/>
      <c r="N438" s="30"/>
      <c r="O438" s="31"/>
      <c r="P438" s="31"/>
      <c r="Q438" s="31"/>
      <c r="R438" s="31"/>
      <c r="S438" s="29"/>
      <c r="T438" s="30"/>
      <c r="U438" s="32"/>
      <c r="V438" s="28"/>
      <c r="Z438" s="33"/>
    </row>
    <row r="439" spans="1:28">
      <c r="A439" s="25"/>
      <c r="C439" s="32" t="str">
        <f t="shared" ref="C439:G440" si="99">C380</f>
        <v>NTT</v>
      </c>
      <c r="D439" s="28" t="str">
        <f t="shared" si="99"/>
        <v>JPY 152</v>
      </c>
      <c r="E439" s="28" t="str">
        <f t="shared" si="99"/>
        <v>JPY 215</v>
      </c>
      <c r="F439" s="29">
        <f t="shared" si="99"/>
        <v>0.41914191419141922</v>
      </c>
      <c r="G439" s="28" t="str">
        <f t="shared" si="99"/>
        <v>Buy</v>
      </c>
      <c r="H439" s="30"/>
      <c r="I439" s="29">
        <f>NTT!$D$30/NTT!$D$23</f>
        <v>7.7455368206143974E-2</v>
      </c>
      <c r="J439" s="29">
        <f>NTT!$E$30/NTT!$E$23</f>
        <v>8.5378387126478036E-2</v>
      </c>
      <c r="K439" s="29">
        <f>NTT!$F$30/NTT!$F$23</f>
        <v>8.8335441825837135E-2</v>
      </c>
      <c r="L439" s="29">
        <f>NTT!$G$30/NTT!$G$23</f>
        <v>9.048652127326573E-2</v>
      </c>
      <c r="M439" s="29">
        <f t="shared" ref="M439:M441" si="100">L439-I439</f>
        <v>1.3031153067121756E-2</v>
      </c>
      <c r="N439" s="30"/>
      <c r="O439" s="31">
        <f>NTT!$D$12/NTT!$D$24</f>
        <v>1.7563420199029678</v>
      </c>
      <c r="P439" s="31">
        <f>NTT!$E$12/NTT!$E$24</f>
        <v>1.5521648122366123</v>
      </c>
      <c r="Q439" s="31">
        <f>NTT!$F$12/NTT!$F$24</f>
        <v>1.3683210238555459</v>
      </c>
      <c r="R439" s="31">
        <f>NTT!$G$12/NTT!$G$24</f>
        <v>1.1658706043843923</v>
      </c>
      <c r="S439" s="29">
        <f t="shared" ref="S439:S441" si="101">R439-O439</f>
        <v>-0.59047141551857552</v>
      </c>
      <c r="T439" s="30"/>
      <c r="U439" s="32" t="str">
        <f>U380</f>
        <v>JPY 152</v>
      </c>
      <c r="V439" s="28" t="str">
        <f>V380</f>
        <v>NTT</v>
      </c>
      <c r="Z439" s="33"/>
    </row>
    <row r="440" spans="1:28">
      <c r="A440" s="25"/>
      <c r="C440" s="32" t="str">
        <f t="shared" si="99"/>
        <v>SingTel</v>
      </c>
      <c r="D440" s="28" t="str">
        <f t="shared" si="99"/>
        <v>SGD 4.63</v>
      </c>
      <c r="E440" s="28" t="str">
        <f t="shared" si="99"/>
        <v>SGD 6.20</v>
      </c>
      <c r="F440" s="29">
        <f t="shared" si="99"/>
        <v>0.33909287257019449</v>
      </c>
      <c r="G440" s="28" t="str">
        <f t="shared" si="99"/>
        <v>Buy</v>
      </c>
      <c r="H440" s="30"/>
      <c r="I440" s="29">
        <f>SINGTEL!$D$30/SINGTEL!$D$23</f>
        <v>0.23065025090591343</v>
      </c>
      <c r="J440" s="29">
        <f>SINGTEL!$E$30/SINGTEL!$E$23</f>
        <v>0.2673563808746276</v>
      </c>
      <c r="K440" s="29">
        <f>SINGTEL!$F$30/SINGTEL!$F$23</f>
        <v>0.29871256306088823</v>
      </c>
      <c r="L440" s="29">
        <f>SINGTEL!$G$30/SINGTEL!$G$23</f>
        <v>0.32716821725195921</v>
      </c>
      <c r="M440" s="29">
        <f t="shared" si="100"/>
        <v>9.6517966346045786E-2</v>
      </c>
      <c r="N440" s="30"/>
      <c r="O440" s="31">
        <f>SINGTEL!$D$12/SINGTEL!$D$24</f>
        <v>2.7066588564808671</v>
      </c>
      <c r="P440" s="31">
        <f>SINGTEL!$E$12/SINGTEL!$E$24</f>
        <v>2.9127468788616184</v>
      </c>
      <c r="Q440" s="31">
        <f>SINGTEL!$F$12/SINGTEL!$F$24</f>
        <v>3.0979715732216384</v>
      </c>
      <c r="R440" s="31">
        <f>SINGTEL!$G$12/SINGTEL!$G$24</f>
        <v>3.2770450627581225</v>
      </c>
      <c r="S440" s="29">
        <f t="shared" si="101"/>
        <v>0.57038620627725534</v>
      </c>
      <c r="T440" s="30"/>
      <c r="U440" s="32" t="str">
        <f>U381</f>
        <v>SGD 4.63</v>
      </c>
      <c r="V440" s="28" t="str">
        <f>V381</f>
        <v>SingTel</v>
      </c>
      <c r="Z440" s="33"/>
    </row>
    <row r="441" spans="1:28">
      <c r="A441" s="25"/>
      <c r="C441" s="35" t="str">
        <f>C382</f>
        <v>Agg. Developed Asia Incumbent</v>
      </c>
      <c r="D441" s="42"/>
      <c r="E441" s="42"/>
      <c r="F441" s="39"/>
      <c r="G441" s="42"/>
      <c r="H441" s="40"/>
      <c r="I441" s="39">
        <f>'DM ASIA INCUMB'!$D$30/'DM ASIA INCUMB'!$D$23</f>
        <v>9.4721420059929909E-2</v>
      </c>
      <c r="J441" s="39">
        <f>'DM ASIA INCUMB'!$E$30/'DM ASIA INCUMB'!$E$23</f>
        <v>0.10577807716021774</v>
      </c>
      <c r="K441" s="39">
        <f>'DM ASIA INCUMB'!$F$30/'DM ASIA INCUMB'!$F$23</f>
        <v>0.11170569697129479</v>
      </c>
      <c r="L441" s="39">
        <f>'DM ASIA INCUMB'!$G$30/'DM ASIA INCUMB'!$G$23</f>
        <v>0.11636077654025705</v>
      </c>
      <c r="M441" s="39">
        <f t="shared" si="100"/>
        <v>2.1639356480327138E-2</v>
      </c>
      <c r="N441" s="40"/>
      <c r="O441" s="38">
        <f>'DM ASIA INCUMB'!$D$12/'DM ASIA INCUMB'!$D$24</f>
        <v>1.8750228445260266</v>
      </c>
      <c r="P441" s="38">
        <f>'DM ASIA INCUMB'!$E$12/'DM ASIA INCUMB'!$E$24</f>
        <v>1.7190297581238227</v>
      </c>
      <c r="Q441" s="38">
        <f>'DM ASIA INCUMB'!$F$12/'DM ASIA INCUMB'!$F$24</f>
        <v>1.5800480040929537</v>
      </c>
      <c r="R441" s="38">
        <f>'DM ASIA INCUMB'!$G$12/'DM ASIA INCUMB'!$G$24</f>
        <v>1.4209401776070181</v>
      </c>
      <c r="S441" s="39">
        <f t="shared" si="101"/>
        <v>-0.45408266691900856</v>
      </c>
      <c r="T441" s="40"/>
      <c r="U441" s="35"/>
      <c r="V441" s="42" t="str">
        <f>V382</f>
        <v xml:space="preserve">Agg. Developed Asia Incumbent </v>
      </c>
      <c r="Z441" s="33"/>
    </row>
    <row r="442" spans="1:28">
      <c r="A442" s="25"/>
      <c r="C442" s="27"/>
      <c r="D442" s="34"/>
      <c r="E442" s="34"/>
      <c r="F442" s="45"/>
      <c r="G442" s="34"/>
      <c r="H442" s="40"/>
      <c r="I442" s="45"/>
      <c r="J442" s="45"/>
      <c r="K442" s="45"/>
      <c r="L442" s="45"/>
      <c r="M442" s="45"/>
      <c r="N442" s="40"/>
      <c r="O442" s="46"/>
      <c r="P442" s="46"/>
      <c r="Q442" s="46"/>
      <c r="R442" s="46"/>
      <c r="S442" s="45"/>
      <c r="T442" s="40"/>
      <c r="U442" s="27"/>
      <c r="V442" s="34"/>
      <c r="Z442" s="33"/>
    </row>
    <row r="443" spans="1:28">
      <c r="A443" s="25"/>
      <c r="C443" s="35" t="s">
        <v>717</v>
      </c>
      <c r="D443" s="42"/>
      <c r="E443" s="42"/>
      <c r="F443" s="39"/>
      <c r="G443" s="42"/>
      <c r="H443" s="40"/>
      <c r="I443" s="39">
        <f>'AGG DM INCUMB'!$D$30/'AGG DM INCUMB'!$D$23</f>
        <v>0.11736185483564864</v>
      </c>
      <c r="J443" s="39">
        <f>'AGG DM INCUMB'!$E$30/'AGG DM INCUMB'!$E$23</f>
        <v>0.1229030035529062</v>
      </c>
      <c r="K443" s="39">
        <f>'AGG DM INCUMB'!$F$30/'AGG DM INCUMB'!$F$23</f>
        <v>0.12895652745342248</v>
      </c>
      <c r="L443" s="39">
        <f>'AGG DM INCUMB'!$G$30/'AGG DM INCUMB'!$G$23</f>
        <v>0.13609604751469381</v>
      </c>
      <c r="M443" s="39">
        <f>L443-I443</f>
        <v>1.8734192679045178E-2</v>
      </c>
      <c r="N443" s="40"/>
      <c r="O443" s="38">
        <f>'AGG DM INCUMB'!$D$12/'AGG DM INCUMB'!$D$24</f>
        <v>2.3108703946176568</v>
      </c>
      <c r="P443" s="38">
        <f>'AGG DM INCUMB'!$E$12/'AGG DM INCUMB'!$E$24</f>
        <v>2.3234752150743141</v>
      </c>
      <c r="Q443" s="38">
        <f>'AGG DM INCUMB'!$F$12/'AGG DM INCUMB'!$F$24</f>
        <v>2.1777437042183734</v>
      </c>
      <c r="R443" s="38">
        <f>'AGG DM INCUMB'!$G$12/'AGG DM INCUMB'!$G$24</f>
        <v>2.033661340948627</v>
      </c>
      <c r="S443" s="39">
        <f>R443-O443</f>
        <v>-0.2772090536690297</v>
      </c>
      <c r="T443" s="40"/>
      <c r="U443" s="35"/>
      <c r="V443" s="42" t="str">
        <f>C443</f>
        <v>Agg. DM Incumbent total</v>
      </c>
      <c r="Z443" s="33"/>
    </row>
    <row r="444" spans="1:28">
      <c r="A444" s="25"/>
      <c r="C444" s="25"/>
      <c r="D444" s="28"/>
      <c r="E444" s="28"/>
      <c r="F444" s="29"/>
      <c r="G444" s="28"/>
      <c r="H444" s="30"/>
      <c r="I444" s="29"/>
      <c r="J444" s="29"/>
      <c r="K444" s="29"/>
      <c r="L444" s="29"/>
      <c r="M444" s="29"/>
      <c r="N444" s="30"/>
      <c r="O444" s="31"/>
      <c r="P444" s="31"/>
      <c r="Q444" s="31"/>
      <c r="R444" s="31"/>
      <c r="S444" s="29"/>
      <c r="T444" s="30"/>
      <c r="U444" s="32"/>
      <c r="V444" s="34"/>
      <c r="Z444" s="33"/>
    </row>
    <row r="445" spans="1:28">
      <c r="A445" s="25" t="s">
        <v>1091</v>
      </c>
      <c r="C445" s="32" t="str">
        <f t="shared" ref="C445:G457" si="102">C386</f>
        <v>1&amp;1</v>
      </c>
      <c r="D445" s="28" t="str">
        <f t="shared" si="102"/>
        <v>EUR 23.2</v>
      </c>
      <c r="E445" s="28" t="str">
        <f t="shared" si="102"/>
        <v>EUR 10.0</v>
      </c>
      <c r="F445" s="29">
        <f t="shared" si="102"/>
        <v>-0.56803455723542107</v>
      </c>
      <c r="G445" s="28" t="str">
        <f t="shared" si="102"/>
        <v>Sell</v>
      </c>
      <c r="H445" s="30"/>
      <c r="I445" s="29">
        <f>DRI!$D$30/DRI!$D$23</f>
        <v>4.0529332359212036E-2</v>
      </c>
      <c r="J445" s="29">
        <f>DRI!$E$30/DRI!$E$23</f>
        <v>1.4211776735556528E-2</v>
      </c>
      <c r="K445" s="29">
        <f>DRI!$F$30/DRI!$F$23</f>
        <v>2.2868158863804191E-2</v>
      </c>
      <c r="L445" s="29">
        <f>DRI!$G$30/DRI!$G$23</f>
        <v>3.1921170745217997E-2</v>
      </c>
      <c r="M445" s="29">
        <f>L445-I445</f>
        <v>-8.6081616139940392E-3</v>
      </c>
      <c r="N445" s="30"/>
      <c r="O445" s="31">
        <f>DRI!$D$12/DRI!$D$24</f>
        <v>4.0045625762639911</v>
      </c>
      <c r="P445" s="31">
        <f>DRI!$E$12/DRI!$E$24</f>
        <v>3.4234747461516202</v>
      </c>
      <c r="Q445" s="31">
        <f>DRI!$F$12/DRI!$F$24</f>
        <v>3.2183691523221278</v>
      </c>
      <c r="R445" s="31">
        <f>DRI!$G$12/DRI!$G$24</f>
        <v>2.987339336943156</v>
      </c>
      <c r="S445" s="29">
        <f>R445-O445</f>
        <v>-1.0172232393208351</v>
      </c>
      <c r="T445" s="30"/>
      <c r="U445" s="32" t="str">
        <f t="shared" ref="U445:V447" si="103">U386</f>
        <v>EUR 23.2</v>
      </c>
      <c r="V445" s="28" t="str">
        <f t="shared" si="103"/>
        <v>1&amp;1</v>
      </c>
      <c r="Z445" s="33"/>
    </row>
    <row r="446" spans="1:28">
      <c r="A446" s="25"/>
      <c r="C446" s="32" t="str">
        <f t="shared" si="102"/>
        <v>Bouygues</v>
      </c>
      <c r="D446" s="28" t="str">
        <f t="shared" si="102"/>
        <v>EUR 51.8</v>
      </c>
      <c r="E446" s="28" t="str">
        <f t="shared" si="102"/>
        <v>EUR 64.0</v>
      </c>
      <c r="F446" s="29">
        <f t="shared" si="102"/>
        <v>0.23599845500193117</v>
      </c>
      <c r="G446" s="28" t="str">
        <f t="shared" si="102"/>
        <v>Buy</v>
      </c>
      <c r="H446" s="30"/>
      <c r="I446" s="29">
        <f>BOUY!$D$30/BOUY!$D$23</f>
        <v>2.5704590607802804E-2</v>
      </c>
      <c r="J446" s="29">
        <f>BOUY!$E$30/BOUY!$E$23</f>
        <v>2.5416856046513572E-2</v>
      </c>
      <c r="K446" s="29">
        <f>BOUY!$F$30/BOUY!$F$23</f>
        <v>2.8131338063469735E-2</v>
      </c>
      <c r="L446" s="29">
        <f>BOUY!$G$30/BOUY!$G$23</f>
        <v>3.2870591543482007E-2</v>
      </c>
      <c r="M446" s="29">
        <f>L446-I446</f>
        <v>7.166000935679203E-3</v>
      </c>
      <c r="N446" s="30"/>
      <c r="O446" s="31">
        <f>BOUY!$D$12/BOUY!$D$24</f>
        <v>0.82045277127244343</v>
      </c>
      <c r="P446" s="31">
        <f>BOUY!$E$12/BOUY!$E$24</f>
        <v>0.60366834243100331</v>
      </c>
      <c r="Q446" s="31">
        <f>BOUY!$F$12/BOUY!$F$24</f>
        <v>0.39459178681728208</v>
      </c>
      <c r="R446" s="31">
        <f>BOUY!$G$12/BOUY!$G$24</f>
        <v>0.16878550095883885</v>
      </c>
      <c r="S446" s="29">
        <f>R446-O446</f>
        <v>-0.65166727031360461</v>
      </c>
      <c r="T446" s="30"/>
      <c r="U446" s="32" t="str">
        <f t="shared" si="103"/>
        <v>EUR 51.8</v>
      </c>
      <c r="V446" s="28" t="str">
        <f t="shared" si="103"/>
        <v>Bouygues</v>
      </c>
      <c r="Z446" s="33"/>
    </row>
    <row r="447" spans="1:28">
      <c r="C447" s="32" t="str">
        <f t="shared" si="102"/>
        <v>Elisa</v>
      </c>
      <c r="D447" s="28" t="str">
        <f t="shared" si="102"/>
        <v>EUR 41.9</v>
      </c>
      <c r="E447" s="28" t="str">
        <f t="shared" si="102"/>
        <v>EUR 39.0</v>
      </c>
      <c r="F447" s="29">
        <f t="shared" si="102"/>
        <v>-6.9256376181545454E-2</v>
      </c>
      <c r="G447" s="28" t="str">
        <f t="shared" si="102"/>
        <v>Neutral</v>
      </c>
      <c r="H447" s="30"/>
      <c r="I447" s="29">
        <f>ELISA!$D$30/ELISA!$D$23</f>
        <v>0.16950674669530744</v>
      </c>
      <c r="J447" s="29">
        <f>ELISA!$E$30/ELISA!$E$23</f>
        <v>0.16716266031697605</v>
      </c>
      <c r="K447" s="29">
        <f>ELISA!$F$30/ELISA!$F$23</f>
        <v>0.17083749363911432</v>
      </c>
      <c r="L447" s="29">
        <f>ELISA!$G$30/ELISA!$G$23</f>
        <v>0.17555564686066957</v>
      </c>
      <c r="M447" s="29">
        <f t="shared" ref="M447:M458" si="104">L447-I447</f>
        <v>6.0489001653621366E-3</v>
      </c>
      <c r="N447" s="30"/>
      <c r="O447" s="31">
        <f>ELISA!$D$12/ELISA!$D$24</f>
        <v>1.8658747834694382</v>
      </c>
      <c r="P447" s="31">
        <f>ELISA!$E$12/ELISA!$E$24</f>
        <v>1.6847691711200969</v>
      </c>
      <c r="Q447" s="31">
        <f>ELISA!$F$12/ELISA!$F$24</f>
        <v>1.614822035743618</v>
      </c>
      <c r="R447" s="31">
        <f>ELISA!$G$12/ELISA!$G$24</f>
        <v>1.5671280800582623</v>
      </c>
      <c r="S447" s="29">
        <f t="shared" ref="S447:S458" si="105">R447-O447</f>
        <v>-0.29874670341117593</v>
      </c>
      <c r="T447" s="30"/>
      <c r="U447" s="32" t="str">
        <f t="shared" si="103"/>
        <v>EUR 41.9</v>
      </c>
      <c r="V447" s="28" t="str">
        <f t="shared" si="103"/>
        <v>Elisa</v>
      </c>
      <c r="Z447" s="33"/>
    </row>
    <row r="448" spans="1:28">
      <c r="C448" s="32" t="str">
        <f t="shared" si="102"/>
        <v>Eutelsat</v>
      </c>
      <c r="D448" s="28" t="str">
        <f t="shared" si="102"/>
        <v>EUR 2.8</v>
      </c>
      <c r="E448" s="28" t="str">
        <f t="shared" si="102"/>
        <v>EUR 1.4</v>
      </c>
      <c r="F448" s="29">
        <f t="shared" si="102"/>
        <v>-0.5</v>
      </c>
      <c r="G448" s="28" t="str">
        <f t="shared" si="102"/>
        <v>Sell</v>
      </c>
      <c r="H448" s="30"/>
      <c r="I448" s="29">
        <f>ETL!$D$30/ETL!$D$23</f>
        <v>-0.2188442853829029</v>
      </c>
      <c r="J448" s="29">
        <f>ETL!$E$30/ETL!$E$23</f>
        <v>-0.11539606546960941</v>
      </c>
      <c r="K448" s="29">
        <f>ETL!$F$30/ETL!$F$23</f>
        <v>-4.6301615051784546E-2</v>
      </c>
      <c r="L448" s="29">
        <f>ETL!$G$30/ETL!$G$23</f>
        <v>-8.5506710740313227E-2</v>
      </c>
      <c r="M448" s="29">
        <f t="shared" ref="M448" si="106">L448-I448</f>
        <v>0.13333757464258966</v>
      </c>
      <c r="N448" s="30"/>
      <c r="O448" s="31">
        <f>ETL!$D$12/ETL!$D$24</f>
        <v>2.6347036705622751</v>
      </c>
      <c r="P448" s="31">
        <f>ETL!$E$12/ETL!$E$24</f>
        <v>2.9283952283462344</v>
      </c>
      <c r="Q448" s="31">
        <f>ETL!$F$12/ETL!$F$24</f>
        <v>3.3502006306117407</v>
      </c>
      <c r="R448" s="31">
        <f>ETL!$G$12/ETL!$G$24</f>
        <v>3.2456840457093556</v>
      </c>
      <c r="S448" s="29">
        <f t="shared" ref="S448" si="107">R448-O448</f>
        <v>0.61098037514708059</v>
      </c>
      <c r="T448" s="30"/>
      <c r="U448" s="32" t="str">
        <f t="shared" ref="U448:U457" si="108">U389</f>
        <v>EUR 2.8</v>
      </c>
      <c r="V448" s="28" t="s">
        <v>1283</v>
      </c>
      <c r="Z448" s="33"/>
    </row>
    <row r="449" spans="1:26">
      <c r="A449" s="25"/>
      <c r="C449" s="32" t="str">
        <f t="shared" si="102"/>
        <v>Liberty Global (prop.)</v>
      </c>
      <c r="D449" s="28" t="str">
        <f t="shared" si="102"/>
        <v>USD 12.0</v>
      </c>
      <c r="E449" s="28" t="str">
        <f t="shared" si="102"/>
        <v>USD 12.5</v>
      </c>
      <c r="F449" s="29">
        <f t="shared" si="102"/>
        <v>4.4277360066833804E-2</v>
      </c>
      <c r="G449" s="28" t="str">
        <f t="shared" si="102"/>
        <v>Neutral</v>
      </c>
      <c r="H449" s="30"/>
      <c r="I449" s="29">
        <f>LBTY!$D$30/LBTY!$D$23</f>
        <v>-0.3386343123116175</v>
      </c>
      <c r="J449" s="29">
        <f>LBTY!$E$30/LBTY!$E$23</f>
        <v>-0.19359303784467993</v>
      </c>
      <c r="K449" s="29">
        <f>LBTY!$F$30/LBTY!$F$23</f>
        <v>-0.10791981878187004</v>
      </c>
      <c r="L449" s="29">
        <f>LBTY!$G$30/LBTY!$G$23</f>
        <v>-0.10044415426838166</v>
      </c>
      <c r="M449" s="29">
        <f>L449-I449</f>
        <v>0.23819015804323584</v>
      </c>
      <c r="N449" s="30"/>
      <c r="O449" s="31">
        <f>LBTY!$D$12/LBTY!$D$24</f>
        <v>5.0670506912442397</v>
      </c>
      <c r="P449" s="31">
        <f>LBTY!$E$12/LBTY!$E$24</f>
        <v>5.2609943552306673</v>
      </c>
      <c r="Q449" s="31">
        <f>LBTY!$F$12/LBTY!$F$24</f>
        <v>5.7122593039493195</v>
      </c>
      <c r="R449" s="31">
        <f>LBTY!$G$12/LBTY!$G$24</f>
        <v>5.5030042735904834</v>
      </c>
      <c r="S449" s="29">
        <f>R449-O449</f>
        <v>0.43595358234624371</v>
      </c>
      <c r="T449" s="30"/>
      <c r="U449" s="32" t="str">
        <f t="shared" si="108"/>
        <v>USD 12.0</v>
      </c>
      <c r="V449" s="28" t="str">
        <f t="shared" ref="V449:V457" si="109">V390</f>
        <v>Liberty Global</v>
      </c>
      <c r="Z449" s="33"/>
    </row>
    <row r="450" spans="1:26">
      <c r="A450" s="25"/>
      <c r="C450" s="32" t="str">
        <f t="shared" si="102"/>
        <v>NOS</v>
      </c>
      <c r="D450" s="28" t="str">
        <f t="shared" si="102"/>
        <v>EUR 5.65</v>
      </c>
      <c r="E450" s="28" t="str">
        <f t="shared" si="102"/>
        <v>EUR 5.50</v>
      </c>
      <c r="F450" s="29">
        <f t="shared" si="102"/>
        <v>-2.6548672566371723E-2</v>
      </c>
      <c r="G450" s="28" t="str">
        <f t="shared" si="102"/>
        <v>Neutral</v>
      </c>
      <c r="H450" s="30"/>
      <c r="I450" s="29">
        <f>NOS!$D$30/NOS!$D$23</f>
        <v>0.12753699219767603</v>
      </c>
      <c r="J450" s="29">
        <f>NOS!$E$30/NOS!$E$23</f>
        <v>0.12465543252918442</v>
      </c>
      <c r="K450" s="29">
        <f>NOS!$F$30/NOS!$F$23</f>
        <v>0.14012912356436433</v>
      </c>
      <c r="L450" s="29">
        <f>NOS!$G$30/NOS!$G$23</f>
        <v>0.14434126558629581</v>
      </c>
      <c r="M450" s="29">
        <f>L450-I450</f>
        <v>1.6804273388619784E-2</v>
      </c>
      <c r="N450" s="30"/>
      <c r="O450" s="31">
        <f>NOS!$D$12/NOS!$D$24</f>
        <v>1.5019018236321053</v>
      </c>
      <c r="P450" s="31">
        <f>NOS!$E$12/NOS!$E$24</f>
        <v>1.3072566067729408</v>
      </c>
      <c r="Q450" s="31">
        <f>NOS!$F$12/NOS!$F$24</f>
        <v>1.5226432493101962</v>
      </c>
      <c r="R450" s="31">
        <f>NOS!$G$12/NOS!$G$24</f>
        <v>1.4755743976657989</v>
      </c>
      <c r="S450" s="29">
        <f>R450-O450</f>
        <v>-2.6327425966306439E-2</v>
      </c>
      <c r="T450" s="30"/>
      <c r="U450" s="32" t="str">
        <f t="shared" si="108"/>
        <v>EUR 5.65</v>
      </c>
      <c r="V450" s="28" t="str">
        <f t="shared" si="109"/>
        <v>NOS</v>
      </c>
      <c r="Z450" s="33"/>
    </row>
    <row r="451" spans="1:26">
      <c r="C451" s="32" t="str">
        <f t="shared" si="102"/>
        <v>Orange Belgium</v>
      </c>
      <c r="D451" s="28" t="str">
        <f t="shared" si="102"/>
        <v>EUR 21.0</v>
      </c>
      <c r="E451" s="28" t="str">
        <f t="shared" si="102"/>
        <v>EUR 21.1</v>
      </c>
      <c r="F451" s="29">
        <f t="shared" si="102"/>
        <v>5.150744566468024E-3</v>
      </c>
      <c r="G451" s="28" t="str">
        <f t="shared" si="102"/>
        <v>Neutral</v>
      </c>
      <c r="H451" s="30"/>
      <c r="I451" s="29">
        <f>OBEL!$D$30/OBEL!$D$23</f>
        <v>3.2804601651698254E-2</v>
      </c>
      <c r="J451" s="29">
        <f>OBEL!$E$30/OBEL!$E$23</f>
        <v>4.6382710171385046E-2</v>
      </c>
      <c r="K451" s="29">
        <f>OBEL!$F$30/OBEL!$F$23</f>
        <v>6.7654929210439377E-2</v>
      </c>
      <c r="L451" s="29">
        <f>OBEL!$G$30/OBEL!$G$23</f>
        <v>9.0908291903611688E-2</v>
      </c>
      <c r="M451" s="29">
        <f t="shared" si="104"/>
        <v>5.8103690251913434E-2</v>
      </c>
      <c r="N451" s="30"/>
      <c r="O451" s="31">
        <f>OBEL!$D$12/OBEL!$D$24</f>
        <v>3.3165074460786239</v>
      </c>
      <c r="P451" s="31">
        <f>OBEL!$E$12/OBEL!$E$24</f>
        <v>3.0471638144103981</v>
      </c>
      <c r="Q451" s="31">
        <f>OBEL!$F$12/OBEL!$F$24</f>
        <v>2.8847016299424113</v>
      </c>
      <c r="R451" s="31">
        <f>OBEL!$G$12/OBEL!$G$24</f>
        <v>2.9624797568897572</v>
      </c>
      <c r="S451" s="29">
        <f t="shared" si="105"/>
        <v>-0.35402768918886673</v>
      </c>
      <c r="T451" s="30"/>
      <c r="U451" s="32" t="str">
        <f t="shared" si="108"/>
        <v>EUR 21.0</v>
      </c>
      <c r="V451" s="28" t="str">
        <f t="shared" si="109"/>
        <v>Orange Belgium</v>
      </c>
      <c r="Z451" s="33"/>
    </row>
    <row r="452" spans="1:26">
      <c r="C452" s="32" t="str">
        <f t="shared" si="102"/>
        <v>SES</v>
      </c>
      <c r="D452" s="28" t="str">
        <f t="shared" si="102"/>
        <v>EUR 6.6</v>
      </c>
      <c r="E452" s="28" t="str">
        <f t="shared" si="102"/>
        <v>EUR 6.0</v>
      </c>
      <c r="F452" s="404">
        <f t="shared" si="102"/>
        <v>-9.297052154195018E-2</v>
      </c>
      <c r="G452" s="28" t="str">
        <f t="shared" si="102"/>
        <v>Neutral</v>
      </c>
      <c r="H452" s="30"/>
      <c r="I452" s="404">
        <f>SES!$D$30/SES!$D$23</f>
        <v>2.5300894787285968E-3</v>
      </c>
      <c r="J452" s="404">
        <f>SES!$E$30/SES!$E$23</f>
        <v>4.5178711819582371E-2</v>
      </c>
      <c r="K452" s="404">
        <f>SES!$F$30/SES!$F$23</f>
        <v>4.8109190339506488E-2</v>
      </c>
      <c r="L452" s="404">
        <f>SES!$G$30/SES!$G$23</f>
        <v>4.7400719267471615E-2</v>
      </c>
      <c r="M452" s="404">
        <f>L452-I452</f>
        <v>4.4870629788743017E-2</v>
      </c>
      <c r="N452" s="30"/>
      <c r="O452" s="528">
        <f>SES!$D$12/SES!$D$24</f>
        <v>5.9210762331838565</v>
      </c>
      <c r="P452" s="528">
        <f>SES!$E$12/SES!$E$24</f>
        <v>4.8636932428586697</v>
      </c>
      <c r="Q452" s="528">
        <f>SES!$F$12/SES!$F$24</f>
        <v>3.8651832527191057</v>
      </c>
      <c r="R452" s="528">
        <f>SES!$G$12/SES!$G$24</f>
        <v>4.2090096792777816</v>
      </c>
      <c r="S452" s="404">
        <f>R452-O452</f>
        <v>-1.7120665539060749</v>
      </c>
      <c r="T452" s="30"/>
      <c r="U452" s="32" t="str">
        <f t="shared" si="108"/>
        <v>EUR 6.6</v>
      </c>
      <c r="V452" s="28" t="str">
        <f t="shared" si="109"/>
        <v>SES</v>
      </c>
      <c r="Z452" s="33"/>
    </row>
    <row r="453" spans="1:26">
      <c r="C453" s="32" t="str">
        <f t="shared" si="102"/>
        <v>Sunrise</v>
      </c>
      <c r="D453" s="28" t="str">
        <f t="shared" si="102"/>
        <v>CHF46.1</v>
      </c>
      <c r="E453" s="28" t="str">
        <f t="shared" si="102"/>
        <v>CHF38.7</v>
      </c>
      <c r="F453" s="29">
        <f t="shared" si="102"/>
        <v>-0.15959504533103386</v>
      </c>
      <c r="G453" s="28" t="str">
        <f t="shared" si="102"/>
        <v>Sell</v>
      </c>
      <c r="H453" s="30"/>
      <c r="I453" s="29">
        <f>SUNN!$D$30/SUNN!$D$23</f>
        <v>0.12147214587383523</v>
      </c>
      <c r="J453" s="29">
        <f>SUNN!$E$30/SUNN!$E$23</f>
        <v>0.13277550560683046</v>
      </c>
      <c r="K453" s="29">
        <f>SUNN!$F$30/SUNN!$F$23</f>
        <v>0.12781562545477468</v>
      </c>
      <c r="L453" s="29">
        <f>SUNN!$G$30/SUNN!$G$23</f>
        <v>0.12293494138116935</v>
      </c>
      <c r="M453" s="29">
        <f t="shared" ref="M453" si="110">L453-I453</f>
        <v>1.462795507334122E-3</v>
      </c>
      <c r="N453" s="30"/>
      <c r="O453" s="31">
        <f>SUNN!$D$12/SUNN!$D$24</f>
        <v>4.5297447611480779</v>
      </c>
      <c r="P453" s="31">
        <f>SUNN!$E$12/SUNN!$E$24</f>
        <v>4.4534615146845278</v>
      </c>
      <c r="Q453" s="31">
        <f>SUNN!$F$12/SUNN!$F$24</f>
        <v>4.2847202307157577</v>
      </c>
      <c r="R453" s="31">
        <f>SUNN!$G$12/SUNN!$G$24</f>
        <v>4.5629888241218035</v>
      </c>
      <c r="S453" s="29">
        <f t="shared" ref="S453" si="111">R453-O453</f>
        <v>3.3244062973725619E-2</v>
      </c>
      <c r="T453" s="30"/>
      <c r="U453" s="32" t="str">
        <f t="shared" si="108"/>
        <v>CHF46.1</v>
      </c>
      <c r="V453" s="28" t="str">
        <f t="shared" si="109"/>
        <v>Sunrise</v>
      </c>
      <c r="Z453" s="33"/>
    </row>
    <row r="454" spans="1:26">
      <c r="C454" s="32" t="str">
        <f t="shared" si="102"/>
        <v>Tele2</v>
      </c>
      <c r="D454" s="28" t="str">
        <f t="shared" si="102"/>
        <v>SEK 189.7</v>
      </c>
      <c r="E454" s="28" t="str">
        <f t="shared" si="102"/>
        <v>SEK 170.0</v>
      </c>
      <c r="F454" s="29">
        <f t="shared" si="102"/>
        <v>-0.10361191668863701</v>
      </c>
      <c r="G454" s="28" t="str">
        <f t="shared" si="102"/>
        <v>Neutral</v>
      </c>
      <c r="H454" s="30"/>
      <c r="I454" s="29">
        <f>TELE2!$D$30/TELE2!$D$23</f>
        <v>0.16502798957827017</v>
      </c>
      <c r="J454" s="29">
        <f>TELE2!$E$30/TELE2!$E$23</f>
        <v>0.1750257552096163</v>
      </c>
      <c r="K454" s="29">
        <f>TELE2!$F$30/TELE2!$F$23</f>
        <v>0.18095878400127749</v>
      </c>
      <c r="L454" s="29">
        <f>TELE2!$G$30/TELE2!$G$23</f>
        <v>0.18608057124471553</v>
      </c>
      <c r="M454" s="29">
        <f t="shared" si="104"/>
        <v>2.1052581666445358E-2</v>
      </c>
      <c r="N454" s="30"/>
      <c r="O454" s="31">
        <f>TELE2!$D$12/TELE2!$D$24</f>
        <v>2.0704429107942857</v>
      </c>
      <c r="P454" s="31">
        <f>TELE2!$E$12/TELE2!$E$24</f>
        <v>1.7487633366599966</v>
      </c>
      <c r="Q454" s="31">
        <f>TELE2!$F$12/TELE2!$F$24</f>
        <v>1.7508830944784577</v>
      </c>
      <c r="R454" s="31">
        <f>TELE2!$G$12/TELE2!$G$24</f>
        <v>1.7529422069175771</v>
      </c>
      <c r="S454" s="29">
        <f t="shared" si="105"/>
        <v>-0.31750070387670859</v>
      </c>
      <c r="T454" s="30"/>
      <c r="U454" s="32" t="str">
        <f t="shared" si="108"/>
        <v>SEK 189.7</v>
      </c>
      <c r="V454" s="28" t="str">
        <f t="shared" si="109"/>
        <v>Tele2</v>
      </c>
      <c r="Z454" s="33"/>
    </row>
    <row r="455" spans="1:26">
      <c r="A455" s="25"/>
      <c r="C455" s="32" t="str">
        <f t="shared" si="102"/>
        <v>United Internet</v>
      </c>
      <c r="D455" s="28" t="str">
        <f t="shared" si="102"/>
        <v>EUR 26.7</v>
      </c>
      <c r="E455" s="28" t="str">
        <f t="shared" si="102"/>
        <v>EUR 33.0</v>
      </c>
      <c r="F455" s="29">
        <f t="shared" si="102"/>
        <v>0.23688155922038989</v>
      </c>
      <c r="G455" s="28" t="str">
        <f t="shared" si="102"/>
        <v>Neutral</v>
      </c>
      <c r="H455" s="30"/>
      <c r="I455" s="29">
        <f>UTDI!$D$30/UTDI!$D$23</f>
        <v>5.9876631971110636E-2</v>
      </c>
      <c r="J455" s="29">
        <f>UTDI!$E$30/UTDI!$E$23</f>
        <v>6.6293729935088253E-2</v>
      </c>
      <c r="K455" s="29">
        <f>UTDI!$F$30/UTDI!$F$23</f>
        <v>7.4210106928458724E-2</v>
      </c>
      <c r="L455" s="29">
        <f>UTDI!$G$30/UTDI!$G$23</f>
        <v>8.2329977605465399E-2</v>
      </c>
      <c r="M455" s="29">
        <f>L455-I455</f>
        <v>2.2453345634354763E-2</v>
      </c>
      <c r="N455" s="30"/>
      <c r="O455" s="31">
        <f>UTDI!$D$12/UTDI!$D$24</f>
        <v>2.9738099132387159</v>
      </c>
      <c r="P455" s="31">
        <f>UTDI!$E$12/UTDI!$E$24</f>
        <v>2.549573790552476</v>
      </c>
      <c r="Q455" s="31">
        <f>UTDI!$F$12/UTDI!$F$24</f>
        <v>2.2278284780391551</v>
      </c>
      <c r="R455" s="31">
        <f>UTDI!$G$12/UTDI!$G$24</f>
        <v>1.9014734399356539</v>
      </c>
      <c r="S455" s="29">
        <f>R455-O455</f>
        <v>-1.072336473303062</v>
      </c>
      <c r="T455" s="30"/>
      <c r="U455" s="32" t="str">
        <f t="shared" si="108"/>
        <v>EUR 26.7</v>
      </c>
      <c r="V455" s="28" t="str">
        <f t="shared" si="109"/>
        <v>United Internet</v>
      </c>
      <c r="Z455" s="33"/>
    </row>
    <row r="456" spans="1:26">
      <c r="C456" s="32" t="str">
        <f t="shared" si="102"/>
        <v>Vodafone</v>
      </c>
      <c r="D456" s="28" t="str">
        <f t="shared" si="102"/>
        <v>GBP 1.16</v>
      </c>
      <c r="E456" s="28" t="str">
        <f t="shared" si="102"/>
        <v>GBP 1.30</v>
      </c>
      <c r="F456" s="29">
        <f t="shared" si="102"/>
        <v>0.12117291936179386</v>
      </c>
      <c r="G456" s="28" t="str">
        <f t="shared" si="102"/>
        <v>Buy</v>
      </c>
      <c r="H456" s="30"/>
      <c r="I456" s="29">
        <f>VOD!$D$30/VOD!$D$23</f>
        <v>6.152550271809841E-2</v>
      </c>
      <c r="J456" s="29">
        <f>VOD!$E$30/VOD!$E$23</f>
        <v>6.9795141234003433E-2</v>
      </c>
      <c r="K456" s="29">
        <f>VOD!$F$30/VOD!$F$23</f>
        <v>7.7860257670625932E-2</v>
      </c>
      <c r="L456" s="29">
        <f>VOD!$G$30/VOD!$G$23</f>
        <v>8.8018703948326713E-2</v>
      </c>
      <c r="M456" s="29">
        <f>L456-I456</f>
        <v>2.6493201230228303E-2</v>
      </c>
      <c r="N456" s="30"/>
      <c r="O456" s="31">
        <f>VOD!$D$12/VOD!$D$24</f>
        <v>2.178051996694145</v>
      </c>
      <c r="P456" s="31">
        <f>VOD!$E$12/VOD!$E$24</f>
        <v>1.999268301112314</v>
      </c>
      <c r="Q456" s="31">
        <f>VOD!$F$12/VOD!$F$24</f>
        <v>1.8679966627394753</v>
      </c>
      <c r="R456" s="31">
        <f>VOD!$G$12/VOD!$G$24</f>
        <v>1.6533283692808576</v>
      </c>
      <c r="S456" s="29">
        <f>R456-O456</f>
        <v>-0.52472362741328737</v>
      </c>
      <c r="T456" s="30"/>
      <c r="U456" s="32" t="str">
        <f t="shared" si="108"/>
        <v>GBP 1.16</v>
      </c>
      <c r="V456" s="28" t="str">
        <f t="shared" si="109"/>
        <v>Vodafone</v>
      </c>
      <c r="Z456" s="33"/>
    </row>
    <row r="457" spans="1:26">
      <c r="C457" s="32" t="str">
        <f t="shared" si="102"/>
        <v>Zegona</v>
      </c>
      <c r="D457" s="28" t="str">
        <f t="shared" si="102"/>
        <v>GBP 17.92</v>
      </c>
      <c r="E457" s="28" t="str">
        <f t="shared" si="102"/>
        <v>GBP 14.75</v>
      </c>
      <c r="F457" s="29">
        <f t="shared" si="102"/>
        <v>-0.17689732142857151</v>
      </c>
      <c r="G457" s="28" t="str">
        <f t="shared" si="102"/>
        <v>Neutral</v>
      </c>
      <c r="H457" s="30"/>
      <c r="I457" s="29">
        <f>ZEG!$D$30/ZEG!$D$23</f>
        <v>-9.7116032235192527E-3</v>
      </c>
      <c r="J457" s="29">
        <f>ZEG!$E$30/ZEG!$E$23</f>
        <v>1.8641577128382075E-2</v>
      </c>
      <c r="K457" s="29">
        <f>ZEG!$F$30/ZEG!$F$23</f>
        <v>3.9888557718881654E-2</v>
      </c>
      <c r="L457" s="29">
        <f>ZEG!$G$30/ZEG!$G$23</f>
        <v>5.5754977968187153E-2</v>
      </c>
      <c r="M457" s="29">
        <f>L457-I457</f>
        <v>6.5466581191706411E-2</v>
      </c>
      <c r="N457" s="30"/>
      <c r="O457" s="31">
        <f>ZEG!$D$12/ZEG!$D$24</f>
        <v>3.291076619221343</v>
      </c>
      <c r="P457" s="31">
        <f>ZEG!$E$12/ZEG!$E$24</f>
        <v>3.0153144329419201</v>
      </c>
      <c r="Q457" s="31">
        <f>ZEG!$F$12/ZEG!$F$24</f>
        <v>2.6343897527678757</v>
      </c>
      <c r="R457" s="31">
        <f>ZEG!$G$12/ZEG!$G$24</f>
        <v>2.3928501182136199</v>
      </c>
      <c r="S457" s="29">
        <f>R457-O457</f>
        <v>-0.89822650100772305</v>
      </c>
      <c r="T457" s="30"/>
      <c r="U457" s="32" t="str">
        <f t="shared" si="108"/>
        <v>GBP 17.92</v>
      </c>
      <c r="V457" s="28" t="str">
        <f t="shared" si="109"/>
        <v>Zegona</v>
      </c>
      <c r="Z457" s="33"/>
    </row>
    <row r="458" spans="1:26">
      <c r="C458" s="35" t="str">
        <f>C399</f>
        <v>Agg. W. Europe Other</v>
      </c>
      <c r="D458" s="36"/>
      <c r="E458" s="36"/>
      <c r="F458" s="37"/>
      <c r="G458" s="36"/>
      <c r="H458" s="30"/>
      <c r="I458" s="39">
        <f>'W.EUR OTHER'!$D$30/'W.EUR OTHER'!$D$23</f>
        <v>3.2366198451933677E-2</v>
      </c>
      <c r="J458" s="39">
        <f>'W.EUR OTHER'!$E$30/'W.EUR OTHER'!$E$23</f>
        <v>4.3542396320065874E-2</v>
      </c>
      <c r="K458" s="39">
        <f>'W.EUR OTHER'!$F$30/'W.EUR OTHER'!$F$23</f>
        <v>4.8112459197810077E-2</v>
      </c>
      <c r="L458" s="39">
        <f>'W.EUR OTHER'!$G$30/'W.EUR OTHER'!$G$23</f>
        <v>5.4801053924775085E-2</v>
      </c>
      <c r="M458" s="39">
        <f t="shared" si="104"/>
        <v>2.2434855472841408E-2</v>
      </c>
      <c r="N458" s="40"/>
      <c r="O458" s="38">
        <f>'W.EUR OTHER'!$D$12/'W.EUR OTHER'!$D$24</f>
        <v>2.3746806239346361</v>
      </c>
      <c r="P458" s="38">
        <f>'W.EUR OTHER'!$E$12/'W.EUR OTHER'!$E$24</f>
        <v>2.1917512398315462</v>
      </c>
      <c r="Q458" s="38">
        <f>'W.EUR OTHER'!$F$12/'W.EUR OTHER'!$F$24</f>
        <v>2.1695631867364402</v>
      </c>
      <c r="R458" s="38">
        <f>'W.EUR OTHER'!$G$12/'W.EUR OTHER'!$G$24</f>
        <v>1.9879714246628111</v>
      </c>
      <c r="S458" s="39">
        <f t="shared" si="105"/>
        <v>-0.38670919927182501</v>
      </c>
      <c r="T458" s="30"/>
      <c r="U458" s="41"/>
      <c r="V458" s="42" t="str">
        <f>C458</f>
        <v>Agg. W. Europe Other</v>
      </c>
      <c r="Z458" s="33"/>
    </row>
    <row r="459" spans="1:26">
      <c r="C459" s="32"/>
      <c r="D459" s="28"/>
      <c r="E459" s="28"/>
      <c r="F459" s="29"/>
      <c r="G459" s="28"/>
      <c r="H459" s="30"/>
      <c r="I459" s="29"/>
      <c r="J459" s="29"/>
      <c r="K459" s="29"/>
      <c r="L459" s="29"/>
      <c r="M459" s="29"/>
      <c r="N459" s="30"/>
      <c r="O459" s="31"/>
      <c r="P459" s="31"/>
      <c r="Q459" s="31"/>
      <c r="R459" s="31"/>
      <c r="S459" s="29"/>
      <c r="T459" s="30"/>
      <c r="U459" s="32"/>
      <c r="V459" s="28"/>
      <c r="Z459" s="33"/>
    </row>
    <row r="460" spans="1:26">
      <c r="C460" s="32" t="str">
        <f t="shared" ref="C460:G462" si="112">C401</f>
        <v>KDDI</v>
      </c>
      <c r="D460" s="28" t="str">
        <f t="shared" si="112"/>
        <v>JPY 2,565</v>
      </c>
      <c r="E460" s="28" t="str">
        <f t="shared" si="112"/>
        <v>JPY 3,150</v>
      </c>
      <c r="F460" s="29">
        <f t="shared" si="112"/>
        <v>0.22807017543859653</v>
      </c>
      <c r="G460" s="28" t="str">
        <f t="shared" si="112"/>
        <v>Buy</v>
      </c>
      <c r="H460" s="30"/>
      <c r="I460" s="29">
        <f>KDDI!$D$30/KDDI!$D$23</f>
        <v>0.12067438703585254</v>
      </c>
      <c r="J460" s="29">
        <f>KDDI!$E$30/KDDI!$E$23</f>
        <v>0.12396196861856829</v>
      </c>
      <c r="K460" s="29">
        <f>KDDI!$F$30/KDDI!$F$23</f>
        <v>0.12691859835251293</v>
      </c>
      <c r="L460" s="29">
        <f>KDDI!$G$30/KDDI!$G$23</f>
        <v>0.12952143480631997</v>
      </c>
      <c r="M460" s="29">
        <f t="shared" ref="M460:M463" si="113">L460-I460</f>
        <v>8.8470477704674366E-3</v>
      </c>
      <c r="N460" s="30"/>
      <c r="O460" s="31">
        <f>KDDI!$D$12/KDDI!$D$24</f>
        <v>1.351599796997796</v>
      </c>
      <c r="P460" s="31">
        <f>KDDI!$E$12/KDDI!$E$24</f>
        <v>1.1843100252762127</v>
      </c>
      <c r="Q460" s="31">
        <f>KDDI!$F$12/KDDI!$F$24</f>
        <v>1.0039233716607217</v>
      </c>
      <c r="R460" s="31">
        <f>KDDI!$G$12/KDDI!$G$24</f>
        <v>0.81200474281673118</v>
      </c>
      <c r="S460" s="29">
        <f t="shared" ref="S460:S463" si="114">R460-O460</f>
        <v>-0.53959505418106479</v>
      </c>
      <c r="T460" s="30"/>
      <c r="U460" s="32" t="str">
        <f t="shared" ref="U460:V462" si="115">U401</f>
        <v>JPY 2,565</v>
      </c>
      <c r="V460" s="28" t="str">
        <f t="shared" si="115"/>
        <v>KDDI</v>
      </c>
      <c r="Z460" s="33"/>
    </row>
    <row r="461" spans="1:26">
      <c r="C461" s="32" t="str">
        <f t="shared" si="112"/>
        <v>Rakuten</v>
      </c>
      <c r="D461" s="28" t="str">
        <f t="shared" si="112"/>
        <v>JPY 775</v>
      </c>
      <c r="E461" s="28" t="str">
        <f t="shared" si="112"/>
        <v>JPY 510</v>
      </c>
      <c r="F461" s="29">
        <f t="shared" si="112"/>
        <v>-0.3421901199535663</v>
      </c>
      <c r="G461" s="28" t="str">
        <f t="shared" si="112"/>
        <v>Reduce</v>
      </c>
      <c r="H461" s="30"/>
      <c r="I461" s="29">
        <f>RAK!$D$30/RAK!$D$23</f>
        <v>-2.0507624080411305E-2</v>
      </c>
      <c r="J461" s="29">
        <f>RAK!$E$30/RAK!$E$23</f>
        <v>1.5238264381698051E-2</v>
      </c>
      <c r="K461" s="29">
        <f>RAK!$F$30/RAK!$F$23</f>
        <v>3.3864159926870863E-2</v>
      </c>
      <c r="L461" s="29">
        <f>RAK!$G$30/RAK!$G$23</f>
        <v>4.6065270081779526E-2</v>
      </c>
      <c r="M461" s="29">
        <f>L461-I461</f>
        <v>6.6572894162190838E-2</v>
      </c>
      <c r="N461" s="30"/>
      <c r="O461" s="31">
        <f>RAK!$D$12/RAK!$D$24</f>
        <v>0.2143181019006854</v>
      </c>
      <c r="P461" s="31">
        <f>RAK!$E$12/RAK!$E$24</f>
        <v>0.15282299846990033</v>
      </c>
      <c r="Q461" s="31">
        <f>RAK!$F$12/RAK!$F$24</f>
        <v>0.12412728829376567</v>
      </c>
      <c r="R461" s="31">
        <f>RAK!$G$12/RAK!$G$24</f>
        <v>0.10634095124877574</v>
      </c>
      <c r="S461" s="29">
        <f>R461-O461</f>
        <v>-0.10797715065190966</v>
      </c>
      <c r="T461" s="30"/>
      <c r="U461" s="32" t="str">
        <f t="shared" si="115"/>
        <v>JPY 775</v>
      </c>
      <c r="V461" s="28" t="str">
        <f t="shared" si="115"/>
        <v>Rakuten</v>
      </c>
      <c r="Z461" s="33"/>
    </row>
    <row r="462" spans="1:26">
      <c r="C462" s="32" t="str">
        <f t="shared" si="112"/>
        <v>SoftBank KK (Corp)</v>
      </c>
      <c r="D462" s="28" t="str">
        <f t="shared" si="112"/>
        <v>JPY 220</v>
      </c>
      <c r="E462" s="28" t="str">
        <f t="shared" si="112"/>
        <v>JPY 270</v>
      </c>
      <c r="F462" s="29">
        <f t="shared" si="112"/>
        <v>0.22615803814713908</v>
      </c>
      <c r="G462" s="28" t="str">
        <f t="shared" si="112"/>
        <v>Buy</v>
      </c>
      <c r="H462" s="30"/>
      <c r="I462" s="29">
        <f>SBKK!$D$30/SBKK!$D$23</f>
        <v>8.0777090881026872E-2</v>
      </c>
      <c r="J462" s="29">
        <f>SBKK!$E$30/SBKK!$E$23</f>
        <v>7.9846240486509276E-2</v>
      </c>
      <c r="K462" s="29">
        <f>SBKK!$F$30/SBKK!$F$23</f>
        <v>8.2200797782217547E-2</v>
      </c>
      <c r="L462" s="29">
        <f>SBKK!$G$30/SBKK!$G$23</f>
        <v>8.6266564719260072E-2</v>
      </c>
      <c r="M462" s="29">
        <f t="shared" si="113"/>
        <v>5.4894738382331998E-3</v>
      </c>
      <c r="N462" s="30"/>
      <c r="O462" s="31">
        <f>SBKK!$D$12/SBKK!$D$24</f>
        <v>2.2707317890652563</v>
      </c>
      <c r="P462" s="31">
        <f>SBKK!$E$12/SBKK!$E$24</f>
        <v>1.8737818188283382</v>
      </c>
      <c r="Q462" s="31">
        <f>SBKK!$F$12/SBKK!$F$24</f>
        <v>1.4871370400551456</v>
      </c>
      <c r="R462" s="31">
        <f>SBKK!$G$12/SBKK!$G$24</f>
        <v>1.1109168821463007</v>
      </c>
      <c r="S462" s="29">
        <f t="shared" si="114"/>
        <v>-1.1598149069189556</v>
      </c>
      <c r="T462" s="30"/>
      <c r="U462" s="32" t="str">
        <f t="shared" si="115"/>
        <v>JPY 220</v>
      </c>
      <c r="V462" s="28" t="str">
        <f t="shared" si="115"/>
        <v>SoftBank KK (Corp)</v>
      </c>
      <c r="Z462" s="33"/>
    </row>
    <row r="463" spans="1:26">
      <c r="C463" s="35" t="str">
        <f>C404</f>
        <v>Agg. Developed Asia Other</v>
      </c>
      <c r="D463" s="36"/>
      <c r="E463" s="36"/>
      <c r="F463" s="37"/>
      <c r="G463" s="36"/>
      <c r="H463" s="30"/>
      <c r="I463" s="39">
        <f>'DM ASIA OTHER'!$D$30/'DM ASIA OTHER'!$D$23</f>
        <v>8.0395931990565606E-2</v>
      </c>
      <c r="J463" s="39">
        <f>'DM ASIA OTHER'!$E$30/'DM ASIA OTHER'!$E$23</f>
        <v>8.6172961166540732E-2</v>
      </c>
      <c r="K463" s="39">
        <f>'DM ASIA OTHER'!$F$30/'DM ASIA OTHER'!$F$23</f>
        <v>9.073617486521679E-2</v>
      </c>
      <c r="L463" s="39">
        <f>'DM ASIA OTHER'!$G$30/'DM ASIA OTHER'!$G$23</f>
        <v>9.4983391645992177E-2</v>
      </c>
      <c r="M463" s="39">
        <f t="shared" si="113"/>
        <v>1.4587459655426571E-2</v>
      </c>
      <c r="N463" s="40"/>
      <c r="O463" s="38">
        <f>'DM ASIA OTHER'!$D$12/'DM ASIA OTHER'!$D$24</f>
        <v>1.6339811078881472</v>
      </c>
      <c r="P463" s="38">
        <f>'DM ASIA OTHER'!$E$12/'DM ASIA OTHER'!$E$24</f>
        <v>1.3447698735579081</v>
      </c>
      <c r="Q463" s="38">
        <f>'DM ASIA OTHER'!$F$12/'DM ASIA OTHER'!$F$24</f>
        <v>1.0791558290230747</v>
      </c>
      <c r="R463" s="38">
        <f>'DM ASIA OTHER'!$G$12/'DM ASIA OTHER'!$G$24</f>
        <v>0.82423944303077468</v>
      </c>
      <c r="S463" s="39">
        <f t="shared" si="114"/>
        <v>-0.80974166485737253</v>
      </c>
      <c r="T463" s="30"/>
      <c r="U463" s="41"/>
      <c r="V463" s="42" t="str">
        <f>V404</f>
        <v>Agg. Developed Asia Cellular</v>
      </c>
      <c r="Z463" s="33"/>
    </row>
    <row r="464" spans="1:26">
      <c r="A464" s="25"/>
      <c r="C464" s="32"/>
      <c r="D464" s="28"/>
      <c r="E464" s="28"/>
      <c r="F464" s="29"/>
      <c r="G464" s="28"/>
      <c r="H464" s="30"/>
      <c r="I464" s="29"/>
      <c r="J464" s="29"/>
      <c r="K464" s="29"/>
      <c r="L464" s="29"/>
      <c r="M464" s="29"/>
      <c r="N464" s="30"/>
      <c r="O464" s="31"/>
      <c r="P464" s="31"/>
      <c r="Q464" s="31"/>
      <c r="R464" s="31"/>
      <c r="S464" s="29"/>
      <c r="T464" s="30"/>
      <c r="U464" s="32"/>
      <c r="V464" s="28"/>
      <c r="Z464" s="33"/>
    </row>
    <row r="465" spans="1:29">
      <c r="A465" s="25"/>
      <c r="B465" s="26" t="s">
        <v>424</v>
      </c>
      <c r="C465" s="32" t="str">
        <f>C406</f>
        <v>Altice US</v>
      </c>
      <c r="D465" s="28" t="str">
        <f>D406</f>
        <v>US$1.7</v>
      </c>
      <c r="E465" s="28" t="str">
        <f>E406</f>
        <v>US$2.5</v>
      </c>
      <c r="F465" s="29">
        <f>F406</f>
        <v>0.49700598802395213</v>
      </c>
      <c r="G465" s="28" t="str">
        <f>G406</f>
        <v>Neutral</v>
      </c>
      <c r="H465" s="30"/>
      <c r="I465" s="29">
        <f>(ATCUS!D$30/ATCUS!D$23)</f>
        <v>3.4193873724378196E-2</v>
      </c>
      <c r="J465" s="29">
        <f>(ATCUS!E$30/ATCUS!E$23)</f>
        <v>-1.3468213508484074E-3</v>
      </c>
      <c r="K465" s="29">
        <f>(ATCUS!F$30/ATCUS!F$23)</f>
        <v>-1.7936775942929369E-2</v>
      </c>
      <c r="L465" s="29">
        <f>(ATCUS!G$30/ATCUS!G$23)</f>
        <v>-6.1750100013832415E-3</v>
      </c>
      <c r="M465" s="29">
        <f>L465-I465</f>
        <v>-4.0368883725761438E-2</v>
      </c>
      <c r="N465" s="30"/>
      <c r="O465" s="31">
        <f>(ATCUS!D$12/ATCUS!D$24)</f>
        <v>6.7671777194649883</v>
      </c>
      <c r="P465" s="31">
        <f>(ATCUS!E$12/ATCUS!E$24)</f>
        <v>7.2199511247718773</v>
      </c>
      <c r="Q465" s="31">
        <f>(ATCUS!F$12/ATCUS!F$24)</f>
        <v>31.172169699154203</v>
      </c>
      <c r="R465" s="31">
        <f>(ATCUS!G$12/ATCUS!G$24)</f>
        <v>31.101799923365167</v>
      </c>
      <c r="S465" s="29">
        <f t="shared" ref="S465:S469" si="116">R465-O465</f>
        <v>24.334622203900178</v>
      </c>
      <c r="T465" s="30"/>
      <c r="U465" s="32" t="str">
        <f>D465</f>
        <v>US$1.7</v>
      </c>
      <c r="V465" s="28" t="str">
        <f t="shared" ref="V465:V469" si="117">C465</f>
        <v>Altice US</v>
      </c>
      <c r="Z465" s="33"/>
    </row>
    <row r="466" spans="1:29">
      <c r="A466" s="25"/>
      <c r="B466" s="26" t="s">
        <v>424</v>
      </c>
      <c r="C466" s="32" t="s">
        <v>258</v>
      </c>
      <c r="D466" s="28" t="str">
        <f>B466&amp;TEXT(Prices!$C$50,"0.0")</f>
        <v>US$222.0</v>
      </c>
      <c r="E466" s="28" t="str">
        <f>B466&amp;TEXT(Prices!$E$50,"0.0")</f>
        <v>US$328.0</v>
      </c>
      <c r="F466" s="29">
        <f>Prices!$F$50</f>
        <v>0.47747747747747749</v>
      </c>
      <c r="G466" s="28" t="str">
        <f>Prices!$D$50</f>
        <v>Buy</v>
      </c>
      <c r="H466" s="30"/>
      <c r="I466" s="29">
        <f>(CHTR!D$30/CHTR!D$23)</f>
        <v>7.9127945307585282E-2</v>
      </c>
      <c r="J466" s="29">
        <f>(CHTR!E$30/CHTR!E$23)</f>
        <v>9.6605879354305535E-2</v>
      </c>
      <c r="K466" s="29">
        <f>(CHTR!F$30/CHTR!F$23)</f>
        <v>4.71875296881366E-6</v>
      </c>
      <c r="L466" s="29">
        <f>(CHTR!G$30/CHTR!G$23)</f>
        <v>0</v>
      </c>
      <c r="M466" s="29">
        <f>L466-I466</f>
        <v>-7.9127945307585282E-2</v>
      </c>
      <c r="N466" s="30"/>
      <c r="O466" s="31">
        <f>(CHTR!D$12/CHTR!D$24)</f>
        <v>4.4335434365579607</v>
      </c>
      <c r="P466" s="31">
        <f>(CHTR!E$12/CHTR!E$24)</f>
        <v>4.1416987903761795</v>
      </c>
      <c r="Q466" s="31">
        <f>(CHTR!F$12/CHTR!F$24)</f>
        <v>16.13274336283186</v>
      </c>
      <c r="R466" s="31">
        <f>(CHTR!G$12/CHTR!G$24)</f>
        <v>16.477428420867732</v>
      </c>
      <c r="S466" s="29">
        <f t="shared" si="116"/>
        <v>12.04388498430977</v>
      </c>
      <c r="T466" s="30"/>
      <c r="U466" s="32" t="str">
        <f>D466</f>
        <v>US$222.0</v>
      </c>
      <c r="V466" s="28" t="str">
        <f t="shared" si="117"/>
        <v>Charter</v>
      </c>
      <c r="Z466" s="33"/>
    </row>
    <row r="467" spans="1:29">
      <c r="A467" s="25"/>
      <c r="B467" s="26" t="s">
        <v>424</v>
      </c>
      <c r="C467" s="32" t="s">
        <v>257</v>
      </c>
      <c r="D467" s="28" t="str">
        <f>B467&amp;TEXT(Prices!$C$51,"0.0")</f>
        <v>US$30.2</v>
      </c>
      <c r="E467" s="28" t="str">
        <f>B467&amp;TEXT(Prices!$E$51,"0.0")</f>
        <v>US$36.0</v>
      </c>
      <c r="F467" s="29">
        <f>Prices!$F$51</f>
        <v>0.19027938502231767</v>
      </c>
      <c r="G467" s="28" t="str">
        <f>Prices!$D$51</f>
        <v>Buy</v>
      </c>
      <c r="H467" s="30"/>
      <c r="I467" s="29">
        <f>(CMCSA!D$30/CMCSA!D$23)</f>
        <v>0.13058588194649917</v>
      </c>
      <c r="J467" s="29">
        <f>(CMCSA!E$30/CMCSA!E$23)</f>
        <v>0.14205927595182813</v>
      </c>
      <c r="K467" s="29">
        <f>(CMCSA!F$30/CMCSA!F$23)</f>
        <v>2.2368812690884161E-6</v>
      </c>
      <c r="L467" s="29">
        <f>(CMCSA!G$30/CMCSA!G$23)</f>
        <v>0</v>
      </c>
      <c r="M467" s="29">
        <f>L467-I467</f>
        <v>-0.13058588194649917</v>
      </c>
      <c r="N467" s="30"/>
      <c r="O467" s="31">
        <f>(CMCSA!D$12/CMCSA!D$24)</f>
        <v>2.3279999999999998</v>
      </c>
      <c r="P467" s="31">
        <f>(CMCSA!E$12/CMCSA!E$24)</f>
        <v>2.327</v>
      </c>
      <c r="Q467" s="31">
        <f>(CMCSA!F$12/CMCSA!F$24)</f>
        <v>9.169200818382123</v>
      </c>
      <c r="R467" s="31">
        <f>(CMCSA!G$12/CMCSA!G$24)</f>
        <v>8.6354475347661186</v>
      </c>
      <c r="S467" s="29">
        <f t="shared" si="116"/>
        <v>6.3074475347661192</v>
      </c>
      <c r="T467" s="30"/>
      <c r="U467" s="32" t="str">
        <f>D467</f>
        <v>US$30.2</v>
      </c>
      <c r="V467" s="28" t="str">
        <f t="shared" si="117"/>
        <v>Comcast</v>
      </c>
      <c r="Z467" s="33"/>
    </row>
    <row r="468" spans="1:29">
      <c r="A468" s="25"/>
      <c r="B468" s="26" t="s">
        <v>431</v>
      </c>
      <c r="C468" s="32" t="s">
        <v>1264</v>
      </c>
      <c r="D468" s="28" t="str">
        <f>B468&amp;TEXT(Prices!C$52,"0.0")</f>
        <v>US$ 119.1</v>
      </c>
      <c r="E468" s="28" t="str">
        <f>B468&amp;TEXT(Prices!E$52,"0.0")</f>
        <v>US$ 0.0</v>
      </c>
      <c r="F468" s="29">
        <f>Prices!F$52</f>
        <v>-1</v>
      </c>
      <c r="G468" s="28" t="str">
        <f>Prices!D$52</f>
        <v>Buy</v>
      </c>
      <c r="H468" s="30"/>
      <c r="I468" s="29">
        <f>(SATS!D$30/SATS!D$23)</f>
        <v>3.1321157253286373E-2</v>
      </c>
      <c r="J468" s="29">
        <f>(SATS!E$30/SATS!E$23)</f>
        <v>2.1990618599197248E-3</v>
      </c>
      <c r="K468" s="29">
        <f>(SATS!F$30/SATS!F$23)</f>
        <v>2.9830255060672346E-2</v>
      </c>
      <c r="L468" s="29">
        <f>(SATS!G$30/SATS!G$23)</f>
        <v>6.0580492641725055E-2</v>
      </c>
      <c r="M468" s="29">
        <f>SATS!H$42</f>
        <v>4.5519366726737731E-2</v>
      </c>
      <c r="N468" s="30"/>
      <c r="O468" s="31">
        <f>(SATS!D$12/SATS!D$24)</f>
        <v>20.556061758595483</v>
      </c>
      <c r="P468" s="31">
        <f>(SATS!E$12/SATS!E$24)</f>
        <v>-0.68211358931263655</v>
      </c>
      <c r="Q468" s="31">
        <f>(SATS!F$12/SATS!F$24)</f>
        <v>-4.8787432699401103</v>
      </c>
      <c r="R468" s="31">
        <f>(SATS!G$12/SATS!G$24)</f>
        <v>-5.2190281561307676</v>
      </c>
      <c r="S468" s="29">
        <f t="shared" si="116"/>
        <v>-25.775089914726252</v>
      </c>
      <c r="T468" s="30"/>
      <c r="U468" s="32" t="str">
        <f>D468</f>
        <v>US$ 119.1</v>
      </c>
      <c r="V468" s="28" t="str">
        <f t="shared" si="117"/>
        <v>EchoStar</v>
      </c>
      <c r="Z468" s="33"/>
    </row>
    <row r="469" spans="1:29">
      <c r="A469" s="25"/>
      <c r="C469" s="35" t="str">
        <f>C410</f>
        <v>Agg. US Other</v>
      </c>
      <c r="D469" s="42"/>
      <c r="E469" s="42"/>
      <c r="F469" s="39"/>
      <c r="G469" s="42"/>
      <c r="H469" s="40"/>
      <c r="I469" s="39">
        <f>('US OTHER'!D$30/'US OTHER'!D$23)</f>
        <v>0.10468426906481129</v>
      </c>
      <c r="J469" s="39">
        <f>('US OTHER'!E$30/'US OTHER'!E$23)</f>
        <v>0.11342090368446792</v>
      </c>
      <c r="K469" s="39">
        <f>('US OTHER'!F$30/'US OTHER'!F$23)</f>
        <v>6.2683800859897713E-3</v>
      </c>
      <c r="L469" s="39">
        <f>('US OTHER'!G$30/'US OTHER'!G$23)</f>
        <v>1.3365798215104164E-2</v>
      </c>
      <c r="M469" s="39">
        <f>L469-I469</f>
        <v>-9.1318470849707123E-2</v>
      </c>
      <c r="N469" s="40"/>
      <c r="O469" s="50">
        <f>('US OTHER'!D$12/'US OTHER'!D$24)</f>
        <v>3.6053570835784456</v>
      </c>
      <c r="P469" s="50">
        <f>('US OTHER'!E$12/'US OTHER'!E$24)</f>
        <v>3.1061257645010776</v>
      </c>
      <c r="Q469" s="50">
        <f>('US OTHER'!F$12/'US OTHER'!F$24)</f>
        <v>10.649649149448464</v>
      </c>
      <c r="R469" s="50">
        <f>('US OTHER'!G$12/'US OTHER'!G$24)</f>
        <v>10.297015549966995</v>
      </c>
      <c r="S469" s="39">
        <f t="shared" si="116"/>
        <v>6.6916584663885494</v>
      </c>
      <c r="T469" s="40"/>
      <c r="U469" s="35"/>
      <c r="V469" s="42" t="str">
        <f t="shared" si="117"/>
        <v>Agg. US Other</v>
      </c>
      <c r="Z469" s="33"/>
    </row>
    <row r="470" spans="1:29">
      <c r="A470" s="25"/>
      <c r="C470" s="32"/>
      <c r="D470" s="28"/>
      <c r="E470" s="28"/>
      <c r="F470" s="29"/>
      <c r="G470" s="28"/>
      <c r="H470" s="30"/>
      <c r="I470" s="29"/>
      <c r="J470" s="29"/>
      <c r="K470" s="29"/>
      <c r="L470" s="29"/>
      <c r="M470" s="29"/>
      <c r="N470" s="30"/>
      <c r="O470" s="31"/>
      <c r="P470" s="31"/>
      <c r="Q470" s="31"/>
      <c r="R470" s="31"/>
      <c r="S470" s="29"/>
      <c r="T470" s="30"/>
      <c r="U470" s="32"/>
      <c r="V470" s="28"/>
      <c r="Z470" s="33"/>
    </row>
    <row r="471" spans="1:29">
      <c r="C471" s="32"/>
      <c r="D471" s="28"/>
      <c r="E471" s="28"/>
      <c r="F471" s="29"/>
      <c r="G471" s="28"/>
      <c r="H471" s="30"/>
      <c r="I471" s="29"/>
      <c r="J471" s="29"/>
      <c r="K471" s="29"/>
      <c r="L471" s="29"/>
      <c r="M471" s="29"/>
      <c r="N471" s="30"/>
      <c r="O471" s="31"/>
      <c r="P471" s="31"/>
      <c r="Q471" s="31"/>
      <c r="R471" s="31"/>
      <c r="S471" s="29"/>
      <c r="T471" s="30"/>
      <c r="U471" s="32"/>
      <c r="V471" s="28"/>
      <c r="Z471" s="33"/>
    </row>
    <row r="472" spans="1:29">
      <c r="C472" s="35" t="str">
        <f>C413</f>
        <v>Agg. W Europe</v>
      </c>
      <c r="D472" s="36"/>
      <c r="E472" s="36"/>
      <c r="F472" s="37"/>
      <c r="G472" s="36"/>
      <c r="H472" s="30"/>
      <c r="I472" s="39">
        <f>'W.EUR AGG'!$D$30/'W.EUR AGG'!$D$23</f>
        <v>6.9424479314824178E-2</v>
      </c>
      <c r="J472" s="39">
        <f>'W.EUR AGG'!$E$30/'W.EUR AGG'!$E$23</f>
        <v>7.4597402372691329E-2</v>
      </c>
      <c r="K472" s="39">
        <f>'W.EUR AGG'!$F$30/'W.EUR AGG'!$F$23</f>
        <v>7.7413631010412709E-2</v>
      </c>
      <c r="L472" s="39">
        <f>'W.EUR AGG'!$G$30/'W.EUR AGG'!$G$23</f>
        <v>8.3933124498685605E-2</v>
      </c>
      <c r="M472" s="39">
        <f>L472-I472</f>
        <v>1.4508645183861427E-2</v>
      </c>
      <c r="N472" s="40"/>
      <c r="O472" s="38">
        <f>'W.EUR AGG'!$D$12/'W.EUR AGG'!$D$24</f>
        <v>2.4531948587107122</v>
      </c>
      <c r="P472" s="38">
        <f>'W.EUR AGG'!$E$12/'W.EUR AGG'!$E$24</f>
        <v>2.3685346797215838</v>
      </c>
      <c r="Q472" s="38">
        <f>'W.EUR AGG'!$F$12/'W.EUR AGG'!$F$24</f>
        <v>2.2361130664321518</v>
      </c>
      <c r="R472" s="38">
        <f>'W.EUR AGG'!$G$12/'W.EUR AGG'!$G$24</f>
        <v>2.0684723065918265</v>
      </c>
      <c r="S472" s="39">
        <f>R472-O472</f>
        <v>-0.38472255211888573</v>
      </c>
      <c r="T472" s="30"/>
      <c r="U472" s="41"/>
      <c r="V472" s="42" t="str">
        <f>V413</f>
        <v>Agg. W Europe</v>
      </c>
      <c r="Z472" s="33"/>
    </row>
    <row r="473" spans="1:29">
      <c r="C473" s="25" t="s">
        <v>1268</v>
      </c>
      <c r="D473" s="28"/>
      <c r="E473" s="28"/>
      <c r="F473" s="29"/>
      <c r="G473" s="28"/>
      <c r="H473" s="30"/>
      <c r="I473" s="43">
        <f>'US AGG'!D$30/'US AGG'!D$23</f>
        <v>0.1473368983106812</v>
      </c>
      <c r="J473" s="43">
        <f>'US AGG'!E$30/'US AGG'!E$23</f>
        <v>0.15740862672757081</v>
      </c>
      <c r="K473" s="43">
        <f>'US AGG'!F$30/'US AGG'!F$23</f>
        <v>0.16623358859238313</v>
      </c>
      <c r="L473" s="43">
        <f>'US AGG'!G$30/'US AGG'!G$23</f>
        <v>0.17559262097721295</v>
      </c>
      <c r="M473" s="43">
        <f>L473-I473</f>
        <v>2.8255722666531757E-2</v>
      </c>
      <c r="N473" s="40"/>
      <c r="O473" s="44">
        <f>'US AGG'!D$12/'US AGG'!D$24</f>
        <v>2.9614010782606552</v>
      </c>
      <c r="P473" s="44">
        <f>'US AGG'!E$12/'US AGG'!E$24</f>
        <v>2.8353410926726879</v>
      </c>
      <c r="Q473" s="44">
        <f>'US AGG'!F$12/'US AGG'!F$24</f>
        <v>3.4374891502929517</v>
      </c>
      <c r="R473" s="44">
        <f>'US AGG'!G$12/'US AGG'!G$24</f>
        <v>3.2802671428282189</v>
      </c>
      <c r="S473" s="43">
        <f>R473-O473</f>
        <v>0.31886606456756361</v>
      </c>
      <c r="T473" s="30"/>
      <c r="U473" s="32"/>
      <c r="V473" s="34" t="str">
        <f>V414</f>
        <v>Agg. US</v>
      </c>
      <c r="Z473" s="33"/>
    </row>
    <row r="474" spans="1:29">
      <c r="C474" s="51" t="str">
        <f>C415</f>
        <v xml:space="preserve">Agg. Developed Asia </v>
      </c>
      <c r="D474" s="36"/>
      <c r="E474" s="36"/>
      <c r="F474" s="37"/>
      <c r="G474" s="36"/>
      <c r="H474" s="30"/>
      <c r="I474" s="39">
        <f>'AGG DM ASIA'!$D$30/'AGG DM ASIA'!$D$23</f>
        <v>8.7665675400190948E-2</v>
      </c>
      <c r="J474" s="39">
        <f>'AGG DM ASIA'!$E$30/'AGG DM ASIA'!$E$23</f>
        <v>9.6049119778122222E-2</v>
      </c>
      <c r="K474" s="39">
        <f>'AGG DM ASIA'!$F$30/'AGG DM ASIA'!$F$23</f>
        <v>0.10123297857061556</v>
      </c>
      <c r="L474" s="39">
        <f>'AGG DM ASIA'!$G$30/'AGG DM ASIA'!$G$23</f>
        <v>0.10562739139019604</v>
      </c>
      <c r="M474" s="39">
        <f>L474-I474</f>
        <v>1.7961715990005095E-2</v>
      </c>
      <c r="N474" s="40"/>
      <c r="O474" s="38">
        <f>'AGG DM ASIA'!$D$12/'AGG DM ASIA'!$D$24</f>
        <v>1.7527436999475685</v>
      </c>
      <c r="P474" s="38">
        <f>'AGG DM ASIA'!$E$12/'AGG DM ASIA'!$E$24</f>
        <v>1.5280909678343959</v>
      </c>
      <c r="Q474" s="38">
        <f>'AGG DM ASIA'!$F$12/'AGG DM ASIA'!$F$24</f>
        <v>1.3216545800030659</v>
      </c>
      <c r="R474" s="38">
        <f>'AGG DM ASIA'!$G$12/'AGG DM ASIA'!$G$24</f>
        <v>1.1105843305213625</v>
      </c>
      <c r="S474" s="39">
        <f>R474-O474</f>
        <v>-0.64215936942620599</v>
      </c>
      <c r="T474" s="30"/>
      <c r="U474" s="41"/>
      <c r="V474" s="42" t="str">
        <f>V415</f>
        <v xml:space="preserve">Agg. Developed Asia </v>
      </c>
      <c r="Z474" s="33"/>
    </row>
    <row r="475" spans="1:29">
      <c r="C475" s="25"/>
      <c r="D475" s="28"/>
      <c r="E475" s="28"/>
      <c r="F475" s="29"/>
      <c r="G475" s="28"/>
      <c r="H475" s="30"/>
      <c r="I475" s="43"/>
      <c r="J475" s="43"/>
      <c r="K475" s="43"/>
      <c r="L475" s="43"/>
      <c r="M475" s="43"/>
      <c r="N475" s="40"/>
      <c r="O475" s="44"/>
      <c r="P475" s="44"/>
      <c r="Q475" s="44"/>
      <c r="R475" s="44"/>
      <c r="S475" s="43"/>
      <c r="T475" s="30"/>
      <c r="U475" s="32"/>
      <c r="V475" s="34"/>
      <c r="Z475" s="33"/>
    </row>
    <row r="476" spans="1:29">
      <c r="C476" s="51" t="str">
        <f>C417</f>
        <v>Agg. Global Developed</v>
      </c>
      <c r="D476" s="36"/>
      <c r="E476" s="36"/>
      <c r="F476" s="37"/>
      <c r="G476" s="36"/>
      <c r="H476" s="30"/>
      <c r="I476" s="39">
        <f>'AGG DM'!$D$30/'AGG DM'!$D$23</f>
        <v>0.10567061963832922</v>
      </c>
      <c r="J476" s="39">
        <f>'AGG DM'!$E$30/'AGG DM'!$E$23</f>
        <v>0.11309700195570571</v>
      </c>
      <c r="K476" s="39">
        <f>'AGG DM'!$F$30/'AGG DM'!$F$23</f>
        <v>0.11238078980871509</v>
      </c>
      <c r="L476" s="39">
        <f>'AGG DM'!$G$30/'AGG DM'!$G$23</f>
        <v>0.11944027960108189</v>
      </c>
      <c r="M476" s="39">
        <f>L476-I476</f>
        <v>1.3769659962752673E-2</v>
      </c>
      <c r="N476" s="40"/>
      <c r="O476" s="38">
        <f>'AGG DM'!$D$12/'AGG DM'!$D$24</f>
        <v>2.6258125846140614</v>
      </c>
      <c r="P476" s="38">
        <f>'AGG DM'!$E$12/'AGG DM'!$E$24</f>
        <v>2.4947143978219999</v>
      </c>
      <c r="Q476" s="38">
        <f>'AGG DM'!$F$12/'AGG DM'!$F$24</f>
        <v>2.6255250047957492</v>
      </c>
      <c r="R476" s="38">
        <f>'AGG DM'!$G$12/'AGG DM'!$G$24</f>
        <v>2.4540489421871587</v>
      </c>
      <c r="S476" s="39">
        <f>R476-O476</f>
        <v>-0.17176364242690267</v>
      </c>
      <c r="T476" s="30"/>
      <c r="U476" s="41"/>
      <c r="V476" s="42" t="str">
        <f>V417</f>
        <v xml:space="preserve">Agg. Global Developed </v>
      </c>
      <c r="Z476" s="33"/>
    </row>
    <row r="477" spans="1:29">
      <c r="C477" s="27"/>
      <c r="D477" s="28"/>
      <c r="E477" s="28"/>
      <c r="F477" s="29"/>
      <c r="G477" s="28"/>
      <c r="H477" s="105"/>
      <c r="I477" s="29"/>
      <c r="J477" s="29"/>
      <c r="K477" s="29"/>
      <c r="L477" s="29"/>
      <c r="M477" s="29"/>
      <c r="N477" s="30"/>
      <c r="O477" s="29"/>
      <c r="P477" s="29"/>
      <c r="Q477" s="29"/>
      <c r="R477" s="29"/>
      <c r="S477" s="29"/>
      <c r="T477" s="30"/>
      <c r="U477" s="32"/>
      <c r="V477" s="34"/>
      <c r="Z477" s="33"/>
    </row>
    <row r="478" spans="1:29">
      <c r="C478" s="27"/>
      <c r="D478" s="28"/>
      <c r="E478" s="28"/>
      <c r="F478" s="29"/>
      <c r="G478" s="28"/>
      <c r="H478" s="105"/>
      <c r="I478" s="29"/>
      <c r="J478" s="29"/>
      <c r="K478" s="29"/>
      <c r="L478" s="29"/>
      <c r="M478" s="29"/>
      <c r="N478" s="30"/>
      <c r="O478" s="29"/>
      <c r="P478" s="29"/>
      <c r="Q478" s="29"/>
      <c r="R478" s="29"/>
      <c r="S478" s="29"/>
      <c r="T478" s="30"/>
      <c r="U478" s="32"/>
      <c r="V478" s="34"/>
      <c r="Z478" s="33"/>
    </row>
    <row r="479" spans="1:29" s="25" customFormat="1">
      <c r="B479" s="113"/>
      <c r="C479" s="130"/>
      <c r="D479" s="131" t="s">
        <v>379</v>
      </c>
      <c r="E479" s="131" t="s">
        <v>50</v>
      </c>
      <c r="F479" s="131" t="s">
        <v>52</v>
      </c>
      <c r="G479" s="131" t="s">
        <v>49</v>
      </c>
      <c r="H479" s="33"/>
      <c r="I479" s="132" t="s">
        <v>242</v>
      </c>
      <c r="J479" s="132"/>
      <c r="K479" s="132"/>
      <c r="L479" s="132"/>
      <c r="M479" s="132"/>
      <c r="O479" s="132" t="s">
        <v>389</v>
      </c>
      <c r="P479" s="132"/>
      <c r="Q479" s="132"/>
      <c r="R479" s="132"/>
      <c r="S479" s="132"/>
      <c r="T479" s="33"/>
      <c r="U479" s="133" t="s">
        <v>379</v>
      </c>
      <c r="V479" s="131"/>
      <c r="Z479" s="33"/>
      <c r="AC479" s="106"/>
    </row>
    <row r="480" spans="1:29">
      <c r="A480" s="25" t="s">
        <v>415</v>
      </c>
      <c r="C480" s="32" t="s">
        <v>160</v>
      </c>
      <c r="D480" s="28" t="str">
        <f t="shared" ref="D480:G490" si="118">D421</f>
        <v>GBP2.24</v>
      </c>
      <c r="E480" s="28" t="str">
        <f t="shared" si="118"/>
        <v>GBP2.40</v>
      </c>
      <c r="F480" s="29">
        <f t="shared" si="118"/>
        <v>7.1189466636911503E-2</v>
      </c>
      <c r="G480" s="28" t="str">
        <f t="shared" si="118"/>
        <v>Neutral</v>
      </c>
      <c r="H480" s="30"/>
      <c r="I480" s="31">
        <f>BT!$D$25/BT!$D$33</f>
        <v>2.3356527586211655</v>
      </c>
      <c r="J480" s="31">
        <f>BT!$E$25/BT!$E$33</f>
        <v>3.2479271398789571</v>
      </c>
      <c r="K480" s="31">
        <f>BT!$F$25/BT!$F$33</f>
        <v>3.4645349617510921</v>
      </c>
      <c r="L480" s="31">
        <f>BT!$G$25/BT!$G$33</f>
        <v>3.5463714089229308</v>
      </c>
      <c r="M480" s="29">
        <f t="shared" ref="M480:M491" si="119">L480-I480</f>
        <v>1.2107186503017653</v>
      </c>
      <c r="N480" s="30"/>
      <c r="O480" s="29">
        <f>(BT!$D$24-BT!$D$25)/BT!$D$23</f>
        <v>0.25777178695883318</v>
      </c>
      <c r="P480" s="29">
        <f>(BT!$E$24-BT!$E$25)/BT!$E$23</f>
        <v>0.2215183085745174</v>
      </c>
      <c r="Q480" s="29">
        <f>(BT!$F$24-BT!$F$25)/BT!$F$23</f>
        <v>0.20536942381033532</v>
      </c>
      <c r="R480" s="29">
        <f>(BT!$G$24-BT!$G$25)/BT!$G$23</f>
        <v>0.19024850338426796</v>
      </c>
      <c r="S480" s="29">
        <f t="shared" ref="S480:S491" si="120">R480-O480</f>
        <v>-6.7523283574565218E-2</v>
      </c>
      <c r="T480" s="30"/>
      <c r="U480" s="32" t="str">
        <f t="shared" ref="U480:V484" si="121">U421</f>
        <v>GBP2.24</v>
      </c>
      <c r="V480" s="53" t="str">
        <f t="shared" si="121"/>
        <v>British Telecom</v>
      </c>
      <c r="Z480" s="33"/>
    </row>
    <row r="481" spans="1:26">
      <c r="A481" s="25"/>
      <c r="C481" s="32" t="s">
        <v>161</v>
      </c>
      <c r="D481" s="28" t="str">
        <f t="shared" si="118"/>
        <v>EUR 27.67</v>
      </c>
      <c r="E481" s="28" t="str">
        <f t="shared" si="118"/>
        <v>EUR 43.00</v>
      </c>
      <c r="F481" s="29">
        <f t="shared" si="118"/>
        <v>0.55402963498373681</v>
      </c>
      <c r="G481" s="28" t="str">
        <f t="shared" si="118"/>
        <v>Buy</v>
      </c>
      <c r="H481" s="30"/>
      <c r="I481" s="31">
        <f>DT!$D$25/DT!$D$33</f>
        <v>4.5097934665072739</v>
      </c>
      <c r="J481" s="31">
        <f>DT!$E$25/DT!$E$33</f>
        <v>4.5923001862780675</v>
      </c>
      <c r="K481" s="31">
        <f>DT!$F$25/DT!$F$33</f>
        <v>4.9159967751897842</v>
      </c>
      <c r="L481" s="31">
        <f>DT!$G$25/DT!$G$33</f>
        <v>5.3871835955148519</v>
      </c>
      <c r="M481" s="29">
        <f t="shared" si="119"/>
        <v>0.87739012900757807</v>
      </c>
      <c r="N481" s="30"/>
      <c r="O481" s="29">
        <f>(DT!$D$24-DT!$D$25)/DT!$D$23</f>
        <v>0.15114996200665776</v>
      </c>
      <c r="P481" s="29">
        <f>(DT!$E$24-DT!$E$25)/DT!$E$23</f>
        <v>0.14521209716769989</v>
      </c>
      <c r="Q481" s="29">
        <f>(DT!$F$24-DT!$F$25)/DT!$F$23</f>
        <v>0.13787686765326337</v>
      </c>
      <c r="R481" s="29">
        <f>(DT!$G$24-DT!$G$25)/DT!$G$23</f>
        <v>0.13525972550898621</v>
      </c>
      <c r="S481" s="29">
        <f t="shared" si="120"/>
        <v>-1.5890236497671545E-2</v>
      </c>
      <c r="T481" s="30"/>
      <c r="U481" s="32" t="str">
        <f t="shared" si="121"/>
        <v>EUR 27.67</v>
      </c>
      <c r="V481" s="53" t="str">
        <f t="shared" si="121"/>
        <v>Deutsche Telekom</v>
      </c>
      <c r="Z481" s="33"/>
    </row>
    <row r="482" spans="1:26">
      <c r="A482" s="25"/>
      <c r="C482" s="32" t="s">
        <v>373</v>
      </c>
      <c r="D482" s="28" t="str">
        <f t="shared" si="118"/>
        <v>EUR 4.66</v>
      </c>
      <c r="E482" s="28" t="str">
        <f t="shared" si="118"/>
        <v>EUR 4.33</v>
      </c>
      <c r="F482" s="29">
        <f t="shared" si="118"/>
        <v>-7.2021498159240971E-2</v>
      </c>
      <c r="G482" s="28" t="str">
        <f t="shared" si="118"/>
        <v>Neutral</v>
      </c>
      <c r="H482" s="30"/>
      <c r="I482" s="31">
        <f>KPN!$D$25/KPN!$D$33</f>
        <v>5.409448818897638</v>
      </c>
      <c r="J482" s="31">
        <f>KPN!$E$25/KPN!$E$33</f>
        <v>4.8134746341870711</v>
      </c>
      <c r="K482" s="31">
        <f>KPN!$F$25/KPN!$F$33</f>
        <v>5.8604921419468425</v>
      </c>
      <c r="L482" s="31">
        <f>KPN!$G$25/KPN!$G$33</f>
        <v>6.0863274656075257</v>
      </c>
      <c r="M482" s="29">
        <f t="shared" si="119"/>
        <v>0.67687864670988773</v>
      </c>
      <c r="N482" s="30"/>
      <c r="O482" s="29">
        <f>(KPN!$D$24-KPN!$D$25)/KPN!$D$23</f>
        <v>0.21684680048035684</v>
      </c>
      <c r="P482" s="29">
        <f>(KPN!$E$24-KPN!$E$25)/KPN!$E$23</f>
        <v>0.2109597336786157</v>
      </c>
      <c r="Q482" s="29">
        <f>(KPN!$F$24-KPN!$F$25)/KPN!$F$23</f>
        <v>0.16545035984187262</v>
      </c>
      <c r="R482" s="29">
        <f>(KPN!$G$24-KPN!$G$25)/KPN!$G$23</f>
        <v>0.16251105422621828</v>
      </c>
      <c r="S482" s="29">
        <f t="shared" si="120"/>
        <v>-5.4335746254138562E-2</v>
      </c>
      <c r="T482" s="30"/>
      <c r="U482" s="32" t="str">
        <f t="shared" si="121"/>
        <v>EUR 4.66</v>
      </c>
      <c r="V482" s="53" t="str">
        <f t="shared" si="121"/>
        <v>KPN</v>
      </c>
      <c r="Z482" s="33"/>
    </row>
    <row r="483" spans="1:26">
      <c r="A483" s="25"/>
      <c r="C483" s="32" t="s">
        <v>604</v>
      </c>
      <c r="D483" s="28" t="str">
        <f t="shared" si="118"/>
        <v>EUR 17.64</v>
      </c>
      <c r="E483" s="28" t="str">
        <f t="shared" si="118"/>
        <v>EUR 18.80</v>
      </c>
      <c r="F483" s="29">
        <f t="shared" si="118"/>
        <v>6.5759637188208542E-2</v>
      </c>
      <c r="G483" s="28" t="str">
        <f t="shared" si="118"/>
        <v>Neutral</v>
      </c>
      <c r="H483" s="30"/>
      <c r="I483" s="31">
        <f>ORA!$D$25/ORA!$D$33</f>
        <v>4.9936204146730461</v>
      </c>
      <c r="J483" s="31">
        <f>ORA!$E$25/ORA!$E$33</f>
        <v>6.8034481499987987</v>
      </c>
      <c r="K483" s="31">
        <f>ORA!$F$25/ORA!$F$33</f>
        <v>7.1831395665894595</v>
      </c>
      <c r="L483" s="31">
        <f>ORA!$G$25/ORA!$G$33</f>
        <v>7.5773509065472577</v>
      </c>
      <c r="M483" s="29">
        <f t="shared" si="119"/>
        <v>2.5837304918742117</v>
      </c>
      <c r="N483" s="30"/>
      <c r="O483" s="29">
        <f>(ORA!$D$24-ORA!$D$25)/ORA!$D$23</f>
        <v>0.15366336633663366</v>
      </c>
      <c r="P483" s="29">
        <f>(ORA!$E$24-ORA!$E$25)/ORA!$E$23</f>
        <v>0.14703148607135041</v>
      </c>
      <c r="Q483" s="29">
        <f>(ORA!$F$24-ORA!$F$25)/ORA!$F$23</f>
        <v>0.1425634777803009</v>
      </c>
      <c r="R483" s="29">
        <f>(ORA!$G$24-ORA!$G$25)/ORA!$G$23</f>
        <v>0.1430373954441217</v>
      </c>
      <c r="S483" s="29">
        <f t="shared" si="120"/>
        <v>-1.0625970892511966E-2</v>
      </c>
      <c r="T483" s="30"/>
      <c r="U483" s="32" t="str">
        <f t="shared" si="121"/>
        <v>EUR 17.64</v>
      </c>
      <c r="V483" s="53" t="str">
        <f t="shared" si="121"/>
        <v>Orange</v>
      </c>
      <c r="Z483" s="33"/>
    </row>
    <row r="484" spans="1:26">
      <c r="A484" s="25"/>
      <c r="C484" s="32" t="s">
        <v>374</v>
      </c>
      <c r="D484" s="28" t="str">
        <f t="shared" si="118"/>
        <v>EUR 18.29</v>
      </c>
      <c r="E484" s="28" t="str">
        <f t="shared" si="118"/>
        <v>EUR 22.10</v>
      </c>
      <c r="F484" s="29">
        <f t="shared" si="118"/>
        <v>0.20831055221432493</v>
      </c>
      <c r="G484" s="28" t="str">
        <f t="shared" si="118"/>
        <v>Buy</v>
      </c>
      <c r="H484" s="30"/>
      <c r="I484" s="31">
        <f>OTE!$D$25/OTE!$D$33</f>
        <v>41.999999999999993</v>
      </c>
      <c r="J484" s="31">
        <f>OTE!$E$25/OTE!$E$33</f>
        <v>36.732872104438911</v>
      </c>
      <c r="K484" s="31">
        <f>OTE!$F$25/OTE!$F$33</f>
        <v>50.141928341408935</v>
      </c>
      <c r="L484" s="31">
        <f>OTE!$G$25/OTE!$G$33</f>
        <v>40.763934739475566</v>
      </c>
      <c r="M484" s="29">
        <f t="shared" si="119"/>
        <v>-1.2360652605244269</v>
      </c>
      <c r="N484" s="30"/>
      <c r="O484" s="29">
        <f>(OTE!$D$24-OTE!$D$25)/OTE!$D$23</f>
        <v>0.17460361768646718</v>
      </c>
      <c r="P484" s="29">
        <f>(OTE!$E$24-OTE!$E$25)/OTE!$E$23</f>
        <v>0.1757772863098937</v>
      </c>
      <c r="Q484" s="29">
        <f>(OTE!$F$24-OTE!$F$25)/OTE!$F$23</f>
        <v>0.17664318580062258</v>
      </c>
      <c r="R484" s="29">
        <f>(OTE!$G$24-OTE!$G$25)/OTE!$G$23</f>
        <v>0.16779128647345559</v>
      </c>
      <c r="S484" s="29">
        <f t="shared" si="120"/>
        <v>-6.8123312130115854E-3</v>
      </c>
      <c r="T484" s="30"/>
      <c r="U484" s="32" t="str">
        <f t="shared" si="121"/>
        <v>EUR 18.29</v>
      </c>
      <c r="V484" s="53" t="str">
        <f t="shared" si="121"/>
        <v>OTE</v>
      </c>
      <c r="Z484" s="33"/>
    </row>
    <row r="485" spans="1:26">
      <c r="A485" s="25"/>
      <c r="C485" s="32" t="s">
        <v>686</v>
      </c>
      <c r="D485" s="28" t="str">
        <f t="shared" si="118"/>
        <v>EUR 6.6</v>
      </c>
      <c r="E485" s="28" t="str">
        <f t="shared" si="118"/>
        <v>EUR 13.3</v>
      </c>
      <c r="F485" s="29">
        <f t="shared" si="118"/>
        <v>1.0060331825037707</v>
      </c>
      <c r="G485" s="28" t="str">
        <f t="shared" si="118"/>
        <v>Neutral</v>
      </c>
      <c r="H485" s="30"/>
      <c r="I485" s="31">
        <f>PROX!$D$25/PROX!$D$33</f>
        <v>4.3424657534246576</v>
      </c>
      <c r="J485" s="31">
        <f>PROX!$E$25/PROX!$E$33</f>
        <v>4.3046383472375203</v>
      </c>
      <c r="K485" s="31">
        <f>PROX!$F$25/PROX!$F$33</f>
        <v>4.3313639175893108</v>
      </c>
      <c r="L485" s="31">
        <f>PROX!$G$25/PROX!$G$33</f>
        <v>4.4866730049490933</v>
      </c>
      <c r="M485" s="29">
        <f t="shared" si="119"/>
        <v>0.1442072515244357</v>
      </c>
      <c r="N485" s="30"/>
      <c r="O485" s="29">
        <f>(PROX!$D$24-PROX!$D$25)/PROX!$D$23</f>
        <v>0.1981924845409862</v>
      </c>
      <c r="P485" s="29">
        <f>(PROX!$E$24-PROX!$E$25)/PROX!$E$23</f>
        <v>0.2001637881449109</v>
      </c>
      <c r="Q485" s="29">
        <f>(PROX!$F$24-PROX!$F$25)/PROX!$F$23</f>
        <v>0.200395208032007</v>
      </c>
      <c r="R485" s="29">
        <f>(PROX!$G$24-PROX!$G$25)/PROX!$G$23</f>
        <v>0.1950183053377684</v>
      </c>
      <c r="S485" s="29">
        <f t="shared" si="120"/>
        <v>-3.1741792032178029E-3</v>
      </c>
      <c r="T485" s="30"/>
      <c r="U485" s="32" t="str">
        <f t="shared" ref="U485:U490" si="122">U426</f>
        <v>EUR 6.6</v>
      </c>
      <c r="V485" s="53" t="s">
        <v>686</v>
      </c>
      <c r="Z485" s="33"/>
    </row>
    <row r="486" spans="1:26">
      <c r="C486" s="32" t="s">
        <v>378</v>
      </c>
      <c r="D486" s="28" t="str">
        <f t="shared" si="118"/>
        <v>CHF673</v>
      </c>
      <c r="E486" s="28" t="str">
        <f t="shared" si="118"/>
        <v>CHF570</v>
      </c>
      <c r="F486" s="29">
        <f t="shared" si="118"/>
        <v>-0.15241635687732347</v>
      </c>
      <c r="G486" s="28" t="str">
        <f t="shared" si="118"/>
        <v>Sell</v>
      </c>
      <c r="H486" s="30"/>
      <c r="I486" s="31">
        <f>SWISS!$D$25/SWISS!$D$33</f>
        <v>8.570418986607141</v>
      </c>
      <c r="J486" s="31">
        <f>SWISS!$E$25/SWISS!$E$33</f>
        <v>7.8376211498542752</v>
      </c>
      <c r="K486" s="31">
        <f>SWISS!$F$25/SWISS!$F$33</f>
        <v>8.4958119556242675</v>
      </c>
      <c r="L486" s="31">
        <f>SWISS!$G$25/SWISS!$G$33</f>
        <v>9.4819603726973085</v>
      </c>
      <c r="M486" s="29">
        <f t="shared" si="119"/>
        <v>0.91154138609016755</v>
      </c>
      <c r="N486" s="30"/>
      <c r="O486" s="29">
        <f>(SWISS!$D$24-SWISS!$D$25)/SWISS!$D$23</f>
        <v>0.20366165312857198</v>
      </c>
      <c r="P486" s="29">
        <f>(SWISS!$E$24-SWISS!$E$25)/SWISS!$E$23</f>
        <v>0.20713727107240401</v>
      </c>
      <c r="Q486" s="29">
        <f>(SWISS!$F$24-SWISS!$F$25)/SWISS!$F$23</f>
        <v>0.20058521256257766</v>
      </c>
      <c r="R486" s="29">
        <f>(SWISS!$G$24-SWISS!$G$25)/SWISS!$G$23</f>
        <v>0.19410810205810258</v>
      </c>
      <c r="S486" s="29">
        <f t="shared" si="120"/>
        <v>-9.5535510704694016E-3</v>
      </c>
      <c r="T486" s="30"/>
      <c r="U486" s="32" t="str">
        <f t="shared" si="122"/>
        <v>CHF673</v>
      </c>
      <c r="V486" s="53" t="str">
        <f t="shared" ref="V486:V491" si="123">V427</f>
        <v>Swisscom</v>
      </c>
    </row>
    <row r="487" spans="1:26">
      <c r="A487" s="25"/>
      <c r="C487" s="32" t="s">
        <v>222</v>
      </c>
      <c r="D487" s="28" t="str">
        <f t="shared" si="118"/>
        <v>EUR 0.66</v>
      </c>
      <c r="E487" s="28" t="str">
        <f t="shared" si="118"/>
        <v>EUR 0.55</v>
      </c>
      <c r="F487" s="29">
        <f t="shared" si="118"/>
        <v>-0.16641406486814181</v>
      </c>
      <c r="G487" s="28" t="str">
        <f t="shared" si="118"/>
        <v>Neutral</v>
      </c>
      <c r="H487" s="30"/>
      <c r="I487" s="31">
        <f>TI!$D$25/TI!$D$33</f>
        <v>4.0134831460674159</v>
      </c>
      <c r="J487" s="31">
        <f>TI!$E$25/TI!$E$33</f>
        <v>3.3297711616542465</v>
      </c>
      <c r="K487" s="31">
        <f>TI!$F$25/TI!$F$33</f>
        <v>3.975734665195811</v>
      </c>
      <c r="L487" s="31">
        <f>TI!$G$25/TI!$G$33</f>
        <v>4.3836834783668435</v>
      </c>
      <c r="M487" s="29">
        <f t="shared" si="119"/>
        <v>0.37020033229942761</v>
      </c>
      <c r="N487" s="30"/>
      <c r="O487" s="29">
        <f>(TI!$D$24-TI!$D$25)/TI!$D$23</f>
        <v>0.13856123489151012</v>
      </c>
      <c r="P487" s="29">
        <f>(TI!$E$24-TI!$E$25)/TI!$E$23</f>
        <v>0.13564634985692528</v>
      </c>
      <c r="Q487" s="29">
        <f>(TI!$F$24-TI!$F$25)/TI!$F$23</f>
        <v>0.13040968052869539</v>
      </c>
      <c r="R487" s="29">
        <f>(TI!$G$24-TI!$G$25)/TI!$G$23</f>
        <v>0.12488799824320929</v>
      </c>
      <c r="S487" s="29">
        <f t="shared" si="120"/>
        <v>-1.3673236648300835E-2</v>
      </c>
      <c r="T487" s="30"/>
      <c r="U487" s="32" t="str">
        <f t="shared" si="122"/>
        <v>EUR 0.66</v>
      </c>
      <c r="V487" s="53" t="str">
        <f t="shared" si="123"/>
        <v>Telecom Italia</v>
      </c>
      <c r="Z487" s="33"/>
    </row>
    <row r="488" spans="1:26">
      <c r="A488" s="25"/>
      <c r="C488" s="32" t="s">
        <v>376</v>
      </c>
      <c r="D488" s="28" t="str">
        <f t="shared" si="118"/>
        <v>EUR 3.88</v>
      </c>
      <c r="E488" s="28" t="str">
        <f t="shared" si="118"/>
        <v>EUR 3.30</v>
      </c>
      <c r="F488" s="29">
        <f t="shared" si="118"/>
        <v>-0.14992272024729525</v>
      </c>
      <c r="G488" s="28" t="str">
        <f t="shared" si="118"/>
        <v>Sell</v>
      </c>
      <c r="H488" s="30"/>
      <c r="I488" s="31">
        <f>TEF!$D$25/TEF!$D$33</f>
        <v>2.9356258041217997</v>
      </c>
      <c r="J488" s="31">
        <f>TEF!$E$25/TEF!$E$33</f>
        <v>3.0963743815861622</v>
      </c>
      <c r="K488" s="31">
        <f>TEF!$F$25/TEF!$F$33</f>
        <v>3.2144468066007588</v>
      </c>
      <c r="L488" s="31">
        <f>TEF!$G$25/TEF!$G$33</f>
        <v>3.241475627210312</v>
      </c>
      <c r="M488" s="29">
        <f t="shared" si="119"/>
        <v>0.30584982308851227</v>
      </c>
      <c r="N488" s="30"/>
      <c r="O488" s="29">
        <f>(TEF!$D$24-TEF!$D$25)/TEF!$D$23</f>
        <v>0.12196705165368817</v>
      </c>
      <c r="P488" s="29">
        <f>(TEF!$E$24-TEF!$E$25)/TEF!$E$23</f>
        <v>0.12040354431897947</v>
      </c>
      <c r="Q488" s="29">
        <f>(TEF!$F$24-TEF!$F$25)/TEF!$F$23</f>
        <v>0.11874612265026759</v>
      </c>
      <c r="R488" s="29">
        <f>(TEF!$G$24-TEF!$G$25)/TEF!$G$23</f>
        <v>0.11626091791382813</v>
      </c>
      <c r="S488" s="29">
        <f t="shared" si="120"/>
        <v>-5.7061337398600365E-3</v>
      </c>
      <c r="T488" s="30"/>
      <c r="U488" s="32" t="str">
        <f t="shared" si="122"/>
        <v>EUR 3.88</v>
      </c>
      <c r="V488" s="53" t="str">
        <f t="shared" si="123"/>
        <v>Telefonica</v>
      </c>
      <c r="Z488" s="33"/>
    </row>
    <row r="489" spans="1:26">
      <c r="A489" s="25"/>
      <c r="C489" s="32" t="s">
        <v>377</v>
      </c>
      <c r="D489" s="28" t="str">
        <f t="shared" si="118"/>
        <v>NOK 164</v>
      </c>
      <c r="E489" s="28" t="str">
        <f t="shared" si="118"/>
        <v>NOK 160</v>
      </c>
      <c r="F489" s="29">
        <f t="shared" si="118"/>
        <v>-2.6171637248934898E-2</v>
      </c>
      <c r="G489" s="28" t="str">
        <f t="shared" si="118"/>
        <v>Neutral</v>
      </c>
      <c r="H489" s="30"/>
      <c r="I489" s="31">
        <f>TNOR!$D$25/TNOR!$D$33</f>
        <v>6.3912547701743767</v>
      </c>
      <c r="J489" s="31">
        <f>TNOR!$E$25/TNOR!$E$33</f>
        <v>10.180746153125275</v>
      </c>
      <c r="K489" s="31">
        <f>TNOR!$F$25/TNOR!$F$33</f>
        <v>10.16812233795763</v>
      </c>
      <c r="L489" s="31">
        <f>TNOR!$G$25/TNOR!$G$33</f>
        <v>9.5674235823566161</v>
      </c>
      <c r="M489" s="29">
        <f t="shared" si="119"/>
        <v>3.1761688121822393</v>
      </c>
      <c r="N489" s="30"/>
      <c r="O489" s="29">
        <f>(TNOR!$D$24-TNOR!$D$25)/TNOR!$D$23</f>
        <v>0.13781681668159773</v>
      </c>
      <c r="P489" s="29">
        <f>(TNOR!$E$24-TNOR!$E$25)/TNOR!$E$23</f>
        <v>0.14101368338514703</v>
      </c>
      <c r="Q489" s="29">
        <f>(TNOR!$F$24-TNOR!$F$25)/TNOR!$F$23</f>
        <v>0.14246212740732173</v>
      </c>
      <c r="R489" s="29">
        <f>(TNOR!$G$24-TNOR!$G$25)/TNOR!$G$23</f>
        <v>0.13636317846787085</v>
      </c>
      <c r="S489" s="29">
        <f t="shared" si="120"/>
        <v>-1.4536382137268766E-3</v>
      </c>
      <c r="T489" s="30"/>
      <c r="U489" s="32" t="str">
        <f t="shared" si="122"/>
        <v>NOK 164</v>
      </c>
      <c r="V489" s="28" t="str">
        <f t="shared" si="123"/>
        <v>Telenor</v>
      </c>
      <c r="Z489" s="33"/>
    </row>
    <row r="490" spans="1:26">
      <c r="A490" s="25"/>
      <c r="C490" s="32" t="s">
        <v>846</v>
      </c>
      <c r="D490" s="28" t="str">
        <f t="shared" si="118"/>
        <v>SEK48.7</v>
      </c>
      <c r="E490" s="28" t="str">
        <f t="shared" si="118"/>
        <v>SEK45.0</v>
      </c>
      <c r="F490" s="29">
        <f t="shared" si="118"/>
        <v>-7.6165058509546357E-2</v>
      </c>
      <c r="G490" s="28" t="str">
        <f t="shared" si="118"/>
        <v>Neutral</v>
      </c>
      <c r="H490" s="30"/>
      <c r="I490" s="31">
        <f>TELIA!$D$25/TELIA!$D$33</f>
        <v>4.8843511310241965</v>
      </c>
      <c r="J490" s="31">
        <f>TELIA!$E$25/TELIA!$E$33</f>
        <v>5.4693220581259094</v>
      </c>
      <c r="K490" s="31">
        <f>TELIA!$F$25/TELIA!$F$33</f>
        <v>6.2799433397094102</v>
      </c>
      <c r="L490" s="31">
        <f>TELIA!$G$25/TELIA!$G$33</f>
        <v>6.6610003707448602</v>
      </c>
      <c r="M490" s="29">
        <f t="shared" si="119"/>
        <v>1.7766492397206637</v>
      </c>
      <c r="N490" s="30"/>
      <c r="O490" s="29">
        <f>(TELIA!$D$24-TELIA!$D$25)/TELIA!$D$23</f>
        <v>0.15839831781869984</v>
      </c>
      <c r="P490" s="29">
        <f>(TELIA!$E$24-TELIA!$E$25)/TELIA!$E$23</f>
        <v>0.15419546888230432</v>
      </c>
      <c r="Q490" s="29">
        <f>(TELIA!$F$24-TELIA!$F$25)/TELIA!$F$23</f>
        <v>0.15148378902341206</v>
      </c>
      <c r="R490" s="29">
        <f>(TELIA!$G$24-TELIA!$G$25)/TELIA!$G$23</f>
        <v>0.14836319945177726</v>
      </c>
      <c r="S490" s="29">
        <f t="shared" si="120"/>
        <v>-1.0035118366922585E-2</v>
      </c>
      <c r="T490" s="30"/>
      <c r="U490" s="32" t="str">
        <f t="shared" si="122"/>
        <v>SEK48.7</v>
      </c>
      <c r="V490" s="28" t="str">
        <f t="shared" si="123"/>
        <v>Telia</v>
      </c>
      <c r="Z490" s="33"/>
    </row>
    <row r="491" spans="1:26">
      <c r="A491" s="25"/>
      <c r="C491" s="35" t="str">
        <f>C432</f>
        <v>Agg. W.Europe Incumbent</v>
      </c>
      <c r="D491" s="36"/>
      <c r="E491" s="36"/>
      <c r="F491" s="37"/>
      <c r="G491" s="36"/>
      <c r="H491" s="30"/>
      <c r="I491" s="38">
        <f>'W.EUR INCUMB'!$D$25/'W.EUR INCUMB'!$D$33</f>
        <v>4.3287066010165356</v>
      </c>
      <c r="J491" s="38">
        <f>'W.EUR INCUMB'!$E$25/'W.EUR INCUMB'!$E$33</f>
        <v>4.6528847624869023</v>
      </c>
      <c r="K491" s="38">
        <f>'W.EUR INCUMB'!$F$25/'W.EUR INCUMB'!$F$33</f>
        <v>4.9879262540466316</v>
      </c>
      <c r="L491" s="38">
        <f>'W.EUR INCUMB'!$G$25/'W.EUR INCUMB'!$G$33</f>
        <v>5.3285356199112535</v>
      </c>
      <c r="M491" s="39">
        <f t="shared" si="119"/>
        <v>0.99982901889471787</v>
      </c>
      <c r="N491" s="40"/>
      <c r="O491" s="39">
        <f>('W.EUR INCUMB'!$D$24-'W.EUR INCUMB'!$D$25)/'W.EUR INCUMB'!$D$23</f>
        <v>0.16146536837589481</v>
      </c>
      <c r="P491" s="39">
        <f>('W.EUR INCUMB'!$E$24-'W.EUR INCUMB'!$E$25)/'W.EUR INCUMB'!$E$23</f>
        <v>0.15430290879562425</v>
      </c>
      <c r="Q491" s="39">
        <f>('W.EUR INCUMB'!$F$24-'W.EUR INCUMB'!$F$25)/'W.EUR INCUMB'!$F$23</f>
        <v>0.14714822480771736</v>
      </c>
      <c r="R491" s="39">
        <f>('W.EUR INCUMB'!$G$24-'W.EUR INCUMB'!$G$25)/'W.EUR INCUMB'!$G$23</f>
        <v>0.14335432806898338</v>
      </c>
      <c r="S491" s="39">
        <f t="shared" si="120"/>
        <v>-1.8111040306911436E-2</v>
      </c>
      <c r="T491" s="30"/>
      <c r="U491" s="41"/>
      <c r="V491" s="42" t="str">
        <f t="shared" si="123"/>
        <v>Agg. W.Europe Incumbent</v>
      </c>
      <c r="Z491" s="33"/>
    </row>
    <row r="492" spans="1:26">
      <c r="A492" s="25"/>
      <c r="C492" s="32"/>
      <c r="D492" s="28"/>
      <c r="E492" s="28"/>
      <c r="F492" s="29"/>
      <c r="G492" s="28"/>
      <c r="H492" s="30"/>
      <c r="I492" s="31"/>
      <c r="J492" s="31"/>
      <c r="K492" s="31"/>
      <c r="L492" s="31"/>
      <c r="M492" s="29"/>
      <c r="N492" s="30"/>
      <c r="O492" s="29"/>
      <c r="P492" s="29"/>
      <c r="Q492" s="29"/>
      <c r="R492" s="29"/>
      <c r="S492" s="29"/>
      <c r="T492" s="30"/>
      <c r="U492" s="32"/>
      <c r="V492" s="28"/>
      <c r="Z492" s="33"/>
    </row>
    <row r="493" spans="1:26">
      <c r="A493" s="25"/>
      <c r="B493" s="26" t="s">
        <v>424</v>
      </c>
      <c r="C493" s="32" t="s">
        <v>403</v>
      </c>
      <c r="D493" s="28" t="str">
        <f>B493&amp;TEXT(Prices!$C$45,"0.0")</f>
        <v>US$26.3</v>
      </c>
      <c r="E493" s="28" t="str">
        <f>B493&amp;TEXT(Prices!$E$45,"0.00")</f>
        <v>US$32.00</v>
      </c>
      <c r="F493" s="29">
        <f>Prices!$F$45</f>
        <v>0.21765601217656005</v>
      </c>
      <c r="G493" s="28" t="str">
        <f>Prices!$D$45</f>
        <v>Buy</v>
      </c>
      <c r="H493" s="30"/>
      <c r="I493" s="31">
        <f>(ATT!$D$25/ATT!$D$33)</f>
        <v>3.6665652336533117</v>
      </c>
      <c r="J493" s="31">
        <f>(ATT!$D$25/ATT!$D$33)</f>
        <v>3.6665652336533117</v>
      </c>
      <c r="K493" s="31">
        <f>(ATT!$D$25/ATT!$D$33)</f>
        <v>3.6665652336533117</v>
      </c>
      <c r="L493" s="31">
        <f>(ATT!$D$25/ATT!$D$33)</f>
        <v>3.6665652336533117</v>
      </c>
      <c r="M493" s="29">
        <f>L493-I493</f>
        <v>0</v>
      </c>
      <c r="N493" s="30"/>
      <c r="O493" s="29">
        <f>(ATT!D$24-ATT!D$25)/ATT!D$23</f>
        <v>0.22002382612755292</v>
      </c>
      <c r="P493" s="29">
        <f>(ATT!E$24-ATT!E$25)/ATT!E$23</f>
        <v>0.23151918025471949</v>
      </c>
      <c r="Q493" s="29">
        <f>(ATT!F$24-ATT!F$25)/ATT!F$23</f>
        <v>0.22949460777126499</v>
      </c>
      <c r="R493" s="29">
        <f>(ATT!G$24-ATT!G$25)/ATT!G$23</f>
        <v>0.22098304645155575</v>
      </c>
      <c r="S493" s="29">
        <f>R493-O493</f>
        <v>9.5922032400283519E-4</v>
      </c>
      <c r="T493" s="30"/>
      <c r="U493" s="32" t="str">
        <f>D493</f>
        <v>US$26.3</v>
      </c>
      <c r="V493" s="28" t="str">
        <f>C493</f>
        <v xml:space="preserve">AT&amp;T </v>
      </c>
      <c r="Z493" s="33"/>
    </row>
    <row r="494" spans="1:26">
      <c r="B494" s="26" t="s">
        <v>424</v>
      </c>
      <c r="C494" s="32" t="s">
        <v>570</v>
      </c>
      <c r="D494" s="28" t="str">
        <f>B494&amp;TEXT(Prices!$C$46,"0.0")</f>
        <v>US$191.5</v>
      </c>
      <c r="E494" s="28" t="str">
        <f>B494&amp;TEXT(Prices!$E$46,"0.0")</f>
        <v>US$296.0</v>
      </c>
      <c r="F494" s="29">
        <f>Prices!$F$46</f>
        <v>0.54593408889121009</v>
      </c>
      <c r="G494" s="28" t="str">
        <f>Prices!$D$46</f>
        <v>Buy</v>
      </c>
      <c r="H494" s="30"/>
      <c r="I494" s="31">
        <f>TMUS!D$25/TMUS!D$33</f>
        <v>6.1893610289186256</v>
      </c>
      <c r="J494" s="31">
        <f>TMUS!E$25/TMUS!E$33</f>
        <v>6.669380444299871</v>
      </c>
      <c r="K494" s="31">
        <f>TMUS!F$25/TMUS!F$33</f>
        <v>7.0776595016400901</v>
      </c>
      <c r="L494" s="31">
        <f>TMUS!G$25/TMUS!G$33</f>
        <v>7.0874537084278248</v>
      </c>
      <c r="M494" s="29">
        <f>L494-I494</f>
        <v>0.89809267950919924</v>
      </c>
      <c r="N494" s="30"/>
      <c r="O494" s="29">
        <f>(TMUS!D$24-TMUS!D$25)/TMUS!D$23</f>
        <v>0.13840871700028753</v>
      </c>
      <c r="P494" s="29">
        <f>(TMUS!E$24-TMUS!E$25)/TMUS!E$23</f>
        <v>0.13093305981142209</v>
      </c>
      <c r="Q494" s="29">
        <f>(TMUS!F$24-TMUS!F$25)/TMUS!F$23</f>
        <v>0.12486419837693453</v>
      </c>
      <c r="R494" s="29">
        <f>(TMUS!G$24-TMUS!G$25)/TMUS!G$23</f>
        <v>0.1210236979553667</v>
      </c>
      <c r="S494" s="29">
        <f>R494-O494</f>
        <v>-1.7385019044920832E-2</v>
      </c>
      <c r="T494" s="30"/>
      <c r="U494" s="32" t="str">
        <f>D494</f>
        <v>US$191.5</v>
      </c>
      <c r="V494" s="28" t="str">
        <f>C494</f>
        <v>TMUS</v>
      </c>
      <c r="Z494" s="33"/>
    </row>
    <row r="495" spans="1:26">
      <c r="A495" s="25"/>
      <c r="B495" s="26" t="s">
        <v>424</v>
      </c>
      <c r="C495" s="32" t="s">
        <v>30</v>
      </c>
      <c r="D495" s="28" t="str">
        <f>B495&amp;TEXT(Prices!$C$44,"0.0")</f>
        <v>US$46.9</v>
      </c>
      <c r="E495" s="28" t="str">
        <f>B495&amp;TEXT(Prices!$E$44,"0.00")</f>
        <v>US$42.00</v>
      </c>
      <c r="F495" s="29">
        <f>Prices!$F$44</f>
        <v>-0.10371318822023046</v>
      </c>
      <c r="G495" s="28" t="str">
        <f>Prices!$D$44</f>
        <v>Neutral</v>
      </c>
      <c r="H495" s="30"/>
      <c r="I495" s="31">
        <f>(VZN!D$25/VZN!D$33)</f>
        <v>4.9385811472055314</v>
      </c>
      <c r="J495" s="31">
        <f>(VZN!E$25/VZN!E$33)</f>
        <v>5.4303799734662945</v>
      </c>
      <c r="K495" s="31">
        <f>(VZN!F$25/VZN!F$33)</f>
        <v>5.8776561275630383</v>
      </c>
      <c r="L495" s="31">
        <f>(VZN!G$25/VZN!G$33)</f>
        <v>6.5532177880042353</v>
      </c>
      <c r="M495" s="29">
        <f>L495-I495</f>
        <v>1.6146366407987038</v>
      </c>
      <c r="N495" s="30"/>
      <c r="O495" s="29">
        <f>(VZN!D$24-VZN!D$25)/VZN!D$23</f>
        <v>0.15578760039487249</v>
      </c>
      <c r="P495" s="29">
        <f>(VZN!E$24-VZN!E$25)/VZN!E$23</f>
        <v>0.1400108476116802</v>
      </c>
      <c r="Q495" s="29">
        <f>(VZN!F$24-VZN!F$25)/VZN!F$23</f>
        <v>0.13803644149283356</v>
      </c>
      <c r="R495" s="29">
        <f>(VZN!G$24-VZN!G$25)/VZN!G$23</f>
        <v>0.13569206990952906</v>
      </c>
      <c r="S495" s="29">
        <f>R495-O495</f>
        <v>-2.0095530485343432E-2</v>
      </c>
      <c r="T495" s="30"/>
      <c r="U495" s="32" t="str">
        <f>D495</f>
        <v>US$46.9</v>
      </c>
      <c r="V495" s="28" t="str">
        <f>C495</f>
        <v>Verizon</v>
      </c>
      <c r="Z495" s="33"/>
    </row>
    <row r="496" spans="1:26">
      <c r="A496" s="25"/>
      <c r="C496" s="35" t="s">
        <v>214</v>
      </c>
      <c r="D496" s="36"/>
      <c r="E496" s="36"/>
      <c r="F496" s="37"/>
      <c r="G496" s="36"/>
      <c r="H496" s="30"/>
      <c r="I496" s="38">
        <f>'US TELCO'!D$25/'US TELCO'!D$33</f>
        <v>4.7306490938386503</v>
      </c>
      <c r="J496" s="38">
        <f>'US TELCO'!E$25/'US TELCO'!E$33</f>
        <v>4.9274983457827464</v>
      </c>
      <c r="K496" s="38">
        <f>'US TELCO'!F$25/'US TELCO'!F$33</f>
        <v>5.2623098782936832</v>
      </c>
      <c r="L496" s="38">
        <f>'US TELCO'!G$25/'US TELCO'!G$33</f>
        <v>5.6758312513398561</v>
      </c>
      <c r="M496" s="39">
        <f>L496-I496</f>
        <v>0.94518215750120582</v>
      </c>
      <c r="N496" s="30"/>
      <c r="O496" s="39">
        <f>('US TELCO'!D$24-'US TELCO'!D$25)/'US TELCO'!D$23</f>
        <v>0.17409170861062395</v>
      </c>
      <c r="P496" s="39">
        <f>('US TELCO'!E$24-'US TELCO'!E$25)/'US TELCO'!E$23</f>
        <v>0.16937092402283319</v>
      </c>
      <c r="Q496" s="39">
        <f>('US TELCO'!F$24-'US TELCO'!F$25)/'US TELCO'!F$23</f>
        <v>0.1660502153883831</v>
      </c>
      <c r="R496" s="39">
        <f>('US TELCO'!G$24-'US TELCO'!G$25)/'US TELCO'!G$23</f>
        <v>0.16103431712249117</v>
      </c>
      <c r="S496" s="39">
        <f>R496-O496</f>
        <v>-1.3057391488132786E-2</v>
      </c>
      <c r="T496" s="30"/>
      <c r="U496" s="41"/>
      <c r="V496" s="42" t="str">
        <f>C496</f>
        <v>Agg. US Telecoms</v>
      </c>
      <c r="Z496" s="33"/>
    </row>
    <row r="497" spans="1:28">
      <c r="A497" s="25"/>
      <c r="C497" s="32"/>
      <c r="D497" s="28"/>
      <c r="E497" s="28"/>
      <c r="F497" s="29"/>
      <c r="G497" s="28"/>
      <c r="H497" s="30"/>
      <c r="I497" s="31"/>
      <c r="J497" s="31"/>
      <c r="K497" s="31"/>
      <c r="L497" s="31"/>
      <c r="M497" s="29"/>
      <c r="N497" s="30"/>
      <c r="O497" s="29"/>
      <c r="P497" s="29"/>
      <c r="Q497" s="29"/>
      <c r="R497" s="29"/>
      <c r="S497" s="29"/>
      <c r="T497" s="30"/>
      <c r="U497" s="32"/>
      <c r="V497" s="28"/>
      <c r="Z497" s="33"/>
    </row>
    <row r="498" spans="1:28">
      <c r="A498" s="25"/>
      <c r="C498" s="32" t="str">
        <f t="shared" ref="C498:G499" si="124">C439</f>
        <v>NTT</v>
      </c>
      <c r="D498" s="28" t="str">
        <f t="shared" si="124"/>
        <v>JPY 152</v>
      </c>
      <c r="E498" s="28" t="str">
        <f t="shared" si="124"/>
        <v>JPY 215</v>
      </c>
      <c r="F498" s="29">
        <f t="shared" si="124"/>
        <v>0.41914191419141922</v>
      </c>
      <c r="G498" s="28" t="str">
        <f t="shared" si="124"/>
        <v>Buy</v>
      </c>
      <c r="H498" s="30"/>
      <c r="I498" s="31">
        <f>NTT!$D$25/NTT!$D$33</f>
        <v>-11.337067411750823</v>
      </c>
      <c r="J498" s="31">
        <f>NTT!$E$25/NTT!$E$33</f>
        <v>-15.443491682353905</v>
      </c>
      <c r="K498" s="31">
        <f>NTT!$F$25/NTT!$F$33</f>
        <v>-19.164548926962684</v>
      </c>
      <c r="L498" s="31">
        <f>NTT!$G$25/NTT!$G$33</f>
        <v>-23.410448888012656</v>
      </c>
      <c r="M498" s="29">
        <f t="shared" ref="M498:M500" si="125">L498-I498</f>
        <v>-12.073381476261833</v>
      </c>
      <c r="N498" s="30"/>
      <c r="O498" s="29">
        <f>(NTT!$D$24-NTT!$D$25)/NTT!$D$23</f>
        <v>0.16451941601835884</v>
      </c>
      <c r="P498" s="29">
        <f>(NTT!$E$24-NTT!$E$25)/NTT!$E$23</f>
        <v>0.15770568937240284</v>
      </c>
      <c r="Q498" s="29">
        <f>(NTT!$F$24-NTT!$F$25)/NTT!$F$23</f>
        <v>0.15116340663525477</v>
      </c>
      <c r="R498" s="29">
        <f>(NTT!$G$24-NTT!$G$25)/NTT!$G$23</f>
        <v>0.14486559262532861</v>
      </c>
      <c r="S498" s="29">
        <f t="shared" ref="S498:S500" si="126">R498-O498</f>
        <v>-1.9653823393030234E-2</v>
      </c>
      <c r="T498" s="30"/>
      <c r="U498" s="32" t="str">
        <f>U439</f>
        <v>JPY 152</v>
      </c>
      <c r="V498" s="28" t="str">
        <f>V439</f>
        <v>NTT</v>
      </c>
      <c r="Z498" s="33"/>
    </row>
    <row r="499" spans="1:28">
      <c r="A499" s="25"/>
      <c r="C499" s="32" t="str">
        <f t="shared" si="124"/>
        <v>SingTel</v>
      </c>
      <c r="D499" s="28" t="str">
        <f t="shared" si="124"/>
        <v>SGD 4.63</v>
      </c>
      <c r="E499" s="28" t="str">
        <f t="shared" si="124"/>
        <v>SGD 6.20</v>
      </c>
      <c r="F499" s="29">
        <f t="shared" si="124"/>
        <v>0.33909287257019449</v>
      </c>
      <c r="G499" s="28" t="str">
        <f t="shared" si="124"/>
        <v>Buy</v>
      </c>
      <c r="H499" s="30"/>
      <c r="I499" s="31">
        <f>SINGTEL!$D$25/SINGTEL!$D$33</f>
        <v>-5.7089205970379151</v>
      </c>
      <c r="J499" s="31">
        <f>SINGTEL!$E$25/SINGTEL!$E$33</f>
        <v>-5.8440571944583182</v>
      </c>
      <c r="K499" s="31">
        <f>SINGTEL!$F$25/SINGTEL!$F$33</f>
        <v>-6.1879687798376626</v>
      </c>
      <c r="L499" s="31">
        <f>SINGTEL!$G$25/SINGTEL!$G$33</f>
        <v>-5.817043901857712</v>
      </c>
      <c r="M499" s="29">
        <f t="shared" si="125"/>
        <v>-0.10812330481979693</v>
      </c>
      <c r="N499" s="30"/>
      <c r="O499" s="29">
        <f>(SINGTEL!$D$24-SINGTEL!$D$25)/SINGTEL!$D$23</f>
        <v>0.15016873685617776</v>
      </c>
      <c r="P499" s="29">
        <f>(SINGTEL!$E$24-SINGTEL!$E$25)/SINGTEL!$E$23</f>
        <v>0.14246805699331966</v>
      </c>
      <c r="Q499" s="29">
        <f>(SINGTEL!$F$24-SINGTEL!$F$25)/SINGTEL!$F$23</f>
        <v>0.12535585023937673</v>
      </c>
      <c r="R499" s="29">
        <f>(SINGTEL!$G$24-SINGTEL!$G$25)/SINGTEL!$G$23</f>
        <v>0.12525623590672968</v>
      </c>
      <c r="S499" s="29">
        <f t="shared" si="126"/>
        <v>-2.491250094944808E-2</v>
      </c>
      <c r="T499" s="30"/>
      <c r="U499" s="32" t="str">
        <f>U440</f>
        <v>SGD 4.63</v>
      </c>
      <c r="V499" s="28" t="str">
        <f>V440</f>
        <v>SingTel</v>
      </c>
      <c r="Z499" s="33"/>
    </row>
    <row r="500" spans="1:28">
      <c r="A500" s="25"/>
      <c r="C500" s="35" t="str">
        <f>C441</f>
        <v>Agg. Developed Asia Incumbent</v>
      </c>
      <c r="D500" s="42"/>
      <c r="E500" s="42"/>
      <c r="F500" s="39"/>
      <c r="G500" s="42"/>
      <c r="H500" s="40"/>
      <c r="I500" s="38">
        <f>'DM ASIA INCUMB'!$D$25/'DM ASIA INCUMB'!$D$33</f>
        <v>-9.7542197227935166</v>
      </c>
      <c r="J500" s="38">
        <f>'DM ASIA INCUMB'!$E$25/'DM ASIA INCUMB'!$E$33</f>
        <v>-12.333506541671108</v>
      </c>
      <c r="K500" s="38">
        <f>'DM ASIA INCUMB'!$F$25/'DM ASIA INCUMB'!$F$33</f>
        <v>-14.354411379192639</v>
      </c>
      <c r="L500" s="38">
        <f>'DM ASIA INCUMB'!$G$25/'DM ASIA INCUMB'!$G$33</f>
        <v>-16.093913104237149</v>
      </c>
      <c r="M500" s="39">
        <f t="shared" si="125"/>
        <v>-6.3396933814436327</v>
      </c>
      <c r="N500" s="40"/>
      <c r="O500" s="39">
        <f>('DM ASIA INCUMB'!$D$24-'DM ASIA INCUMB'!$D$25)/'DM ASIA INCUMB'!$D$23</f>
        <v>0.16290200187119791</v>
      </c>
      <c r="P500" s="39">
        <f>('DM ASIA INCUMB'!$E$24-'DM ASIA INCUMB'!$E$25)/'DM ASIA INCUMB'!$E$23</f>
        <v>0.1559975543887214</v>
      </c>
      <c r="Q500" s="39">
        <f>('DM ASIA INCUMB'!$F$24-'DM ASIA INCUMB'!$F$25)/'DM ASIA INCUMB'!$F$23</f>
        <v>0.14829651134687127</v>
      </c>
      <c r="R500" s="39">
        <f>('DM ASIA INCUMB'!$G$24-'DM ASIA INCUMB'!$G$25)/'DM ASIA INCUMB'!$G$23</f>
        <v>0.14272188016264539</v>
      </c>
      <c r="S500" s="39">
        <f t="shared" si="126"/>
        <v>-2.0180121708552518E-2</v>
      </c>
      <c r="T500" s="40"/>
      <c r="U500" s="35"/>
      <c r="V500" s="42" t="str">
        <f>V441</f>
        <v xml:space="preserve">Agg. Developed Asia Incumbent </v>
      </c>
      <c r="Z500" s="33"/>
    </row>
    <row r="501" spans="1:28">
      <c r="A501" s="25"/>
      <c r="C501" s="27"/>
      <c r="D501" s="34"/>
      <c r="E501" s="34"/>
      <c r="F501" s="45"/>
      <c r="G501" s="34"/>
      <c r="H501" s="40"/>
      <c r="I501" s="46"/>
      <c r="J501" s="46"/>
      <c r="K501" s="46"/>
      <c r="L501" s="46"/>
      <c r="M501" s="45"/>
      <c r="N501" s="40"/>
      <c r="O501" s="45"/>
      <c r="P501" s="45"/>
      <c r="Q501" s="45"/>
      <c r="R501" s="45"/>
      <c r="S501" s="45"/>
      <c r="T501" s="40"/>
      <c r="U501" s="27"/>
      <c r="V501" s="34"/>
      <c r="Z501" s="33"/>
    </row>
    <row r="502" spans="1:28">
      <c r="A502" s="25"/>
      <c r="C502" s="35" t="s">
        <v>717</v>
      </c>
      <c r="D502" s="42"/>
      <c r="E502" s="42"/>
      <c r="F502" s="39"/>
      <c r="G502" s="42"/>
      <c r="H502" s="40"/>
      <c r="I502" s="38">
        <f>'AGG DM INCUMB'!$D$25/'AGG DM INCUMB'!$D$33</f>
        <v>4.9831195481609356</v>
      </c>
      <c r="J502" s="38">
        <f>'AGG DM INCUMB'!$E$25/'AGG DM INCUMB'!$E$33</f>
        <v>5.2924664686397342</v>
      </c>
      <c r="K502" s="38">
        <f>'AGG DM INCUMB'!$F$25/'AGG DM INCUMB'!$F$33</f>
        <v>5.6783951635114702</v>
      </c>
      <c r="L502" s="38">
        <f>'AGG DM INCUMB'!$G$25/'AGG DM INCUMB'!$G$33</f>
        <v>6.1134946484959718</v>
      </c>
      <c r="M502" s="39">
        <f>L502-I502</f>
        <v>1.1303751003350362</v>
      </c>
      <c r="N502" s="40"/>
      <c r="O502" s="39">
        <f>('AGG DM INCUMB'!$D$24-'AGG DM INCUMB'!$D$25)/'AGG DM INCUMB'!$D$23</f>
        <v>0.16673511786375336</v>
      </c>
      <c r="P502" s="39">
        <f>('AGG DM INCUMB'!$E$24-'AGG DM INCUMB'!$E$25)/'AGG DM INCUMB'!$E$23</f>
        <v>0.16053832233848922</v>
      </c>
      <c r="Q502" s="39">
        <f>('AGG DM INCUMB'!$F$24-'AGG DM INCUMB'!$F$25)/'AGG DM INCUMB'!$F$23</f>
        <v>0.15482662248168585</v>
      </c>
      <c r="R502" s="39">
        <f>('AGG DM INCUMB'!$G$24-'AGG DM INCUMB'!$G$25)/'AGG DM INCUMB'!$G$23</f>
        <v>0.15028941447625141</v>
      </c>
      <c r="S502" s="39">
        <f>R502-O502</f>
        <v>-1.6445703387501953E-2</v>
      </c>
      <c r="T502" s="40"/>
      <c r="U502" s="35"/>
      <c r="V502" s="42" t="str">
        <f>C502</f>
        <v>Agg. DM Incumbent total</v>
      </c>
      <c r="Z502" s="33"/>
    </row>
    <row r="503" spans="1:28">
      <c r="A503" s="25"/>
      <c r="C503" s="25"/>
      <c r="D503" s="28"/>
      <c r="E503" s="28"/>
      <c r="F503" s="29"/>
      <c r="G503" s="28"/>
      <c r="H503" s="30"/>
      <c r="I503" s="31"/>
      <c r="J503" s="31"/>
      <c r="K503" s="31"/>
      <c r="L503" s="31"/>
      <c r="M503" s="29"/>
      <c r="N503" s="30"/>
      <c r="O503" s="29"/>
      <c r="P503" s="29"/>
      <c r="Q503" s="29"/>
      <c r="R503" s="29"/>
      <c r="S503" s="29"/>
      <c r="T503" s="30"/>
      <c r="U503" s="32"/>
      <c r="V503" s="34"/>
      <c r="Z503" s="33"/>
    </row>
    <row r="504" spans="1:28">
      <c r="A504" s="25" t="s">
        <v>1091</v>
      </c>
      <c r="C504" s="32" t="str">
        <f t="shared" ref="C504:G516" si="127">C445</f>
        <v>1&amp;1</v>
      </c>
      <c r="D504" s="28" t="str">
        <f t="shared" si="127"/>
        <v>EUR 23.2</v>
      </c>
      <c r="E504" s="28" t="str">
        <f t="shared" si="127"/>
        <v>EUR 10.0</v>
      </c>
      <c r="F504" s="29">
        <f t="shared" si="127"/>
        <v>-0.56803455723542107</v>
      </c>
      <c r="G504" s="28" t="str">
        <f t="shared" si="127"/>
        <v>Sell</v>
      </c>
      <c r="H504" s="30"/>
      <c r="I504" s="31">
        <f>DRI!$D$25/DRI!$D$33</f>
        <v>1.3719427321535094</v>
      </c>
      <c r="J504" s="31">
        <f>DRI!$E$25/DRI!$E$33</f>
        <v>0.36278688617881477</v>
      </c>
      <c r="K504" s="31">
        <f>DRI!$F$25/DRI!$F$33</f>
        <v>0.80932099359506182</v>
      </c>
      <c r="L504" s="31">
        <f>DRI!$G$25/DRI!$G$33</f>
        <v>1.2049761843056492</v>
      </c>
      <c r="M504" s="29">
        <f>L504-I504</f>
        <v>-0.16696654784786014</v>
      </c>
      <c r="N504" s="30"/>
      <c r="O504" s="29">
        <f>(DRI!$D$24-DRI!$D$25)/DRI!$D$23</f>
        <v>0.10052144187888334</v>
      </c>
      <c r="P504" s="29">
        <f>(DRI!$E$24-DRI!$E$25)/DRI!$E$23</f>
        <v>0.11292985472344341</v>
      </c>
      <c r="Q504" s="29">
        <f>(DRI!$F$24-DRI!$F$25)/DRI!$F$23</f>
        <v>0.11348181626953545</v>
      </c>
      <c r="R504" s="29">
        <f>(DRI!$G$24-DRI!$G$25)/DRI!$G$23</f>
        <v>0.11359266071375237</v>
      </c>
      <c r="S504" s="29">
        <f>R504-O504</f>
        <v>1.3071218834869031E-2</v>
      </c>
      <c r="T504" s="30"/>
      <c r="U504" s="32" t="str">
        <f t="shared" ref="U504:V506" si="128">U445</f>
        <v>EUR 23.2</v>
      </c>
      <c r="V504" s="28" t="str">
        <f t="shared" si="128"/>
        <v>1&amp;1</v>
      </c>
      <c r="Z504" s="33"/>
    </row>
    <row r="505" spans="1:28">
      <c r="A505" s="25"/>
      <c r="C505" s="32" t="str">
        <f t="shared" si="127"/>
        <v>Bouygues</v>
      </c>
      <c r="D505" s="28" t="str">
        <f t="shared" si="127"/>
        <v>EUR 51.8</v>
      </c>
      <c r="E505" s="28" t="str">
        <f t="shared" si="127"/>
        <v>EUR 64.0</v>
      </c>
      <c r="F505" s="29">
        <f t="shared" si="127"/>
        <v>0.23599845500193117</v>
      </c>
      <c r="G505" s="28" t="str">
        <f t="shared" si="127"/>
        <v>Buy</v>
      </c>
      <c r="H505" s="30"/>
      <c r="I505" s="31">
        <f>BOUY!$D$25/BOUY!$D$33</f>
        <v>13.608490566037736</v>
      </c>
      <c r="J505" s="31">
        <f>BOUY!$E$25/BOUY!$E$33</f>
        <v>14.763545901815775</v>
      </c>
      <c r="K505" s="31">
        <f>BOUY!$F$25/BOUY!$F$33</f>
        <v>17.799030857299886</v>
      </c>
      <c r="L505" s="31">
        <f>BOUY!$G$25/BOUY!$G$33</f>
        <v>22.691895594488059</v>
      </c>
      <c r="M505" s="29">
        <f>L505-I505</f>
        <v>9.0834050284503238</v>
      </c>
      <c r="N505" s="30"/>
      <c r="O505" s="29">
        <f>(BOUY!$D$24-BOUY!$D$25)/BOUY!$D$23</f>
        <v>3.9365648680485962E-2</v>
      </c>
      <c r="P505" s="29">
        <f>(BOUY!$E$24-BOUY!$E$25)/BOUY!$E$23</f>
        <v>3.7218917721066717E-2</v>
      </c>
      <c r="Q505" s="29">
        <f>(BOUY!$F$24-BOUY!$F$25)/BOUY!$F$23</f>
        <v>3.5988681268351592E-2</v>
      </c>
      <c r="R505" s="29">
        <f>(BOUY!$G$24-BOUY!$G$25)/BOUY!$G$23</f>
        <v>3.4185510770350237E-2</v>
      </c>
      <c r="S505" s="29">
        <f>R505-O505</f>
        <v>-5.1801379101357251E-3</v>
      </c>
      <c r="T505" s="30"/>
      <c r="U505" s="32" t="str">
        <f t="shared" si="128"/>
        <v>EUR 51.8</v>
      </c>
      <c r="V505" s="28" t="str">
        <f t="shared" si="128"/>
        <v>Bouygues</v>
      </c>
      <c r="Z505" s="33"/>
    </row>
    <row r="506" spans="1:28">
      <c r="C506" s="32" t="str">
        <f t="shared" si="127"/>
        <v>Elisa</v>
      </c>
      <c r="D506" s="28" t="str">
        <f t="shared" si="127"/>
        <v>EUR 41.9</v>
      </c>
      <c r="E506" s="28" t="str">
        <f t="shared" si="127"/>
        <v>EUR 39.0</v>
      </c>
      <c r="F506" s="29">
        <f t="shared" si="127"/>
        <v>-6.9256376181545454E-2</v>
      </c>
      <c r="G506" s="28" t="str">
        <f t="shared" si="127"/>
        <v>Neutral</v>
      </c>
      <c r="H506" s="30"/>
      <c r="I506" s="31">
        <f>ELISA!$D$25/ELISA!$D$33</f>
        <v>13.2125</v>
      </c>
      <c r="J506" s="31">
        <f>ELISA!$E$25/ELISA!$E$33</f>
        <v>17.295086780089978</v>
      </c>
      <c r="K506" s="31">
        <f>ELISA!$F$25/ELISA!$F$33</f>
        <v>18.384761563213718</v>
      </c>
      <c r="L506" s="31">
        <f>ELISA!$G$25/ELISA!$G$33</f>
        <v>19.345922324848296</v>
      </c>
      <c r="M506" s="29">
        <f t="shared" ref="M506:M517" si="129">L506-I506</f>
        <v>6.1334223248482953</v>
      </c>
      <c r="N506" s="30"/>
      <c r="O506" s="29">
        <f>(ELISA!$D$24-ELISA!$D$25)/ELISA!$D$23</f>
        <v>0.12392007443179304</v>
      </c>
      <c r="P506" s="29">
        <f>(ELISA!$E$24-ELISA!$E$25)/ELISA!$E$23</f>
        <v>0.12426254264610961</v>
      </c>
      <c r="Q506" s="29">
        <f>(ELISA!$F$24-ELISA!$F$25)/ELISA!$F$23</f>
        <v>0.12363870996752917</v>
      </c>
      <c r="R506" s="29">
        <f>(ELISA!$G$24-ELISA!$G$25)/ELISA!$G$23</f>
        <v>0.12411372767206706</v>
      </c>
      <c r="S506" s="29">
        <f t="shared" ref="S506:S517" si="130">R506-O506</f>
        <v>1.9365324027402486E-4</v>
      </c>
      <c r="T506" s="30"/>
      <c r="U506" s="32" t="str">
        <f t="shared" si="128"/>
        <v>EUR 41.9</v>
      </c>
      <c r="V506" s="28" t="str">
        <f t="shared" si="128"/>
        <v>Elisa</v>
      </c>
      <c r="Z506" s="33"/>
    </row>
    <row r="507" spans="1:28">
      <c r="C507" s="32" t="str">
        <f t="shared" si="127"/>
        <v>Eutelsat</v>
      </c>
      <c r="D507" s="28" t="str">
        <f t="shared" si="127"/>
        <v>EUR 2.8</v>
      </c>
      <c r="E507" s="28" t="str">
        <f t="shared" si="127"/>
        <v>EUR 1.4</v>
      </c>
      <c r="F507" s="29">
        <f t="shared" si="127"/>
        <v>-0.5</v>
      </c>
      <c r="G507" s="28" t="str">
        <f t="shared" si="127"/>
        <v>Sell</v>
      </c>
      <c r="H507" s="30"/>
      <c r="I507" s="31">
        <f>ETL!$D$25/ETL!$D$33</f>
        <v>-1.8040185303330325</v>
      </c>
      <c r="J507" s="31">
        <f>ETL!$E$25/ETL!$E$33</f>
        <v>-0.96609959249617772</v>
      </c>
      <c r="K507" s="31">
        <f>ETL!$F$25/ETL!$F$33</f>
        <v>-2.0139443906162811</v>
      </c>
      <c r="L507" s="31">
        <f>ETL!$G$25/ETL!$G$33</f>
        <v>-0.19839953579156783</v>
      </c>
      <c r="M507" s="29">
        <f t="shared" ref="M507" si="131">L507-I507</f>
        <v>1.6056189945414647</v>
      </c>
      <c r="N507" s="30"/>
      <c r="O507" s="29">
        <f>(ETL!$D$24-ETL!$D$25)/ETL!$D$23</f>
        <v>0.72804780509457578</v>
      </c>
      <c r="P507" s="29">
        <f>(ETL!$E$24-ETL!$E$25)/ETL!$E$23</f>
        <v>0.65139320659643885</v>
      </c>
      <c r="Q507" s="29">
        <f>(ETL!$F$24-ETL!$F$25)/ETL!$F$23</f>
        <v>0.84920901448976482</v>
      </c>
      <c r="R507" s="29">
        <f>(ETL!$G$24-ETL!$G$25)/ETL!$G$23</f>
        <v>0.60251872850780686</v>
      </c>
      <c r="S507" s="29">
        <f t="shared" ref="S507" si="132">R507-O507</f>
        <v>-0.12552907658676893</v>
      </c>
      <c r="T507" s="30"/>
      <c r="U507" s="32" t="str">
        <f t="shared" ref="U507:U516" si="133">U448</f>
        <v>EUR 2.8</v>
      </c>
      <c r="V507" s="28" t="s">
        <v>1283</v>
      </c>
      <c r="Z507" s="33"/>
    </row>
    <row r="508" spans="1:28">
      <c r="A508" s="25"/>
      <c r="C508" s="32" t="str">
        <f t="shared" si="127"/>
        <v>Liberty Global (prop.)</v>
      </c>
      <c r="D508" s="28" t="str">
        <f t="shared" si="127"/>
        <v>USD 12.0</v>
      </c>
      <c r="E508" s="28" t="str">
        <f t="shared" si="127"/>
        <v>USD 12.5</v>
      </c>
      <c r="F508" s="29">
        <f t="shared" si="127"/>
        <v>4.4277360066833804E-2</v>
      </c>
      <c r="G508" s="28" t="str">
        <f t="shared" si="127"/>
        <v>Neutral</v>
      </c>
      <c r="H508" s="30"/>
      <c r="I508" s="31">
        <f>LBTY!$D$25/LBTY!$D$33</f>
        <v>-0.41937389311741335</v>
      </c>
      <c r="J508" s="31">
        <f>LBTY!$E$25/LBTY!$E$33</f>
        <v>0.44418769021286203</v>
      </c>
      <c r="K508" s="31">
        <f>LBTY!$F$25/LBTY!$F$33</f>
        <v>5.0145144415314373</v>
      </c>
      <c r="L508" s="31">
        <f>LBTY!$G$25/LBTY!$G$33</f>
        <v>3.827339118921814</v>
      </c>
      <c r="M508" s="29">
        <f>L508-I508</f>
        <v>4.2467130120392271</v>
      </c>
      <c r="N508" s="30"/>
      <c r="O508" s="29">
        <f>(LBTY!$D$24-LBTY!$D$25)/LBTY!$D$23</f>
        <v>0.28488264835502713</v>
      </c>
      <c r="P508" s="29">
        <f>(LBTY!$E$24-LBTY!$E$25)/LBTY!$E$23</f>
        <v>0.27006736563283212</v>
      </c>
      <c r="Q508" s="29">
        <f>(LBTY!$F$24-LBTY!$F$25)/LBTY!$F$23</f>
        <v>0.17533959074425307</v>
      </c>
      <c r="R508" s="29">
        <f>(LBTY!$G$24-LBTY!$G$25)/LBTY!$G$23</f>
        <v>0.16980064247256468</v>
      </c>
      <c r="S508" s="29">
        <f>R508-O508</f>
        <v>-0.11508200588246245</v>
      </c>
      <c r="T508" s="30"/>
      <c r="U508" s="32" t="str">
        <f t="shared" si="133"/>
        <v>USD 12.0</v>
      </c>
      <c r="V508" s="28" t="str">
        <f t="shared" ref="V508:V517" si="134">V449</f>
        <v>Liberty Global</v>
      </c>
      <c r="Z508" s="33"/>
    </row>
    <row r="509" spans="1:28" s="5" customFormat="1">
      <c r="A509" s="25"/>
      <c r="B509" s="26"/>
      <c r="C509" s="32" t="str">
        <f t="shared" si="127"/>
        <v>NOS</v>
      </c>
      <c r="D509" s="28" t="str">
        <f t="shared" si="127"/>
        <v>EUR 5.65</v>
      </c>
      <c r="E509" s="28" t="str">
        <f t="shared" si="127"/>
        <v>EUR 5.50</v>
      </c>
      <c r="F509" s="29">
        <f t="shared" si="127"/>
        <v>-2.6548672566371723E-2</v>
      </c>
      <c r="G509" s="28" t="str">
        <f t="shared" si="127"/>
        <v>Neutral</v>
      </c>
      <c r="H509" s="30"/>
      <c r="I509" s="31">
        <f>NOS!$D$25/NOS!$D$33</f>
        <v>4.8115248850962393</v>
      </c>
      <c r="J509" s="31">
        <f>NOS!$E$25/NOS!$E$33</f>
        <v>6.8910483739167612</v>
      </c>
      <c r="K509" s="31">
        <f>NOS!$F$25/NOS!$F$33</f>
        <v>6.3401802291409917</v>
      </c>
      <c r="L509" s="31">
        <f>NOS!$G$25/NOS!$G$33</f>
        <v>5.4426916955202946</v>
      </c>
      <c r="M509" s="29">
        <f>L509-I509</f>
        <v>0.63116681042405531</v>
      </c>
      <c r="N509" s="30"/>
      <c r="O509" s="29">
        <f>(NOS!$D$24-NOS!$D$25)/NOS!$D$23</f>
        <v>0.20093253239645298</v>
      </c>
      <c r="P509" s="29">
        <f>(NOS!$E$24-NOS!$E$25)/NOS!$E$23</f>
        <v>0.18813758740636777</v>
      </c>
      <c r="Q509" s="29">
        <f>(NOS!$F$24-NOS!$F$25)/NOS!$F$23</f>
        <v>0.18961764512701823</v>
      </c>
      <c r="R509" s="29">
        <f>(NOS!$G$24-NOS!$G$25)/NOS!$G$23</f>
        <v>0.19129063521709619</v>
      </c>
      <c r="S509" s="29">
        <f>R509-O509</f>
        <v>-9.6418971793567898E-3</v>
      </c>
      <c r="T509" s="30"/>
      <c r="U509" s="32" t="str">
        <f t="shared" si="133"/>
        <v>EUR 5.65</v>
      </c>
      <c r="V509" s="28" t="str">
        <f t="shared" si="134"/>
        <v>NOS</v>
      </c>
      <c r="Z509" s="33"/>
      <c r="AB509" s="47"/>
    </row>
    <row r="510" spans="1:28">
      <c r="B510" s="72"/>
      <c r="C510" s="32" t="str">
        <f t="shared" si="127"/>
        <v>Orange Belgium</v>
      </c>
      <c r="D510" s="28" t="str">
        <f t="shared" si="127"/>
        <v>EUR 21.0</v>
      </c>
      <c r="E510" s="28" t="str">
        <f t="shared" si="127"/>
        <v>EUR 21.1</v>
      </c>
      <c r="F510" s="29">
        <f t="shared" si="127"/>
        <v>5.150744566468024E-3</v>
      </c>
      <c r="G510" s="28" t="str">
        <f t="shared" si="127"/>
        <v>Neutral</v>
      </c>
      <c r="H510" s="30"/>
      <c r="I510" s="31">
        <f>OBEL!$D$25/OBEL!$D$33</f>
        <v>1.7675963850452654</v>
      </c>
      <c r="J510" s="31">
        <f>OBEL!$E$25/OBEL!$E$33</f>
        <v>2.2027085242246218</v>
      </c>
      <c r="K510" s="31">
        <f>OBEL!$F$25/OBEL!$F$33</f>
        <v>2.3354264415466539</v>
      </c>
      <c r="L510" s="31">
        <f>OBEL!$G$25/OBEL!$G$33</f>
        <v>2.1563414747250973</v>
      </c>
      <c r="M510" s="29">
        <f t="shared" si="129"/>
        <v>0.3887450896798319</v>
      </c>
      <c r="N510" s="30"/>
      <c r="O510" s="29">
        <f>(OBEL!$D$24-OBEL!$D$25)/OBEL!$D$23</f>
        <v>0.19144259692475069</v>
      </c>
      <c r="P510" s="29">
        <f>(OBEL!$E$24-OBEL!$E$25)/OBEL!$E$23</f>
        <v>0.18294757328418068</v>
      </c>
      <c r="Q510" s="29">
        <f>(OBEL!$F$24-OBEL!$F$25)/OBEL!$F$23</f>
        <v>0.182428402666937</v>
      </c>
      <c r="R510" s="29">
        <f>(OBEL!$G$24-OBEL!$G$25)/OBEL!$G$23</f>
        <v>0.18941377473056414</v>
      </c>
      <c r="S510" s="29">
        <f t="shared" si="130"/>
        <v>-2.0288221941865414E-3</v>
      </c>
      <c r="T510" s="30"/>
      <c r="U510" s="32" t="str">
        <f t="shared" si="133"/>
        <v>EUR 21.0</v>
      </c>
      <c r="V510" s="28" t="str">
        <f t="shared" si="134"/>
        <v>Orange Belgium</v>
      </c>
      <c r="Z510" s="33"/>
    </row>
    <row r="511" spans="1:28">
      <c r="B511" s="72"/>
      <c r="C511" s="32" t="str">
        <f t="shared" si="127"/>
        <v>SES</v>
      </c>
      <c r="D511" s="28" t="str">
        <f t="shared" si="127"/>
        <v>EUR 6.6</v>
      </c>
      <c r="E511" s="28" t="str">
        <f t="shared" si="127"/>
        <v>EUR 6.0</v>
      </c>
      <c r="F511" s="404">
        <f t="shared" si="127"/>
        <v>-9.297052154195018E-2</v>
      </c>
      <c r="G511" s="28" t="str">
        <f t="shared" si="127"/>
        <v>Neutral</v>
      </c>
      <c r="H511" s="30"/>
      <c r="I511" s="528">
        <f>SES!$D$25/SES!$D$33</f>
        <v>2.4570193622898744</v>
      </c>
      <c r="J511" s="528">
        <f>SES!$E$25/SES!$E$33</f>
        <v>3.1723393248154528</v>
      </c>
      <c r="K511" s="528">
        <f>SES!$F$25/SES!$F$33</f>
        <v>2.6781834999688172</v>
      </c>
      <c r="L511" s="528">
        <f>SES!$G$25/SES!$G$33</f>
        <v>1.0108696777648991</v>
      </c>
      <c r="M511" s="404">
        <f>L511-I511</f>
        <v>-1.4461496845249753</v>
      </c>
      <c r="N511" s="30"/>
      <c r="O511" s="404">
        <f>(SES!$D$24-SES!$D$25)/SES!$D$23</f>
        <v>0.16133942161339421</v>
      </c>
      <c r="P511" s="404">
        <f>(SES!$E$24-SES!$E$25)/SES!$E$23</f>
        <v>0.16023738872403562</v>
      </c>
      <c r="Q511" s="404">
        <f>(SES!$F$24-SES!$F$25)/SES!$F$23</f>
        <v>0.20251863262080749</v>
      </c>
      <c r="R511" s="404">
        <f>(SES!$G$24-SES!$G$25)/SES!$G$23</f>
        <v>0.35267437650307704</v>
      </c>
      <c r="S511" s="404">
        <f>R511-O511</f>
        <v>0.19133495488968283</v>
      </c>
      <c r="T511" s="30"/>
      <c r="U511" s="32" t="str">
        <f t="shared" si="133"/>
        <v>EUR 6.6</v>
      </c>
      <c r="V511" s="28" t="str">
        <f t="shared" si="134"/>
        <v>SES</v>
      </c>
      <c r="Z511" s="33"/>
    </row>
    <row r="512" spans="1:28">
      <c r="B512" s="72"/>
      <c r="C512" s="32" t="str">
        <f t="shared" si="127"/>
        <v>Sunrise</v>
      </c>
      <c r="D512" s="28" t="str">
        <f t="shared" si="127"/>
        <v>CHF46.1</v>
      </c>
      <c r="E512" s="28" t="str">
        <f t="shared" si="127"/>
        <v>CHF38.7</v>
      </c>
      <c r="F512" s="29">
        <f t="shared" si="127"/>
        <v>-0.15959504533103386</v>
      </c>
      <c r="G512" s="28" t="str">
        <f t="shared" si="127"/>
        <v>Sell</v>
      </c>
      <c r="H512" s="30"/>
      <c r="I512" s="31">
        <f>SUNN!$D$25/SUNN!$D$33</f>
        <v>3.3415559772296022</v>
      </c>
      <c r="J512" s="31">
        <f>SUNN!$E$25/SUNN!$E$33</f>
        <v>3.4943992217344593</v>
      </c>
      <c r="K512" s="31">
        <f>SUNN!$F$25/SUNN!$F$33</f>
        <v>3.5705681295248497</v>
      </c>
      <c r="L512" s="31">
        <f>SUNN!$G$25/SUNN!$G$33</f>
        <v>3.0849083307604586</v>
      </c>
      <c r="M512" s="29">
        <f t="shared" ref="M512" si="135">L512-I512</f>
        <v>-0.25664764646914362</v>
      </c>
      <c r="N512" s="30"/>
      <c r="O512" s="29">
        <f>(SUNN!$D$24-SUNN!$D$25)/SUNN!$D$23</f>
        <v>0.16042099617885636</v>
      </c>
      <c r="P512" s="29">
        <f>(SUNN!$E$24-SUNN!$E$25)/SUNN!$E$23</f>
        <v>0.14900000000000002</v>
      </c>
      <c r="Q512" s="29">
        <f>(SUNN!$F$24-SUNN!$F$25)/SUNN!$F$23</f>
        <v>0.14799999999999996</v>
      </c>
      <c r="R512" s="29">
        <f>(SUNN!$G$24-SUNN!$G$25)/SUNN!$G$23</f>
        <v>0.14699999999999999</v>
      </c>
      <c r="S512" s="29">
        <f t="shared" ref="S512" si="136">R512-O512</f>
        <v>-1.3420996178856365E-2</v>
      </c>
      <c r="T512" s="30"/>
      <c r="U512" s="32" t="str">
        <f t="shared" si="133"/>
        <v>CHF46.1</v>
      </c>
      <c r="V512" s="28" t="str">
        <f t="shared" si="134"/>
        <v>Sunrise</v>
      </c>
      <c r="Z512" s="33"/>
    </row>
    <row r="513" spans="1:26">
      <c r="B513" s="72"/>
      <c r="C513" s="32" t="str">
        <f t="shared" si="127"/>
        <v>Tele2</v>
      </c>
      <c r="D513" s="28" t="str">
        <f t="shared" si="127"/>
        <v>SEK 189.7</v>
      </c>
      <c r="E513" s="28" t="str">
        <f t="shared" si="127"/>
        <v>SEK 170.0</v>
      </c>
      <c r="F513" s="29">
        <f t="shared" si="127"/>
        <v>-0.10361191668863701</v>
      </c>
      <c r="G513" s="28" t="str">
        <f t="shared" si="127"/>
        <v>Neutral</v>
      </c>
      <c r="H513" s="30"/>
      <c r="I513" s="31">
        <f>TELE2!$D$25/TELE2!$D$33</f>
        <v>9.0616812021051221</v>
      </c>
      <c r="J513" s="31">
        <f>TELE2!$E$25/TELE2!$E$33</f>
        <v>13.478299390520737</v>
      </c>
      <c r="K513" s="31">
        <f>TELE2!$F$25/TELE2!$F$33</f>
        <v>14.119061917394863</v>
      </c>
      <c r="L513" s="31">
        <f>TELE2!$G$25/TELE2!$G$33</f>
        <v>13.548572342719392</v>
      </c>
      <c r="M513" s="29">
        <f t="shared" si="129"/>
        <v>4.4868911406142704</v>
      </c>
      <c r="N513" s="30"/>
      <c r="O513" s="29">
        <f>(TELE2!$D$24-TELE2!$D$25)/TELE2!$D$23</f>
        <v>0.10838527989689074</v>
      </c>
      <c r="P513" s="29">
        <f>(TELE2!$E$24-TELE2!$E$25)/TELE2!$E$23</f>
        <v>0.10702460614370476</v>
      </c>
      <c r="Q513" s="29">
        <f>(TELE2!$F$24-TELE2!$F$25)/TELE2!$F$23</f>
        <v>0.10501671446850375</v>
      </c>
      <c r="R513" s="29">
        <f>(TELE2!$G$24-TELE2!$G$25)/TELE2!$G$23</f>
        <v>0.10346457571936517</v>
      </c>
      <c r="S513" s="29">
        <f t="shared" si="130"/>
        <v>-4.9207041775255755E-3</v>
      </c>
      <c r="T513" s="30"/>
      <c r="U513" s="32" t="str">
        <f t="shared" si="133"/>
        <v>SEK 189.7</v>
      </c>
      <c r="V513" s="28" t="str">
        <f t="shared" si="134"/>
        <v>Tele2</v>
      </c>
      <c r="Z513" s="33"/>
    </row>
    <row r="514" spans="1:26">
      <c r="A514" s="25"/>
      <c r="C514" s="32" t="str">
        <f t="shared" si="127"/>
        <v>United Internet</v>
      </c>
      <c r="D514" s="28" t="str">
        <f t="shared" si="127"/>
        <v>EUR 26.7</v>
      </c>
      <c r="E514" s="28" t="str">
        <f t="shared" si="127"/>
        <v>EUR 33.0</v>
      </c>
      <c r="F514" s="29">
        <f t="shared" si="127"/>
        <v>0.23688155922038989</v>
      </c>
      <c r="G514" s="28" t="str">
        <f t="shared" si="127"/>
        <v>Neutral</v>
      </c>
      <c r="H514" s="30"/>
      <c r="I514" s="31">
        <f>UTDI!$D$25/UTDI!$D$33</f>
        <v>2.5068142049126174</v>
      </c>
      <c r="J514" s="31">
        <f>UTDI!$E$25/UTDI!$E$33</f>
        <v>3.3131301075965327</v>
      </c>
      <c r="K514" s="31">
        <f>UTDI!$F$25/UTDI!$F$33</f>
        <v>3.4510710499311599</v>
      </c>
      <c r="L514" s="31">
        <f>UTDI!$G$25/UTDI!$G$33</f>
        <v>3.7114976914028492</v>
      </c>
      <c r="M514" s="29">
        <f>L514-I514</f>
        <v>1.2046834864902318</v>
      </c>
      <c r="N514" s="30"/>
      <c r="O514" s="29">
        <f>(UTDI!$D$24-UTDI!$D$25)/UTDI!$D$23</f>
        <v>0.1194137159103907</v>
      </c>
      <c r="P514" s="29">
        <f>(UTDI!$E$24-UTDI!$E$25)/UTDI!$E$23</f>
        <v>0.10015198518461563</v>
      </c>
      <c r="Q514" s="29">
        <f>(UTDI!$F$24-UTDI!$F$25)/UTDI!$F$23</f>
        <v>0.10048599426012868</v>
      </c>
      <c r="R514" s="29">
        <f>(UTDI!$G$24-UTDI!$G$25)/UTDI!$G$23</f>
        <v>9.9826419873796188E-2</v>
      </c>
      <c r="S514" s="29">
        <f>R514-O514</f>
        <v>-1.9587296036594509E-2</v>
      </c>
      <c r="T514" s="30"/>
      <c r="U514" s="32" t="str">
        <f t="shared" si="133"/>
        <v>EUR 26.7</v>
      </c>
      <c r="V514" s="28" t="str">
        <f t="shared" si="134"/>
        <v>United Internet</v>
      </c>
      <c r="Z514" s="33"/>
    </row>
    <row r="515" spans="1:26">
      <c r="B515" s="72"/>
      <c r="C515" s="32" t="str">
        <f t="shared" si="127"/>
        <v>Vodafone</v>
      </c>
      <c r="D515" s="28" t="str">
        <f t="shared" si="127"/>
        <v>GBP 1.16</v>
      </c>
      <c r="E515" s="28" t="str">
        <f t="shared" si="127"/>
        <v>GBP 1.30</v>
      </c>
      <c r="F515" s="29">
        <f t="shared" si="127"/>
        <v>0.12117291936179386</v>
      </c>
      <c r="G515" s="28" t="str">
        <f t="shared" si="127"/>
        <v>Buy</v>
      </c>
      <c r="H515" s="30"/>
      <c r="I515" s="31">
        <f>VOD!$D$25/VOD!$D$33</f>
        <v>2.5352528756328745</v>
      </c>
      <c r="J515" s="31">
        <f>VOD!$E$25/VOD!$E$33</f>
        <v>2.7315857771925351</v>
      </c>
      <c r="K515" s="31">
        <f>VOD!$F$25/VOD!$F$33</f>
        <v>2.9694772094350701</v>
      </c>
      <c r="L515" s="31">
        <f>VOD!$G$25/VOD!$G$33</f>
        <v>3.24749736801405</v>
      </c>
      <c r="M515" s="29">
        <f>L515-I515</f>
        <v>0.71224449238117549</v>
      </c>
      <c r="N515" s="30"/>
      <c r="O515" s="29">
        <f>(VOD!$D$24-VOD!$D$25)/VOD!$D$23</f>
        <v>0.17865110335846379</v>
      </c>
      <c r="P515" s="29">
        <f>(VOD!$E$24-VOD!$E$25)/VOD!$E$23</f>
        <v>0.17604732449525062</v>
      </c>
      <c r="Q515" s="29">
        <f>(VOD!$F$24-VOD!$F$25)/VOD!$F$23</f>
        <v>0.1742863884284758</v>
      </c>
      <c r="R515" s="29">
        <f>(VOD!$G$24-VOD!$G$25)/VOD!$G$23</f>
        <v>0.170815074388009</v>
      </c>
      <c r="S515" s="29">
        <f>R515-O515</f>
        <v>-7.8360289704547947E-3</v>
      </c>
      <c r="T515" s="30"/>
      <c r="U515" s="32" t="str">
        <f t="shared" si="133"/>
        <v>GBP 1.16</v>
      </c>
      <c r="V515" s="28" t="str">
        <f t="shared" si="134"/>
        <v>Vodafone</v>
      </c>
      <c r="Z515" s="33"/>
    </row>
    <row r="516" spans="1:26">
      <c r="B516" s="72"/>
      <c r="C516" s="32" t="str">
        <f t="shared" si="127"/>
        <v>Zegona</v>
      </c>
      <c r="D516" s="28" t="str">
        <f t="shared" si="127"/>
        <v>GBP 17.92</v>
      </c>
      <c r="E516" s="28" t="str">
        <f t="shared" si="127"/>
        <v>GBP 14.75</v>
      </c>
      <c r="F516" s="29">
        <f t="shared" si="127"/>
        <v>-0.17689732142857151</v>
      </c>
      <c r="G516" s="28" t="str">
        <f t="shared" si="127"/>
        <v>Neutral</v>
      </c>
      <c r="H516" s="30"/>
      <c r="I516" s="31">
        <f>ZEG!$D$25/ZEG!$D$33</f>
        <v>2.5831589029114537</v>
      </c>
      <c r="J516" s="31">
        <f>ZEG!$E$25/ZEG!$E$33</f>
        <v>3.3317139973754579</v>
      </c>
      <c r="K516" s="31">
        <f>ZEG!$F$25/ZEG!$F$33</f>
        <v>3.5280570326024936</v>
      </c>
      <c r="L516" s="31">
        <f>ZEG!$G$25/ZEG!$G$33</f>
        <v>3.731123868437046</v>
      </c>
      <c r="M516" s="29">
        <f>L516-I516</f>
        <v>1.1479649655255924</v>
      </c>
      <c r="N516" s="30"/>
      <c r="O516" s="29">
        <f>(ZEG!$D$24-ZEG!$D$25)/ZEG!$D$23</f>
        <v>8.1067971181379414E-2</v>
      </c>
      <c r="P516" s="29">
        <f>(ZEG!$E$24-ZEG!$E$25)/ZEG!$E$23</f>
        <v>8.3051488485990713E-2</v>
      </c>
      <c r="Q516" s="29">
        <f>(ZEG!$F$24-ZEG!$F$25)/ZEG!$F$23</f>
        <v>8.5255961849979134E-2</v>
      </c>
      <c r="R516" s="29">
        <f>(ZEG!$G$24-ZEG!$G$25)/ZEG!$G$23</f>
        <v>8.7724413424649733E-2</v>
      </c>
      <c r="S516" s="29">
        <f>R516-O516</f>
        <v>6.6564422432703191E-3</v>
      </c>
      <c r="T516" s="30"/>
      <c r="U516" s="32" t="str">
        <f t="shared" si="133"/>
        <v>GBP 17.92</v>
      </c>
      <c r="V516" s="28" t="str">
        <f t="shared" si="134"/>
        <v>Zegona</v>
      </c>
      <c r="Z516" s="33"/>
    </row>
    <row r="517" spans="1:26">
      <c r="B517" s="72"/>
      <c r="C517" s="35" t="str">
        <f>C458</f>
        <v>Agg. W. Europe Other</v>
      </c>
      <c r="D517" s="36"/>
      <c r="E517" s="36"/>
      <c r="F517" s="37"/>
      <c r="G517" s="36"/>
      <c r="H517" s="30"/>
      <c r="I517" s="38">
        <f>'W.EUR OTHER'!$D$25/'W.EUR OTHER'!$D$33</f>
        <v>3.1831040105434005</v>
      </c>
      <c r="J517" s="38">
        <f>'W.EUR OTHER'!$E$25/'W.EUR OTHER'!$E$33</f>
        <v>3.6256239299251134</v>
      </c>
      <c r="K517" s="38">
        <f>'W.EUR OTHER'!$F$25/'W.EUR OTHER'!$F$33</f>
        <v>4.0494311813396591</v>
      </c>
      <c r="L517" s="38">
        <f>'W.EUR OTHER'!$G$25/'W.EUR OTHER'!$G$33</f>
        <v>4.2472365488501334</v>
      </c>
      <c r="M517" s="39">
        <f t="shared" si="129"/>
        <v>1.0641325383067328</v>
      </c>
      <c r="N517" s="40"/>
      <c r="O517" s="39">
        <f>('W.EUR OTHER'!$D$24-'W.EUR OTHER'!$D$25)/'W.EUR OTHER'!$D$23</f>
        <v>0.11629673016547071</v>
      </c>
      <c r="P517" s="39">
        <f>('W.EUR OTHER'!$E$24-'W.EUR OTHER'!$E$25)/'W.EUR OTHER'!$E$23</f>
        <v>0.11269678748883716</v>
      </c>
      <c r="Q517" s="39">
        <f>('W.EUR OTHER'!$F$24-'W.EUR OTHER'!$F$25)/'W.EUR OTHER'!$F$23</f>
        <v>0.11308802217141073</v>
      </c>
      <c r="R517" s="39">
        <f>('W.EUR OTHER'!$G$24-'W.EUR OTHER'!$G$25)/'W.EUR OTHER'!$G$23</f>
        <v>0.11152510314609103</v>
      </c>
      <c r="S517" s="39">
        <f t="shared" si="130"/>
        <v>-4.7716270193796789E-3</v>
      </c>
      <c r="T517" s="30"/>
      <c r="U517" s="41"/>
      <c r="V517" s="42" t="str">
        <f t="shared" si="134"/>
        <v>Agg. W. Europe Other</v>
      </c>
      <c r="Z517" s="33"/>
    </row>
    <row r="518" spans="1:26">
      <c r="B518" s="72"/>
      <c r="C518" s="32"/>
      <c r="D518" s="28"/>
      <c r="E518" s="28"/>
      <c r="F518" s="29"/>
      <c r="G518" s="28"/>
      <c r="H518" s="30"/>
      <c r="I518" s="31"/>
      <c r="J518" s="31"/>
      <c r="K518" s="31"/>
      <c r="L518" s="31"/>
      <c r="M518" s="29"/>
      <c r="N518" s="30"/>
      <c r="O518" s="29"/>
      <c r="P518" s="29"/>
      <c r="Q518" s="29"/>
      <c r="R518" s="29"/>
      <c r="S518" s="29"/>
      <c r="T518" s="30"/>
      <c r="U518" s="32"/>
      <c r="V518" s="28"/>
      <c r="Z518" s="33"/>
    </row>
    <row r="519" spans="1:26">
      <c r="B519" s="72"/>
      <c r="C519" s="32" t="str">
        <f t="shared" ref="C519:G521" si="137">C460</f>
        <v>KDDI</v>
      </c>
      <c r="D519" s="28" t="str">
        <f t="shared" si="137"/>
        <v>JPY 2,565</v>
      </c>
      <c r="E519" s="28" t="str">
        <f t="shared" si="137"/>
        <v>JPY 3,150</v>
      </c>
      <c r="F519" s="29">
        <f t="shared" si="137"/>
        <v>0.22807017543859653</v>
      </c>
      <c r="G519" s="28" t="str">
        <f t="shared" si="137"/>
        <v>Buy</v>
      </c>
      <c r="H519" s="30"/>
      <c r="I519" s="31" t="e">
        <f>KDDI!$D$25/KDDI!$D$33</f>
        <v>#DIV/0!</v>
      </c>
      <c r="J519" s="31" t="e">
        <f>KDDI!$E$25/KDDI!$E$33</f>
        <v>#DIV/0!</v>
      </c>
      <c r="K519" s="31" t="e">
        <f>KDDI!$F$25/KDDI!$F$33</f>
        <v>#DIV/0!</v>
      </c>
      <c r="L519" s="31" t="e">
        <f>KDDI!$G$25/KDDI!$G$33</f>
        <v>#DIV/0!</v>
      </c>
      <c r="M519" s="29" t="e">
        <f t="shared" ref="M519:M522" si="138">L519-I519</f>
        <v>#DIV/0!</v>
      </c>
      <c r="N519" s="30"/>
      <c r="O519" s="29">
        <f>(KDDI!$D$24-KDDI!$D$25)/KDDI!$D$23</f>
        <v>0.11357270495389203</v>
      </c>
      <c r="P519" s="29">
        <f>(KDDI!$E$24-KDDI!$E$25)/KDDI!$E$23</f>
        <v>0.10221543445850283</v>
      </c>
      <c r="Q519" s="29">
        <f>(KDDI!$F$24-KDDI!$F$25)/KDDI!$F$23</f>
        <v>9.7104662735577676E-2</v>
      </c>
      <c r="R519" s="29">
        <f>(KDDI!$G$24-KDDI!$G$25)/KDDI!$G$23</f>
        <v>9.2249429598798754E-2</v>
      </c>
      <c r="S519" s="29">
        <f t="shared" ref="S519:S522" si="139">R519-O519</f>
        <v>-2.1323275355093277E-2</v>
      </c>
      <c r="T519" s="30"/>
      <c r="U519" s="32" t="str">
        <f t="shared" ref="U519:V521" si="140">U460</f>
        <v>JPY 2,565</v>
      </c>
      <c r="V519" s="28" t="str">
        <f t="shared" si="140"/>
        <v>KDDI</v>
      </c>
      <c r="Z519" s="33"/>
    </row>
    <row r="520" spans="1:26">
      <c r="B520" s="72"/>
      <c r="C520" s="32" t="str">
        <f t="shared" si="137"/>
        <v>Rakuten</v>
      </c>
      <c r="D520" s="28" t="str">
        <f t="shared" si="137"/>
        <v>JPY 775</v>
      </c>
      <c r="E520" s="28" t="str">
        <f t="shared" si="137"/>
        <v>JPY 510</v>
      </c>
      <c r="F520" s="29">
        <f t="shared" si="137"/>
        <v>-0.3421901199535663</v>
      </c>
      <c r="G520" s="28" t="str">
        <f t="shared" si="137"/>
        <v>Reduce</v>
      </c>
      <c r="H520" s="30"/>
      <c r="I520" s="31">
        <f>RAK!$D$25/RAK!$D$33</f>
        <v>2.511849426270091</v>
      </c>
      <c r="J520" s="31">
        <f>RAK!$E$25/RAK!$E$33</f>
        <v>3.8899494778984418</v>
      </c>
      <c r="K520" s="31">
        <f>RAK!$F$25/RAK!$F$33</f>
        <v>6.1385783738668795</v>
      </c>
      <c r="L520" s="31">
        <f>RAK!$G$25/RAK!$G$33</f>
        <v>9.588487595961233</v>
      </c>
      <c r="M520" s="29">
        <f>L520-I520</f>
        <v>7.076638169691142</v>
      </c>
      <c r="N520" s="30"/>
      <c r="O520" s="29">
        <f>(RAK!$D$24-RAK!$D$25)/RAK!$D$23</f>
        <v>0.11472792921585151</v>
      </c>
      <c r="P520" s="29">
        <f>(RAK!$E$24-RAK!$E$25)/RAK!$E$23</f>
        <v>0.12573237869950477</v>
      </c>
      <c r="Q520" s="29">
        <f>(RAK!$F$24-RAK!$F$25)/RAK!$F$23</f>
        <v>0.11009275076585946</v>
      </c>
      <c r="R520" s="29">
        <f>(RAK!$G$24-RAK!$G$25)/RAK!$G$23</f>
        <v>0.10574131631665697</v>
      </c>
      <c r="S520" s="29">
        <f>R520-O520</f>
        <v>-8.9866128991945432E-3</v>
      </c>
      <c r="T520" s="30"/>
      <c r="U520" s="32" t="str">
        <f t="shared" si="140"/>
        <v>JPY 775</v>
      </c>
      <c r="V520" s="28" t="str">
        <f t="shared" si="140"/>
        <v>Rakuten</v>
      </c>
      <c r="Z520" s="33"/>
    </row>
    <row r="521" spans="1:26">
      <c r="B521" s="72"/>
      <c r="C521" s="32" t="str">
        <f t="shared" si="137"/>
        <v>SoftBank KK (Corp)</v>
      </c>
      <c r="D521" s="28" t="str">
        <f t="shared" si="137"/>
        <v>JPY 220</v>
      </c>
      <c r="E521" s="28" t="str">
        <f t="shared" si="137"/>
        <v>JPY 270</v>
      </c>
      <c r="F521" s="29">
        <f t="shared" si="137"/>
        <v>0.22615803814713908</v>
      </c>
      <c r="G521" s="28" t="str">
        <f t="shared" si="137"/>
        <v>Buy</v>
      </c>
      <c r="H521" s="30"/>
      <c r="I521" s="31">
        <f>SBKK!$D$25/SBKK!$D$33</f>
        <v>-12.791307480460992</v>
      </c>
      <c r="J521" s="31">
        <f>SBKK!$E$25/SBKK!$E$33</f>
        <v>-15.927479876640529</v>
      </c>
      <c r="K521" s="31">
        <f>SBKK!$F$25/SBKK!$F$33</f>
        <v>-20.565698653925896</v>
      </c>
      <c r="L521" s="31">
        <f>SBKK!$G$25/SBKK!$G$33</f>
        <v>-28.053897391377976</v>
      </c>
      <c r="M521" s="29">
        <f t="shared" si="138"/>
        <v>-15.262589910916985</v>
      </c>
      <c r="N521" s="30"/>
      <c r="O521" s="29">
        <f>(SBKK!$D$24-SBKK!$D$25)/SBKK!$D$23</f>
        <v>8.1053830085300024E-2</v>
      </c>
      <c r="P521" s="29">
        <f>(SBKK!$E$24-SBKK!$E$25)/SBKK!$E$23</f>
        <v>7.8122714082072983E-2</v>
      </c>
      <c r="Q521" s="29">
        <f>(SBKK!$F$24-SBKK!$F$25)/SBKK!$F$23</f>
        <v>7.5048520650953646E-2</v>
      </c>
      <c r="R521" s="29">
        <f>(SBKK!$G$24-SBKK!$G$25)/SBKK!$G$23</f>
        <v>7.2330602042046693E-2</v>
      </c>
      <c r="S521" s="29">
        <f t="shared" si="139"/>
        <v>-8.723228043253331E-3</v>
      </c>
      <c r="T521" s="30"/>
      <c r="U521" s="32" t="str">
        <f t="shared" si="140"/>
        <v>JPY 220</v>
      </c>
      <c r="V521" s="28" t="str">
        <f t="shared" si="140"/>
        <v>SoftBank KK (Corp)</v>
      </c>
      <c r="Z521" s="33"/>
    </row>
    <row r="522" spans="1:26">
      <c r="B522" s="72"/>
      <c r="C522" s="35" t="str">
        <f>C463</f>
        <v>Agg. Developed Asia Other</v>
      </c>
      <c r="D522" s="36"/>
      <c r="E522" s="36"/>
      <c r="F522" s="37"/>
      <c r="G522" s="36"/>
      <c r="H522" s="30"/>
      <c r="I522" s="38">
        <f>'DM ASIA OTHER'!$D$25/'DM ASIA OTHER'!$D$33</f>
        <v>-58.711018540669528</v>
      </c>
      <c r="J522" s="38">
        <f>'DM ASIA OTHER'!$E$25/'DM ASIA OTHER'!$E$33</f>
        <v>-118.94339177702022</v>
      </c>
      <c r="K522" s="38">
        <f>'DM ASIA OTHER'!$F$25/'DM ASIA OTHER'!$F$33</f>
        <v>-316.35756546407828</v>
      </c>
      <c r="L522" s="38">
        <f>'DM ASIA OTHER'!$G$25/'DM ASIA OTHER'!$G$33</f>
        <v>-491.12976195498629</v>
      </c>
      <c r="M522" s="39">
        <f t="shared" si="138"/>
        <v>-432.41874341431674</v>
      </c>
      <c r="N522" s="40"/>
      <c r="O522" s="39">
        <f>('DM ASIA OTHER'!$D$24-'DM ASIA OTHER'!$D$25)/'DM ASIA OTHER'!$D$23</f>
        <v>9.9327771812854335E-2</v>
      </c>
      <c r="P522" s="39">
        <f>('DM ASIA OTHER'!$E$24-'DM ASIA OTHER'!$E$25)/'DM ASIA OTHER'!$E$23</f>
        <v>9.55260013959153E-2</v>
      </c>
      <c r="Q522" s="39">
        <f>('DM ASIA OTHER'!$F$24-'DM ASIA OTHER'!$F$25)/'DM ASIA OTHER'!$F$23</f>
        <v>8.9668227785002316E-2</v>
      </c>
      <c r="R522" s="39">
        <f>('DM ASIA OTHER'!$G$24-'DM ASIA OTHER'!$G$25)/'DM ASIA OTHER'!$G$23</f>
        <v>8.5988644225820296E-2</v>
      </c>
      <c r="S522" s="39">
        <f t="shared" si="139"/>
        <v>-1.3339127587034039E-2</v>
      </c>
      <c r="T522" s="30"/>
      <c r="U522" s="41"/>
      <c r="V522" s="42" t="str">
        <f>V463</f>
        <v>Agg. Developed Asia Cellular</v>
      </c>
      <c r="Z522" s="33"/>
    </row>
    <row r="523" spans="1:26">
      <c r="A523" s="25"/>
      <c r="C523" s="32"/>
      <c r="D523" s="28"/>
      <c r="E523" s="28"/>
      <c r="F523" s="29"/>
      <c r="G523" s="28"/>
      <c r="H523" s="30"/>
      <c r="I523" s="31"/>
      <c r="J523" s="31"/>
      <c r="K523" s="31"/>
      <c r="L523" s="31"/>
      <c r="M523" s="29"/>
      <c r="N523" s="30"/>
      <c r="O523" s="29"/>
      <c r="P523" s="29"/>
      <c r="Q523" s="29"/>
      <c r="R523" s="29"/>
      <c r="S523" s="29"/>
      <c r="T523" s="30"/>
      <c r="U523" s="32"/>
      <c r="V523" s="28"/>
      <c r="Z523" s="33"/>
    </row>
    <row r="524" spans="1:26">
      <c r="A524" s="25"/>
      <c r="B524" s="26" t="s">
        <v>424</v>
      </c>
      <c r="C524" s="32" t="str">
        <f>C465</f>
        <v>Altice US</v>
      </c>
      <c r="D524" s="28" t="str">
        <f>D465</f>
        <v>US$1.7</v>
      </c>
      <c r="E524" s="28" t="str">
        <f>E465</f>
        <v>US$2.5</v>
      </c>
      <c r="F524" s="29">
        <f>F465</f>
        <v>0.49700598802395213</v>
      </c>
      <c r="G524" s="28" t="str">
        <f>G465</f>
        <v>Neutral</v>
      </c>
      <c r="H524" s="30"/>
      <c r="I524" s="31">
        <f>ATCUS!D$25/ATCUS!D$33</f>
        <v>-1.1616471033237348</v>
      </c>
      <c r="J524" s="31">
        <f>ATCUS!E$25/ATCUS!E$33</f>
        <v>-1.1230751954155196</v>
      </c>
      <c r="K524" s="31">
        <f>ATCUS!F$25/ATCUS!F$33</f>
        <v>-1.0347510373443984</v>
      </c>
      <c r="L524" s="31">
        <f>ATCUS!G$25/ATCUS!G$33</f>
        <v>-0.94520295327430659</v>
      </c>
      <c r="M524" s="29">
        <f t="shared" ref="M524:M528" si="141">L524-I524</f>
        <v>0.21644415004942819</v>
      </c>
      <c r="N524" s="30"/>
      <c r="O524" s="29">
        <f>(ATCUS!D$24-ATCUS!D$25)/ATCUS!D$23</f>
        <v>0.18456199935390724</v>
      </c>
      <c r="P524" s="29">
        <f>(ATCUS!E$24-ATCUS!E$25)/ATCUS!E$23</f>
        <v>0.16003420434853544</v>
      </c>
      <c r="Q524" s="29">
        <f>(ATCUS!F$24-ATCUS!F$25)/ATCUS!F$23</f>
        <v>0.16546344763372087</v>
      </c>
      <c r="R524" s="29">
        <f>(ATCUS!G$24-ATCUS!G$25)/ATCUS!G$23</f>
        <v>0.17861329366622533</v>
      </c>
      <c r="S524" s="29">
        <f t="shared" ref="S524:S528" si="142">R524-O524</f>
        <v>-5.94870568768191E-3</v>
      </c>
      <c r="T524" s="30"/>
      <c r="U524" s="32" t="str">
        <f>D524</f>
        <v>US$1.7</v>
      </c>
      <c r="V524" s="28" t="str">
        <f t="shared" ref="V524:V528" si="143">C524</f>
        <v>Altice US</v>
      </c>
      <c r="Z524" s="33"/>
    </row>
    <row r="525" spans="1:26">
      <c r="A525" s="25"/>
      <c r="B525" s="26" t="s">
        <v>424</v>
      </c>
      <c r="C525" s="32" t="s">
        <v>258</v>
      </c>
      <c r="D525" s="28" t="str">
        <f>B525&amp;TEXT(Prices!$C$50,"0.0")</f>
        <v>US$222.0</v>
      </c>
      <c r="E525" s="28" t="str">
        <f>B525&amp;TEXT(Prices!$E$50,"0.0")</f>
        <v>US$328.0</v>
      </c>
      <c r="F525" s="29">
        <f>Prices!$F$50</f>
        <v>0.47747747747747749</v>
      </c>
      <c r="G525" s="28" t="str">
        <f>Prices!$D$50</f>
        <v>Buy</v>
      </c>
      <c r="H525" s="30"/>
      <c r="I525" s="31" t="e">
        <f>CHTR!D$25/CHTR!D$33</f>
        <v>#DIV/0!</v>
      </c>
      <c r="J525" s="31" t="e">
        <f>CHTR!E$25/CHTR!E$33</f>
        <v>#DIV/0!</v>
      </c>
      <c r="K525" s="31" t="e">
        <f>CHTR!F$25/CHTR!F$33</f>
        <v>#DIV/0!</v>
      </c>
      <c r="L525" s="31" t="e">
        <f>CHTR!G$25/CHTR!G$33</f>
        <v>#DIV/0!</v>
      </c>
      <c r="M525" s="29" t="e">
        <f t="shared" si="141"/>
        <v>#DIV/0!</v>
      </c>
      <c r="N525" s="30"/>
      <c r="O525" s="29">
        <f>(CHTR!D$24-CHTR!D$25)/CHTR!D$23</f>
        <v>0.20354533301591371</v>
      </c>
      <c r="P525" s="29">
        <f>(CHTR!E$24-CHTR!E$25)/CHTR!E$23</f>
        <v>0.20457474811654716</v>
      </c>
      <c r="Q525" s="29">
        <f>(CHTR!F$24-CHTR!F$25)/CHTR!F$23</f>
        <v>0.17466326902074991</v>
      </c>
      <c r="R525" s="29">
        <f>(CHTR!G$24-CHTR!G$25)/CHTR!G$23</f>
        <v>0.20877524335318901</v>
      </c>
      <c r="S525" s="29">
        <f t="shared" si="142"/>
        <v>5.2299103372752953E-3</v>
      </c>
      <c r="T525" s="30"/>
      <c r="U525" s="32" t="str">
        <f>D525</f>
        <v>US$222.0</v>
      </c>
      <c r="V525" s="28" t="str">
        <f t="shared" si="143"/>
        <v>Charter</v>
      </c>
      <c r="Z525" s="33"/>
    </row>
    <row r="526" spans="1:26">
      <c r="A526" s="25"/>
      <c r="B526" s="26" t="s">
        <v>424</v>
      </c>
      <c r="C526" s="32" t="s">
        <v>257</v>
      </c>
      <c r="D526" s="28" t="str">
        <f>B526&amp;TEXT(Prices!$C$51,"0.0")</f>
        <v>US$30.2</v>
      </c>
      <c r="E526" s="28" t="str">
        <f>B526&amp;TEXT(Prices!$E$51,"0.0")</f>
        <v>US$36.0</v>
      </c>
      <c r="F526" s="29">
        <f>Prices!$F$51</f>
        <v>0.19027938502231767</v>
      </c>
      <c r="G526" s="28" t="str">
        <f>Prices!$D$51</f>
        <v>Buy</v>
      </c>
      <c r="H526" s="30"/>
      <c r="I526" s="31">
        <f>CMCSA!D$25/CMCSA!D$33</f>
        <v>-6.5394808458763576</v>
      </c>
      <c r="J526" s="31">
        <f>CMCSA!E$25/CMCSA!E$33</f>
        <v>-6.6902545459387399</v>
      </c>
      <c r="K526" s="31">
        <f>CMCSA!F$25/CMCSA!F$33</f>
        <v>309096.62149556057</v>
      </c>
      <c r="L526" s="31" t="e">
        <f>CMCSA!G$25/CMCSA!G$33</f>
        <v>#DIV/0!</v>
      </c>
      <c r="M526" s="29" t="e">
        <f t="shared" si="141"/>
        <v>#DIV/0!</v>
      </c>
      <c r="N526" s="30"/>
      <c r="O526" s="29">
        <f>(CMCSA!D$24-CMCSA!D$25)/CMCSA!D$23</f>
        <v>0.10068155878771813</v>
      </c>
      <c r="P526" s="29">
        <f>(CMCSA!E$24-CMCSA!E$25)/CMCSA!E$23</f>
        <v>9.8463786481838289E-2</v>
      </c>
      <c r="Q526" s="29">
        <f>(CMCSA!F$24-CMCSA!F$25)/CMCSA!F$23</f>
        <v>7.5353008097436933E-2</v>
      </c>
      <c r="R526" s="29">
        <f>(CMCSA!G$24-CMCSA!G$25)/CMCSA!G$23</f>
        <v>8.8346100301524774E-2</v>
      </c>
      <c r="S526" s="29">
        <f t="shared" si="142"/>
        <v>-1.2335458486193357E-2</v>
      </c>
      <c r="T526" s="30"/>
      <c r="U526" s="32" t="str">
        <f>D526</f>
        <v>US$30.2</v>
      </c>
      <c r="V526" s="28" t="str">
        <f t="shared" si="143"/>
        <v>Comcast</v>
      </c>
      <c r="Z526" s="33"/>
    </row>
    <row r="527" spans="1:26">
      <c r="A527" s="25"/>
      <c r="B527" s="26" t="s">
        <v>431</v>
      </c>
      <c r="C527" s="32" t="s">
        <v>1264</v>
      </c>
      <c r="D527" s="28" t="str">
        <f>B527&amp;TEXT(Prices!C$52,"0.0")</f>
        <v>US$ 119.1</v>
      </c>
      <c r="E527" s="28" t="str">
        <f>B527&amp;TEXT(Prices!E$52,"0.0")</f>
        <v>US$ 0.0</v>
      </c>
      <c r="F527" s="29">
        <f>Prices!F$52</f>
        <v>-1</v>
      </c>
      <c r="G527" s="28" t="str">
        <f>Prices!D$52</f>
        <v>Buy</v>
      </c>
      <c r="H527" s="30"/>
      <c r="I527" s="31">
        <f>(SATS!D$25/SATS!D$33)</f>
        <v>5.8083024887151204E-2</v>
      </c>
      <c r="J527" s="31">
        <f>(SATS!E$25/SATS!E$33)</f>
        <v>0.96097678196910363</v>
      </c>
      <c r="K527" s="31">
        <f>(SATS!F$25/SATS!F$33)</f>
        <v>3.2205664743079798</v>
      </c>
      <c r="L527" s="31">
        <f>(SATS!G$25/SATS!G$33)</f>
        <v>3.6091818573614072</v>
      </c>
      <c r="M527" s="29">
        <f t="shared" si="141"/>
        <v>3.5510988324742558</v>
      </c>
      <c r="N527" s="30"/>
      <c r="O527" s="29">
        <f>(SATS!D$24-SATS!D$25)/SATS!D$23</f>
        <v>6.6266654526755592E-2</v>
      </c>
      <c r="P527" s="29">
        <f>(SATS!E$24-SATS!E$25)/SATS!E$23</f>
        <v>5.4033781691997122E-2</v>
      </c>
      <c r="Q527" s="29">
        <f>(SATS!F$24-SATS!F$25)/SATS!F$23</f>
        <v>2.6868148298625629E-2</v>
      </c>
      <c r="R527" s="29">
        <f>(SATS!G$24-SATS!G$25)/SATS!G$23</f>
        <v>2.5212411385825396E-2</v>
      </c>
      <c r="S527" s="29">
        <f t="shared" si="142"/>
        <v>-4.1054243140930195E-2</v>
      </c>
      <c r="T527" s="30"/>
      <c r="U527" s="32" t="str">
        <f>D527</f>
        <v>US$ 119.1</v>
      </c>
      <c r="V527" s="28" t="str">
        <f t="shared" si="143"/>
        <v>EchoStar</v>
      </c>
      <c r="Z527" s="33"/>
    </row>
    <row r="528" spans="1:26">
      <c r="A528" s="25"/>
      <c r="C528" s="35" t="str">
        <f>C469</f>
        <v>Agg. US Other</v>
      </c>
      <c r="D528" s="42"/>
      <c r="E528" s="42"/>
      <c r="F528" s="39"/>
      <c r="G528" s="42"/>
      <c r="H528" s="40"/>
      <c r="I528" s="38">
        <f>('US OTHER'!D$25/'US OTHER'!D$33)</f>
        <v>-9.9343123168484713</v>
      </c>
      <c r="J528" s="38">
        <f>('US OTHER'!E$25/'US OTHER'!E$33)</f>
        <v>-9.3896854367745473</v>
      </c>
      <c r="K528" s="38" t="e">
        <f>('US OTHER'!F$25/'US OTHER'!F$33)</f>
        <v>#DIV/0!</v>
      </c>
      <c r="L528" s="38">
        <f>('US OTHER'!G$25/'US OTHER'!G$33)</f>
        <v>152.18299283362924</v>
      </c>
      <c r="M528" s="39">
        <f t="shared" si="141"/>
        <v>162.1173051504777</v>
      </c>
      <c r="N528" s="40"/>
      <c r="O528" s="39">
        <f>('US OTHER'!D$24-'US OTHER'!D$25)/'US OTHER'!D$23</f>
        <v>0.12999054749775646</v>
      </c>
      <c r="P528" s="39">
        <f>('US OTHER'!E$24-'US OTHER'!E$25)/'US OTHER'!E$23</f>
        <v>0.12697681418716014</v>
      </c>
      <c r="Q528" s="39">
        <f>('US OTHER'!F$24-'US OTHER'!F$25)/'US OTHER'!F$23</f>
        <v>9.0262754232631789E-2</v>
      </c>
      <c r="R528" s="39">
        <f>('US OTHER'!G$24-'US OTHER'!G$25)/'US OTHER'!G$23</f>
        <v>0.10525698620786866</v>
      </c>
      <c r="S528" s="39">
        <f t="shared" si="142"/>
        <v>-2.4733561289887795E-2</v>
      </c>
      <c r="T528" s="40"/>
      <c r="U528" s="35"/>
      <c r="V528" s="42" t="str">
        <f t="shared" si="143"/>
        <v>Agg. US Other</v>
      </c>
      <c r="Z528" s="33"/>
    </row>
    <row r="529" spans="1:29">
      <c r="A529" s="25"/>
      <c r="C529" s="32"/>
      <c r="D529" s="28"/>
      <c r="E529" s="28"/>
      <c r="F529" s="29"/>
      <c r="G529" s="28"/>
      <c r="H529" s="30"/>
      <c r="I529" s="31"/>
      <c r="J529" s="31"/>
      <c r="K529" s="31"/>
      <c r="L529" s="31"/>
      <c r="M529" s="29"/>
      <c r="N529" s="30"/>
      <c r="O529" s="29"/>
      <c r="P529" s="29"/>
      <c r="Q529" s="29"/>
      <c r="R529" s="29"/>
      <c r="S529" s="29"/>
      <c r="T529" s="30"/>
      <c r="U529" s="32"/>
      <c r="V529" s="28"/>
      <c r="Z529" s="33"/>
    </row>
    <row r="530" spans="1:29">
      <c r="C530" s="32"/>
      <c r="D530" s="28"/>
      <c r="E530" s="28"/>
      <c r="F530" s="29"/>
      <c r="G530" s="28"/>
      <c r="H530" s="30"/>
      <c r="I530" s="31"/>
      <c r="J530" s="31"/>
      <c r="K530" s="31"/>
      <c r="L530" s="31"/>
      <c r="M530" s="29"/>
      <c r="N530" s="30"/>
      <c r="O530" s="29"/>
      <c r="P530" s="29"/>
      <c r="Q530" s="29"/>
      <c r="R530" s="29"/>
      <c r="S530" s="29"/>
      <c r="T530" s="30"/>
      <c r="U530" s="32"/>
      <c r="V530" s="28"/>
      <c r="Z530" s="33"/>
    </row>
    <row r="531" spans="1:29">
      <c r="C531" s="35" t="str">
        <f>C472</f>
        <v>Agg. W Europe</v>
      </c>
      <c r="D531" s="36"/>
      <c r="E531" s="36"/>
      <c r="F531" s="37"/>
      <c r="G531" s="36"/>
      <c r="H531" s="30"/>
      <c r="I531" s="38">
        <f>'W.EUR AGG'!$D$25/'W.EUR AGG'!$D$33</f>
        <v>4.2753559260658154</v>
      </c>
      <c r="J531" s="38">
        <f>'W.EUR AGG'!$E$25/'W.EUR AGG'!$E$33</f>
        <v>4.6521839018933449</v>
      </c>
      <c r="K531" s="38">
        <f>'W.EUR AGG'!$F$25/'W.EUR AGG'!$F$33</f>
        <v>5.0423439737289479</v>
      </c>
      <c r="L531" s="38">
        <f>'W.EUR AGG'!$G$25/'W.EUR AGG'!$G$33</f>
        <v>5.3816701608873005</v>
      </c>
      <c r="M531" s="39">
        <f>L531-I531</f>
        <v>1.1063142348214852</v>
      </c>
      <c r="N531" s="40"/>
      <c r="O531" s="39">
        <f>('W.EUR AGG'!$D$24-'W.EUR AGG'!$D$25)/'W.EUR AGG'!$D$23</f>
        <v>0.15000702101077953</v>
      </c>
      <c r="P531" s="39">
        <f>('W.EUR AGG'!$E$24-'W.EUR AGG'!$E$25)/'W.EUR AGG'!$E$23</f>
        <v>0.14306310558183555</v>
      </c>
      <c r="Q531" s="39">
        <f>('W.EUR AGG'!$F$24-'W.EUR AGG'!$F$25)/'W.EUR AGG'!$F$23</f>
        <v>0.1373513685256654</v>
      </c>
      <c r="R531" s="39">
        <f>('W.EUR AGG'!$G$24-'W.EUR AGG'!$G$25)/'W.EUR AGG'!$G$23</f>
        <v>0.13356175794271277</v>
      </c>
      <c r="S531" s="39">
        <f>R531-O531</f>
        <v>-1.6445263068066762E-2</v>
      </c>
      <c r="T531" s="30"/>
      <c r="U531" s="41"/>
      <c r="V531" s="42" t="str">
        <f>V472</f>
        <v>Agg. W Europe</v>
      </c>
      <c r="Z531" s="33"/>
    </row>
    <row r="532" spans="1:29">
      <c r="C532" s="25" t="s">
        <v>1268</v>
      </c>
      <c r="D532" s="28"/>
      <c r="E532" s="28"/>
      <c r="F532" s="29"/>
      <c r="G532" s="28"/>
      <c r="H532" s="30"/>
      <c r="I532" s="44">
        <f>'US AGG'!D$25/'US AGG'!D$33</f>
        <v>8.0072977997444728</v>
      </c>
      <c r="J532" s="44">
        <f>'US AGG'!$E$25/'US AGG'!$E$33</f>
        <v>8.4840371541345672</v>
      </c>
      <c r="K532" s="44" t="e">
        <f>'US AGG'!F$25/'US AGG'!F$33</f>
        <v>#DIV/0!</v>
      </c>
      <c r="L532" s="44">
        <f>'US AGG'!G$25/'US AGG'!G$33</f>
        <v>5.8714407286984684</v>
      </c>
      <c r="M532" s="43">
        <f>L532-I532</f>
        <v>-2.1358570710460043</v>
      </c>
      <c r="N532" s="40"/>
      <c r="O532" s="43">
        <f>('US AGG'!D$24-'US AGG'!D$25)/'US AGG'!D$23</f>
        <v>0.15808793650561362</v>
      </c>
      <c r="P532" s="43">
        <f>('US AGG'!E$24-'US AGG'!E$25)/'US AGG'!E$23</f>
        <v>0.15675012406097258</v>
      </c>
      <c r="Q532" s="43">
        <f>('US AGG'!F$24-'US AGG'!F$25)/'US AGG'!F$23</f>
        <v>0.15952060648867492</v>
      </c>
      <c r="R532" s="43">
        <f>('US AGG'!G$24-'US AGG'!G$25)/'US AGG'!G$23</f>
        <v>0.15827634210592287</v>
      </c>
      <c r="S532" s="43">
        <f>R532-O532</f>
        <v>1.8840560030924935E-4</v>
      </c>
      <c r="T532" s="30"/>
      <c r="U532" s="32"/>
      <c r="V532" s="34" t="str">
        <f>V473</f>
        <v>Agg. US</v>
      </c>
      <c r="Z532" s="33"/>
    </row>
    <row r="533" spans="1:29">
      <c r="C533" s="51" t="str">
        <f>C474</f>
        <v xml:space="preserve">Agg. Developed Asia </v>
      </c>
      <c r="D533" s="36"/>
      <c r="E533" s="36"/>
      <c r="F533" s="37"/>
      <c r="G533" s="36"/>
      <c r="H533" s="30"/>
      <c r="I533" s="38">
        <f>'AGG DM ASIA'!$D$25/'AGG DM ASIA'!$D$33</f>
        <v>-21.30232021858312</v>
      </c>
      <c r="J533" s="38">
        <f>'AGG DM ASIA'!$E$25/'AGG DM ASIA'!$E$33</f>
        <v>-28.38387078923726</v>
      </c>
      <c r="K533" s="38">
        <f>'AGG DM ASIA'!$F$25/'AGG DM ASIA'!$F$33</f>
        <v>-35.647499880280755</v>
      </c>
      <c r="L533" s="38">
        <f>'AGG DM ASIA'!$G$25/'AGG DM ASIA'!$G$33</f>
        <v>-40.441234900820788</v>
      </c>
      <c r="M533" s="39">
        <f>L533-I533</f>
        <v>-19.138914682237669</v>
      </c>
      <c r="N533" s="40"/>
      <c r="O533" s="39">
        <f>('AGG DM ASIA'!$D$24-'AGG DM ASIA'!$D$25)/'AGG DM ASIA'!$D$23</f>
        <v>0.13158973299357088</v>
      </c>
      <c r="P533" s="39">
        <f>('AGG DM ASIA'!$E$24-'AGG DM ASIA'!$E$25)/'AGG DM ASIA'!$E$23</f>
        <v>0.12598879738438198</v>
      </c>
      <c r="Q533" s="39">
        <f>('AGG DM ASIA'!$F$24-'AGG DM ASIA'!$F$25)/'AGG DM ASIA'!$F$23</f>
        <v>0.11901603938606022</v>
      </c>
      <c r="R533" s="39">
        <f>('AGG DM ASIA'!$G$24-'AGG DM ASIA'!$G$25)/'AGG DM ASIA'!$G$23</f>
        <v>0.1142366526602584</v>
      </c>
      <c r="S533" s="39">
        <f>R533-O533</f>
        <v>-1.7353080333312482E-2</v>
      </c>
      <c r="T533" s="30"/>
      <c r="U533" s="41"/>
      <c r="V533" s="42" t="str">
        <f>V474</f>
        <v xml:space="preserve">Agg. Developed Asia </v>
      </c>
      <c r="Z533" s="33"/>
    </row>
    <row r="534" spans="1:29">
      <c r="C534" s="25"/>
      <c r="D534" s="28"/>
      <c r="E534" s="28"/>
      <c r="F534" s="29"/>
      <c r="G534" s="28"/>
      <c r="H534" s="30"/>
      <c r="I534" s="44"/>
      <c r="J534" s="44"/>
      <c r="K534" s="44"/>
      <c r="L534" s="44"/>
      <c r="M534" s="43"/>
      <c r="N534" s="40"/>
      <c r="O534" s="43"/>
      <c r="P534" s="43"/>
      <c r="Q534" s="43"/>
      <c r="R534" s="43"/>
      <c r="S534" s="43"/>
      <c r="T534" s="30"/>
      <c r="U534" s="32"/>
      <c r="V534" s="34"/>
      <c r="Z534" s="33"/>
    </row>
    <row r="535" spans="1:29">
      <c r="C535" s="51" t="str">
        <f>C476</f>
        <v>Agg. Global Developed</v>
      </c>
      <c r="D535" s="36"/>
      <c r="E535" s="36"/>
      <c r="F535" s="37"/>
      <c r="G535" s="36"/>
      <c r="H535" s="30"/>
      <c r="I535" s="38">
        <f>'AGG DM'!$D$25/'AGG DM'!$D$33</f>
        <v>7.0874833010781462</v>
      </c>
      <c r="J535" s="38">
        <f>'AGG DM'!$E$25/'AGG DM'!$E$33</f>
        <v>7.5650601551505989</v>
      </c>
      <c r="K535" s="38" t="e">
        <f>'AGG DM'!$F$25/'AGG DM'!$F$33</f>
        <v>#DIV/0!</v>
      </c>
      <c r="L535" s="38">
        <f>'AGG DM'!$G$25/'AGG DM'!$G$33</f>
        <v>6.7438671387063662</v>
      </c>
      <c r="M535" s="39">
        <f>L535-I535</f>
        <v>-0.34361616237177994</v>
      </c>
      <c r="N535" s="40"/>
      <c r="O535" s="39">
        <f>('AGG DM'!$D$24-'AGG DM'!$D$25)/'AGG DM'!$D$23</f>
        <v>0.15036803351283046</v>
      </c>
      <c r="P535" s="39">
        <f>('AGG DM'!$E$24-'AGG DM'!$E$25)/'AGG DM'!$E$23</f>
        <v>0.14591433030004586</v>
      </c>
      <c r="Q535" s="39">
        <f>('AGG DM'!$F$24-'AGG DM'!$F$25)/'AGG DM'!$F$23</f>
        <v>0.14131753194031321</v>
      </c>
      <c r="R535" s="39">
        <f>('AGG DM'!$G$24-'AGG DM'!$G$25)/'AGG DM'!$G$23</f>
        <v>0.13810184790923677</v>
      </c>
      <c r="S535" s="39">
        <f>R535-O535</f>
        <v>-1.2266185603593688E-2</v>
      </c>
      <c r="T535" s="30"/>
      <c r="U535" s="41"/>
      <c r="V535" s="42" t="str">
        <f>V476</f>
        <v xml:space="preserve">Agg. Global Developed </v>
      </c>
      <c r="Z535" s="33"/>
    </row>
    <row r="536" spans="1:29">
      <c r="C536" s="27"/>
      <c r="D536" s="28"/>
      <c r="E536" s="28"/>
      <c r="F536" s="29"/>
      <c r="G536" s="28"/>
      <c r="H536" s="105"/>
      <c r="I536" s="31"/>
      <c r="J536" s="31"/>
      <c r="K536" s="31"/>
      <c r="L536" s="31"/>
      <c r="M536" s="31"/>
      <c r="N536" s="30"/>
      <c r="O536" s="31"/>
      <c r="P536" s="31"/>
      <c r="Q536" s="31"/>
      <c r="R536" s="31"/>
      <c r="S536" s="31"/>
      <c r="T536" s="30"/>
      <c r="U536" s="32"/>
      <c r="V536" s="34"/>
      <c r="Z536" s="33"/>
    </row>
    <row r="537" spans="1:29">
      <c r="C537" s="27"/>
      <c r="D537" s="28"/>
      <c r="E537" s="28"/>
      <c r="F537" s="29"/>
      <c r="G537" s="28"/>
      <c r="H537" s="105"/>
      <c r="I537" s="31"/>
      <c r="J537" s="31"/>
      <c r="K537" s="31"/>
      <c r="L537" s="31"/>
      <c r="M537" s="31"/>
      <c r="N537" s="30"/>
      <c r="O537" s="31"/>
      <c r="P537" s="31"/>
      <c r="Q537" s="31"/>
      <c r="R537" s="31"/>
      <c r="S537" s="31"/>
      <c r="T537" s="30"/>
      <c r="U537" s="32"/>
      <c r="V537" s="34"/>
      <c r="Z537" s="33"/>
    </row>
    <row r="538" spans="1:29" s="25" customFormat="1">
      <c r="B538" s="113"/>
      <c r="C538" s="130"/>
      <c r="D538" s="131" t="s">
        <v>379</v>
      </c>
      <c r="E538" s="131" t="s">
        <v>50</v>
      </c>
      <c r="F538" s="131" t="s">
        <v>52</v>
      </c>
      <c r="G538" s="131" t="s">
        <v>49</v>
      </c>
      <c r="H538" s="33"/>
      <c r="I538" s="132" t="s">
        <v>531</v>
      </c>
      <c r="J538" s="132"/>
      <c r="K538" s="132"/>
      <c r="L538" s="132"/>
      <c r="M538" s="132"/>
      <c r="O538" s="132" t="s">
        <v>524</v>
      </c>
      <c r="P538" s="132"/>
      <c r="Q538" s="132"/>
      <c r="R538" s="132"/>
      <c r="S538" s="132"/>
      <c r="T538" s="33"/>
      <c r="U538" s="133" t="s">
        <v>379</v>
      </c>
      <c r="V538" s="131"/>
      <c r="Z538" s="33"/>
      <c r="AC538" s="106"/>
    </row>
    <row r="539" spans="1:29">
      <c r="A539" s="25" t="s">
        <v>415</v>
      </c>
      <c r="C539" s="32" t="s">
        <v>160</v>
      </c>
      <c r="D539" s="28" t="str">
        <f t="shared" ref="D539:G549" si="144">D480</f>
        <v>GBP2.24</v>
      </c>
      <c r="E539" s="28" t="str">
        <f t="shared" si="144"/>
        <v>GBP2.40</v>
      </c>
      <c r="F539" s="29">
        <f t="shared" si="144"/>
        <v>7.1189466636911503E-2</v>
      </c>
      <c r="G539" s="28" t="str">
        <f t="shared" si="144"/>
        <v>Neutral</v>
      </c>
      <c r="H539" s="30"/>
      <c r="I539" s="29">
        <f>BT!$D$31/BT!$D$29</f>
        <v>1.0046502134237076</v>
      </c>
      <c r="J539" s="29">
        <f>BT!$E$31/BT!$E$29</f>
        <v>0.56578612409881379</v>
      </c>
      <c r="K539" s="29">
        <f>BT!$F$31/BT!$F$29</f>
        <v>0.55973146518788441</v>
      </c>
      <c r="L539" s="29">
        <f>BT!$G$31/BT!$G$29</f>
        <v>0.5877275015105099</v>
      </c>
      <c r="M539" s="29">
        <f t="shared" ref="M539:M550" si="145">L539-I539</f>
        <v>-0.41692271191319774</v>
      </c>
      <c r="N539" s="30"/>
      <c r="O539" s="29">
        <f>BT!$D$31/BT!$D$30</f>
        <v>0.50784186604076798</v>
      </c>
      <c r="P539" s="29">
        <f>BT!$E$31/BT!$E$30</f>
        <v>0.53677983974359145</v>
      </c>
      <c r="Q539" s="29">
        <f>BT!$F$31/BT!$F$30</f>
        <v>0.66420133187836616</v>
      </c>
      <c r="R539" s="29">
        <f>BT!$G$31/BT!$G$30</f>
        <v>0.79283744669289979</v>
      </c>
      <c r="S539" s="29">
        <f>R539-O539</f>
        <v>0.28499558065213182</v>
      </c>
      <c r="T539" s="30"/>
      <c r="U539" s="32" t="str">
        <f t="shared" ref="U539:V543" si="146">U480</f>
        <v>GBP2.24</v>
      </c>
      <c r="V539" s="53" t="str">
        <f t="shared" si="146"/>
        <v>British Telecom</v>
      </c>
    </row>
    <row r="540" spans="1:29">
      <c r="A540" s="25"/>
      <c r="C540" s="32" t="s">
        <v>161</v>
      </c>
      <c r="D540" s="28" t="str">
        <f t="shared" si="144"/>
        <v>EUR 27.67</v>
      </c>
      <c r="E540" s="28" t="str">
        <f t="shared" si="144"/>
        <v>EUR 43.00</v>
      </c>
      <c r="F540" s="29">
        <f t="shared" si="144"/>
        <v>0.55402963498373681</v>
      </c>
      <c r="G540" s="28" t="str">
        <f t="shared" si="144"/>
        <v>Buy</v>
      </c>
      <c r="H540" s="30"/>
      <c r="I540" s="29">
        <f>DT!$D$31/DT!$D$29</f>
        <v>0.46433345334944581</v>
      </c>
      <c r="J540" s="29">
        <f>DT!$E$31/DT!$E$29</f>
        <v>0.47111941614261005</v>
      </c>
      <c r="K540" s="29">
        <f>DT!$F$31/DT!$F$29</f>
        <v>0.47787818909525459</v>
      </c>
      <c r="L540" s="29">
        <f>DT!$G$31/DT!$G$29</f>
        <v>0.48451056858298486</v>
      </c>
      <c r="M540" s="29">
        <f t="shared" si="145"/>
        <v>2.0177115233539045E-2</v>
      </c>
      <c r="N540" s="30"/>
      <c r="O540" s="29">
        <f>DT!$D$31/DT!$D$30</f>
        <v>0.49507083575521904</v>
      </c>
      <c r="P540" s="29">
        <f>DT!$E$31/DT!$E$30</f>
        <v>0.52397593965955136</v>
      </c>
      <c r="Q540" s="29">
        <f>DT!$F$31/DT!$F$30</f>
        <v>0.51629680509161358</v>
      </c>
      <c r="R540" s="29">
        <f>DT!$G$31/DT!$G$30</f>
        <v>0.50719804762171805</v>
      </c>
      <c r="S540" s="29">
        <f>R540-O540</f>
        <v>1.212721186649901E-2</v>
      </c>
      <c r="T540" s="30"/>
      <c r="U540" s="32" t="str">
        <f t="shared" si="146"/>
        <v>EUR 27.67</v>
      </c>
      <c r="V540" s="53" t="str">
        <f t="shared" si="146"/>
        <v>Deutsche Telekom</v>
      </c>
    </row>
    <row r="541" spans="1:29">
      <c r="A541" s="25"/>
      <c r="C541" s="32" t="s">
        <v>373</v>
      </c>
      <c r="D541" s="28" t="str">
        <f t="shared" si="144"/>
        <v>EUR 4.66</v>
      </c>
      <c r="E541" s="28" t="str">
        <f t="shared" si="144"/>
        <v>EUR 4.33</v>
      </c>
      <c r="F541" s="29">
        <f t="shared" si="144"/>
        <v>-7.2021498159240971E-2</v>
      </c>
      <c r="G541" s="28" t="str">
        <f t="shared" si="144"/>
        <v>Neutral</v>
      </c>
      <c r="H541" s="30"/>
      <c r="I541" s="29">
        <f>KPN!$D$31/KPN!$D$29</f>
        <v>0.92201207334143731</v>
      </c>
      <c r="J541" s="29">
        <f>KPN!$E$31/KPN!$E$29</f>
        <v>0.92748581291751186</v>
      </c>
      <c r="K541" s="29">
        <f>KPN!$F$31/KPN!$F$29</f>
        <v>0.84197743548320092</v>
      </c>
      <c r="L541" s="29">
        <f>KPN!$G$31/KPN!$G$29</f>
        <v>0.84174277889640203</v>
      </c>
      <c r="M541" s="29">
        <f t="shared" si="145"/>
        <v>-8.0269294445035277E-2</v>
      </c>
      <c r="N541" s="30"/>
      <c r="O541" s="29" t="s">
        <v>507</v>
      </c>
      <c r="P541" s="29">
        <f>KPN!$E$31/KPN!$E$30</f>
        <v>1.5039722827312121</v>
      </c>
      <c r="Q541" s="29">
        <f>KPN!$F$31/KPN!$F$30</f>
        <v>1.5880474094141808</v>
      </c>
      <c r="R541" s="29">
        <f>KPN!$G$31/KPN!$G$30</f>
        <v>1.4025685583522476</v>
      </c>
      <c r="S541" s="29" t="s">
        <v>507</v>
      </c>
      <c r="T541" s="30"/>
      <c r="U541" s="32" t="str">
        <f t="shared" si="146"/>
        <v>EUR 4.66</v>
      </c>
      <c r="V541" s="53" t="str">
        <f t="shared" si="146"/>
        <v>KPN</v>
      </c>
    </row>
    <row r="542" spans="1:29">
      <c r="A542" s="25"/>
      <c r="C542" s="32" t="s">
        <v>604</v>
      </c>
      <c r="D542" s="28" t="str">
        <f t="shared" si="144"/>
        <v>EUR 17.64</v>
      </c>
      <c r="E542" s="28" t="str">
        <f t="shared" si="144"/>
        <v>EUR 18.80</v>
      </c>
      <c r="F542" s="29">
        <f t="shared" si="144"/>
        <v>6.5759637188208542E-2</v>
      </c>
      <c r="G542" s="28" t="str">
        <f t="shared" si="144"/>
        <v>Neutral</v>
      </c>
      <c r="H542" s="30"/>
      <c r="I542" s="29">
        <f>ORA!$D$31/ORA!$D$29</f>
        <v>1.1026266922671224</v>
      </c>
      <c r="J542" s="29">
        <f>ORA!$E$31/ORA!$E$29</f>
        <v>0.6430120740162848</v>
      </c>
      <c r="K542" s="29">
        <f>ORA!$F$31/ORA!$F$29</f>
        <v>0.58914774683342253</v>
      </c>
      <c r="L542" s="29">
        <f>ORA!$G$31/ORA!$G$29</f>
        <v>0.5862105441486446</v>
      </c>
      <c r="M542" s="29">
        <f t="shared" si="145"/>
        <v>-0.5164161481184778</v>
      </c>
      <c r="N542" s="30"/>
      <c r="O542" s="29">
        <f>ORA!$D$31/ORA!$D$30</f>
        <v>0.70696047103118365</v>
      </c>
      <c r="P542" s="29">
        <f>ORA!$E$31/ORA!$E$30</f>
        <v>0.49686541843291082</v>
      </c>
      <c r="Q542" s="29">
        <f>ORA!$F$31/ORA!$F$30</f>
        <v>0.74027642330382193</v>
      </c>
      <c r="R542" s="29">
        <f>ORA!$G$31/ORA!$G$30</f>
        <v>0.70546629570947761</v>
      </c>
      <c r="S542" s="29">
        <f t="shared" ref="S542:S550" si="147">R542-O542</f>
        <v>-1.4941753217060372E-3</v>
      </c>
      <c r="T542" s="30"/>
      <c r="U542" s="32" t="str">
        <f t="shared" si="146"/>
        <v>EUR 17.64</v>
      </c>
      <c r="V542" s="53" t="str">
        <f t="shared" si="146"/>
        <v>Orange</v>
      </c>
    </row>
    <row r="543" spans="1:29">
      <c r="A543" s="25"/>
      <c r="C543" s="32" t="s">
        <v>374</v>
      </c>
      <c r="D543" s="28" t="str">
        <f t="shared" si="144"/>
        <v>EUR 18.29</v>
      </c>
      <c r="E543" s="28" t="str">
        <f t="shared" si="144"/>
        <v>EUR 22.10</v>
      </c>
      <c r="F543" s="29">
        <f t="shared" si="144"/>
        <v>0.20831055221432493</v>
      </c>
      <c r="G543" s="28" t="str">
        <f t="shared" si="144"/>
        <v>Buy</v>
      </c>
      <c r="H543" s="30"/>
      <c r="I543" s="29">
        <f>OTE!$D$31/OTE!$D$29</f>
        <v>0.53165810432691452</v>
      </c>
      <c r="J543" s="29">
        <f>OTE!$E$31/OTE!$E$29</f>
        <v>0.51819297964211619</v>
      </c>
      <c r="K543" s="29">
        <f>OTE!$F$31/OTE!$F$29</f>
        <v>0.70764647893980859</v>
      </c>
      <c r="L543" s="29">
        <f>OTE!$G$31/OTE!$G$29</f>
        <v>0.62954236537243002</v>
      </c>
      <c r="M543" s="29">
        <f t="shared" si="145"/>
        <v>9.7884261045515508E-2</v>
      </c>
      <c r="N543" s="30"/>
      <c r="O543" s="29">
        <f>OTE!$D$31/OTE!$D$30</f>
        <v>0.6597752070496069</v>
      </c>
      <c r="P543" s="29">
        <f>OTE!$E$31/OTE!$E$30</f>
        <v>0.68760961740620796</v>
      </c>
      <c r="Q543" s="29">
        <f>OTE!$F$31/OTE!$F$30</f>
        <v>0.66257945299122989</v>
      </c>
      <c r="R543" s="29">
        <f>OTE!$G$31/OTE!$G$30</f>
        <v>0.64847549014441541</v>
      </c>
      <c r="S543" s="29">
        <f t="shared" si="147"/>
        <v>-1.1299716905191493E-2</v>
      </c>
      <c r="T543" s="30"/>
      <c r="U543" s="32" t="str">
        <f t="shared" si="146"/>
        <v>EUR 18.29</v>
      </c>
      <c r="V543" s="53" t="str">
        <f t="shared" si="146"/>
        <v>OTE</v>
      </c>
    </row>
    <row r="544" spans="1:29">
      <c r="A544" s="25"/>
      <c r="C544" s="32" t="s">
        <v>686</v>
      </c>
      <c r="D544" s="28" t="str">
        <f t="shared" si="144"/>
        <v>EUR 6.6</v>
      </c>
      <c r="E544" s="28" t="str">
        <f t="shared" si="144"/>
        <v>EUR 13.3</v>
      </c>
      <c r="F544" s="29">
        <f t="shared" si="144"/>
        <v>1.0060331825037707</v>
      </c>
      <c r="G544" s="28" t="str">
        <f t="shared" si="144"/>
        <v>Neutral</v>
      </c>
      <c r="H544" s="30"/>
      <c r="I544" s="29">
        <f>PROX!$D$31/PROX!$D$29</f>
        <v>0.44107621324858365</v>
      </c>
      <c r="J544" s="29">
        <f>PROX!$E$31/PROX!$E$29</f>
        <v>0.39611179177341871</v>
      </c>
      <c r="K544" s="29">
        <f>PROX!$F$31/PROX!$F$29</f>
        <v>0.51105038559951321</v>
      </c>
      <c r="L544" s="29">
        <f>PROX!$G$31/PROX!$G$29</f>
        <v>0.55028015687528864</v>
      </c>
      <c r="M544" s="29">
        <f t="shared" si="145"/>
        <v>0.10920394362670499</v>
      </c>
      <c r="N544" s="30"/>
      <c r="O544" s="29">
        <f>PROX!$D$31/PROX!$D$30</f>
        <v>0.45716533485508343</v>
      </c>
      <c r="P544" s="29">
        <f>PROX!$E$31/PROX!$E$30</f>
        <v>0.26962588172975022</v>
      </c>
      <c r="Q544" s="29">
        <f>PROX!$F$31/PROX!$F$30</f>
        <v>0.34583463583927798</v>
      </c>
      <c r="R544" s="29">
        <f>PROX!$G$31/PROX!$G$30</f>
        <v>0.40968526004599154</v>
      </c>
      <c r="S544" s="29">
        <f t="shared" si="147"/>
        <v>-4.7480074809091888E-2</v>
      </c>
      <c r="T544" s="30"/>
      <c r="U544" s="32" t="str">
        <f t="shared" ref="U544:U549" si="148">U485</f>
        <v>EUR 6.6</v>
      </c>
      <c r="V544" s="53" t="s">
        <v>686</v>
      </c>
    </row>
    <row r="545" spans="1:22">
      <c r="C545" s="32" t="s">
        <v>378</v>
      </c>
      <c r="D545" s="28" t="str">
        <f t="shared" si="144"/>
        <v>CHF673</v>
      </c>
      <c r="E545" s="28" t="str">
        <f t="shared" si="144"/>
        <v>CHF570</v>
      </c>
      <c r="F545" s="29">
        <f t="shared" si="144"/>
        <v>-0.15241635687732347</v>
      </c>
      <c r="G545" s="28" t="str">
        <f t="shared" si="144"/>
        <v>Sell</v>
      </c>
      <c r="H545" s="30"/>
      <c r="I545" s="29">
        <f>SWISS!$D$31/SWISS!$D$29</f>
        <v>1.1129671588521097</v>
      </c>
      <c r="J545" s="29">
        <f>SWISS!$E$31/SWISS!$E$29</f>
        <v>1.1347562613263729</v>
      </c>
      <c r="K545" s="29">
        <f>SWISS!$F$31/SWISS!$F$29</f>
        <v>1.0429354273750946</v>
      </c>
      <c r="L545" s="29">
        <f>SWISS!$G$31/SWISS!$G$29</f>
        <v>0.94469853319314734</v>
      </c>
      <c r="M545" s="29">
        <f t="shared" si="145"/>
        <v>-0.16826862565896239</v>
      </c>
      <c r="N545" s="30"/>
      <c r="O545" s="29">
        <f>SWISS!$D$31/SWISS!$D$30</f>
        <v>0.33607594637509636</v>
      </c>
      <c r="P545" s="29">
        <f>SWISS!$E$31/SWISS!$E$30</f>
        <v>0.35289411549373545</v>
      </c>
      <c r="Q545" s="29">
        <f>SWISS!$F$31/SWISS!$F$30</f>
        <v>0.36616247385571876</v>
      </c>
      <c r="R545" s="29">
        <f>SWISS!$G$31/SWISS!$G$30</f>
        <v>0.37317625599362103</v>
      </c>
      <c r="S545" s="29">
        <f t="shared" si="147"/>
        <v>3.7100309618524674E-2</v>
      </c>
      <c r="T545" s="30"/>
      <c r="U545" s="32" t="str">
        <f t="shared" si="148"/>
        <v>CHF673</v>
      </c>
      <c r="V545" s="53" t="str">
        <f t="shared" ref="V545:V550" si="149">V486</f>
        <v>Swisscom</v>
      </c>
    </row>
    <row r="546" spans="1:22">
      <c r="A546" s="25"/>
      <c r="C546" s="32" t="s">
        <v>222</v>
      </c>
      <c r="D546" s="28" t="str">
        <f t="shared" si="144"/>
        <v>EUR 0.66</v>
      </c>
      <c r="E546" s="28" t="str">
        <f t="shared" si="144"/>
        <v>EUR 0.55</v>
      </c>
      <c r="F546" s="29">
        <f t="shared" si="144"/>
        <v>-0.16641406486814181</v>
      </c>
      <c r="G546" s="28" t="str">
        <f t="shared" si="144"/>
        <v>Neutral</v>
      </c>
      <c r="H546" s="30"/>
      <c r="I546" s="29">
        <f>TI!$D$31/TI!$D$29</f>
        <v>0</v>
      </c>
      <c r="J546" s="29">
        <f>TI!$E$31/TI!$E$29</f>
        <v>0.19451177305897593</v>
      </c>
      <c r="K546" s="29">
        <f>TI!$F$31/TI!$F$29</f>
        <v>0.41670880363760138</v>
      </c>
      <c r="L546" s="29">
        <f>TI!$G$31/TI!$G$29</f>
        <v>0.37334009555891673</v>
      </c>
      <c r="M546" s="29">
        <f t="shared" si="145"/>
        <v>0.37334009555891673</v>
      </c>
      <c r="N546" s="30"/>
      <c r="O546" s="29">
        <f>TI!$D$31/TI!$D$30</f>
        <v>0</v>
      </c>
      <c r="P546" s="29">
        <f>TI!$E$31/TI!$E$30</f>
        <v>0.48822699498900279</v>
      </c>
      <c r="Q546" s="29">
        <f>TI!$F$31/TI!$F$30</f>
        <v>0.39827963019651225</v>
      </c>
      <c r="R546" s="29">
        <f>TI!$G$31/TI!$G$30</f>
        <v>0.38665015734354335</v>
      </c>
      <c r="S546" s="29">
        <f t="shared" si="147"/>
        <v>0.38665015734354335</v>
      </c>
      <c r="T546" s="30"/>
      <c r="U546" s="32" t="str">
        <f t="shared" si="148"/>
        <v>EUR 0.66</v>
      </c>
      <c r="V546" s="53" t="str">
        <f t="shared" si="149"/>
        <v>Telecom Italia</v>
      </c>
    </row>
    <row r="547" spans="1:22">
      <c r="A547" s="25"/>
      <c r="C547" s="32" t="s">
        <v>376</v>
      </c>
      <c r="D547" s="28" t="str">
        <f t="shared" si="144"/>
        <v>EUR 3.88</v>
      </c>
      <c r="E547" s="28" t="str">
        <f t="shared" si="144"/>
        <v>EUR 3.30</v>
      </c>
      <c r="F547" s="29">
        <f t="shared" si="144"/>
        <v>-0.14992272024729525</v>
      </c>
      <c r="G547" s="28" t="str">
        <f t="shared" si="144"/>
        <v>Sell</v>
      </c>
      <c r="H547" s="30"/>
      <c r="I547" s="29">
        <f>TEF!$D$31/TEF!$D$29</f>
        <v>0.44398346846235526</v>
      </c>
      <c r="J547" s="29">
        <f>TEF!$E$31/TEF!$E$29</f>
        <v>0.40942641033337629</v>
      </c>
      <c r="K547" s="29">
        <f>TEF!$F$31/TEF!$F$29</f>
        <v>0.42832222362828204</v>
      </c>
      <c r="L547" s="29">
        <f>TEF!$G$31/TEF!$G$29</f>
        <v>0.42317593921972085</v>
      </c>
      <c r="M547" s="29">
        <f t="shared" si="145"/>
        <v>-2.0807529242634404E-2</v>
      </c>
      <c r="N547" s="30"/>
      <c r="O547" s="29">
        <f>TEF!$D$31/TEF!$D$30</f>
        <v>0.39964187743035229</v>
      </c>
      <c r="P547" s="29">
        <f>TEF!$E$31/TEF!$E$30</f>
        <v>0.39813773564303945</v>
      </c>
      <c r="Q547" s="29">
        <f>TEF!$F$31/TEF!$F$30</f>
        <v>0.33375530747318516</v>
      </c>
      <c r="R547" s="29">
        <f>TEF!$G$31/TEF!$G$30</f>
        <v>0.32697098730368351</v>
      </c>
      <c r="S547" s="29">
        <f t="shared" si="147"/>
        <v>-7.2670890126668775E-2</v>
      </c>
      <c r="T547" s="30"/>
      <c r="U547" s="32" t="str">
        <f t="shared" si="148"/>
        <v>EUR 3.88</v>
      </c>
      <c r="V547" s="53" t="str">
        <f t="shared" si="149"/>
        <v>Telefonica</v>
      </c>
    </row>
    <row r="548" spans="1:22">
      <c r="A548" s="25"/>
      <c r="C548" s="32" t="s">
        <v>377</v>
      </c>
      <c r="D548" s="28" t="str">
        <f t="shared" si="144"/>
        <v>NOK 164</v>
      </c>
      <c r="E548" s="28" t="str">
        <f t="shared" si="144"/>
        <v>NOK 160</v>
      </c>
      <c r="F548" s="29">
        <f t="shared" si="144"/>
        <v>-2.6171637248934898E-2</v>
      </c>
      <c r="G548" s="28" t="str">
        <f t="shared" si="144"/>
        <v>Neutral</v>
      </c>
      <c r="H548" s="30"/>
      <c r="I548" s="29">
        <f>TNOR!$D$31/TNOR!$D$29</f>
        <v>1.0053909224987754</v>
      </c>
      <c r="J548" s="29">
        <f>TNOR!$E$31/TNOR!$E$29</f>
        <v>1.1328807841474049</v>
      </c>
      <c r="K548" s="29">
        <f>TNOR!$F$31/TNOR!$F$29</f>
        <v>1.7055879555149969</v>
      </c>
      <c r="L548" s="29">
        <f>TNOR!$G$31/TNOR!$G$29</f>
        <v>1.0519746051002727</v>
      </c>
      <c r="M548" s="29">
        <f t="shared" si="145"/>
        <v>4.6583682601497367E-2</v>
      </c>
      <c r="N548" s="30"/>
      <c r="O548" s="29">
        <f>TNOR!$D$31/TNOR!$D$30</f>
        <v>1.6396011263897428</v>
      </c>
      <c r="P548" s="29">
        <f>TNOR!$E$31/TNOR!$E$30</f>
        <v>1.9030920384598586</v>
      </c>
      <c r="Q548" s="29">
        <f>TNOR!$F$31/TNOR!$F$30</f>
        <v>2.6278489484700129</v>
      </c>
      <c r="R548" s="29">
        <f>TNOR!$G$31/TNOR!$G$30</f>
        <v>1.7097175930348745</v>
      </c>
      <c r="S548" s="29">
        <f t="shared" si="147"/>
        <v>7.0116466645131714E-2</v>
      </c>
      <c r="T548" s="30"/>
      <c r="U548" s="32" t="str">
        <f t="shared" si="148"/>
        <v>NOK 164</v>
      </c>
      <c r="V548" s="28" t="str">
        <f t="shared" si="149"/>
        <v>Telenor</v>
      </c>
    </row>
    <row r="549" spans="1:22">
      <c r="A549" s="25"/>
      <c r="C549" s="32" t="s">
        <v>846</v>
      </c>
      <c r="D549" s="28" t="str">
        <f t="shared" si="144"/>
        <v>SEK48.7</v>
      </c>
      <c r="E549" s="28" t="str">
        <f t="shared" si="144"/>
        <v>SEK45.0</v>
      </c>
      <c r="F549" s="29">
        <f t="shared" si="144"/>
        <v>-7.6165058509546357E-2</v>
      </c>
      <c r="G549" s="28" t="str">
        <f t="shared" si="144"/>
        <v>Neutral</v>
      </c>
      <c r="H549" s="30"/>
      <c r="I549" s="29">
        <f>TELIA!$D$31/TELIA!$D$29</f>
        <v>0.88704555648690986</v>
      </c>
      <c r="J549" s="29">
        <f>TELIA!$E$31/TELIA!$E$29</f>
        <v>0.88473977259261138</v>
      </c>
      <c r="K549" s="29">
        <f>TELIA!$F$31/TELIA!$F$29</f>
        <v>0.83648531734308074</v>
      </c>
      <c r="L549" s="29">
        <f>TELIA!$G$31/TELIA!$G$29</f>
        <v>0.81572584214272315</v>
      </c>
      <c r="M549" s="29">
        <f t="shared" si="145"/>
        <v>-7.1319714344186713E-2</v>
      </c>
      <c r="N549" s="30"/>
      <c r="O549" s="29">
        <f>TELIA!$D$31/TELIA!$D$30</f>
        <v>1.4182225426938819</v>
      </c>
      <c r="P549" s="29">
        <f>TELIA!$E$31/TELIA!$E$30</f>
        <v>1.9250163817747554</v>
      </c>
      <c r="Q549" s="29">
        <f>TELIA!$F$31/TELIA!$F$30</f>
        <v>1.7537815176372635</v>
      </c>
      <c r="R549" s="29">
        <f>TELIA!$G$31/TELIA!$G$30</f>
        <v>1.4426834332581548</v>
      </c>
      <c r="S549" s="29">
        <f t="shared" si="147"/>
        <v>2.4460890564272919E-2</v>
      </c>
      <c r="T549" s="30"/>
      <c r="U549" s="32" t="str">
        <f t="shared" si="148"/>
        <v>SEK48.7</v>
      </c>
      <c r="V549" s="28" t="str">
        <f t="shared" si="149"/>
        <v>Telia</v>
      </c>
    </row>
    <row r="550" spans="1:22">
      <c r="A550" s="25"/>
      <c r="C550" s="35" t="str">
        <f>C491</f>
        <v>Agg. W.Europe Incumbent</v>
      </c>
      <c r="D550" s="36"/>
      <c r="E550" s="36"/>
      <c r="F550" s="37"/>
      <c r="G550" s="36"/>
      <c r="H550" s="30"/>
      <c r="I550" s="39">
        <f>'W.EUR INCUMB'!$D$31/'W.EUR INCUMB'!$D$29</f>
        <v>0.63858449375799731</v>
      </c>
      <c r="J550" s="39">
        <f>'W.EUR INCUMB'!$E$31/'W.EUR INCUMB'!$E$29</f>
        <v>0.56959251798556032</v>
      </c>
      <c r="K550" s="39">
        <f>'W.EUR INCUMB'!$F$31/'W.EUR INCUMB'!$F$29</f>
        <v>0.60726392920118166</v>
      </c>
      <c r="L550" s="39">
        <f>'W.EUR INCUMB'!$G$31/'W.EUR INCUMB'!$G$29</f>
        <v>0.57520615341768278</v>
      </c>
      <c r="M550" s="39">
        <f t="shared" si="145"/>
        <v>-6.3378340340314532E-2</v>
      </c>
      <c r="N550" s="40"/>
      <c r="O550" s="39">
        <f>'W.EUR INCUMB'!$D$31/'W.EUR INCUMB'!$D$30</f>
        <v>0.54361842983744701</v>
      </c>
      <c r="P550" s="39">
        <f>'W.EUR INCUMB'!$E$31/'W.EUR INCUMB'!$E$30</f>
        <v>0.55496700072782135</v>
      </c>
      <c r="Q550" s="39">
        <f>'W.EUR INCUMB'!$F$31/'W.EUR INCUMB'!$F$30</f>
        <v>0.60381152462123322</v>
      </c>
      <c r="R550" s="39">
        <f>'W.EUR INCUMB'!$G$31/'W.EUR INCUMB'!$G$30</f>
        <v>0.57456276041823529</v>
      </c>
      <c r="S550" s="39">
        <f t="shared" si="147"/>
        <v>3.0944330580788271E-2</v>
      </c>
      <c r="T550" s="30"/>
      <c r="U550" s="41"/>
      <c r="V550" s="42" t="str">
        <f t="shared" si="149"/>
        <v>Agg. W.Europe Incumbent</v>
      </c>
    </row>
    <row r="551" spans="1:22">
      <c r="A551" s="25"/>
      <c r="C551" s="32"/>
      <c r="D551" s="28"/>
      <c r="E551" s="28"/>
      <c r="F551" s="29"/>
      <c r="G551" s="28"/>
      <c r="H551" s="30"/>
      <c r="I551" s="29"/>
      <c r="J551" s="29"/>
      <c r="K551" s="29"/>
      <c r="L551" s="29"/>
      <c r="M551" s="29"/>
      <c r="N551" s="30"/>
      <c r="O551" s="29"/>
      <c r="P551" s="29"/>
      <c r="Q551" s="29"/>
      <c r="R551" s="29"/>
      <c r="S551" s="29"/>
      <c r="T551" s="30"/>
      <c r="U551" s="32"/>
      <c r="V551" s="28"/>
    </row>
    <row r="552" spans="1:22">
      <c r="A552" s="25"/>
      <c r="B552" s="26" t="s">
        <v>424</v>
      </c>
      <c r="C552" s="32" t="s">
        <v>403</v>
      </c>
      <c r="D552" s="28" t="str">
        <f>B552&amp;TEXT(Prices!$C$45,"0.0")</f>
        <v>US$26.3</v>
      </c>
      <c r="E552" s="28" t="str">
        <f>B552&amp;TEXT(Prices!$E$45,"0.00")</f>
        <v>US$32.00</v>
      </c>
      <c r="F552" s="29">
        <f>Prices!$F$45</f>
        <v>0.21765601217656005</v>
      </c>
      <c r="G552" s="28" t="str">
        <f>Prices!$D$45</f>
        <v>Buy</v>
      </c>
      <c r="H552" s="30"/>
      <c r="I552" s="29">
        <f>ATT!$D$31/ATT!$D$29</f>
        <v>0.61906554244388989</v>
      </c>
      <c r="J552" s="29">
        <f>ATT!$E$31/ATT!$E$29</f>
        <v>0.59049676599626377</v>
      </c>
      <c r="K552" s="29">
        <f>ATT!$F$31/ATT!$F$29</f>
        <v>0.56133534169651267</v>
      </c>
      <c r="L552" s="29">
        <f>ATT!$G$31/ATT!$G$29</f>
        <v>0.48178709342137266</v>
      </c>
      <c r="M552" s="29">
        <f>L552-I552</f>
        <v>-0.13727844902251723</v>
      </c>
      <c r="N552" s="30"/>
      <c r="O552" s="29">
        <f>ATT!$D$31/ATT!$D$30</f>
        <v>0.55694079695869003</v>
      </c>
      <c r="P552" s="29">
        <f>ATT!$E$31/ATT!$E$30</f>
        <v>0.46335440728317079</v>
      </c>
      <c r="Q552" s="29">
        <f>ATT!$F$31/ATT!$F$30</f>
        <v>0.44017319121145593</v>
      </c>
      <c r="R552" s="29">
        <f>ATT!$G$31/ATT!$G$30</f>
        <v>0.39618784546850372</v>
      </c>
      <c r="S552" s="29">
        <f>R552-O552</f>
        <v>-0.16075295149018631</v>
      </c>
      <c r="T552" s="30"/>
      <c r="U552" s="32" t="str">
        <f>D552</f>
        <v>US$26.3</v>
      </c>
      <c r="V552" s="28" t="str">
        <f>C552</f>
        <v xml:space="preserve">AT&amp;T </v>
      </c>
    </row>
    <row r="553" spans="1:22">
      <c r="B553" s="26" t="s">
        <v>424</v>
      </c>
      <c r="C553" s="32" t="s">
        <v>570</v>
      </c>
      <c r="D553" s="28" t="str">
        <f>B553&amp;TEXT(Prices!$C$46,"0.0")</f>
        <v>US$191.5</v>
      </c>
      <c r="E553" s="28" t="str">
        <f>B553&amp;TEXT(Prices!$E$46,"0.0")</f>
        <v>US$296.0</v>
      </c>
      <c r="F553" s="29">
        <f>Prices!$F$46</f>
        <v>0.54593408889121009</v>
      </c>
      <c r="G553" s="28" t="str">
        <f>Prices!$D$46</f>
        <v>Buy</v>
      </c>
      <c r="H553" s="30"/>
      <c r="I553" s="29">
        <v>0</v>
      </c>
      <c r="J553" s="29">
        <f>TMUS!$E$31/TMUS!$E$29</f>
        <v>1.3567571192661092</v>
      </c>
      <c r="K553" s="29">
        <f>TMUS!$F$31/TMUS!$F$29</f>
        <v>1.2551498326488553</v>
      </c>
      <c r="L553" s="29">
        <f>TMUS!$G$31/TMUS!$G$29</f>
        <v>1.3820611572427475</v>
      </c>
      <c r="M553" s="29">
        <f>L553-I553</f>
        <v>1.3820611572427475</v>
      </c>
      <c r="N553" s="30"/>
      <c r="O553" s="29">
        <f>TMUS!$D$31/TMUS!$D$30</f>
        <v>0.36828449121622342</v>
      </c>
      <c r="P553" s="29">
        <f>TMUS!$E$31/TMUS!$E$30</f>
        <v>0.386090513000998</v>
      </c>
      <c r="Q553" s="29">
        <f>TMUS!$F$31/TMUS!$F$30</f>
        <v>0.35980107940525985</v>
      </c>
      <c r="R553" s="29">
        <f>TMUS!$G$31/TMUS!$G$30</f>
        <v>0.3739020819974927</v>
      </c>
      <c r="S553" s="29">
        <f>R553-O553</f>
        <v>5.6175907812692771E-3</v>
      </c>
      <c r="T553" s="30"/>
      <c r="U553" s="32" t="str">
        <f>D553</f>
        <v>US$191.5</v>
      </c>
      <c r="V553" s="28" t="str">
        <f>C553</f>
        <v>TMUS</v>
      </c>
    </row>
    <row r="554" spans="1:22">
      <c r="A554" s="25"/>
      <c r="B554" s="26" t="s">
        <v>424</v>
      </c>
      <c r="C554" s="32" t="s">
        <v>30</v>
      </c>
      <c r="D554" s="28" t="str">
        <f>B554&amp;TEXT(Prices!$C$44,"0.0")</f>
        <v>US$46.9</v>
      </c>
      <c r="E554" s="28" t="str">
        <f>B554&amp;TEXT(Prices!$E$44,"0.00")</f>
        <v>US$42.00</v>
      </c>
      <c r="F554" s="29">
        <f>Prices!$F$44</f>
        <v>-0.10371318822023046</v>
      </c>
      <c r="G554" s="28" t="str">
        <f>Prices!$D$44</f>
        <v>Neutral</v>
      </c>
      <c r="H554" s="30"/>
      <c r="I554" s="29">
        <f>VZN!$D$31/VZN!$D$29</f>
        <v>0.55620013911323463</v>
      </c>
      <c r="J554" s="29">
        <f>VZN!$E$31/VZN!$E$29</f>
        <v>0.53010968597482733</v>
      </c>
      <c r="K554" s="29">
        <f>VZN!$F$31/VZN!$F$29</f>
        <v>0.52068499768913346</v>
      </c>
      <c r="L554" s="29">
        <f>VZN!$G$31/VZN!$G$29</f>
        <v>0.50397004584084171</v>
      </c>
      <c r="M554" s="29">
        <f>L554-I554</f>
        <v>-5.2230093272392919E-2</v>
      </c>
      <c r="N554" s="30"/>
      <c r="O554" s="29">
        <f>VZN!$D$31/VZN!$D$30</f>
        <v>0.58158523930730199</v>
      </c>
      <c r="P554" s="29">
        <f>VZN!$E$31/VZN!$E$30</f>
        <v>0.57935197365874447</v>
      </c>
      <c r="Q554" s="29">
        <f>VZN!$F$31/VZN!$F$30</f>
        <v>0.56518949912254646</v>
      </c>
      <c r="R554" s="29">
        <f>VZN!$G$31/VZN!$G$30</f>
        <v>0.54336394743233285</v>
      </c>
      <c r="S554" s="29">
        <f>R554-O554</f>
        <v>-3.8221291874969143E-2</v>
      </c>
      <c r="T554" s="30"/>
      <c r="U554" s="32" t="str">
        <f>D554</f>
        <v>US$46.9</v>
      </c>
      <c r="V554" s="28" t="str">
        <f>C554</f>
        <v>Verizon</v>
      </c>
    </row>
    <row r="555" spans="1:22">
      <c r="A555" s="25"/>
      <c r="C555" s="35" t="s">
        <v>214</v>
      </c>
      <c r="D555" s="36"/>
      <c r="E555" s="36"/>
      <c r="F555" s="37"/>
      <c r="G555" s="36"/>
      <c r="H555" s="30"/>
      <c r="I555" s="39">
        <f>'US TELCO'!$D$31/'US TELCO'!$D$29</f>
        <v>0.5001549027761355</v>
      </c>
      <c r="J555" s="39">
        <f>'US TELCO'!$E$31/'US TELCO'!$E$29</f>
        <v>0.62285005907661151</v>
      </c>
      <c r="K555" s="39">
        <f>'US TELCO'!$F$31/'US TELCO'!$F$29</f>
        <v>0.61122766398217732</v>
      </c>
      <c r="L555" s="39">
        <f>'US TELCO'!$G$31/'US TELCO'!$G$29</f>
        <v>0.58566416613797645</v>
      </c>
      <c r="M555" s="39">
        <f>L555-I555</f>
        <v>8.5509263361840948E-2</v>
      </c>
      <c r="N555" s="30"/>
      <c r="O555" s="39">
        <f>'US TELCO'!$D$31/'US TELCO'!$D$30</f>
        <v>0.52141788881265561</v>
      </c>
      <c r="P555" s="39">
        <f>'US TELCO'!$E$31/'US TELCO'!$E$30</f>
        <v>0.49243495959653938</v>
      </c>
      <c r="Q555" s="39">
        <f>'US TELCO'!$F$31/'US TELCO'!$F$30</f>
        <v>0.46703278658198411</v>
      </c>
      <c r="R555" s="39">
        <f>'US TELCO'!$G$31/'US TELCO'!$G$30</f>
        <v>0.44694799392637952</v>
      </c>
      <c r="S555" s="39">
        <f>R555-O555</f>
        <v>-7.4469894886276089E-2</v>
      </c>
      <c r="T555" s="30"/>
      <c r="U555" s="41"/>
      <c r="V555" s="42" t="str">
        <f>C555</f>
        <v>Agg. US Telecoms</v>
      </c>
    </row>
    <row r="556" spans="1:22">
      <c r="A556" s="25"/>
      <c r="C556" s="32"/>
      <c r="D556" s="28"/>
      <c r="E556" s="28"/>
      <c r="F556" s="29"/>
      <c r="G556" s="28"/>
      <c r="H556" s="30"/>
      <c r="I556" s="29"/>
      <c r="J556" s="29"/>
      <c r="K556" s="29"/>
      <c r="L556" s="29"/>
      <c r="M556" s="29"/>
      <c r="N556" s="30"/>
      <c r="O556" s="29"/>
      <c r="P556" s="29"/>
      <c r="Q556" s="29"/>
      <c r="R556" s="29"/>
      <c r="S556" s="29"/>
      <c r="T556" s="30"/>
      <c r="U556" s="32"/>
      <c r="V556" s="28"/>
    </row>
    <row r="557" spans="1:22">
      <c r="A557" s="25"/>
      <c r="C557" s="32" t="str">
        <f t="shared" ref="C557:G558" si="150">C498</f>
        <v>NTT</v>
      </c>
      <c r="D557" s="28" t="str">
        <f t="shared" si="150"/>
        <v>JPY 152</v>
      </c>
      <c r="E557" s="28" t="str">
        <f t="shared" si="150"/>
        <v>JPY 215</v>
      </c>
      <c r="F557" s="29">
        <f t="shared" si="150"/>
        <v>0.41914191419141922</v>
      </c>
      <c r="G557" s="28" t="str">
        <f t="shared" si="150"/>
        <v>Buy</v>
      </c>
      <c r="H557" s="30"/>
      <c r="I557" s="29">
        <f>NTT!$D$31/NTT!$D$29</f>
        <v>2.1276153951569672</v>
      </c>
      <c r="J557" s="29">
        <f>NTT!$E$31/NTT!$E$29</f>
        <v>1.0336475156546008</v>
      </c>
      <c r="K557" s="29">
        <f>NTT!$F$31/NTT!$F$29</f>
        <v>0.75749764406145015</v>
      </c>
      <c r="L557" s="29">
        <f>NTT!$G$31/NTT!$G$29</f>
        <v>0.60099216930154364</v>
      </c>
      <c r="M557" s="29">
        <f t="shared" ref="M557:M559" si="151">L557-I557</f>
        <v>-1.5266232258554235</v>
      </c>
      <c r="N557" s="30"/>
      <c r="O557" s="29">
        <f>NTT!$D$31/NTT!$D$30</f>
        <v>0.38990022146123243</v>
      </c>
      <c r="P557" s="29">
        <f>NTT!$E$31/NTT!$E$30</f>
        <v>0.33949087456934368</v>
      </c>
      <c r="Q557" s="29">
        <f>NTT!$F$31/NTT!$F$30</f>
        <v>0.31483644622827728</v>
      </c>
      <c r="R557" s="29">
        <f>NTT!$G$31/NTT!$G$30</f>
        <v>0.29466924408842415</v>
      </c>
      <c r="S557" s="29">
        <f t="shared" ref="S557:S559" si="152">R557-O557</f>
        <v>-9.5230977372808279E-2</v>
      </c>
      <c r="T557" s="30"/>
      <c r="U557" s="32" t="str">
        <f>U498</f>
        <v>JPY 152</v>
      </c>
      <c r="V557" s="28" t="str">
        <f>V498</f>
        <v>NTT</v>
      </c>
    </row>
    <row r="558" spans="1:22">
      <c r="A558" s="25"/>
      <c r="C558" s="32" t="str">
        <f t="shared" si="150"/>
        <v>SingTel</v>
      </c>
      <c r="D558" s="28" t="str">
        <f t="shared" si="150"/>
        <v>SGD 4.63</v>
      </c>
      <c r="E558" s="28" t="str">
        <f t="shared" si="150"/>
        <v>SGD 6.20</v>
      </c>
      <c r="F558" s="29">
        <f t="shared" si="150"/>
        <v>0.33909287257019449</v>
      </c>
      <c r="G558" s="28" t="str">
        <f t="shared" si="150"/>
        <v>Buy</v>
      </c>
      <c r="H558" s="30"/>
      <c r="I558" s="29">
        <f>SINGTEL!$D$31/SINGTEL!$D$29</f>
        <v>1.6005676885811573</v>
      </c>
      <c r="J558" s="29">
        <f>SINGTEL!$E$31/SINGTEL!$E$29</f>
        <v>1.5248312629624934</v>
      </c>
      <c r="K558" s="29">
        <f>SINGTEL!$F$31/SINGTEL!$F$29</f>
        <v>1.3937564092975883</v>
      </c>
      <c r="L558" s="29">
        <f>SINGTEL!$G$31/SINGTEL!$G$29</f>
        <v>1.3045131139692008</v>
      </c>
      <c r="M558" s="29">
        <f t="shared" si="151"/>
        <v>-0.2960545746119565</v>
      </c>
      <c r="N558" s="30"/>
      <c r="O558" s="29">
        <f>SINGTEL!$D$31/SINGTEL!$D$30</f>
        <v>1.0969717415656848</v>
      </c>
      <c r="P558" s="29">
        <f>SINGTEL!$E$31/SINGTEL!$E$30</f>
        <v>1.045493710262998</v>
      </c>
      <c r="Q558" s="29">
        <f>SINGTEL!$F$31/SINGTEL!$F$30</f>
        <v>1.0114830941182995</v>
      </c>
      <c r="R558" s="29">
        <f>SINGTEL!$G$31/SINGTEL!$G$30</f>
        <v>0.92572747094670671</v>
      </c>
      <c r="S558" s="29">
        <f t="shared" si="152"/>
        <v>-0.17124427061897807</v>
      </c>
      <c r="T558" s="30"/>
      <c r="U558" s="32" t="str">
        <f>U499</f>
        <v>SGD 4.63</v>
      </c>
      <c r="V558" s="28" t="str">
        <f>V499</f>
        <v>SingTel</v>
      </c>
    </row>
    <row r="559" spans="1:22">
      <c r="A559" s="25"/>
      <c r="C559" s="35" t="str">
        <f>C500</f>
        <v>Agg. Developed Asia Incumbent</v>
      </c>
      <c r="D559" s="42"/>
      <c r="E559" s="42"/>
      <c r="F559" s="39"/>
      <c r="G559" s="42"/>
      <c r="H559" s="40"/>
      <c r="I559" s="39">
        <f>'DM ASIA INCUMB'!$D$31/'DM ASIA INCUMB'!$D$29</f>
        <v>1.8188397449101641</v>
      </c>
      <c r="J559" s="39">
        <f>'DM ASIA INCUMB'!$E$31/'DM ASIA INCUMB'!$E$29</f>
        <v>1.2557380005592402</v>
      </c>
      <c r="K559" s="39">
        <f>'DM ASIA INCUMB'!$F$31/'DM ASIA INCUMB'!$F$29</f>
        <v>1.0276467831844507</v>
      </c>
      <c r="L559" s="39">
        <f>'DM ASIA INCUMB'!$G$31/'DM ASIA INCUMB'!$G$29</f>
        <v>0.87613766872898358</v>
      </c>
      <c r="M559" s="39">
        <f t="shared" si="151"/>
        <v>-0.94270207618118051</v>
      </c>
      <c r="N559" s="40"/>
      <c r="O559" s="39">
        <f>'DM ASIA INCUMB'!$D$31/'DM ASIA INCUMB'!$D$30</f>
        <v>0.58395210309397616</v>
      </c>
      <c r="P559" s="39">
        <f>'DM ASIA INCUMB'!$E$31/'DM ASIA INCUMB'!$E$30</f>
        <v>0.53952589123422279</v>
      </c>
      <c r="Q559" s="39">
        <f>'DM ASIA INCUMB'!$F$31/'DM ASIA INCUMB'!$F$30</f>
        <v>0.52178179185580342</v>
      </c>
      <c r="R559" s="39">
        <f>'DM ASIA INCUMB'!$G$31/'DM ASIA INCUMB'!$G$30</f>
        <v>0.48864038278610034</v>
      </c>
      <c r="S559" s="39">
        <f t="shared" si="152"/>
        <v>-9.5311720307875825E-2</v>
      </c>
      <c r="T559" s="40"/>
      <c r="U559" s="35"/>
      <c r="V559" s="42" t="str">
        <f>V500</f>
        <v xml:space="preserve">Agg. Developed Asia Incumbent </v>
      </c>
    </row>
    <row r="560" spans="1:22">
      <c r="A560" s="25"/>
      <c r="C560" s="27"/>
      <c r="D560" s="34"/>
      <c r="E560" s="34"/>
      <c r="F560" s="45"/>
      <c r="G560" s="34"/>
      <c r="H560" s="40"/>
      <c r="I560" s="45"/>
      <c r="J560" s="45"/>
      <c r="K560" s="45"/>
      <c r="L560" s="45"/>
      <c r="M560" s="45"/>
      <c r="N560" s="40"/>
      <c r="O560" s="45"/>
      <c r="P560" s="45"/>
      <c r="Q560" s="45"/>
      <c r="R560" s="45"/>
      <c r="S560" s="45"/>
      <c r="T560" s="40"/>
      <c r="U560" s="27"/>
      <c r="V560" s="34"/>
    </row>
    <row r="561" spans="1:22">
      <c r="A561" s="25"/>
      <c r="C561" s="35" t="s">
        <v>717</v>
      </c>
      <c r="D561" s="42"/>
      <c r="E561" s="42"/>
      <c r="F561" s="39"/>
      <c r="G561" s="42"/>
      <c r="H561" s="40"/>
      <c r="I561" s="39">
        <f>'AGG DM INCUMB'!$D$31/'AGG DM INCUMB'!$D$29</f>
        <v>0.59892254783918164</v>
      </c>
      <c r="J561" s="39">
        <f>'AGG DM INCUMB'!$E$31/'AGG DM INCUMB'!$E$29</f>
        <v>0.64256317978101596</v>
      </c>
      <c r="K561" s="39">
        <f>'AGG DM INCUMB'!$F$31/'AGG DM INCUMB'!$F$29</f>
        <v>0.64233025763409335</v>
      </c>
      <c r="L561" s="39">
        <f>'AGG DM INCUMB'!$G$31/'AGG DM INCUMB'!$G$29</f>
        <v>0.60631653694273391</v>
      </c>
      <c r="M561" s="39">
        <f>L561-I561</f>
        <v>7.3939891035522676E-3</v>
      </c>
      <c r="N561" s="40"/>
      <c r="O561" s="39">
        <f>'AGG DM INCUMB'!$D$31/'AGG DM INCUMB'!$D$30</f>
        <v>0.53611426941253759</v>
      </c>
      <c r="P561" s="39">
        <f>'AGG DM INCUMB'!$E$31/'AGG DM INCUMB'!$E$30</f>
        <v>0.51900921117884058</v>
      </c>
      <c r="Q561" s="39">
        <f>'AGG DM INCUMB'!$F$31/'AGG DM INCUMB'!$F$30</f>
        <v>0.51806535615649607</v>
      </c>
      <c r="R561" s="39">
        <f>'AGG DM INCUMB'!$G$31/'AGG DM INCUMB'!$G$30</f>
        <v>0.493778112866612</v>
      </c>
      <c r="S561" s="39">
        <f>R561-O561</f>
        <v>-4.2336156545925596E-2</v>
      </c>
      <c r="T561" s="40"/>
      <c r="U561" s="35"/>
      <c r="V561" s="42" t="str">
        <f>C561</f>
        <v>Agg. DM Incumbent total</v>
      </c>
    </row>
    <row r="562" spans="1:22">
      <c r="A562" s="25"/>
      <c r="C562" s="25"/>
      <c r="D562" s="28"/>
      <c r="E562" s="28"/>
      <c r="F562" s="29"/>
      <c r="G562" s="28"/>
      <c r="H562" s="30"/>
      <c r="I562" s="29"/>
      <c r="J562" s="29"/>
      <c r="K562" s="29"/>
      <c r="L562" s="29"/>
      <c r="M562" s="29"/>
      <c r="N562" s="30"/>
      <c r="O562" s="29"/>
      <c r="P562" s="29"/>
      <c r="Q562" s="29"/>
      <c r="R562" s="29"/>
      <c r="S562" s="29"/>
      <c r="T562" s="30"/>
      <c r="U562" s="32"/>
      <c r="V562" s="34"/>
    </row>
    <row r="563" spans="1:22">
      <c r="A563" s="25" t="s">
        <v>1091</v>
      </c>
      <c r="C563" s="32" t="str">
        <f t="shared" ref="C563:G575" si="153">C504</f>
        <v>1&amp;1</v>
      </c>
      <c r="D563" s="28" t="str">
        <f t="shared" si="153"/>
        <v>EUR 23.2</v>
      </c>
      <c r="E563" s="28" t="str">
        <f t="shared" si="153"/>
        <v>EUR 10.0</v>
      </c>
      <c r="F563" s="29">
        <f t="shared" si="153"/>
        <v>-0.56803455723542107</v>
      </c>
      <c r="G563" s="28" t="str">
        <f t="shared" si="153"/>
        <v>Sell</v>
      </c>
      <c r="H563" s="30"/>
      <c r="I563" s="29">
        <f>DRI!$D$31/DRI!$D$29</f>
        <v>0.167389892083602</v>
      </c>
      <c r="J563" s="29">
        <f>DRI!$E$31/DRI!$E$29</f>
        <v>-5.8245470035356302E-2</v>
      </c>
      <c r="K563" s="29">
        <f>DRI!$F$31/DRI!$F$29</f>
        <v>-8.386192797572975E-2</v>
      </c>
      <c r="L563" s="29">
        <f>DRI!$G$31/DRI!$G$29</f>
        <v>-0.16013833142627001</v>
      </c>
      <c r="M563" s="29">
        <f t="shared" ref="M563:M573" si="154">L563-I563</f>
        <v>-0.32752822350987199</v>
      </c>
      <c r="N563" s="30"/>
      <c r="O563" s="29">
        <f>DRI!$D$31/DRI!$D$30</f>
        <v>5.3262761989825165E-2</v>
      </c>
      <c r="P563" s="29">
        <f>DRI!$E$31/DRI!$E$30</f>
        <v>0.13358421556895692</v>
      </c>
      <c r="Q563" s="29">
        <f>DRI!$F$31/DRI!$F$30</f>
        <v>8.3423773189587713E-2</v>
      </c>
      <c r="R563" s="29">
        <f>DRI!$G$31/DRI!$G$30</f>
        <v>5.9822727827658025E-2</v>
      </c>
      <c r="S563" s="29">
        <f>R563-O563</f>
        <v>6.5599658378328596E-3</v>
      </c>
      <c r="T563" s="30"/>
      <c r="U563" s="32" t="str">
        <f t="shared" ref="U563:V565" si="155">U504</f>
        <v>EUR 23.2</v>
      </c>
      <c r="V563" s="28" t="str">
        <f t="shared" si="155"/>
        <v>1&amp;1</v>
      </c>
    </row>
    <row r="564" spans="1:22">
      <c r="A564" s="25"/>
      <c r="C564" s="32" t="str">
        <f t="shared" si="153"/>
        <v>Bouygues</v>
      </c>
      <c r="D564" s="28" t="str">
        <f t="shared" si="153"/>
        <v>EUR 51.8</v>
      </c>
      <c r="E564" s="28" t="str">
        <f t="shared" si="153"/>
        <v>EUR 64.0</v>
      </c>
      <c r="F564" s="29">
        <f t="shared" si="153"/>
        <v>0.23599845500193117</v>
      </c>
      <c r="G564" s="28" t="str">
        <f t="shared" si="153"/>
        <v>Buy</v>
      </c>
      <c r="H564" s="30"/>
      <c r="I564" s="29">
        <f>BOUY!$D$31/BOUY!$D$29</f>
        <v>0.65666350734772516</v>
      </c>
      <c r="J564" s="29">
        <f>BOUY!$E$31/BOUY!$E$29</f>
        <v>0.68801436583161901</v>
      </c>
      <c r="K564" s="29">
        <f>BOUY!$F$31/BOUY!$F$29</f>
        <v>0.62486278468400935</v>
      </c>
      <c r="L564" s="29">
        <f>BOUY!$G$31/BOUY!$G$29</f>
        <v>0.53344077931326217</v>
      </c>
      <c r="M564" s="29">
        <f t="shared" ref="M564" si="156">L564-I564</f>
        <v>-0.12322272803446299</v>
      </c>
      <c r="N564" s="30"/>
      <c r="O564" s="29">
        <f>BOUY!$D$31/BOUY!$D$30</f>
        <v>0.55347496580027367</v>
      </c>
      <c r="P564" s="29">
        <f>BOUY!$E$31/BOUY!$E$30</f>
        <v>0.58009530272973731</v>
      </c>
      <c r="Q564" s="29">
        <f>BOUY!$F$31/BOUY!$F$30</f>
        <v>0.53825022184795046</v>
      </c>
      <c r="R564" s="29">
        <f>BOUY!$G$31/BOUY!$G$30</f>
        <v>0.47172479877080137</v>
      </c>
      <c r="S564" s="29">
        <f>R564-O564</f>
        <v>-8.1750167029472298E-2</v>
      </c>
      <c r="T564" s="30"/>
      <c r="U564" s="32" t="str">
        <f t="shared" si="155"/>
        <v>EUR 51.8</v>
      </c>
      <c r="V564" s="28" t="str">
        <f t="shared" si="155"/>
        <v>Bouygues</v>
      </c>
    </row>
    <row r="565" spans="1:22">
      <c r="C565" s="32" t="str">
        <f t="shared" si="153"/>
        <v>Elisa</v>
      </c>
      <c r="D565" s="28" t="str">
        <f t="shared" si="153"/>
        <v>EUR 41.9</v>
      </c>
      <c r="E565" s="28" t="str">
        <f t="shared" si="153"/>
        <v>EUR 39.0</v>
      </c>
      <c r="F565" s="29">
        <f t="shared" si="153"/>
        <v>-6.9256376181545454E-2</v>
      </c>
      <c r="G565" s="28" t="str">
        <f t="shared" si="153"/>
        <v>Neutral</v>
      </c>
      <c r="H565" s="30"/>
      <c r="I565" s="29">
        <f>ELISA!$D$31/ELISA!$D$29</f>
        <v>1.074769278072756</v>
      </c>
      <c r="J565" s="29">
        <f>ELISA!$E$31/ELISA!$E$29</f>
        <v>1.1458236046162675</v>
      </c>
      <c r="K565" s="29">
        <f>ELISA!$F$31/ELISA!$F$29</f>
        <v>1.156221696235268</v>
      </c>
      <c r="L565" s="29">
        <f>ELISA!$G$31/ELISA!$G$29</f>
        <v>1.1574819711860429</v>
      </c>
      <c r="M565" s="29">
        <f t="shared" si="154"/>
        <v>8.2712693113286884E-2</v>
      </c>
      <c r="N565" s="30"/>
      <c r="O565" s="29">
        <f>ELISA!$D$31/ELISA!$D$30</f>
        <v>1.0068971438525867</v>
      </c>
      <c r="P565" s="29">
        <f>ELISA!$E$31/ELISA!$E$30</f>
        <v>1.040168689566404</v>
      </c>
      <c r="Q565" s="29">
        <f>ELISA!$F$31/ELISA!$F$30</f>
        <v>1.0374467283001183</v>
      </c>
      <c r="R565" s="29">
        <f>ELISA!$G$31/ELISA!$G$30</f>
        <v>1.0315842498022503</v>
      </c>
      <c r="S565" s="29">
        <f t="shared" ref="S565:S576" si="157">R565-O565</f>
        <v>2.4687105949663612E-2</v>
      </c>
      <c r="T565" s="30"/>
      <c r="U565" s="32" t="str">
        <f t="shared" si="155"/>
        <v>EUR 41.9</v>
      </c>
      <c r="V565" s="28" t="str">
        <f t="shared" si="155"/>
        <v>Elisa</v>
      </c>
    </row>
    <row r="566" spans="1:22">
      <c r="C566" s="32" t="str">
        <f t="shared" si="153"/>
        <v>Eutelsat</v>
      </c>
      <c r="D566" s="28" t="str">
        <f t="shared" si="153"/>
        <v>EUR 2.8</v>
      </c>
      <c r="E566" s="28" t="str">
        <f t="shared" si="153"/>
        <v>EUR 1.4</v>
      </c>
      <c r="F566" s="29">
        <f t="shared" si="153"/>
        <v>-0.5</v>
      </c>
      <c r="G566" s="28" t="str">
        <f t="shared" si="153"/>
        <v>Sell</v>
      </c>
      <c r="H566" s="30"/>
      <c r="I566" s="29">
        <f>ETL!$D$31/ETL!$D$29</f>
        <v>0</v>
      </c>
      <c r="J566" s="29">
        <f>ETL!$E$31/ETL!$E$29</f>
        <v>0</v>
      </c>
      <c r="K566" s="29">
        <f>ETL!$F$31/ETL!$F$29</f>
        <v>0</v>
      </c>
      <c r="L566" s="29">
        <f>ETL!$G$31/ETL!$G$29</f>
        <v>0</v>
      </c>
      <c r="M566" s="29">
        <f t="shared" ref="M566" si="158">L566-I566</f>
        <v>0</v>
      </c>
      <c r="N566" s="30"/>
      <c r="O566" s="29">
        <f>ETL!$D$31/ETL!$D$30</f>
        <v>0</v>
      </c>
      <c r="P566" s="29">
        <f>ETL!$E$31/ETL!$E$30</f>
        <v>0</v>
      </c>
      <c r="Q566" s="29">
        <f>ETL!$F$31/ETL!$F$30</f>
        <v>0</v>
      </c>
      <c r="R566" s="29">
        <f>ETL!$G$31/ETL!$G$30</f>
        <v>0</v>
      </c>
      <c r="S566" s="29">
        <f t="shared" ref="S566" si="159">R566-O566</f>
        <v>0</v>
      </c>
      <c r="T566" s="30"/>
      <c r="U566" s="32" t="str">
        <f t="shared" ref="U566:U575" si="160">U507</f>
        <v>EUR 2.8</v>
      </c>
      <c r="V566" s="28" t="s">
        <v>1283</v>
      </c>
    </row>
    <row r="567" spans="1:22">
      <c r="A567" s="25"/>
      <c r="C567" s="32" t="str">
        <f t="shared" si="153"/>
        <v>Liberty Global (prop.)</v>
      </c>
      <c r="D567" s="28" t="str">
        <f t="shared" si="153"/>
        <v>USD 12.0</v>
      </c>
      <c r="E567" s="28" t="str">
        <f t="shared" si="153"/>
        <v>USD 12.5</v>
      </c>
      <c r="F567" s="29">
        <f t="shared" si="153"/>
        <v>4.4277360066833804E-2</v>
      </c>
      <c r="G567" s="28" t="str">
        <f t="shared" si="153"/>
        <v>Neutral</v>
      </c>
      <c r="H567" s="30"/>
      <c r="I567" s="29">
        <f>LBTY!$D$31/LBTY!$D$29</f>
        <v>0</v>
      </c>
      <c r="J567" s="29">
        <f>LBTY!$E$31/LBTY!$E$29</f>
        <v>0</v>
      </c>
      <c r="K567" s="29">
        <f>LBTY!$F$31/LBTY!$F$29</f>
        <v>0</v>
      </c>
      <c r="L567" s="29">
        <f>LBTY!$G$31/LBTY!$G$29</f>
        <v>0</v>
      </c>
      <c r="M567" s="29">
        <f t="shared" si="154"/>
        <v>0</v>
      </c>
      <c r="N567" s="30"/>
      <c r="O567" s="29">
        <f>LBTY!$D$31/LBTY!$D$30</f>
        <v>0</v>
      </c>
      <c r="P567" s="29">
        <f>LBTY!$E$31/LBTY!$E$30</f>
        <v>0</v>
      </c>
      <c r="Q567" s="29">
        <f>LBTY!$F$31/LBTY!$F$30</f>
        <v>0</v>
      </c>
      <c r="R567" s="29">
        <f>LBTY!$G$31/LBTY!$G$30</f>
        <v>0</v>
      </c>
      <c r="S567" s="29">
        <f>R567-O567</f>
        <v>0</v>
      </c>
      <c r="T567" s="30"/>
      <c r="U567" s="32" t="str">
        <f t="shared" si="160"/>
        <v>USD 12.0</v>
      </c>
      <c r="V567" s="28" t="str">
        <f t="shared" ref="V567:V576" si="161">V508</f>
        <v>Liberty Global</v>
      </c>
    </row>
    <row r="568" spans="1:22">
      <c r="A568" s="25"/>
      <c r="C568" s="32" t="str">
        <f t="shared" si="153"/>
        <v>NOS</v>
      </c>
      <c r="D568" s="28" t="str">
        <f t="shared" si="153"/>
        <v>EUR 5.65</v>
      </c>
      <c r="E568" s="28" t="str">
        <f t="shared" si="153"/>
        <v>EUR 5.50</v>
      </c>
      <c r="F568" s="29">
        <f t="shared" si="153"/>
        <v>-2.6548672566371723E-2</v>
      </c>
      <c r="G568" s="28" t="str">
        <f t="shared" si="153"/>
        <v>Neutral</v>
      </c>
      <c r="H568" s="30"/>
      <c r="I568" s="29">
        <f>NOS!$D$31/NOS!$D$29</f>
        <v>1.0490293343275952</v>
      </c>
      <c r="J568" s="29">
        <f>NOS!$E$31/NOS!$E$29</f>
        <v>0.79114623102208792</v>
      </c>
      <c r="K568" s="29">
        <f>NOS!$F$31/NOS!$F$29</f>
        <v>0.84660669992723481</v>
      </c>
      <c r="L568" s="29">
        <f>NOS!$G$31/NOS!$G$29</f>
        <v>0.92524424628103441</v>
      </c>
      <c r="M568" s="29">
        <f t="shared" si="154"/>
        <v>-0.12378508804656074</v>
      </c>
      <c r="N568" s="30"/>
      <c r="O568" s="29">
        <f>NOS!$D$31/NOS!$D$30</f>
        <v>0.77243178197925166</v>
      </c>
      <c r="P568" s="29">
        <f>NOS!$E$31/NOS!$E$30</f>
        <v>0.78855976251426896</v>
      </c>
      <c r="Q568" s="29">
        <f>NOS!$F$31/NOS!$F$30</f>
        <v>0.65931834334399786</v>
      </c>
      <c r="R568" s="29">
        <f>NOS!$G$31/NOS!$G$30</f>
        <v>0.582383270776474</v>
      </c>
      <c r="S568" s="29">
        <f>R568-O568</f>
        <v>-0.19004851120277766</v>
      </c>
      <c r="T568" s="30"/>
      <c r="U568" s="32" t="str">
        <f t="shared" si="160"/>
        <v>EUR 5.65</v>
      </c>
      <c r="V568" s="28" t="str">
        <f t="shared" si="161"/>
        <v>NOS</v>
      </c>
    </row>
    <row r="569" spans="1:22">
      <c r="C569" s="32" t="str">
        <f t="shared" si="153"/>
        <v>Orange Belgium</v>
      </c>
      <c r="D569" s="28" t="str">
        <f t="shared" si="153"/>
        <v>EUR 21.0</v>
      </c>
      <c r="E569" s="28" t="str">
        <f t="shared" si="153"/>
        <v>EUR 21.1</v>
      </c>
      <c r="F569" s="29">
        <f t="shared" si="153"/>
        <v>5.150744566468024E-3</v>
      </c>
      <c r="G569" s="28" t="str">
        <f t="shared" si="153"/>
        <v>Neutral</v>
      </c>
      <c r="H569" s="30"/>
      <c r="I569" s="29">
        <f>OBEL!$D$31/OBEL!$D$29</f>
        <v>0</v>
      </c>
      <c r="J569" s="29">
        <f>OBEL!$E$31/OBEL!$E$29</f>
        <v>0</v>
      </c>
      <c r="K569" s="29">
        <f>OBEL!$F$31/OBEL!$F$29</f>
        <v>0</v>
      </c>
      <c r="L569" s="29">
        <f>OBEL!$G$31/OBEL!$G$29</f>
        <v>1.3844812410496157</v>
      </c>
      <c r="M569" s="29">
        <f t="shared" si="154"/>
        <v>1.3844812410496157</v>
      </c>
      <c r="N569" s="30"/>
      <c r="O569" s="29">
        <f>OBEL!$D$31/OBEL!$D$30</f>
        <v>0</v>
      </c>
      <c r="P569" s="29">
        <f>OBEL!$E$31/OBEL!$E$30</f>
        <v>0</v>
      </c>
      <c r="Q569" s="29">
        <f>OBEL!$F$31/OBEL!$F$30</f>
        <v>0</v>
      </c>
      <c r="R569" s="29">
        <f>OBEL!$G$31/OBEL!$G$30</f>
        <v>0.48771146943674487</v>
      </c>
      <c r="S569" s="29">
        <f t="shared" si="157"/>
        <v>0.48771146943674487</v>
      </c>
      <c r="T569" s="30"/>
      <c r="U569" s="32" t="str">
        <f t="shared" si="160"/>
        <v>EUR 21.0</v>
      </c>
      <c r="V569" s="28" t="str">
        <f t="shared" si="161"/>
        <v>Orange Belgium</v>
      </c>
    </row>
    <row r="570" spans="1:22">
      <c r="C570" s="32" t="str">
        <f t="shared" si="153"/>
        <v>SES</v>
      </c>
      <c r="D570" s="28" t="str">
        <f t="shared" si="153"/>
        <v>EUR 6.6</v>
      </c>
      <c r="E570" s="28" t="str">
        <f t="shared" si="153"/>
        <v>EUR 6.0</v>
      </c>
      <c r="F570" s="404">
        <f t="shared" si="153"/>
        <v>-9.297052154195018E-2</v>
      </c>
      <c r="G570" s="28" t="str">
        <f t="shared" si="153"/>
        <v>Neutral</v>
      </c>
      <c r="H570" s="30"/>
      <c r="I570" s="404">
        <f>SES!$D$31/SES!$D$29</f>
        <v>0.59546534787233252</v>
      </c>
      <c r="J570" s="404">
        <f>SES!$E$31/SES!$E$29</f>
        <v>0.75282341124967056</v>
      </c>
      <c r="K570" s="404">
        <f>SES!$F$31/SES!$F$29</f>
        <v>1.078763335693993</v>
      </c>
      <c r="L570" s="404">
        <f>SES!$G$31/SES!$G$29</f>
        <v>-1.1396655504761861</v>
      </c>
      <c r="M570" s="404">
        <f>L570-I570</f>
        <v>-1.7351308983485185</v>
      </c>
      <c r="N570" s="30"/>
      <c r="O570" s="404">
        <f>SES!$D$31/SES!$D$30</f>
        <v>31.204351720542437</v>
      </c>
      <c r="P570" s="404">
        <f>SES!$E$31/SES!$E$30</f>
        <v>1.3627389254628415</v>
      </c>
      <c r="Q570" s="404">
        <f>SES!$F$31/SES!$F$30</f>
        <v>1.323333811227386</v>
      </c>
      <c r="R570" s="404">
        <f>SES!$G$31/SES!$G$30</f>
        <v>1.4033716411624377</v>
      </c>
      <c r="S570" s="404">
        <f>R570-O570</f>
        <v>-29.80098007938</v>
      </c>
      <c r="T570" s="30"/>
      <c r="U570" s="32" t="str">
        <f t="shared" si="160"/>
        <v>EUR 6.6</v>
      </c>
      <c r="V570" s="28" t="str">
        <f t="shared" si="161"/>
        <v>SES</v>
      </c>
    </row>
    <row r="571" spans="1:22">
      <c r="C571" s="32" t="str">
        <f t="shared" si="153"/>
        <v>Sunrise</v>
      </c>
      <c r="D571" s="28" t="str">
        <f t="shared" si="153"/>
        <v>CHF46.1</v>
      </c>
      <c r="E571" s="28" t="str">
        <f t="shared" si="153"/>
        <v>CHF38.7</v>
      </c>
      <c r="F571" s="29">
        <f t="shared" si="153"/>
        <v>-0.15959504533103386</v>
      </c>
      <c r="G571" s="28" t="str">
        <f t="shared" si="153"/>
        <v>Sell</v>
      </c>
      <c r="H571" s="30"/>
      <c r="I571" s="29">
        <f>SUNN!$D$31/SUNN!$D$29</f>
        <v>0.76615493193019546</v>
      </c>
      <c r="J571" s="29">
        <f>SUNN!$E$31/SUNN!$E$29</f>
        <v>0.72688390319686147</v>
      </c>
      <c r="K571" s="29">
        <f>SUNN!$F$31/SUNN!$F$29</f>
        <v>0.77690539547575888</v>
      </c>
      <c r="L571" s="29">
        <f>SUNN!$G$31/SUNN!$G$29</f>
        <v>0.82865439439422217</v>
      </c>
      <c r="M571" s="29">
        <f t="shared" ref="M571" si="162">L571-I571</f>
        <v>6.2499462464026712E-2</v>
      </c>
      <c r="N571" s="30"/>
      <c r="O571" s="29">
        <f>SUNN!$D$31/SUNN!$D$30</f>
        <v>0.66225165562913912</v>
      </c>
      <c r="P571" s="29">
        <f>SUNN!$E$31/SUNN!$E$30</f>
        <v>0.6361785054366379</v>
      </c>
      <c r="Q571" s="29">
        <f>SUNN!$F$31/SUNN!$F$30</f>
        <v>0.67626462754339511</v>
      </c>
      <c r="R571" s="29">
        <f>SUNN!$G$31/SUNN!$G$30</f>
        <v>0.71706544404044725</v>
      </c>
      <c r="S571" s="29">
        <f t="shared" ref="S571" si="163">R571-O571</f>
        <v>5.4813788411308129E-2</v>
      </c>
      <c r="T571" s="30"/>
      <c r="U571" s="32" t="str">
        <f t="shared" si="160"/>
        <v>CHF46.1</v>
      </c>
      <c r="V571" s="28" t="str">
        <f t="shared" si="161"/>
        <v>Sunrise</v>
      </c>
    </row>
    <row r="572" spans="1:22">
      <c r="C572" s="32" t="str">
        <f t="shared" si="153"/>
        <v>Tele2</v>
      </c>
      <c r="D572" s="28" t="str">
        <f t="shared" si="153"/>
        <v>SEK 189.7</v>
      </c>
      <c r="E572" s="28" t="str">
        <f t="shared" si="153"/>
        <v>SEK 170.0</v>
      </c>
      <c r="F572" s="29">
        <f t="shared" si="153"/>
        <v>-0.10361191668863701</v>
      </c>
      <c r="G572" s="28" t="str">
        <f t="shared" si="153"/>
        <v>Neutral</v>
      </c>
      <c r="H572" s="30"/>
      <c r="I572" s="29">
        <f>TELE2!$D$31/TELE2!$D$29</f>
        <v>1.1514031795122495</v>
      </c>
      <c r="J572" s="29">
        <f>TELE2!$E$31/TELE2!$E$29</f>
        <v>1.1549830682620685</v>
      </c>
      <c r="K572" s="29">
        <f>TELE2!$F$31/TELE2!$F$29</f>
        <v>1.1025329630927139</v>
      </c>
      <c r="L572" s="29">
        <f>TELE2!$G$31/TELE2!$G$29</f>
        <v>1.0910939219062821</v>
      </c>
      <c r="M572" s="29">
        <f t="shared" si="154"/>
        <v>-6.0309257605967392E-2</v>
      </c>
      <c r="N572" s="30"/>
      <c r="O572" s="29">
        <f>TELE2!$D$31/TELE2!$D$30</f>
        <v>1.4643664586782201</v>
      </c>
      <c r="P572" s="29">
        <f>TELE2!$E$31/TELE2!$E$30</f>
        <v>1.3872732006129584</v>
      </c>
      <c r="Q572" s="29">
        <f>TELE2!$F$31/TELE2!$F$30</f>
        <v>1.3383920796000273</v>
      </c>
      <c r="R572" s="29">
        <f>TELE2!$G$31/TELE2!$G$30</f>
        <v>1.3050157005508369</v>
      </c>
      <c r="S572" s="29">
        <f t="shared" si="157"/>
        <v>-0.1593507581273832</v>
      </c>
      <c r="T572" s="30"/>
      <c r="U572" s="32" t="str">
        <f t="shared" si="160"/>
        <v>SEK 189.7</v>
      </c>
      <c r="V572" s="28" t="str">
        <f t="shared" si="161"/>
        <v>Tele2</v>
      </c>
    </row>
    <row r="573" spans="1:22">
      <c r="A573" s="25"/>
      <c r="C573" s="32" t="str">
        <f t="shared" si="153"/>
        <v>United Internet</v>
      </c>
      <c r="D573" s="28" t="str">
        <f t="shared" si="153"/>
        <v>EUR 26.7</v>
      </c>
      <c r="E573" s="28" t="str">
        <f t="shared" si="153"/>
        <v>EUR 33.0</v>
      </c>
      <c r="F573" s="29">
        <f t="shared" si="153"/>
        <v>0.23688155922038989</v>
      </c>
      <c r="G573" s="28" t="str">
        <f t="shared" si="153"/>
        <v>Neutral</v>
      </c>
      <c r="H573" s="30"/>
      <c r="I573" s="29">
        <f>UTDI!$D$31/UTDI!$D$29</f>
        <v>1.7391996276823189</v>
      </c>
      <c r="J573" s="29">
        <f>UTDI!$E$31/UTDI!$E$29</f>
        <v>0.3256539180491535</v>
      </c>
      <c r="K573" s="29">
        <f>UTDI!$F$31/UTDI!$F$29</f>
        <v>0.26892270508219512</v>
      </c>
      <c r="L573" s="29">
        <f>UTDI!$G$31/UTDI!$G$29</f>
        <v>0.20485645365481536</v>
      </c>
      <c r="M573" s="29">
        <f t="shared" si="154"/>
        <v>-1.5343431740275035</v>
      </c>
      <c r="N573" s="30"/>
      <c r="O573" s="29">
        <f>UTDI!$D$31/UTDI!$D$30</f>
        <v>0.18866693883565888</v>
      </c>
      <c r="P573" s="29">
        <f>UTDI!$E$31/UTDI!$E$30</f>
        <v>0.16686042224974437</v>
      </c>
      <c r="Q573" s="29">
        <f>UTDI!$F$31/UTDI!$F$30</f>
        <v>0.14734653710167381</v>
      </c>
      <c r="R573" s="29">
        <f>UTDI!$G$31/UTDI!$G$30</f>
        <v>0.130960843467545</v>
      </c>
      <c r="S573" s="29">
        <f>R573-O573</f>
        <v>-5.7706095368113886E-2</v>
      </c>
      <c r="T573" s="30"/>
      <c r="U573" s="32" t="str">
        <f t="shared" si="160"/>
        <v>EUR 26.7</v>
      </c>
      <c r="V573" s="28" t="str">
        <f t="shared" si="161"/>
        <v>United Internet</v>
      </c>
    </row>
    <row r="574" spans="1:22">
      <c r="C574" s="32" t="str">
        <f t="shared" si="153"/>
        <v>Vodafone</v>
      </c>
      <c r="D574" s="28" t="str">
        <f t="shared" si="153"/>
        <v>GBP 1.16</v>
      </c>
      <c r="E574" s="28" t="str">
        <f t="shared" si="153"/>
        <v>GBP 1.30</v>
      </c>
      <c r="F574" s="29">
        <f t="shared" si="153"/>
        <v>0.12117291936179386</v>
      </c>
      <c r="G574" s="28" t="str">
        <f t="shared" si="153"/>
        <v>Buy</v>
      </c>
      <c r="H574" s="30"/>
      <c r="I574" s="29" t="s">
        <v>95</v>
      </c>
      <c r="J574" s="29" t="s">
        <v>95</v>
      </c>
      <c r="K574" s="29">
        <f>VOD!$F$31/VOD!$F$29</f>
        <v>0.593314330088206</v>
      </c>
      <c r="L574" s="29">
        <f>VOD!$G$31/VOD!$G$29</f>
        <v>0.46829541297813138</v>
      </c>
      <c r="M574" s="29" t="s">
        <v>681</v>
      </c>
      <c r="N574" s="30"/>
      <c r="O574" s="29">
        <f>VOD!$D$31/VOD!$D$30</f>
        <v>0.42347136967220522</v>
      </c>
      <c r="P574" s="29">
        <f>VOD!$E$31/VOD!$E$30</f>
        <v>0.36266102893119501</v>
      </c>
      <c r="Q574" s="29">
        <f>VOD!$F$31/VOD!$F$30</f>
        <v>0.32653568864761756</v>
      </c>
      <c r="R574" s="29">
        <f>VOD!$G$31/VOD!$G$30</f>
        <v>0.29042394235573538</v>
      </c>
      <c r="S574" s="29">
        <f t="shared" si="157"/>
        <v>-0.13304742731646985</v>
      </c>
      <c r="T574" s="30"/>
      <c r="U574" s="32" t="str">
        <f t="shared" si="160"/>
        <v>GBP 1.16</v>
      </c>
      <c r="V574" s="28" t="str">
        <f t="shared" si="161"/>
        <v>Vodafone</v>
      </c>
    </row>
    <row r="575" spans="1:22">
      <c r="C575" s="32" t="str">
        <f t="shared" si="153"/>
        <v>Zegona</v>
      </c>
      <c r="D575" s="28" t="str">
        <f t="shared" si="153"/>
        <v>GBP 17.92</v>
      </c>
      <c r="E575" s="28" t="str">
        <f t="shared" si="153"/>
        <v>GBP 14.75</v>
      </c>
      <c r="F575" s="29">
        <f t="shared" si="153"/>
        <v>-0.17689732142857151</v>
      </c>
      <c r="G575" s="28" t="str">
        <f t="shared" si="153"/>
        <v>Neutral</v>
      </c>
      <c r="H575" s="30"/>
      <c r="I575" s="29" t="s">
        <v>95</v>
      </c>
      <c r="J575" s="29" t="s">
        <v>95</v>
      </c>
      <c r="K575" s="29">
        <f>ZEG!$F$31/ZEG!$F$29</f>
        <v>0.38746317193190627</v>
      </c>
      <c r="L575" s="29">
        <f>ZEG!$G$31/ZEG!$G$29</f>
        <v>0.52421222377056176</v>
      </c>
      <c r="M575" s="29" t="s">
        <v>681</v>
      </c>
      <c r="N575" s="30"/>
      <c r="O575" s="29">
        <f>ZEG!$D$31/ZEG!$D$30</f>
        <v>-3.1823381065042784</v>
      </c>
      <c r="P575" s="29">
        <f>ZEG!$E$31/ZEG!$E$30</f>
        <v>1.9787764595127899</v>
      </c>
      <c r="Q575" s="29">
        <f>ZEG!$F$31/ZEG!$F$30</f>
        <v>0.96774395249792566</v>
      </c>
      <c r="R575" s="29">
        <f>ZEG!$G$31/ZEG!$G$30</f>
        <v>0.89913932629135174</v>
      </c>
      <c r="S575" s="29">
        <f t="shared" ref="S575" si="164">R575-O575</f>
        <v>4.08147743279563</v>
      </c>
      <c r="T575" s="30"/>
      <c r="U575" s="32" t="str">
        <f t="shared" si="160"/>
        <v>GBP 17.92</v>
      </c>
      <c r="V575" s="28" t="str">
        <f t="shared" si="161"/>
        <v>Zegona</v>
      </c>
    </row>
    <row r="576" spans="1:22">
      <c r="C576" s="35" t="str">
        <f>C517</f>
        <v>Agg. W. Europe Other</v>
      </c>
      <c r="D576" s="36"/>
      <c r="E576" s="36"/>
      <c r="F576" s="37"/>
      <c r="G576" s="36"/>
      <c r="H576" s="30"/>
      <c r="I576" s="39">
        <f>'W.EUR OTHER'!$D$31/'W.EUR OTHER'!$D$29</f>
        <v>0.87902307367406518</v>
      </c>
      <c r="J576" s="39">
        <f>'W.EUR OTHER'!$E$31/'W.EUR OTHER'!$E$29</f>
        <v>0.79495173962574728</v>
      </c>
      <c r="K576" s="39">
        <f>'W.EUR OTHER'!$F$31/'W.EUR OTHER'!$F$29</f>
        <v>0.75813237303844561</v>
      </c>
      <c r="L576" s="39">
        <f>'W.EUR OTHER'!$G$31/'W.EUR OTHER'!$G$29</f>
        <v>0.69745410320818402</v>
      </c>
      <c r="M576" s="39">
        <f t="shared" ref="M576" si="165">L576-I576</f>
        <v>-0.18156897046588116</v>
      </c>
      <c r="N576" s="40"/>
      <c r="O576" s="39">
        <f>'W.EUR OTHER'!$D$31/'W.EUR OTHER'!$D$30</f>
        <v>0.91037366987084944</v>
      </c>
      <c r="P576" s="39">
        <f>'W.EUR OTHER'!$E$31/'W.EUR OTHER'!$E$30</f>
        <v>0.68000110504992561</v>
      </c>
      <c r="Q576" s="39">
        <f>'W.EUR OTHER'!$F$31/'W.EUR OTHER'!$F$30</f>
        <v>0.60431559352851727</v>
      </c>
      <c r="R576" s="39">
        <f>'W.EUR OTHER'!$G$31/'W.EUR OTHER'!$G$30</f>
        <v>0.5524940702891401</v>
      </c>
      <c r="S576" s="39">
        <f t="shared" si="157"/>
        <v>-0.35787959958170934</v>
      </c>
      <c r="T576" s="30"/>
      <c r="U576" s="41"/>
      <c r="V576" s="42" t="str">
        <f t="shared" si="161"/>
        <v>Agg. W. Europe Other</v>
      </c>
    </row>
    <row r="577" spans="1:29">
      <c r="C577" s="32"/>
      <c r="D577" s="28"/>
      <c r="E577" s="28"/>
      <c r="F577" s="29"/>
      <c r="G577" s="28"/>
      <c r="H577" s="30"/>
      <c r="I577" s="29"/>
      <c r="J577" s="29"/>
      <c r="K577" s="29"/>
      <c r="L577" s="29"/>
      <c r="M577" s="29"/>
      <c r="N577" s="30"/>
      <c r="O577" s="29"/>
      <c r="P577" s="29"/>
      <c r="Q577" s="29"/>
      <c r="R577" s="29"/>
      <c r="S577" s="29"/>
      <c r="T577" s="30"/>
      <c r="U577" s="32"/>
      <c r="V577" s="28"/>
    </row>
    <row r="578" spans="1:29">
      <c r="C578" s="32" t="str">
        <f t="shared" ref="C578:G580" si="166">C519</f>
        <v>KDDI</v>
      </c>
      <c r="D578" s="28" t="str">
        <f t="shared" si="166"/>
        <v>JPY 2,565</v>
      </c>
      <c r="E578" s="28" t="str">
        <f t="shared" si="166"/>
        <v>JPY 3,150</v>
      </c>
      <c r="F578" s="29">
        <f t="shared" si="166"/>
        <v>0.22807017543859653</v>
      </c>
      <c r="G578" s="28" t="str">
        <f t="shared" si="166"/>
        <v>Buy</v>
      </c>
      <c r="H578" s="30"/>
      <c r="I578" s="29">
        <f>KDDI!$D$31/KDDI!$D$29</f>
        <v>0.46728389985915991</v>
      </c>
      <c r="J578" s="29">
        <f>KDDI!$E$31/KDDI!$E$29</f>
        <v>0.42389445370905693</v>
      </c>
      <c r="K578" s="29">
        <f>KDDI!$F$31/KDDI!$F$29</f>
        <v>0.4065508033726225</v>
      </c>
      <c r="L578" s="29">
        <f>KDDI!$G$31/KDDI!$G$29</f>
        <v>0.39043733548310594</v>
      </c>
      <c r="M578" s="29">
        <f t="shared" ref="M578:M581" si="167">L578-I578</f>
        <v>-7.6846564376053972E-2</v>
      </c>
      <c r="N578" s="30"/>
      <c r="O578" s="29">
        <f>KDDI!$D$31/KDDI!$D$30</f>
        <v>0.40778100404748974</v>
      </c>
      <c r="P578" s="29">
        <f>KDDI!$E$31/KDDI!$E$30</f>
        <v>0.39408560545934151</v>
      </c>
      <c r="Q578" s="29">
        <f>KDDI!$F$31/KDDI!$F$30</f>
        <v>0.38304716906253156</v>
      </c>
      <c r="R578" s="29">
        <f>KDDI!$G$31/KDDI!$G$30</f>
        <v>0.37317390766945951</v>
      </c>
      <c r="S578" s="29">
        <f t="shared" ref="S578:S581" si="168">R578-O578</f>
        <v>-3.4607096378030222E-2</v>
      </c>
      <c r="T578" s="30"/>
      <c r="U578" s="32" t="str">
        <f t="shared" ref="U578:V580" si="169">U519</f>
        <v>JPY 2,565</v>
      </c>
      <c r="V578" s="28" t="str">
        <f t="shared" si="169"/>
        <v>KDDI</v>
      </c>
    </row>
    <row r="579" spans="1:29">
      <c r="C579" s="32" t="str">
        <f t="shared" si="166"/>
        <v>Rakuten</v>
      </c>
      <c r="D579" s="28" t="str">
        <f t="shared" si="166"/>
        <v>JPY 775</v>
      </c>
      <c r="E579" s="28" t="str">
        <f t="shared" si="166"/>
        <v>JPY 510</v>
      </c>
      <c r="F579" s="29">
        <f t="shared" si="166"/>
        <v>-0.3421901199535663</v>
      </c>
      <c r="G579" s="28" t="str">
        <f t="shared" si="166"/>
        <v>Reduce</v>
      </c>
      <c r="H579" s="30"/>
      <c r="I579" s="29">
        <f>RAK!$D$31/RAK!$D$29</f>
        <v>0</v>
      </c>
      <c r="J579" s="29">
        <f>RAK!$E$31/RAK!$E$29</f>
        <v>0</v>
      </c>
      <c r="K579" s="29">
        <f>RAK!$F$31/RAK!$F$29</f>
        <v>0</v>
      </c>
      <c r="L579" s="29">
        <f>RAK!$G$31/RAK!$G$29</f>
        <v>0</v>
      </c>
      <c r="M579" s="29">
        <f>L579-I579</f>
        <v>0</v>
      </c>
      <c r="N579" s="30"/>
      <c r="O579" s="29">
        <f>RAK!$D$31/RAK!$D$30</f>
        <v>0</v>
      </c>
      <c r="P579" s="29">
        <f>RAK!$E$31/RAK!$E$30</f>
        <v>0</v>
      </c>
      <c r="Q579" s="29">
        <f>RAK!$F$31/RAK!$F$30</f>
        <v>0</v>
      </c>
      <c r="R579" s="29">
        <f>RAK!$G$31/RAK!$G$30</f>
        <v>0</v>
      </c>
      <c r="S579" s="29">
        <f>R579-O579</f>
        <v>0</v>
      </c>
      <c r="T579" s="30"/>
      <c r="U579" s="32" t="str">
        <f t="shared" si="169"/>
        <v>JPY 775</v>
      </c>
      <c r="V579" s="28" t="str">
        <f t="shared" si="169"/>
        <v>Rakuten</v>
      </c>
    </row>
    <row r="580" spans="1:29">
      <c r="C580" s="32" t="str">
        <f t="shared" si="166"/>
        <v>SoftBank KK (Corp)</v>
      </c>
      <c r="D580" s="28" t="str">
        <f t="shared" si="166"/>
        <v>JPY 220</v>
      </c>
      <c r="E580" s="28" t="str">
        <f t="shared" si="166"/>
        <v>JPY 270</v>
      </c>
      <c r="F580" s="29">
        <f t="shared" si="166"/>
        <v>0.22615803814713908</v>
      </c>
      <c r="G580" s="28" t="str">
        <f t="shared" si="166"/>
        <v>Buy</v>
      </c>
      <c r="H580" s="30"/>
      <c r="I580" s="29">
        <f>SBKK!$D$31/SBKK!$D$29</f>
        <v>0.70306584035590525</v>
      </c>
      <c r="J580" s="29">
        <f>SBKK!$E$31/SBKK!$E$29</f>
        <v>0.65949489677079209</v>
      </c>
      <c r="K580" s="29">
        <f>SBKK!$F$31/SBKK!$F$29</f>
        <v>0.59718417419446279</v>
      </c>
      <c r="L580" s="29">
        <f>SBKK!$G$31/SBKK!$G$29</f>
        <v>0.53529075078826938</v>
      </c>
      <c r="M580" s="29">
        <f t="shared" si="167"/>
        <v>-0.16777508956763587</v>
      </c>
      <c r="N580" s="30"/>
      <c r="O580" s="29">
        <f>SBKK!$D$31/SBKK!$D$30</f>
        <v>0.72051576974956488</v>
      </c>
      <c r="P580" s="29">
        <f>SBKK!$E$31/SBKK!$E$30</f>
        <v>0.68547120292814923</v>
      </c>
      <c r="Q580" s="29">
        <f>SBKK!$F$31/SBKK!$F$30</f>
        <v>0.62628006359017963</v>
      </c>
      <c r="R580" s="29">
        <f>SBKK!$G$31/SBKK!$G$30</f>
        <v>0.56347400358955202</v>
      </c>
      <c r="S580" s="29">
        <f t="shared" si="168"/>
        <v>-0.15704176616001286</v>
      </c>
      <c r="T580" s="30"/>
      <c r="U580" s="32" t="str">
        <f t="shared" si="169"/>
        <v>JPY 220</v>
      </c>
      <c r="V580" s="28" t="str">
        <f t="shared" si="169"/>
        <v>SoftBank KK (Corp)</v>
      </c>
    </row>
    <row r="581" spans="1:29">
      <c r="C581" s="35" t="str">
        <f>C522</f>
        <v>Agg. Developed Asia Other</v>
      </c>
      <c r="D581" s="36"/>
      <c r="E581" s="36"/>
      <c r="F581" s="37"/>
      <c r="G581" s="36"/>
      <c r="H581" s="30"/>
      <c r="I581" s="39">
        <f>'DM ASIA OTHER'!$D$31/'DM ASIA OTHER'!$D$29</f>
        <v>0.58097435131916031</v>
      </c>
      <c r="J581" s="39">
        <f>'DM ASIA OTHER'!$E$31/'DM ASIA OTHER'!$E$29</f>
        <v>0.50431608805395867</v>
      </c>
      <c r="K581" s="39">
        <f>'DM ASIA OTHER'!$F$31/'DM ASIA OTHER'!$F$29</f>
        <v>0.43721384533940594</v>
      </c>
      <c r="L581" s="39">
        <f>'DM ASIA OTHER'!$G$31/'DM ASIA OTHER'!$G$29</f>
        <v>0.39451536958330741</v>
      </c>
      <c r="M581" s="39">
        <f t="shared" si="167"/>
        <v>-0.1864589817358529</v>
      </c>
      <c r="N581" s="40"/>
      <c r="O581" s="39">
        <f>'DM ASIA OTHER'!$D$31/'DM ASIA OTHER'!$D$30</f>
        <v>0.56384150050885462</v>
      </c>
      <c r="P581" s="39">
        <f>'DM ASIA OTHER'!$E$31/'DM ASIA OTHER'!$E$30</f>
        <v>0.50166856755783296</v>
      </c>
      <c r="Q581" s="39">
        <f>'DM ASIA OTHER'!$F$31/'DM ASIA OTHER'!$F$30</f>
        <v>0.4550073068700084</v>
      </c>
      <c r="R581" s="39">
        <f>'DM ASIA OTHER'!$G$31/'DM ASIA OTHER'!$G$30</f>
        <v>0.41562786470885299</v>
      </c>
      <c r="S581" s="39">
        <f t="shared" si="168"/>
        <v>-0.14821363580000163</v>
      </c>
      <c r="T581" s="30"/>
      <c r="U581" s="41"/>
      <c r="V581" s="42" t="str">
        <f>V522</f>
        <v>Agg. Developed Asia Cellular</v>
      </c>
    </row>
    <row r="582" spans="1:29">
      <c r="A582" s="25"/>
      <c r="C582" s="32"/>
      <c r="D582" s="28"/>
      <c r="E582" s="28"/>
      <c r="F582" s="29"/>
      <c r="G582" s="28"/>
      <c r="H582" s="30"/>
      <c r="I582" s="29"/>
      <c r="J582" s="29"/>
      <c r="K582" s="29"/>
      <c r="L582" s="29"/>
      <c r="M582" s="29"/>
      <c r="N582" s="30"/>
      <c r="O582" s="29"/>
      <c r="P582" s="29"/>
      <c r="Q582" s="29"/>
      <c r="R582" s="29"/>
      <c r="S582" s="29"/>
      <c r="T582" s="30"/>
      <c r="U582" s="32"/>
      <c r="V582" s="28"/>
    </row>
    <row r="583" spans="1:29">
      <c r="A583" s="25"/>
      <c r="B583" s="26" t="s">
        <v>424</v>
      </c>
      <c r="C583" s="32" t="str">
        <f>C524</f>
        <v>Altice US</v>
      </c>
      <c r="D583" s="28" t="str">
        <f>D524</f>
        <v>US$1.7</v>
      </c>
      <c r="E583" s="28" t="str">
        <f>E524</f>
        <v>US$2.5</v>
      </c>
      <c r="F583" s="29">
        <f>F524</f>
        <v>0.49700598802395213</v>
      </c>
      <c r="G583" s="28" t="str">
        <f>G524</f>
        <v>Neutral</v>
      </c>
      <c r="H583" s="30"/>
      <c r="I583" s="29">
        <f>ATCUS!$D$31/ATCUS!$D$29</f>
        <v>0</v>
      </c>
      <c r="J583" s="29">
        <f>ATCUS!$E$31/ATCUS!$E$29</f>
        <v>0</v>
      </c>
      <c r="K583" s="29">
        <f>ATCUS!$F$31/ATCUS!$F$29</f>
        <v>0</v>
      </c>
      <c r="L583" s="29">
        <f>ATCUS!$G$31/ATCUS!$G$29</f>
        <v>0</v>
      </c>
      <c r="M583" s="29">
        <f t="shared" ref="M583:M587" si="170">L583-I583</f>
        <v>0</v>
      </c>
      <c r="N583" s="30"/>
      <c r="O583" s="29">
        <f>ATCUS!$D$31/ATCUS!$D$30</f>
        <v>0</v>
      </c>
      <c r="P583" s="29">
        <f>ATCUS!$E$31/ATCUS!$E$30</f>
        <v>0</v>
      </c>
      <c r="Q583" s="29">
        <f>ATCUS!$F$31/ATCUS!$F$30</f>
        <v>0</v>
      </c>
      <c r="R583" s="29">
        <f>ATCUS!$G$31/ATCUS!$G$30</f>
        <v>0</v>
      </c>
      <c r="S583" s="29">
        <f t="shared" ref="S583:S587" si="171">R583-O583</f>
        <v>0</v>
      </c>
      <c r="T583" s="30"/>
      <c r="U583" s="32" t="str">
        <f>D583</f>
        <v>US$1.7</v>
      </c>
      <c r="V583" s="28" t="str">
        <f t="shared" ref="V583:V587" si="172">C583</f>
        <v>Altice US</v>
      </c>
    </row>
    <row r="584" spans="1:29">
      <c r="A584" s="25"/>
      <c r="B584" s="26" t="s">
        <v>424</v>
      </c>
      <c r="C584" s="32" t="s">
        <v>258</v>
      </c>
      <c r="D584" s="28" t="str">
        <f>B584&amp;TEXT(Prices!$C$50,"0.0")</f>
        <v>US$222.0</v>
      </c>
      <c r="E584" s="28" t="str">
        <f>B584&amp;TEXT(Prices!$E$50,"0.0")</f>
        <v>US$328.0</v>
      </c>
      <c r="F584" s="29">
        <f>Prices!$F$50</f>
        <v>0.47747747747747749</v>
      </c>
      <c r="G584" s="28" t="str">
        <f>Prices!$D$50</f>
        <v>Buy</v>
      </c>
      <c r="H584" s="30"/>
      <c r="I584" s="29">
        <f>CHTR!$D$31/CHTR!$D$29</f>
        <v>0</v>
      </c>
      <c r="J584" s="29">
        <f>CHTR!$E$31/CHTR!$E$29</f>
        <v>0</v>
      </c>
      <c r="K584" s="29">
        <f>CHTR!$F$31/CHTR!$F$29</f>
        <v>0</v>
      </c>
      <c r="L584" s="29">
        <f>CHTR!$G$31/CHTR!$G$29</f>
        <v>0</v>
      </c>
      <c r="M584" s="29">
        <f t="shared" si="170"/>
        <v>0</v>
      </c>
      <c r="N584" s="30"/>
      <c r="O584" s="29">
        <f>CHTR!$D$31/CHTR!$D$30</f>
        <v>0</v>
      </c>
      <c r="P584" s="29">
        <f>CHTR!$E$31/CHTR!$E$30</f>
        <v>0</v>
      </c>
      <c r="Q584" s="29">
        <f>CHTR!$F$31/CHTR!$F$30</f>
        <v>0</v>
      </c>
      <c r="R584" s="29" t="e">
        <f>CHTR!$G$31/CHTR!$G$30</f>
        <v>#DIV/0!</v>
      </c>
      <c r="S584" s="29" t="e">
        <f t="shared" si="171"/>
        <v>#DIV/0!</v>
      </c>
      <c r="T584" s="30"/>
      <c r="U584" s="32" t="str">
        <f>D584</f>
        <v>US$222.0</v>
      </c>
      <c r="V584" s="28" t="str">
        <f t="shared" si="172"/>
        <v>Charter</v>
      </c>
    </row>
    <row r="585" spans="1:29">
      <c r="A585" s="25"/>
      <c r="B585" s="26" t="s">
        <v>424</v>
      </c>
      <c r="C585" s="32" t="s">
        <v>257</v>
      </c>
      <c r="D585" s="28" t="str">
        <f>B585&amp;TEXT(Prices!$C$51,"0.0")</f>
        <v>US$30.2</v>
      </c>
      <c r="E585" s="28" t="str">
        <f>B585&amp;TEXT(Prices!$E$51,"0.0")</f>
        <v>US$36.0</v>
      </c>
      <c r="F585" s="29">
        <f>Prices!$F$51</f>
        <v>0.19027938502231767</v>
      </c>
      <c r="G585" s="28" t="str">
        <f>Prices!$D$51</f>
        <v>Buy</v>
      </c>
      <c r="H585" s="30"/>
      <c r="I585" s="29">
        <f>CMCSA!$D$31/CMCSA!$D$29</f>
        <v>0.11918760761130938</v>
      </c>
      <c r="J585" s="29">
        <f>CMCSA!$E$31/CMCSA!$E$29</f>
        <v>0.12028056963710371</v>
      </c>
      <c r="K585" s="29">
        <f>CMCSA!$F$31/CMCSA!$F$29</f>
        <v>0</v>
      </c>
      <c r="L585" s="29">
        <f>CMCSA!$G$31/CMCSA!$G$29</f>
        <v>0</v>
      </c>
      <c r="M585" s="29">
        <f t="shared" si="170"/>
        <v>-0.11918760761130938</v>
      </c>
      <c r="N585" s="30"/>
      <c r="O585" s="29">
        <f>CMCSA!$D$31/CMCSA!$D$30</f>
        <v>0.30173363109732415</v>
      </c>
      <c r="P585" s="29">
        <f>CMCSA!$E$31/CMCSA!$E$30</f>
        <v>0.28613362825977451</v>
      </c>
      <c r="Q585" s="29">
        <f>CMCSA!$F$31/CMCSA!$F$30</f>
        <v>0</v>
      </c>
      <c r="R585" s="29" t="e">
        <f>CMCSA!$G$31/CMCSA!$G$30</f>
        <v>#DIV/0!</v>
      </c>
      <c r="S585" s="29" t="e">
        <f t="shared" si="171"/>
        <v>#DIV/0!</v>
      </c>
      <c r="T585" s="30"/>
      <c r="U585" s="32" t="str">
        <f>D585</f>
        <v>US$30.2</v>
      </c>
      <c r="V585" s="28" t="str">
        <f t="shared" si="172"/>
        <v>Comcast</v>
      </c>
    </row>
    <row r="586" spans="1:29">
      <c r="A586" s="25"/>
      <c r="B586" s="26" t="s">
        <v>431</v>
      </c>
      <c r="C586" s="32" t="s">
        <v>1264</v>
      </c>
      <c r="D586" s="28" t="str">
        <f>B586&amp;TEXT(Prices!C$52,"0.0")</f>
        <v>US$ 119.1</v>
      </c>
      <c r="E586" s="28" t="str">
        <f>B586&amp;TEXT(Prices!E$52,"0.0")</f>
        <v>US$ 0.0</v>
      </c>
      <c r="F586" s="29">
        <f>Prices!F$52</f>
        <v>-1</v>
      </c>
      <c r="G586" s="28" t="str">
        <f>Prices!D$52</f>
        <v>Buy</v>
      </c>
      <c r="H586" s="30"/>
      <c r="I586" s="29">
        <f>SATS!$D$31/SATS!$D$29</f>
        <v>0</v>
      </c>
      <c r="J586" s="29">
        <f>SATS!$D$31/SATS!$D$29</f>
        <v>0</v>
      </c>
      <c r="K586" s="29">
        <f>SATS!$D$31/SATS!$D$29</f>
        <v>0</v>
      </c>
      <c r="L586" s="29">
        <f>SATS!$D$31/SATS!$D$29</f>
        <v>0</v>
      </c>
      <c r="M586" s="29">
        <f t="shared" si="170"/>
        <v>0</v>
      </c>
      <c r="N586" s="30"/>
      <c r="O586" s="29">
        <f>SATS!$D$31/SATS!$D$30</f>
        <v>0</v>
      </c>
      <c r="P586" s="29">
        <f>SATS!$D$31/SATS!$D$30</f>
        <v>0</v>
      </c>
      <c r="Q586" s="29">
        <f>SATS!$D$31/SATS!$D$30</f>
        <v>0</v>
      </c>
      <c r="R586" s="29">
        <f>SATS!$D$31/SATS!$D$30</f>
        <v>0</v>
      </c>
      <c r="S586" s="29">
        <f t="shared" si="171"/>
        <v>0</v>
      </c>
      <c r="T586" s="30"/>
      <c r="U586" s="32" t="str">
        <f>D586</f>
        <v>US$ 119.1</v>
      </c>
      <c r="V586" s="28" t="str">
        <f t="shared" si="172"/>
        <v>EchoStar</v>
      </c>
    </row>
    <row r="587" spans="1:29">
      <c r="A587" s="25"/>
      <c r="C587" s="35" t="str">
        <f>C528</f>
        <v>Agg. US Other</v>
      </c>
      <c r="D587" s="42"/>
      <c r="E587" s="42"/>
      <c r="F587" s="39"/>
      <c r="G587" s="42"/>
      <c r="H587" s="40"/>
      <c r="I587" s="39">
        <f>'US OTHER'!$D$31/'US OTHER'!$D$29</f>
        <v>0.10961586988589439</v>
      </c>
      <c r="J587" s="39">
        <f>'US OTHER'!$E$31/'US OTHER'!$E$29</f>
        <v>0.1115189512466168</v>
      </c>
      <c r="K587" s="39">
        <f>'US OTHER'!$F$31/'US OTHER'!$F$29</f>
        <v>0</v>
      </c>
      <c r="L587" s="39">
        <f>'US OTHER'!$G$31/'US OTHER'!$G$29</f>
        <v>0</v>
      </c>
      <c r="M587" s="39">
        <f t="shared" si="170"/>
        <v>-0.10961586988589439</v>
      </c>
      <c r="N587" s="40"/>
      <c r="O587" s="39">
        <f>'US OTHER'!$D$31/'US OTHER'!$D$30</f>
        <v>0.22829076693735106</v>
      </c>
      <c r="P587" s="39">
        <f>'US OTHER'!$E$31/'US OTHER'!$E$30</f>
        <v>0.21945274740219603</v>
      </c>
      <c r="Q587" s="39">
        <f>'US OTHER'!$F$31/'US OTHER'!$F$30</f>
        <v>0</v>
      </c>
      <c r="R587" s="39">
        <f>'US OTHER'!$G$31/'US OTHER'!$G$30</f>
        <v>0</v>
      </c>
      <c r="S587" s="39">
        <f t="shared" si="171"/>
        <v>-0.22829076693735106</v>
      </c>
      <c r="T587" s="40"/>
      <c r="U587" s="35"/>
      <c r="V587" s="42" t="str">
        <f t="shared" si="172"/>
        <v>Agg. US Other</v>
      </c>
    </row>
    <row r="588" spans="1:29">
      <c r="A588" s="25"/>
      <c r="C588" s="32"/>
      <c r="D588" s="28"/>
      <c r="E588" s="28"/>
      <c r="F588" s="29"/>
      <c r="G588" s="28"/>
      <c r="H588" s="30"/>
      <c r="I588" s="29"/>
      <c r="J588" s="29"/>
      <c r="K588" s="29"/>
      <c r="L588" s="29"/>
      <c r="M588" s="29"/>
      <c r="N588" s="30"/>
      <c r="O588" s="29"/>
      <c r="P588" s="29"/>
      <c r="Q588" s="29"/>
      <c r="R588" s="29"/>
      <c r="S588" s="29"/>
      <c r="T588" s="30"/>
      <c r="U588" s="32"/>
      <c r="V588" s="28"/>
    </row>
    <row r="589" spans="1:29">
      <c r="C589" s="32"/>
      <c r="D589" s="28"/>
      <c r="E589" s="28"/>
      <c r="F589" s="29"/>
      <c r="G589" s="28"/>
      <c r="H589" s="30"/>
      <c r="I589" s="29"/>
      <c r="J589" s="29"/>
      <c r="K589" s="29"/>
      <c r="L589" s="29"/>
      <c r="M589" s="29"/>
      <c r="N589" s="30"/>
      <c r="O589" s="29"/>
      <c r="P589" s="29"/>
      <c r="Q589" s="29"/>
      <c r="R589" s="29"/>
      <c r="S589" s="29"/>
      <c r="T589" s="30"/>
      <c r="U589" s="32"/>
      <c r="V589" s="28"/>
    </row>
    <row r="590" spans="1:29">
      <c r="C590" s="35" t="str">
        <f>C531</f>
        <v>Agg. W Europe</v>
      </c>
      <c r="D590" s="36"/>
      <c r="E590" s="36"/>
      <c r="F590" s="37"/>
      <c r="G590" s="36"/>
      <c r="H590" s="30"/>
      <c r="I590" s="39">
        <f>'W.EUR AGG'!$D$31/'W.EUR AGG'!$D$29</f>
        <v>0.69252728323372581</v>
      </c>
      <c r="J590" s="39">
        <f>'W.EUR AGG'!$E$31/'W.EUR AGG'!$E$29</f>
        <v>0.62039656774761098</v>
      </c>
      <c r="K590" s="39">
        <f>'W.EUR AGG'!$F$31/'W.EUR AGG'!$F$29</f>
        <v>0.63776371004687371</v>
      </c>
      <c r="L590" s="39">
        <f>'W.EUR AGG'!$G$31/'W.EUR AGG'!$G$29</f>
        <v>0.59933415577150373</v>
      </c>
      <c r="M590" s="39">
        <f>L590-I590</f>
        <v>-9.3193127462222081E-2</v>
      </c>
      <c r="N590" s="40"/>
      <c r="O590" s="39">
        <f>'W.EUR AGG'!$D$31/'W.EUR AGG'!$D$30</f>
        <v>0.62271163376723038</v>
      </c>
      <c r="P590" s="39">
        <f>'W.EUR AGG'!$E$31/'W.EUR AGG'!$E$30</f>
        <v>0.60397116000104645</v>
      </c>
      <c r="Q590" s="39">
        <f>'W.EUR AGG'!$F$31/'W.EUR AGG'!$F$30</f>
        <v>0.62708282970589813</v>
      </c>
      <c r="R590" s="39">
        <f>'W.EUR AGG'!$G$31/'W.EUR AGG'!$G$30</f>
        <v>0.59164927462786399</v>
      </c>
      <c r="S590" s="39">
        <f>R590-O590</f>
        <v>-3.1062359139366391E-2</v>
      </c>
      <c r="T590" s="30"/>
      <c r="U590" s="41"/>
      <c r="V590" s="42" t="str">
        <f>V531</f>
        <v>Agg. W Europe</v>
      </c>
      <c r="AC590" s="47"/>
    </row>
    <row r="591" spans="1:29">
      <c r="C591" s="25" t="s">
        <v>1268</v>
      </c>
      <c r="D591" s="28"/>
      <c r="E591" s="28"/>
      <c r="F591" s="29"/>
      <c r="G591" s="28"/>
      <c r="H591" s="30"/>
      <c r="I591" s="43">
        <f>'US AGG'!$D$31/'US AGG'!$D$29</f>
        <v>0.34619977479448699</v>
      </c>
      <c r="J591" s="43">
        <f>'US AGG'!$E$31/'US AGG'!$E$29</f>
        <v>0.38847986686525882</v>
      </c>
      <c r="K591" s="43">
        <f>'US AGG'!$F$31/'US AGG'!$F$29</f>
        <v>0.58375653970260877</v>
      </c>
      <c r="L591" s="43">
        <f>'US AGG'!$F$31/'US AGG'!$F$29</f>
        <v>0.58375653970260877</v>
      </c>
      <c r="M591" s="43">
        <f>L591-I591</f>
        <v>0.23755676490812178</v>
      </c>
      <c r="N591" s="40"/>
      <c r="O591" s="43">
        <f>'US AGG'!$D$31/'US AGG'!$D$30</f>
        <v>0.46134669965226338</v>
      </c>
      <c r="P591" s="43">
        <f>'US AGG'!$E$31/'US AGG'!$E$30</f>
        <v>0.43616492538005053</v>
      </c>
      <c r="Q591" s="43">
        <f>'US AGG'!$F$31/'US AGG'!$F$30</f>
        <v>0.50039512947094844</v>
      </c>
      <c r="R591" s="43">
        <f>'US AGG'!$F$31/'US AGG'!$F$30</f>
        <v>0.50039512947094844</v>
      </c>
      <c r="S591" s="43">
        <f>R591-O591</f>
        <v>3.904842981868506E-2</v>
      </c>
      <c r="T591" s="30"/>
      <c r="U591" s="32"/>
      <c r="V591" s="34" t="str">
        <f>V532</f>
        <v>Agg. US</v>
      </c>
      <c r="AC591" s="47"/>
    </row>
    <row r="592" spans="1:29">
      <c r="C592" s="51" t="str">
        <f>C533</f>
        <v xml:space="preserve">Agg. Developed Asia </v>
      </c>
      <c r="D592" s="36"/>
      <c r="E592" s="36"/>
      <c r="F592" s="37"/>
      <c r="G592" s="36"/>
      <c r="H592" s="30"/>
      <c r="I592" s="39">
        <f>'AGG DM ASIA'!$D$31/'AGG DM ASIA'!$D$29</f>
        <v>0.93564750121215223</v>
      </c>
      <c r="J592" s="39">
        <f>'AGG DM ASIA'!$E$31/'AGG DM ASIA'!$E$29</f>
        <v>0.76723145848810248</v>
      </c>
      <c r="K592" s="39">
        <f>'AGG DM ASIA'!$F$31/'AGG DM ASIA'!$F$29</f>
        <v>0.6590921914575415</v>
      </c>
      <c r="L592" s="39">
        <f>'AGG DM ASIA'!$G$31/'AGG DM ASIA'!$G$29</f>
        <v>0.58302616262370843</v>
      </c>
      <c r="M592" s="39">
        <f>L592-I592</f>
        <v>-0.3526213385884438</v>
      </c>
      <c r="N592" s="40"/>
      <c r="O592" s="39">
        <f>'AGG DM ASIA'!$D$31/'AGG DM ASIA'!$D$30</f>
        <v>0.57486839848010851</v>
      </c>
      <c r="P592" s="39">
        <f>'AGG DM ASIA'!$E$31/'AGG DM ASIA'!$E$30</f>
        <v>0.52267105951802306</v>
      </c>
      <c r="Q592" s="39">
        <f>'AGG DM ASIA'!$F$31/'AGG DM ASIA'!$F$30</f>
        <v>0.49189082990429289</v>
      </c>
      <c r="R592" s="39">
        <f>'AGG DM ASIA'!$G$31/'AGG DM ASIA'!$G$30</f>
        <v>0.45567557236578776</v>
      </c>
      <c r="S592" s="39">
        <f>R592-O592</f>
        <v>-0.11919282611432075</v>
      </c>
      <c r="T592" s="30"/>
      <c r="U592" s="41"/>
      <c r="V592" s="42" t="str">
        <f>V533</f>
        <v xml:space="preserve">Agg. Developed Asia </v>
      </c>
    </row>
    <row r="593" spans="1:29">
      <c r="C593" s="25"/>
      <c r="D593" s="28"/>
      <c r="E593" s="28"/>
      <c r="F593" s="29"/>
      <c r="G593" s="28"/>
      <c r="H593" s="30"/>
      <c r="I593" s="43"/>
      <c r="J593" s="43"/>
      <c r="K593" s="43"/>
      <c r="L593" s="43"/>
      <c r="M593" s="43"/>
      <c r="N593" s="40"/>
      <c r="O593" s="43"/>
      <c r="P593" s="43"/>
      <c r="Q593" s="43"/>
      <c r="R593" s="43"/>
      <c r="S593" s="43"/>
      <c r="T593" s="30"/>
      <c r="U593" s="32"/>
      <c r="V593" s="34"/>
    </row>
    <row r="594" spans="1:29">
      <c r="C594" s="51" t="str">
        <f>C535</f>
        <v>Agg. Global Developed</v>
      </c>
      <c r="D594" s="36"/>
      <c r="E594" s="36"/>
      <c r="F594" s="37"/>
      <c r="G594" s="36"/>
      <c r="H594" s="30"/>
      <c r="I594" s="39">
        <f>'AGG DM'!$D$31/'AGG DM'!$D$29</f>
        <v>0.46567661843044023</v>
      </c>
      <c r="J594" s="39">
        <f>'AGG DM'!$E$31/'AGG DM'!$E$29</f>
        <v>0.48489668873662817</v>
      </c>
      <c r="K594" s="39">
        <f>'AGG DM'!$F$31/'AGG DM'!$F$29</f>
        <v>0.61435732198073312</v>
      </c>
      <c r="L594" s="39">
        <f>'AGG DM'!$F$31/'AGG DM'!$F$29</f>
        <v>0.61435732198073312</v>
      </c>
      <c r="M594" s="39">
        <f>L594-I594</f>
        <v>0.14868070355029289</v>
      </c>
      <c r="N594" s="40"/>
      <c r="O594" s="39">
        <f>'AGG DM'!$D$31/'AGG DM'!$D$30</f>
        <v>0.52021454456650273</v>
      </c>
      <c r="P594" s="39">
        <f>'AGG DM'!$E$31/'AGG DM'!$E$30</f>
        <v>0.49393513797409322</v>
      </c>
      <c r="Q594" s="39">
        <f>'AGG DM'!$F$31/'AGG DM'!$F$30</f>
        <v>0.53928085617119959</v>
      </c>
      <c r="R594" s="39">
        <f>'AGG DM'!$F$31/'AGG DM'!$F$30</f>
        <v>0.53928085617119959</v>
      </c>
      <c r="S594" s="39">
        <f>R594-O594</f>
        <v>1.9066311604696851E-2</v>
      </c>
      <c r="T594" s="30"/>
      <c r="U594" s="41"/>
      <c r="V594" s="42" t="str">
        <f>V535</f>
        <v xml:space="preserve">Agg. Global Developed </v>
      </c>
    </row>
    <row r="595" spans="1:29">
      <c r="C595" s="25"/>
      <c r="D595" s="28"/>
      <c r="E595" s="28"/>
      <c r="F595" s="52"/>
      <c r="G595" s="28"/>
      <c r="H595" s="30"/>
      <c r="I595" s="45"/>
      <c r="J595" s="45"/>
      <c r="K595" s="45"/>
      <c r="L595" s="45"/>
      <c r="M595" s="45"/>
      <c r="N595" s="40"/>
      <c r="O595" s="45"/>
      <c r="P595" s="45"/>
      <c r="Q595" s="45"/>
      <c r="R595" s="45"/>
      <c r="S595" s="45"/>
      <c r="T595" s="30"/>
      <c r="U595" s="32"/>
      <c r="V595" s="34"/>
    </row>
    <row r="596" spans="1:29">
      <c r="C596" s="25"/>
      <c r="D596" s="28"/>
      <c r="E596" s="28"/>
      <c r="F596" s="52"/>
      <c r="G596" s="28"/>
      <c r="H596" s="30"/>
      <c r="I596" s="45"/>
      <c r="J596" s="45"/>
      <c r="K596" s="45"/>
      <c r="L596" s="45"/>
      <c r="M596" s="45"/>
      <c r="N596" s="40"/>
      <c r="O596" s="45"/>
      <c r="P596" s="45"/>
      <c r="Q596" s="45"/>
      <c r="R596" s="45"/>
      <c r="S596" s="45"/>
      <c r="T596" s="30"/>
      <c r="U596" s="32"/>
      <c r="V596" s="34"/>
    </row>
    <row r="597" spans="1:29" s="25" customFormat="1">
      <c r="B597" s="113"/>
      <c r="C597" s="130"/>
      <c r="D597" s="131" t="s">
        <v>379</v>
      </c>
      <c r="E597" s="131" t="s">
        <v>50</v>
      </c>
      <c r="F597" s="131" t="s">
        <v>52</v>
      </c>
      <c r="G597" s="131" t="s">
        <v>49</v>
      </c>
      <c r="H597" s="33"/>
      <c r="I597" s="132" t="s">
        <v>525</v>
      </c>
      <c r="J597" s="132"/>
      <c r="K597" s="132"/>
      <c r="L597" s="132"/>
      <c r="M597" s="132"/>
      <c r="O597" s="132" t="s">
        <v>526</v>
      </c>
      <c r="P597" s="132"/>
      <c r="Q597" s="132"/>
      <c r="R597" s="132"/>
      <c r="S597" s="132"/>
      <c r="T597" s="33"/>
      <c r="U597" s="133" t="s">
        <v>379</v>
      </c>
      <c r="V597" s="131"/>
      <c r="Z597" s="33"/>
      <c r="AC597" s="106"/>
    </row>
    <row r="598" spans="1:29">
      <c r="A598" s="25" t="s">
        <v>415</v>
      </c>
      <c r="C598" s="32" t="s">
        <v>160</v>
      </c>
      <c r="D598" s="28" t="str">
        <f t="shared" ref="D598:G608" si="173">D539</f>
        <v>GBP2.24</v>
      </c>
      <c r="E598" s="28" t="str">
        <f t="shared" si="173"/>
        <v>GBP2.40</v>
      </c>
      <c r="F598" s="29">
        <f t="shared" si="173"/>
        <v>7.1189466636911503E-2</v>
      </c>
      <c r="G598" s="28" t="str">
        <f t="shared" si="173"/>
        <v>Neutral</v>
      </c>
      <c r="H598" s="30"/>
      <c r="I598" s="29">
        <f>BT!$D$32/BT!$D$11</f>
        <v>0</v>
      </c>
      <c r="J598" s="29">
        <f>BT!$E$32/BT!$E$11</f>
        <v>0</v>
      </c>
      <c r="K598" s="29">
        <f>BT!$F$32/BT!$F$11</f>
        <v>0</v>
      </c>
      <c r="L598" s="29">
        <f>BT!$G$32/BT!$G$11</f>
        <v>0</v>
      </c>
      <c r="M598" s="29" t="str">
        <f>BT!$H$32</f>
        <v>nm</v>
      </c>
      <c r="N598" s="30"/>
      <c r="O598" s="29">
        <f>(BT!$D$31+BT!$D$32)/BT!$D$11</f>
        <v>3.7877259540281191E-2</v>
      </c>
      <c r="P598" s="29">
        <f>(BT!$E$31+BT!$E$32)/BT!$E$11</f>
        <v>3.9771122517295247E-2</v>
      </c>
      <c r="Q598" s="29">
        <f>(BT!$F$31+BT!$F$32)/BT!$F$11</f>
        <v>4.7725347020754295E-2</v>
      </c>
      <c r="R598" s="29">
        <f>(BT!$G$31+BT!$G$32)/BT!$G$11</f>
        <v>5.727041642490515E-2</v>
      </c>
      <c r="S598" s="29">
        <f>BT!$H$46</f>
        <v>0.14419836078751258</v>
      </c>
      <c r="T598" s="30"/>
      <c r="U598" s="32" t="str">
        <f t="shared" ref="U598:V602" si="174">U539</f>
        <v>GBP2.24</v>
      </c>
      <c r="V598" s="53" t="str">
        <f t="shared" si="174"/>
        <v>British Telecom</v>
      </c>
      <c r="X598" s="27"/>
      <c r="Y598" s="60"/>
    </row>
    <row r="599" spans="1:29">
      <c r="A599" s="25"/>
      <c r="C599" s="32" t="s">
        <v>161</v>
      </c>
      <c r="D599" s="28" t="str">
        <f t="shared" si="173"/>
        <v>EUR 27.67</v>
      </c>
      <c r="E599" s="28" t="str">
        <f t="shared" si="173"/>
        <v>EUR 43.00</v>
      </c>
      <c r="F599" s="29">
        <f t="shared" si="173"/>
        <v>0.55402963498373681</v>
      </c>
      <c r="G599" s="28" t="str">
        <f t="shared" si="173"/>
        <v>Buy</v>
      </c>
      <c r="H599" s="30"/>
      <c r="I599" s="29">
        <f>DT!$D$32/DT!$D$11</f>
        <v>0</v>
      </c>
      <c r="J599" s="29">
        <f>DT!$E$32/DT!$E$11</f>
        <v>0</v>
      </c>
      <c r="K599" s="29">
        <f>DT!$F$32/DT!$F$11</f>
        <v>0</v>
      </c>
      <c r="L599" s="29">
        <f>DT!$G$32/DT!$G$11</f>
        <v>0</v>
      </c>
      <c r="M599" s="29" t="str">
        <f>DT!$H$32</f>
        <v>nm</v>
      </c>
      <c r="N599" s="30"/>
      <c r="O599" s="29">
        <f>(DT!$D$31+DT!$D$32)/DT!$D$11</f>
        <v>3.6140224069389229E-2</v>
      </c>
      <c r="P599" s="29">
        <f>(DT!$E$31+DT!$E$32)/DT!$E$11</f>
        <v>4.0477050957715942E-2</v>
      </c>
      <c r="Q599" s="29">
        <f>(DT!$F$31+DT!$F$32)/DT!$F$11</f>
        <v>4.5334297072641853E-2</v>
      </c>
      <c r="R599" s="29">
        <f>(DT!$G$31+DT!$G$32)/DT!$G$11</f>
        <v>4.9867726779906044E-2</v>
      </c>
      <c r="S599" s="29">
        <f>DT!$H$46</f>
        <v>0.10778696016834988</v>
      </c>
      <c r="T599" s="30"/>
      <c r="U599" s="32" t="str">
        <f t="shared" si="174"/>
        <v>EUR 27.67</v>
      </c>
      <c r="V599" s="53" t="str">
        <f t="shared" si="174"/>
        <v>Deutsche Telekom</v>
      </c>
      <c r="X599" s="27"/>
      <c r="Y599" s="60"/>
    </row>
    <row r="600" spans="1:29">
      <c r="A600" s="25"/>
      <c r="C600" s="32" t="s">
        <v>373</v>
      </c>
      <c r="D600" s="28" t="str">
        <f t="shared" si="173"/>
        <v>EUR 4.66</v>
      </c>
      <c r="E600" s="28" t="str">
        <f t="shared" si="173"/>
        <v>EUR 4.33</v>
      </c>
      <c r="F600" s="29">
        <f t="shared" si="173"/>
        <v>-7.2021498159240971E-2</v>
      </c>
      <c r="G600" s="28" t="str">
        <f t="shared" si="173"/>
        <v>Neutral</v>
      </c>
      <c r="H600" s="30"/>
      <c r="I600" s="29">
        <f>KPN!$D$32/KPN!$D$11</f>
        <v>0</v>
      </c>
      <c r="J600" s="29">
        <f>KPN!$E$32/KPN!$E$11</f>
        <v>0</v>
      </c>
      <c r="K600" s="29">
        <f>KPN!$F$32/KPN!$F$11</f>
        <v>0</v>
      </c>
      <c r="L600" s="29">
        <f>KPN!$G$32/KPN!$G$11</f>
        <v>0</v>
      </c>
      <c r="M600" s="29" t="str">
        <f>KPN!$H$32</f>
        <v>nm</v>
      </c>
      <c r="N600" s="30"/>
      <c r="O600" s="29">
        <f>(KPN!$D$31+KPN!$D$32)/KPN!$D$11</f>
        <v>3.9022298456260728E-2</v>
      </c>
      <c r="P600" s="29">
        <f>(KPN!$E$31+KPN!$E$32)/KPN!$E$11</f>
        <v>4.2924528301886804E-2</v>
      </c>
      <c r="Q600" s="29">
        <f>(KPN!$F$31+KPN!$F$32)/KPN!$F$11</f>
        <v>5.4084905660377366E-2</v>
      </c>
      <c r="R600" s="29">
        <f>(KPN!$G$31+KPN!$G$32)/KPN!$G$11</f>
        <v>5.678915094339624E-2</v>
      </c>
      <c r="S600" s="29" t="str">
        <f>KPN!$H$46</f>
        <v>nm</v>
      </c>
      <c r="T600" s="30"/>
      <c r="U600" s="32" t="str">
        <f t="shared" si="174"/>
        <v>EUR 4.66</v>
      </c>
      <c r="V600" s="53" t="str">
        <f t="shared" si="174"/>
        <v>KPN</v>
      </c>
    </row>
    <row r="601" spans="1:29">
      <c r="A601" s="25"/>
      <c r="C601" s="32" t="s">
        <v>604</v>
      </c>
      <c r="D601" s="28" t="str">
        <f t="shared" si="173"/>
        <v>EUR 17.64</v>
      </c>
      <c r="E601" s="28" t="str">
        <f t="shared" si="173"/>
        <v>EUR 18.80</v>
      </c>
      <c r="F601" s="29">
        <f t="shared" si="173"/>
        <v>6.5759637188208542E-2</v>
      </c>
      <c r="G601" s="28" t="str">
        <f t="shared" si="173"/>
        <v>Neutral</v>
      </c>
      <c r="H601" s="30"/>
      <c r="I601" s="29">
        <f>ORA!$D$32/ORA!$D$11</f>
        <v>0</v>
      </c>
      <c r="J601" s="29">
        <f>ORA!$E$32/ORA!$E$11</f>
        <v>0</v>
      </c>
      <c r="K601" s="29">
        <f>ORA!$F$32/ORA!$F$11</f>
        <v>0</v>
      </c>
      <c r="L601" s="29">
        <f>ORA!$G$32/ORA!$G$11</f>
        <v>0</v>
      </c>
      <c r="M601" s="29" t="str">
        <f>ORA!$H$32</f>
        <v>nm</v>
      </c>
      <c r="N601" s="30"/>
      <c r="O601" s="29">
        <f>(ORA!$D$31+ORA!$D$32)/ORA!$D$11</f>
        <v>4.2517006802721094E-2</v>
      </c>
      <c r="P601" s="29">
        <f>(ORA!$E$31+ORA!$E$32)/ORA!$E$11</f>
        <v>4.4642857142857151E-2</v>
      </c>
      <c r="Q601" s="29">
        <f>(ORA!$F$31+ORA!$F$32)/ORA!$F$11</f>
        <v>4.6428571428571437E-2</v>
      </c>
      <c r="R601" s="29">
        <f>(ORA!$G$31+ORA!$G$32)/ORA!$G$11</f>
        <v>5.0142857142857156E-2</v>
      </c>
      <c r="S601" s="29">
        <f>ORA!$H$46</f>
        <v>5.6530724958862022E-2</v>
      </c>
      <c r="T601" s="30"/>
      <c r="U601" s="32" t="str">
        <f t="shared" si="174"/>
        <v>EUR 17.64</v>
      </c>
      <c r="V601" s="53" t="str">
        <f t="shared" si="174"/>
        <v>Orange</v>
      </c>
      <c r="X601" s="27"/>
      <c r="Y601" s="60"/>
    </row>
    <row r="602" spans="1:29">
      <c r="A602" s="25"/>
      <c r="C602" s="32" t="s">
        <v>374</v>
      </c>
      <c r="D602" s="28" t="str">
        <f t="shared" si="173"/>
        <v>EUR 18.29</v>
      </c>
      <c r="E602" s="28" t="str">
        <f t="shared" si="173"/>
        <v>EUR 22.10</v>
      </c>
      <c r="F602" s="29">
        <f t="shared" si="173"/>
        <v>0.20831055221432493</v>
      </c>
      <c r="G602" s="28" t="str">
        <f t="shared" si="173"/>
        <v>Buy</v>
      </c>
      <c r="H602" s="30"/>
      <c r="I602" s="29">
        <f>OTE!$D$32/OTE!$D$11</f>
        <v>0</v>
      </c>
      <c r="J602" s="29">
        <f>OTE!$E$32/OTE!$E$11</f>
        <v>0</v>
      </c>
      <c r="K602" s="29">
        <f>OTE!$F$32/OTE!$F$11</f>
        <v>0</v>
      </c>
      <c r="L602" s="29">
        <f>OTE!$G$32/OTE!$G$11</f>
        <v>0</v>
      </c>
      <c r="M602" s="29" t="str">
        <f>OTE!$H$32</f>
        <v>nm</v>
      </c>
      <c r="N602" s="30"/>
      <c r="O602" s="29">
        <f>(OTE!$D$31+OTE!$D$32)/OTE!$D$11</f>
        <v>4.7971569163477314E-2</v>
      </c>
      <c r="P602" s="29">
        <f>(OTE!$E$31+OTE!$E$32)/OTE!$E$11</f>
        <v>5.2768726079825044E-2</v>
      </c>
      <c r="Q602" s="29">
        <f>(OTE!$F$31+OTE!$F$32)/OTE!$F$11</f>
        <v>5.5407162383816301E-2</v>
      </c>
      <c r="R602" s="29">
        <f>(OTE!$G$31+OTE!$G$32)/OTE!$G$11</f>
        <v>5.7623448879168954E-2</v>
      </c>
      <c r="S602" s="29">
        <f>OTE!$H$46</f>
        <v>3.7440507544908019E-2</v>
      </c>
      <c r="T602" s="30"/>
      <c r="U602" s="32" t="str">
        <f t="shared" si="174"/>
        <v>EUR 18.29</v>
      </c>
      <c r="V602" s="53" t="str">
        <f t="shared" si="174"/>
        <v>OTE</v>
      </c>
      <c r="X602" s="27"/>
    </row>
    <row r="603" spans="1:29">
      <c r="A603" s="25"/>
      <c r="C603" s="32" t="s">
        <v>686</v>
      </c>
      <c r="D603" s="28" t="str">
        <f t="shared" si="173"/>
        <v>EUR 6.6</v>
      </c>
      <c r="E603" s="28" t="str">
        <f t="shared" si="173"/>
        <v>EUR 13.3</v>
      </c>
      <c r="F603" s="29">
        <f t="shared" si="173"/>
        <v>1.0060331825037707</v>
      </c>
      <c r="G603" s="28" t="str">
        <f t="shared" si="173"/>
        <v>Neutral</v>
      </c>
      <c r="H603" s="30"/>
      <c r="I603" s="29">
        <f>PROX!$D$32/PROX!$D$11</f>
        <v>0</v>
      </c>
      <c r="J603" s="29">
        <f>PROX!$E$32/PROX!$E$11</f>
        <v>0</v>
      </c>
      <c r="K603" s="29">
        <f>PROX!$F$32/PROX!$F$11</f>
        <v>0</v>
      </c>
      <c r="L603" s="29">
        <f>PROX!$G$32/PROX!$G$11</f>
        <v>0</v>
      </c>
      <c r="M603" s="29" t="str">
        <f>PROX!$H$32</f>
        <v>nm</v>
      </c>
      <c r="N603" s="30"/>
      <c r="O603" s="29">
        <f>(PROX!$D$31+PROX!$D$32)/PROX!$D$11</f>
        <v>9.0497737556561084E-2</v>
      </c>
      <c r="P603" s="29">
        <f>(PROX!$E$31+PROX!$E$32)/PROX!$E$11</f>
        <v>4.5248868778280542E-2</v>
      </c>
      <c r="Q603" s="29">
        <f>(PROX!$F$31+PROX!$F$32)/PROX!$F$11</f>
        <v>6.018099547511313E-2</v>
      </c>
      <c r="R603" s="29">
        <f>(PROX!$G$31+PROX!$G$32)/PROX!$G$11</f>
        <v>7.5226244343891413E-2</v>
      </c>
      <c r="S603" s="29">
        <f>PROX!$H$46</f>
        <v>-5.9748822216098452E-2</v>
      </c>
      <c r="T603" s="30"/>
      <c r="U603" s="32" t="str">
        <f t="shared" ref="U603:U608" si="175">U544</f>
        <v>EUR 6.6</v>
      </c>
      <c r="V603" s="53" t="s">
        <v>686</v>
      </c>
      <c r="X603" s="27"/>
      <c r="Y603" s="60"/>
    </row>
    <row r="604" spans="1:29">
      <c r="C604" s="32" t="s">
        <v>378</v>
      </c>
      <c r="D604" s="28" t="str">
        <f t="shared" si="173"/>
        <v>CHF673</v>
      </c>
      <c r="E604" s="28" t="str">
        <f t="shared" si="173"/>
        <v>CHF570</v>
      </c>
      <c r="F604" s="29">
        <f t="shared" si="173"/>
        <v>-0.15241635687732347</v>
      </c>
      <c r="G604" s="28" t="str">
        <f t="shared" si="173"/>
        <v>Sell</v>
      </c>
      <c r="H604" s="30"/>
      <c r="I604" s="29">
        <f>SWISS!$D$32/SWISS!$D$11</f>
        <v>0</v>
      </c>
      <c r="J604" s="29">
        <f>SWISS!$E$32/SWISS!$E$11</f>
        <v>0</v>
      </c>
      <c r="K604" s="29">
        <f>SWISS!$F$32/SWISS!$F$11</f>
        <v>0</v>
      </c>
      <c r="L604" s="29">
        <f>SWISS!$G$32/SWISS!$G$11</f>
        <v>0</v>
      </c>
      <c r="M604" s="29" t="str">
        <f>SWISS!$H$32</f>
        <v>nm</v>
      </c>
      <c r="N604" s="30"/>
      <c r="O604" s="29">
        <f>(SWISS!$D$31+SWISS!$D$32)/SWISS!$D$11</f>
        <v>3.8661710037174724E-2</v>
      </c>
      <c r="P604" s="29">
        <f>(SWISS!$E$31+SWISS!$E$32)/SWISS!$E$11</f>
        <v>4.0208178438661708E-2</v>
      </c>
      <c r="Q604" s="29">
        <f>(SWISS!$F$31+SWISS!$F$32)/SWISS!$F$11</f>
        <v>4.1414423791821559E-2</v>
      </c>
      <c r="R604" s="29">
        <f>(SWISS!$G$31+SWISS!$G$32)/SWISS!$G$11</f>
        <v>4.2656856505576213E-2</v>
      </c>
      <c r="S604" s="29">
        <f>SWISS!$H$46</f>
        <v>3.3322603657810035E-2</v>
      </c>
      <c r="T604" s="30"/>
      <c r="U604" s="32" t="str">
        <f t="shared" si="175"/>
        <v>CHF673</v>
      </c>
      <c r="V604" s="53" t="str">
        <f t="shared" ref="V604:V609" si="176">V545</f>
        <v>Swisscom</v>
      </c>
    </row>
    <row r="605" spans="1:29">
      <c r="A605" s="25"/>
      <c r="C605" s="32" t="s">
        <v>222</v>
      </c>
      <c r="D605" s="28" t="str">
        <f t="shared" si="173"/>
        <v>EUR 0.66</v>
      </c>
      <c r="E605" s="28" t="str">
        <f t="shared" si="173"/>
        <v>EUR 0.55</v>
      </c>
      <c r="F605" s="29">
        <f t="shared" si="173"/>
        <v>-0.16641406486814181</v>
      </c>
      <c r="G605" s="28" t="str">
        <f t="shared" si="173"/>
        <v>Neutral</v>
      </c>
      <c r="H605" s="30"/>
      <c r="I605" s="29">
        <f>TI!$D$32/TI!$D$11</f>
        <v>0</v>
      </c>
      <c r="J605" s="29">
        <f>TI!$E$32/TI!$E$11</f>
        <v>0</v>
      </c>
      <c r="K605" s="29">
        <f>TI!$F$32/TI!$F$11</f>
        <v>0</v>
      </c>
      <c r="L605" s="29">
        <f>TI!$G$32/TI!$G$11</f>
        <v>0</v>
      </c>
      <c r="M605" s="29" t="str">
        <f>TI!$H$32</f>
        <v>nm</v>
      </c>
      <c r="N605" s="30"/>
      <c r="O605" s="29">
        <f>(TI!$D$31+TI!$D$32)/TI!$D$11</f>
        <v>0</v>
      </c>
      <c r="P605" s="29">
        <f>(TI!$E$31+TI!$E$32)/TI!$E$11</f>
        <v>2.2567855447000646E-2</v>
      </c>
      <c r="Q605" s="29">
        <f>(TI!$F$31+TI!$F$32)/TI!$F$11</f>
        <v>2.933821208110084E-2</v>
      </c>
      <c r="R605" s="29">
        <f>(TI!$G$31+TI!$G$32)/TI!$G$11</f>
        <v>3.5205854497321006E-2</v>
      </c>
      <c r="S605" s="29" t="str">
        <f>TI!$H$46</f>
        <v>nm</v>
      </c>
      <c r="T605" s="30"/>
      <c r="U605" s="32" t="str">
        <f t="shared" si="175"/>
        <v>EUR 0.66</v>
      </c>
      <c r="V605" s="53" t="str">
        <f t="shared" si="176"/>
        <v>Telecom Italia</v>
      </c>
    </row>
    <row r="606" spans="1:29">
      <c r="A606" s="25"/>
      <c r="C606" s="32" t="s">
        <v>376</v>
      </c>
      <c r="D606" s="28" t="str">
        <f t="shared" si="173"/>
        <v>EUR 3.88</v>
      </c>
      <c r="E606" s="28" t="str">
        <f t="shared" si="173"/>
        <v>EUR 3.30</v>
      </c>
      <c r="F606" s="29">
        <f t="shared" si="173"/>
        <v>-0.14992272024729525</v>
      </c>
      <c r="G606" s="28" t="str">
        <f t="shared" si="173"/>
        <v>Sell</v>
      </c>
      <c r="H606" s="30"/>
      <c r="I606" s="29">
        <f>TEF!$D$32/TEF!$D$11</f>
        <v>0</v>
      </c>
      <c r="J606" s="29">
        <f>TEF!$E$32/TEF!$E$11</f>
        <v>0</v>
      </c>
      <c r="K606" s="29">
        <f>TEF!$F$32/TEF!$F$11</f>
        <v>0</v>
      </c>
      <c r="L606" s="29">
        <f>TEF!$G$32/TEF!$G$11</f>
        <v>0</v>
      </c>
      <c r="M606" s="29" t="str">
        <f>TEF!$H$32</f>
        <v>nm</v>
      </c>
      <c r="N606" s="30"/>
      <c r="O606" s="29">
        <f>(TEF!$D$31+TEF!$D$32)/TEF!$D$11</f>
        <v>3.8639876352395672E-2</v>
      </c>
      <c r="P606" s="29">
        <f>(TEF!$E$31+TEF!$E$32)/TEF!$E$11</f>
        <v>3.8639876352395672E-2</v>
      </c>
      <c r="Q606" s="29">
        <f>(TEF!$F$31+TEF!$F$32)/TEF!$F$11</f>
        <v>3.9412673879443583E-2</v>
      </c>
      <c r="R606" s="29">
        <f>(TEF!$G$31+TEF!$G$32)/TEF!$G$11</f>
        <v>4.0200927357032457E-2</v>
      </c>
      <c r="S606" s="29">
        <f>TEF!$H$46</f>
        <v>1.3289279402143528E-2</v>
      </c>
      <c r="T606" s="30"/>
      <c r="U606" s="32" t="str">
        <f t="shared" si="175"/>
        <v>EUR 3.88</v>
      </c>
      <c r="V606" s="53" t="str">
        <f t="shared" si="176"/>
        <v>Telefonica</v>
      </c>
      <c r="X606" s="27"/>
      <c r="Y606" s="60"/>
    </row>
    <row r="607" spans="1:29">
      <c r="A607" s="25"/>
      <c r="C607" s="32" t="s">
        <v>377</v>
      </c>
      <c r="D607" s="28" t="str">
        <f t="shared" si="173"/>
        <v>NOK 164</v>
      </c>
      <c r="E607" s="28" t="str">
        <f t="shared" si="173"/>
        <v>NOK 160</v>
      </c>
      <c r="F607" s="29">
        <f t="shared" si="173"/>
        <v>-2.6171637248934898E-2</v>
      </c>
      <c r="G607" s="28" t="str">
        <f t="shared" si="173"/>
        <v>Neutral</v>
      </c>
      <c r="H607" s="30"/>
      <c r="I607" s="29">
        <f>TNOR!$D$32/TNOR!$D$11</f>
        <v>0</v>
      </c>
      <c r="J607" s="29">
        <f>TNOR!$E$32/TNOR!$E$11</f>
        <v>0</v>
      </c>
      <c r="K607" s="29">
        <f>TNOR!$F$32/TNOR!$F$11</f>
        <v>0</v>
      </c>
      <c r="L607" s="29">
        <f>TNOR!$G$32/TNOR!$G$11</f>
        <v>0</v>
      </c>
      <c r="M607" s="29" t="str">
        <f>TNOR!$H$32</f>
        <v>nm</v>
      </c>
      <c r="N607" s="30"/>
      <c r="O607" s="29">
        <f>(TNOR!$D$31+TNOR!$D$32)/TNOR!$D$11</f>
        <v>5.9038344491783322E-2</v>
      </c>
      <c r="P607" s="29">
        <f>(TNOR!$E$31+TNOR!$E$32)/TNOR!$E$11</f>
        <v>6.0219111381618985E-2</v>
      </c>
      <c r="Q607" s="29">
        <f>(TNOR!$F$31+TNOR!$F$32)/TNOR!$F$11</f>
        <v>9.3117923344379433E-2</v>
      </c>
      <c r="R607" s="29">
        <f>(TNOR!$G$31+TNOR!$G$32)/TNOR!$G$11</f>
        <v>6.2651963481436396E-2</v>
      </c>
      <c r="S607" s="29">
        <f>TNOR!$H$46</f>
        <v>-1.0268682346489255E-3</v>
      </c>
      <c r="T607" s="30"/>
      <c r="U607" s="32" t="str">
        <f t="shared" si="175"/>
        <v>NOK 164</v>
      </c>
      <c r="V607" s="28" t="str">
        <f t="shared" si="176"/>
        <v>Telenor</v>
      </c>
      <c r="X607" s="27"/>
      <c r="Y607" s="60"/>
    </row>
    <row r="608" spans="1:29">
      <c r="A608" s="25"/>
      <c r="C608" s="32" t="s">
        <v>846</v>
      </c>
      <c r="D608" s="28" t="str">
        <f t="shared" si="173"/>
        <v>SEK48.7</v>
      </c>
      <c r="E608" s="28" t="str">
        <f t="shared" si="173"/>
        <v>SEK45.0</v>
      </c>
      <c r="F608" s="29">
        <f t="shared" si="173"/>
        <v>-7.6165058509546357E-2</v>
      </c>
      <c r="G608" s="28" t="str">
        <f t="shared" si="173"/>
        <v>Neutral</v>
      </c>
      <c r="H608" s="30"/>
      <c r="I608" s="29">
        <f>TELIA!$D$32/TELIA!$D$11</f>
        <v>0</v>
      </c>
      <c r="J608" s="29">
        <f>TELIA!$E$32/TELIA!$E$11</f>
        <v>0</v>
      </c>
      <c r="K608" s="29">
        <f>TELIA!$F$32/TELIA!$F$11</f>
        <v>0</v>
      </c>
      <c r="L608" s="29">
        <f>TELIA!$G$32/TELIA!$G$11</f>
        <v>0</v>
      </c>
      <c r="M608" s="29" t="str">
        <f>TELIA!$H$32</f>
        <v>nm</v>
      </c>
      <c r="N608" s="30"/>
      <c r="O608" s="29">
        <f>(TELIA!$D$31+TELIA!$D$32)/TELIA!$D$11</f>
        <v>4.2085814001231778E-2</v>
      </c>
      <c r="P608" s="29">
        <f>(TELIA!$E$31+TELIA!$E$32)/TELIA!$E$11</f>
        <v>4.3137959351262578E-2</v>
      </c>
      <c r="Q608" s="29">
        <f>(TELIA!$F$31+TELIA!$F$32)/TELIA!$F$11</f>
        <v>4.4216408335044137E-2</v>
      </c>
      <c r="R608" s="29">
        <f>(TELIA!$G$31+TELIA!$G$32)/TELIA!$G$11</f>
        <v>4.5321818543420232E-2</v>
      </c>
      <c r="S608" s="29">
        <f>TELIA!$H$46</f>
        <v>2.4999999999999911E-2</v>
      </c>
      <c r="T608" s="30"/>
      <c r="U608" s="32" t="str">
        <f t="shared" si="175"/>
        <v>SEK48.7</v>
      </c>
      <c r="V608" s="28" t="str">
        <f t="shared" si="176"/>
        <v>Telia</v>
      </c>
      <c r="X608" s="27"/>
      <c r="Y608" s="60"/>
    </row>
    <row r="609" spans="1:25">
      <c r="A609" s="25"/>
      <c r="C609" s="35" t="str">
        <f>C550</f>
        <v>Agg. W.Europe Incumbent</v>
      </c>
      <c r="D609" s="36"/>
      <c r="E609" s="36"/>
      <c r="F609" s="37"/>
      <c r="G609" s="36"/>
      <c r="H609" s="30"/>
      <c r="I609" s="39">
        <f>'W.EUR INCUMB'!$D$32/'W.EUR INCUMB'!$D$11</f>
        <v>0</v>
      </c>
      <c r="J609" s="39">
        <f>'W.EUR INCUMB'!$E$32/'W.EUR INCUMB'!$E$11</f>
        <v>0</v>
      </c>
      <c r="K609" s="39">
        <f>'W.EUR INCUMB'!$F$32/'W.EUR INCUMB'!$F$11</f>
        <v>0</v>
      </c>
      <c r="L609" s="39">
        <f>'W.EUR INCUMB'!$G$32/'W.EUR INCUMB'!$G$11</f>
        <v>0</v>
      </c>
      <c r="M609" s="39" t="str">
        <f>'W.EUR INCUMB'!$H$32</f>
        <v>nm</v>
      </c>
      <c r="N609" s="40"/>
      <c r="O609" s="39">
        <f>('W.EUR INCUMB'!$D$31+'W.EUR INCUMB'!$D$32)/'W.EUR INCUMB'!$D$11</f>
        <v>3.8433837191367275E-2</v>
      </c>
      <c r="P609" s="39">
        <f>('W.EUR INCUMB'!$E$31+'W.EUR INCUMB'!$E$32)/'W.EUR INCUMB'!$E$11</f>
        <v>4.1806569876969436E-2</v>
      </c>
      <c r="Q609" s="39">
        <f>('W.EUR INCUMB'!$F$31+'W.EUR INCUMB'!$F$32)/'W.EUR INCUMB'!$F$11</f>
        <v>4.7609975589375048E-2</v>
      </c>
      <c r="R609" s="39">
        <f>('W.EUR INCUMB'!$G$31+'W.EUR INCUMB'!$G$32)/'W.EUR INCUMB'!$G$11</f>
        <v>4.9548921514355894E-2</v>
      </c>
      <c r="S609" s="39">
        <f>'W.EUR INCUMB'!$H$46</f>
        <v>8.2983942558335633E-2</v>
      </c>
      <c r="T609" s="30"/>
      <c r="U609" s="41"/>
      <c r="V609" s="42" t="str">
        <f t="shared" si="176"/>
        <v>Agg. W.Europe Incumbent</v>
      </c>
      <c r="X609" s="27"/>
      <c r="Y609" s="60"/>
    </row>
    <row r="610" spans="1:25">
      <c r="A610" s="25"/>
      <c r="C610" s="32"/>
      <c r="D610" s="28"/>
      <c r="E610" s="28"/>
      <c r="F610" s="29"/>
      <c r="G610" s="28"/>
      <c r="H610" s="30"/>
      <c r="I610" s="29"/>
      <c r="J610" s="29"/>
      <c r="K610" s="29"/>
      <c r="L610" s="29"/>
      <c r="M610" s="29"/>
      <c r="N610" s="30"/>
      <c r="O610" s="29"/>
      <c r="P610" s="29"/>
      <c r="Q610" s="29"/>
      <c r="R610" s="29"/>
      <c r="S610" s="29"/>
      <c r="T610" s="30"/>
      <c r="U610" s="32"/>
      <c r="V610" s="28"/>
    </row>
    <row r="611" spans="1:25">
      <c r="A611" s="25"/>
      <c r="B611" s="26" t="s">
        <v>424</v>
      </c>
      <c r="C611" s="32" t="s">
        <v>403</v>
      </c>
      <c r="D611" s="28" t="str">
        <f>B611&amp;TEXT(Prices!$C$45,"0.0")</f>
        <v>US$26.3</v>
      </c>
      <c r="E611" s="28" t="str">
        <f>B611&amp;TEXT(Prices!$E$45,"0.00")</f>
        <v>US$32.00</v>
      </c>
      <c r="F611" s="29">
        <f>Prices!$F$45</f>
        <v>0.21765601217656005</v>
      </c>
      <c r="G611" s="28" t="str">
        <f>Prices!$D$45</f>
        <v>Buy</v>
      </c>
      <c r="H611" s="30"/>
      <c r="I611" s="29">
        <f>ATT!$D$32/ATT!$D$11</f>
        <v>1.1550211930698418E-3</v>
      </c>
      <c r="J611" s="29">
        <f>ATT!$E$32/ATT!$E$11</f>
        <v>0</v>
      </c>
      <c r="K611" s="29">
        <f>ATT!$F$32/ATT!$F$11</f>
        <v>0</v>
      </c>
      <c r="L611" s="29">
        <f>ATT!$G$32/ATT!$G$11</f>
        <v>0</v>
      </c>
      <c r="M611" s="29" t="str">
        <f>ATT!$H$32</f>
        <v>nm</v>
      </c>
      <c r="N611" s="30"/>
      <c r="O611" s="29">
        <f>(ATT!$D$31+ATT!$D$32)/ATT!$D$11</f>
        <v>4.447757464665171E-2</v>
      </c>
      <c r="P611" s="29">
        <f>(ATT!$E$31+ATT!$E$32)/ATT!$E$11</f>
        <v>4.2925478049558305E-2</v>
      </c>
      <c r="Q611" s="29">
        <f>(ATT!$F$31+ATT!$F$32)/ATT!$F$11</f>
        <v>4.4015106678357528E-2</v>
      </c>
      <c r="R611" s="29">
        <f>(ATT!$G$31+ATT!$G$32)/ATT!$G$11</f>
        <v>4.3121454215362072E-2</v>
      </c>
      <c r="S611" s="29">
        <f>ATT!$H$46</f>
        <v>-3.9787741899543372E-2</v>
      </c>
      <c r="T611" s="30"/>
      <c r="U611" s="32" t="str">
        <f>D611</f>
        <v>US$26.3</v>
      </c>
      <c r="V611" s="28" t="str">
        <f>C611</f>
        <v xml:space="preserve">AT&amp;T </v>
      </c>
      <c r="X611" s="27"/>
      <c r="Y611" s="60"/>
    </row>
    <row r="612" spans="1:25">
      <c r="B612" s="26" t="s">
        <v>424</v>
      </c>
      <c r="C612" s="32" t="s">
        <v>570</v>
      </c>
      <c r="D612" s="28" t="str">
        <f>B612&amp;TEXT(Prices!$C$46,"0.0")</f>
        <v>US$191.5</v>
      </c>
      <c r="E612" s="28" t="str">
        <f>B612&amp;TEXT(Prices!$E$46,"0.0")</f>
        <v>US$296.0</v>
      </c>
      <c r="F612" s="29">
        <f>Prices!$F$46</f>
        <v>0.54593408889121009</v>
      </c>
      <c r="G612" s="28" t="str">
        <f>Prices!$D$46</f>
        <v>Buy</v>
      </c>
      <c r="H612" s="30"/>
      <c r="I612" s="29">
        <f>TMUS!$D$32/TMUS!$D$11</f>
        <v>6.0131657405761076E-2</v>
      </c>
      <c r="J612" s="29">
        <f>TMUS!$E$32/TMUS!$E$11</f>
        <v>6.4307429260627338E-2</v>
      </c>
      <c r="K612" s="29">
        <f>TMUS!$F$32/TMUS!$F$11</f>
        <v>4.7101174246074302E-2</v>
      </c>
      <c r="L612" s="29">
        <f>TMUS!$G$32/TMUS!$G$11</f>
        <v>5.1883117230542078E-2</v>
      </c>
      <c r="M612" s="29">
        <f>TMUS!$H$32</f>
        <v>-8.5998866614146574E-2</v>
      </c>
      <c r="N612" s="30"/>
      <c r="O612" s="29">
        <f>(TMUS!$D$31+TMUS!$D$32)/TMUS!$D$11</f>
        <v>7.9047927643448881E-2</v>
      </c>
      <c r="P612" s="29">
        <f>(TMUS!$E$31+TMUS!$E$32)/TMUS!$E$11</f>
        <v>8.6356815294991077E-2</v>
      </c>
      <c r="Q612" s="29">
        <f>(TMUS!$F$31+TMUS!$F$32)/TMUS!$F$11</f>
        <v>7.401626445702042E-2</v>
      </c>
      <c r="R612" s="29">
        <f>(TMUS!$G$31+TMUS!$G$32)/TMUS!$G$11</f>
        <v>8.4186406074407805E-2</v>
      </c>
      <c r="S612" s="29">
        <f>IFERROR(TMUS!$H$46,"na")</f>
        <v>-8.5998866614146574E-2</v>
      </c>
      <c r="T612" s="30"/>
      <c r="U612" s="32" t="str">
        <f>D612</f>
        <v>US$191.5</v>
      </c>
      <c r="V612" s="28" t="str">
        <f>C612</f>
        <v>TMUS</v>
      </c>
      <c r="X612" s="27"/>
      <c r="Y612" s="60"/>
    </row>
    <row r="613" spans="1:25">
      <c r="A613" s="25"/>
      <c r="B613" s="26" t="s">
        <v>424</v>
      </c>
      <c r="C613" s="32" t="s">
        <v>30</v>
      </c>
      <c r="D613" s="28" t="str">
        <f>B613&amp;TEXT(Prices!$C$44,"0.0")</f>
        <v>US$46.9</v>
      </c>
      <c r="E613" s="28" t="str">
        <f>B613&amp;TEXT(Prices!$E$44,"0.00")</f>
        <v>US$42.00</v>
      </c>
      <c r="F613" s="29">
        <f>Prices!$F$44</f>
        <v>-0.10371318822023046</v>
      </c>
      <c r="G613" s="28" t="str">
        <f>Prices!$D$44</f>
        <v>Neutral</v>
      </c>
      <c r="H613" s="30"/>
      <c r="I613" s="29">
        <f>VZN!$D$32/VZN!$D$11</f>
        <v>0</v>
      </c>
      <c r="J613" s="29">
        <f>VZN!$E$32/VZN!$E$11</f>
        <v>0</v>
      </c>
      <c r="K613" s="29">
        <f>VZN!$F$32/VZN!$F$11</f>
        <v>0</v>
      </c>
      <c r="L613" s="29">
        <f>VZN!$G$32/VZN!$G$11</f>
        <v>0</v>
      </c>
      <c r="M613" s="29" t="str">
        <f>VZN!$H$32</f>
        <v>nm</v>
      </c>
      <c r="N613" s="30"/>
      <c r="O613" s="29">
        <f>(VZN!$D$31+VZN!$D$32)/VZN!$D$11</f>
        <v>5.7776953045049019E-2</v>
      </c>
      <c r="P613" s="29">
        <f>(VZN!$E$31+VZN!$E$32)/VZN!$E$11</f>
        <v>5.9270725055732318E-2</v>
      </c>
      <c r="Q613" s="29">
        <f>(VZN!$F$31+VZN!$F$32)/VZN!$F$11</f>
        <v>6.0334831430161967E-2</v>
      </c>
      <c r="R613" s="29">
        <f>(VZN!$G$31+VZN!$G$32)/VZN!$G$11</f>
        <v>6.139893780459163E-2</v>
      </c>
      <c r="S613" s="29">
        <f>VZN!$H$46</f>
        <v>2.0474306066839754E-2</v>
      </c>
      <c r="T613" s="30"/>
      <c r="U613" s="32" t="str">
        <f>D613</f>
        <v>US$46.9</v>
      </c>
      <c r="V613" s="28" t="str">
        <f>C613</f>
        <v>Verizon</v>
      </c>
      <c r="X613" s="27"/>
      <c r="Y613" s="60"/>
    </row>
    <row r="614" spans="1:25">
      <c r="A614" s="25"/>
      <c r="C614" s="35" t="s">
        <v>214</v>
      </c>
      <c r="D614" s="36"/>
      <c r="E614" s="36"/>
      <c r="F614" s="37"/>
      <c r="G614" s="36"/>
      <c r="H614" s="30"/>
      <c r="I614" s="39">
        <f>'US TELCO'!$D$32/'US TELCO'!$D$11</f>
        <v>2.1969654695200309E-2</v>
      </c>
      <c r="J614" s="39">
        <f>'US TELCO'!$E$32/'US TELCO'!$E$11</f>
        <v>2.2706079669320537E-2</v>
      </c>
      <c r="K614" s="39">
        <f>'US TELCO'!$F$32/'US TELCO'!$F$11</f>
        <v>1.6441102868250543E-2</v>
      </c>
      <c r="L614" s="39">
        <f>'US TELCO'!$G$32/'US TELCO'!$G$11</f>
        <v>1.7712036561534587E-2</v>
      </c>
      <c r="M614" s="39">
        <f>'US TELCO'!$H$32</f>
        <v>-9.1023231740063881E-2</v>
      </c>
      <c r="N614" s="30"/>
      <c r="O614" s="39">
        <f>('US TELCO'!$D$31+'US TELCO'!$D$32)/'US TELCO'!$D$11</f>
        <v>6.1272160434465234E-2</v>
      </c>
      <c r="P614" s="39">
        <f>('US TELCO'!$E$31+'US TELCO'!$E$32)/'US TELCO'!$E$11</f>
        <v>6.3744410252143627E-2</v>
      </c>
      <c r="Q614" s="39">
        <f>('US TELCO'!$F$31+'US TELCO'!$F$32)/'US TELCO'!$F$11</f>
        <v>6.0125837151764457E-2</v>
      </c>
      <c r="R614" s="39">
        <f>('US TELCO'!$G$31+'US TELCO'!$G$32)/'US TELCO'!$G$11</f>
        <v>6.3588969137866505E-2</v>
      </c>
      <c r="S614" s="39">
        <f>'US TELCO'!$H$46</f>
        <v>-1.1195219112098531E-2</v>
      </c>
      <c r="T614" s="30"/>
      <c r="U614" s="41"/>
      <c r="V614" s="42" t="str">
        <f>C614</f>
        <v>Agg. US Telecoms</v>
      </c>
    </row>
    <row r="615" spans="1:25">
      <c r="A615" s="25"/>
      <c r="C615" s="32"/>
      <c r="D615" s="28"/>
      <c r="E615" s="28"/>
      <c r="F615" s="29"/>
      <c r="G615" s="28"/>
      <c r="H615" s="30"/>
      <c r="I615" s="29"/>
      <c r="J615" s="29"/>
      <c r="K615" s="29"/>
      <c r="L615" s="29"/>
      <c r="M615" s="29"/>
      <c r="N615" s="30"/>
      <c r="O615" s="29"/>
      <c r="P615" s="29"/>
      <c r="Q615" s="29"/>
      <c r="R615" s="29"/>
      <c r="S615" s="29"/>
      <c r="T615" s="30"/>
      <c r="U615" s="32"/>
      <c r="V615" s="28"/>
    </row>
    <row r="616" spans="1:25">
      <c r="A616" s="25"/>
      <c r="C616" s="32" t="str">
        <f t="shared" ref="C616:G617" si="177">C557</f>
        <v>NTT</v>
      </c>
      <c r="D616" s="28" t="str">
        <f t="shared" si="177"/>
        <v>JPY 152</v>
      </c>
      <c r="E616" s="28" t="str">
        <f t="shared" si="177"/>
        <v>JPY 215</v>
      </c>
      <c r="F616" s="29">
        <f t="shared" si="177"/>
        <v>0.41914191419141922</v>
      </c>
      <c r="G616" s="28" t="str">
        <f t="shared" si="177"/>
        <v>Buy</v>
      </c>
      <c r="H616" s="30"/>
      <c r="I616" s="29">
        <f>NTT!$D$32/NTT!$D$11</f>
        <v>2.0988420124439564E-2</v>
      </c>
      <c r="J616" s="29">
        <f>NTT!$E$32/NTT!$E$11</f>
        <v>4.1543027497714588E-2</v>
      </c>
      <c r="K616" s="29">
        <f>NTT!$F$32/NTT!$F$11</f>
        <v>-0.3843425216192079</v>
      </c>
      <c r="L616" s="29">
        <f>NTT!$G$32/NTT!$G$11</f>
        <v>2.1859628425873162E-2</v>
      </c>
      <c r="M616" s="29">
        <f>NTT!$H$32</f>
        <v>-5.8694265950181013E-3</v>
      </c>
      <c r="N616" s="30"/>
      <c r="O616" s="29">
        <f>(NTT!$D$31+NTT!$D$32)/NTT!$D$11</f>
        <v>5.5971918474274546E-2</v>
      </c>
      <c r="P616" s="29">
        <f>(NTT!$E$31+NTT!$E$32)/NTT!$E$11</f>
        <v>7.7186591854150235E-2</v>
      </c>
      <c r="Q616" s="29">
        <f>(NTT!$F$31+NTT!$F$32)/NTT!$F$11</f>
        <v>-0.34803889125617166</v>
      </c>
      <c r="R616" s="29">
        <f>(NTT!$G$31+NTT!$G$32)/NTT!$G$11</f>
        <v>5.8823324795510112E-2</v>
      </c>
      <c r="S616" s="29">
        <f>NTT!$H$46</f>
        <v>-2.8766652972656015E-3</v>
      </c>
      <c r="T616" s="30"/>
      <c r="U616" s="32" t="str">
        <f>U557</f>
        <v>JPY 152</v>
      </c>
      <c r="V616" s="28" t="str">
        <f>V557</f>
        <v>NTT</v>
      </c>
      <c r="X616" s="27"/>
      <c r="Y616" s="60"/>
    </row>
    <row r="617" spans="1:25">
      <c r="A617" s="25"/>
      <c r="C617" s="32" t="str">
        <f t="shared" si="177"/>
        <v>SingTel</v>
      </c>
      <c r="D617" s="28" t="str">
        <f t="shared" si="177"/>
        <v>SGD 4.63</v>
      </c>
      <c r="E617" s="28" t="str">
        <f t="shared" si="177"/>
        <v>SGD 6.20</v>
      </c>
      <c r="F617" s="29">
        <f t="shared" si="177"/>
        <v>0.33909287257019449</v>
      </c>
      <c r="G617" s="28" t="str">
        <f t="shared" si="177"/>
        <v>Buy</v>
      </c>
      <c r="H617" s="30"/>
      <c r="I617" s="29">
        <f>SINGTEL!$D$32/SINGTEL!$D$11</f>
        <v>0</v>
      </c>
      <c r="J617" s="29">
        <f>SINGTEL!$E$32/SINGTEL!$E$11</f>
        <v>0</v>
      </c>
      <c r="K617" s="29">
        <f>SINGTEL!$F$32/SINGTEL!$F$11</f>
        <v>0</v>
      </c>
      <c r="L617" s="29">
        <f>SINGTEL!$G$32/SINGTEL!$G$11</f>
        <v>0</v>
      </c>
      <c r="M617" s="29" t="str">
        <f>SINGTEL!$H$32</f>
        <v>nm</v>
      </c>
      <c r="N617" s="30"/>
      <c r="O617" s="29">
        <f>(SINGTEL!$D$31+SINGTEL!$D$32)/SINGTEL!$D$11</f>
        <v>4.8284147798622161E-2</v>
      </c>
      <c r="P617" s="29">
        <f>(SINGTEL!$E$31+SINGTEL!$E$32)/SINGTEL!$E$11</f>
        <v>5.5775411360022252E-2</v>
      </c>
      <c r="Q617" s="29">
        <f>(SINGTEL!$F$31+SINGTEL!$F$32)/SINGTEL!$F$11</f>
        <v>6.275406576537626E-2</v>
      </c>
      <c r="R617" s="29">
        <f>(SINGTEL!$G$31+SINGTEL!$G$32)/SINGTEL!$G$11</f>
        <v>6.4972223189371986E-2</v>
      </c>
      <c r="S617" s="29">
        <f>SINGTEL!$H$46</f>
        <v>9.3008884154504257E-2</v>
      </c>
      <c r="T617" s="30"/>
      <c r="U617" s="32" t="str">
        <f>U558</f>
        <v>SGD 4.63</v>
      </c>
      <c r="V617" s="28" t="str">
        <f>V558</f>
        <v>SingTel</v>
      </c>
    </row>
    <row r="618" spans="1:25">
      <c r="A618" s="25"/>
      <c r="C618" s="35" t="str">
        <f>C559</f>
        <v>Agg. Developed Asia Incumbent</v>
      </c>
      <c r="D618" s="42"/>
      <c r="E618" s="42"/>
      <c r="F618" s="39"/>
      <c r="G618" s="42"/>
      <c r="H618" s="40"/>
      <c r="I618" s="39">
        <f>'DM ASIA INCUMB'!$D$32/'DM ASIA INCUMB'!$D$11</f>
        <v>1.1850811145146323E-2</v>
      </c>
      <c r="J618" s="39">
        <f>'DM ASIA INCUMB'!$E$32/'DM ASIA INCUMB'!$E$11</f>
        <v>2.3364203711673852E-2</v>
      </c>
      <c r="K618" s="39">
        <f>'DM ASIA INCUMB'!$F$32/'DM ASIA INCUMB'!$F$11</f>
        <v>-0.21526635855933199</v>
      </c>
      <c r="L618" s="39">
        <f>'DM ASIA INCUMB'!$G$32/'DM ASIA INCUMB'!$G$11</f>
        <v>1.2190508226326995E-2</v>
      </c>
      <c r="M618" s="39">
        <f>'DM ASIA INCUMB'!$H$32</f>
        <v>-5.8694265950181013E-3</v>
      </c>
      <c r="N618" s="40"/>
      <c r="O618" s="39">
        <f>('DM ASIA INCUMB'!$D$31+'DM ASIA INCUMB'!$D$32)/'DM ASIA INCUMB'!$D$11</f>
        <v>5.2624937522869362E-2</v>
      </c>
      <c r="P618" s="39">
        <f>('DM ASIA INCUMB'!$E$31+'DM ASIA INCUMB'!$E$32)/'DM ASIA INCUMB'!$E$11</f>
        <v>6.7817268030187755E-2</v>
      </c>
      <c r="Q618" s="39">
        <f>('DM ASIA INCUMB'!$F$31+'DM ASIA INCUMB'!$F$32)/'DM ASIA INCUMB'!$F$11</f>
        <v>-0.16732691410461015</v>
      </c>
      <c r="R618" s="39">
        <f>('DM ASIA INCUMB'!$G$31+'DM ASIA INCUMB'!$G$32)/'DM ASIA INCUMB'!$G$11</f>
        <v>6.1543153170757155E-2</v>
      </c>
      <c r="S618" s="39">
        <f>'DM ASIA INCUMB'!H949</f>
        <v>0</v>
      </c>
      <c r="T618" s="40"/>
      <c r="U618" s="35"/>
      <c r="V618" s="42" t="str">
        <f>V559</f>
        <v xml:space="preserve">Agg. Developed Asia Incumbent </v>
      </c>
      <c r="X618" s="27"/>
      <c r="Y618" s="60"/>
    </row>
    <row r="619" spans="1:25">
      <c r="A619" s="25"/>
      <c r="C619" s="27"/>
      <c r="D619" s="34"/>
      <c r="E619" s="34"/>
      <c r="F619" s="45"/>
      <c r="G619" s="34"/>
      <c r="H619" s="40"/>
      <c r="I619" s="45"/>
      <c r="J619" s="45"/>
      <c r="K619" s="45"/>
      <c r="L619" s="45"/>
      <c r="M619" s="45"/>
      <c r="N619" s="40"/>
      <c r="O619" s="45"/>
      <c r="P619" s="45"/>
      <c r="Q619" s="45"/>
      <c r="R619" s="45"/>
      <c r="S619" s="45"/>
      <c r="T619" s="40"/>
      <c r="U619" s="27"/>
      <c r="V619" s="34"/>
      <c r="X619" s="27"/>
      <c r="Y619" s="60"/>
    </row>
    <row r="620" spans="1:25">
      <c r="A620" s="25"/>
      <c r="C620" s="35" t="s">
        <v>717</v>
      </c>
      <c r="D620" s="42"/>
      <c r="E620" s="42"/>
      <c r="F620" s="39"/>
      <c r="G620" s="42"/>
      <c r="H620" s="40"/>
      <c r="I620" s="39">
        <f>'AGG DM INCUMB'!$D$32/'AGG DM INCUMB'!$D$11</f>
        <v>1.3009483267646843E-2</v>
      </c>
      <c r="J620" s="39">
        <f>'AGG DM INCUMB'!$E$32/'AGG DM INCUMB'!$E$11</f>
        <v>1.4716223123237606E-2</v>
      </c>
      <c r="K620" s="39">
        <f>'AGG DM INCUMB'!$F$32/'AGG DM INCUMB'!$F$11</f>
        <v>-1.7171871466378299E-2</v>
      </c>
      <c r="L620" s="39">
        <f>'AGG DM INCUMB'!$G$32/'AGG DM INCUMB'!$G$11</f>
        <v>1.0591419996435036E-2</v>
      </c>
      <c r="M620" s="39">
        <f>'AGG DM INCUMB'!$H$32</f>
        <v>-8.1009813730885005E-2</v>
      </c>
      <c r="N620" s="40"/>
      <c r="O620" s="39">
        <f>('AGG DM INCUMB'!$D$31+'AGG DM INCUMB'!$D$32)/'AGG DM INCUMB'!$D$11</f>
        <v>5.2180477455027359E-2</v>
      </c>
      <c r="P620" s="39">
        <f>('AGG DM INCUMB'!$E$31+'AGG DM INCUMB'!$E$32)/'AGG DM INCUMB'!$E$11</f>
        <v>5.6434308585634689E-2</v>
      </c>
      <c r="Q620" s="39">
        <f>('AGG DM INCUMB'!$F$31+'AGG DM INCUMB'!$F$32)/'AGG DM INCUMB'!$F$11</f>
        <v>2.8437623670780218E-2</v>
      </c>
      <c r="R620" s="39">
        <f>('AGG DM INCUMB'!$G$31+'AGG DM INCUMB'!$G$32)/'AGG DM INCUMB'!$G$11</f>
        <v>5.8222527322531366E-2</v>
      </c>
      <c r="S620" s="39">
        <f>'AGG DM INCUMB'!H951</f>
        <v>0</v>
      </c>
      <c r="T620" s="40"/>
      <c r="U620" s="35"/>
      <c r="V620" s="42" t="str">
        <f>C620</f>
        <v>Agg. DM Incumbent total</v>
      </c>
      <c r="X620" s="27"/>
      <c r="Y620" s="60"/>
    </row>
    <row r="621" spans="1:25">
      <c r="A621" s="25"/>
      <c r="C621" s="25"/>
      <c r="D621" s="28"/>
      <c r="E621" s="28"/>
      <c r="F621" s="29"/>
      <c r="G621" s="28"/>
      <c r="H621" s="30"/>
      <c r="I621" s="29"/>
      <c r="J621" s="29"/>
      <c r="K621" s="29"/>
      <c r="L621" s="29"/>
      <c r="M621" s="29"/>
      <c r="N621" s="30"/>
      <c r="O621" s="29"/>
      <c r="P621" s="29"/>
      <c r="Q621" s="29"/>
      <c r="R621" s="29"/>
      <c r="S621" s="29"/>
      <c r="T621" s="30"/>
      <c r="U621" s="32"/>
      <c r="V621" s="34"/>
      <c r="X621" s="27"/>
      <c r="Y621" s="60"/>
    </row>
    <row r="622" spans="1:25">
      <c r="A622" s="25" t="s">
        <v>1091</v>
      </c>
      <c r="C622" s="32" t="str">
        <f t="shared" ref="C622:G634" si="178">C563</f>
        <v>1&amp;1</v>
      </c>
      <c r="D622" s="28" t="str">
        <f t="shared" si="178"/>
        <v>EUR 23.2</v>
      </c>
      <c r="E622" s="28" t="str">
        <f t="shared" si="178"/>
        <v>EUR 10.0</v>
      </c>
      <c r="F622" s="29">
        <f t="shared" si="178"/>
        <v>-0.56803455723542107</v>
      </c>
      <c r="G622" s="28" t="str">
        <f t="shared" si="178"/>
        <v>Sell</v>
      </c>
      <c r="H622" s="30"/>
      <c r="I622" s="29">
        <f>DRI!$D$32/DRI!$D$11</f>
        <v>0</v>
      </c>
      <c r="J622" s="29">
        <f>DRI!$E$32/DRI!$E$11</f>
        <v>0</v>
      </c>
      <c r="K622" s="29">
        <f>DRI!$F$32/DRI!$F$11</f>
        <v>0</v>
      </c>
      <c r="L622" s="29">
        <f>DRI!$G$32/DRI!$G$11</f>
        <v>0</v>
      </c>
      <c r="M622" s="29" t="str">
        <f>DRI!$H$32</f>
        <v>nm</v>
      </c>
      <c r="N622" s="30"/>
      <c r="O622" s="29">
        <f>(DRI!$D$31+DRI!$D$32)/DRI!$D$11</f>
        <v>2.1598272138228943E-3</v>
      </c>
      <c r="P622" s="29">
        <f>(DRI!$E$31+DRI!$E$32)/DRI!$E$11</f>
        <v>2.1598272138228943E-3</v>
      </c>
      <c r="Q622" s="29">
        <f>(DRI!$F$31+DRI!$F$32)/DRI!$F$11</f>
        <v>2.1598272138228943E-3</v>
      </c>
      <c r="R622" s="29">
        <f>(DRI!$G$31+DRI!$G$32)/DRI!$G$11</f>
        <v>2.1598272138228943E-3</v>
      </c>
      <c r="S622" s="29">
        <f>DRI!$H$46</f>
        <v>0</v>
      </c>
      <c r="T622" s="30"/>
      <c r="U622" s="32" t="str">
        <f t="shared" ref="U622:V624" si="179">U563</f>
        <v>EUR 23.2</v>
      </c>
      <c r="V622" s="28" t="str">
        <f t="shared" si="179"/>
        <v>1&amp;1</v>
      </c>
    </row>
    <row r="623" spans="1:25">
      <c r="A623" s="25"/>
      <c r="C623" s="32" t="str">
        <f t="shared" si="178"/>
        <v>Bouygues</v>
      </c>
      <c r="D623" s="28" t="str">
        <f t="shared" si="178"/>
        <v>EUR 51.8</v>
      </c>
      <c r="E623" s="28" t="str">
        <f t="shared" si="178"/>
        <v>EUR 64.0</v>
      </c>
      <c r="F623" s="29">
        <f t="shared" si="178"/>
        <v>0.23599845500193117</v>
      </c>
      <c r="G623" s="28" t="str">
        <f t="shared" si="178"/>
        <v>Buy</v>
      </c>
      <c r="H623" s="30"/>
      <c r="I623" s="29">
        <f>BOUY!$D$32/BOUY!$D$11</f>
        <v>0</v>
      </c>
      <c r="J623" s="29">
        <f>BOUY!$E$32/BOUY!$E$11</f>
        <v>0</v>
      </c>
      <c r="K623" s="29">
        <f>BOUY!$F$32/BOUY!$F$11</f>
        <v>0</v>
      </c>
      <c r="L623" s="29">
        <f>BOUY!$G$32/BOUY!$G$11</f>
        <v>0</v>
      </c>
      <c r="M623" s="29" t="str">
        <f>BOUY!$H$32</f>
        <v>nm</v>
      </c>
      <c r="N623" s="30"/>
      <c r="O623" s="29">
        <f>(BOUY!$D$31+BOUY!$D$32)/BOUY!$D$11</f>
        <v>4.0556199304750871E-2</v>
      </c>
      <c r="P623" s="29">
        <f>(BOUY!$E$31+BOUY!$E$32)/BOUY!$E$11</f>
        <v>4.2584009269988413E-2</v>
      </c>
      <c r="Q623" s="29">
        <f>(BOUY!$F$31+BOUY!$F$32)/BOUY!$F$11</f>
        <v>4.4713209733487837E-2</v>
      </c>
      <c r="R623" s="29">
        <f>(BOUY!$G$31+BOUY!$G$32)/BOUY!$G$11</f>
        <v>4.6948870220162232E-2</v>
      </c>
      <c r="S623" s="29">
        <f>BOUY!$H$46</f>
        <v>5.0000000000000044E-2</v>
      </c>
      <c r="T623" s="30"/>
      <c r="U623" s="32" t="str">
        <f t="shared" si="179"/>
        <v>EUR 51.8</v>
      </c>
      <c r="V623" s="28" t="str">
        <f t="shared" si="179"/>
        <v>Bouygues</v>
      </c>
    </row>
    <row r="624" spans="1:25">
      <c r="C624" s="32" t="str">
        <f t="shared" si="178"/>
        <v>Elisa</v>
      </c>
      <c r="D624" s="28" t="str">
        <f t="shared" si="178"/>
        <v>EUR 41.9</v>
      </c>
      <c r="E624" s="28" t="str">
        <f t="shared" si="178"/>
        <v>EUR 39.0</v>
      </c>
      <c r="F624" s="29">
        <f t="shared" si="178"/>
        <v>-6.9256376181545454E-2</v>
      </c>
      <c r="G624" s="28" t="str">
        <f t="shared" si="178"/>
        <v>Neutral</v>
      </c>
      <c r="H624" s="30"/>
      <c r="I624" s="29">
        <f>ELISA!$D$32/ELISA!$D$11</f>
        <v>0</v>
      </c>
      <c r="J624" s="29">
        <f>ELISA!$E$32/ELISA!$E$11</f>
        <v>0</v>
      </c>
      <c r="K624" s="29">
        <f>ELISA!$F$32/ELISA!$F$11</f>
        <v>0</v>
      </c>
      <c r="L624" s="29">
        <f>ELISA!$G$32/ELISA!$G$11</f>
        <v>0</v>
      </c>
      <c r="M624" s="29" t="str">
        <f>ELISA!$H$32</f>
        <v>nm</v>
      </c>
      <c r="N624" s="30"/>
      <c r="O624" s="29">
        <f>(ELISA!$D$31+ELISA!$D$32)/ELISA!$D$11</f>
        <v>5.7306590257879653E-2</v>
      </c>
      <c r="P624" s="29">
        <f>(ELISA!$E$31+ELISA!$E$32)/ELISA!$E$11</f>
        <v>6.0171919770773637E-2</v>
      </c>
      <c r="Q624" s="29">
        <f>(ELISA!$F$31+ELISA!$F$32)/ELISA!$F$11</f>
        <v>6.3180515759312328E-2</v>
      </c>
      <c r="R624" s="29">
        <f>(ELISA!$G$31+ELISA!$G$32)/ELISA!$G$11</f>
        <v>6.6339541547277947E-2</v>
      </c>
      <c r="S624" s="29">
        <f>ELISA!$H$46</f>
        <v>5.0000000000000044E-2</v>
      </c>
      <c r="T624" s="30"/>
      <c r="U624" s="32" t="str">
        <f t="shared" si="179"/>
        <v>EUR 41.9</v>
      </c>
      <c r="V624" s="28" t="str">
        <f t="shared" si="179"/>
        <v>Elisa</v>
      </c>
      <c r="X624" s="27"/>
      <c r="Y624" s="60"/>
    </row>
    <row r="625" spans="1:29">
      <c r="C625" s="32" t="str">
        <f t="shared" si="178"/>
        <v>Eutelsat</v>
      </c>
      <c r="D625" s="28" t="str">
        <f t="shared" si="178"/>
        <v>EUR 2.8</v>
      </c>
      <c r="E625" s="28" t="str">
        <f t="shared" si="178"/>
        <v>EUR 1.4</v>
      </c>
      <c r="F625" s="29">
        <f t="shared" si="178"/>
        <v>-0.5</v>
      </c>
      <c r="G625" s="28" t="str">
        <f t="shared" si="178"/>
        <v>Sell</v>
      </c>
      <c r="H625" s="30"/>
      <c r="I625" s="29">
        <f>ETL!$D$32/ETL!$D$11</f>
        <v>0</v>
      </c>
      <c r="J625" s="29">
        <f>ETL!$E$32/ETL!$E$11</f>
        <v>0</v>
      </c>
      <c r="K625" s="29">
        <f>ETL!$F$32/ETL!$F$11</f>
        <v>0</v>
      </c>
      <c r="L625" s="29">
        <f>ETL!$G$32/ETL!$G$11</f>
        <v>0</v>
      </c>
      <c r="M625" s="29" t="str">
        <f>ETL!$H$32</f>
        <v>nm</v>
      </c>
      <c r="N625" s="30"/>
      <c r="O625" s="29">
        <f>(ETL!$D$31+ETL!$D$32)/ETL!$D$11</f>
        <v>0</v>
      </c>
      <c r="P625" s="29">
        <f>(ETL!$E$31+ETL!$E$32)/ETL!$E$11</f>
        <v>0</v>
      </c>
      <c r="Q625" s="29">
        <f>(ETL!$F$31+ETL!$F$32)/ETL!$F$11</f>
        <v>0</v>
      </c>
      <c r="R625" s="29">
        <f>(ETL!$G$31+ETL!$G$32)/ETL!$G$11</f>
        <v>0</v>
      </c>
      <c r="S625" s="29" t="e">
        <f>ETL!$H$46</f>
        <v>#DIV/0!</v>
      </c>
      <c r="T625" s="30"/>
      <c r="U625" s="32" t="str">
        <f t="shared" ref="U625:U634" si="180">U566</f>
        <v>EUR 2.8</v>
      </c>
      <c r="V625" s="28" t="s">
        <v>1283</v>
      </c>
      <c r="X625" s="27"/>
      <c r="Y625" s="60"/>
    </row>
    <row r="626" spans="1:29">
      <c r="A626" s="25"/>
      <c r="C626" s="32" t="str">
        <f t="shared" si="178"/>
        <v>Liberty Global (prop.)</v>
      </c>
      <c r="D626" s="28" t="str">
        <f t="shared" si="178"/>
        <v>USD 12.0</v>
      </c>
      <c r="E626" s="28" t="str">
        <f t="shared" si="178"/>
        <v>USD 12.5</v>
      </c>
      <c r="F626" s="29">
        <f t="shared" si="178"/>
        <v>4.4277360066833804E-2</v>
      </c>
      <c r="G626" s="28" t="str">
        <f t="shared" si="178"/>
        <v>Neutral</v>
      </c>
      <c r="H626" s="30"/>
      <c r="I626" s="29">
        <f>LBTY!$D$32/LBTY!$D$11</f>
        <v>0</v>
      </c>
      <c r="J626" s="29">
        <f>LBTY!$E$32/LBTY!$E$11</f>
        <v>0</v>
      </c>
      <c r="K626" s="29">
        <f>LBTY!$F$32/LBTY!$F$11</f>
        <v>0</v>
      </c>
      <c r="L626" s="29">
        <f>LBTY!$G$32/LBTY!$G$11</f>
        <v>0</v>
      </c>
      <c r="M626" s="29" t="str">
        <f>LBTY!$H$32</f>
        <v>nm</v>
      </c>
      <c r="N626" s="30"/>
      <c r="O626" s="29">
        <f>(LBTY!$D$31+LBTY!$D$32)/LBTY!$D$11</f>
        <v>0</v>
      </c>
      <c r="P626" s="29">
        <f>(LBTY!$E$31+LBTY!$E$32)/LBTY!$E$11</f>
        <v>0</v>
      </c>
      <c r="Q626" s="29">
        <f>(LBTY!$F$31+LBTY!$F$32)/LBTY!$F$11</f>
        <v>0</v>
      </c>
      <c r="R626" s="29">
        <f>(LBTY!$G$31+LBTY!$G$32)/LBTY!$G$11</f>
        <v>0</v>
      </c>
      <c r="S626" s="29" t="str">
        <f>IFERROR(LBTY!$H$46,"na")</f>
        <v>na</v>
      </c>
      <c r="T626" s="30"/>
      <c r="U626" s="32" t="str">
        <f t="shared" si="180"/>
        <v>USD 12.0</v>
      </c>
      <c r="V626" s="28" t="str">
        <f t="shared" ref="V626:V635" si="181">V567</f>
        <v>Liberty Global</v>
      </c>
      <c r="X626" s="27"/>
      <c r="Y626" s="60"/>
    </row>
    <row r="627" spans="1:29">
      <c r="A627" s="25"/>
      <c r="C627" s="32" t="str">
        <f t="shared" si="178"/>
        <v>NOS</v>
      </c>
      <c r="D627" s="28" t="str">
        <f t="shared" si="178"/>
        <v>EUR 5.65</v>
      </c>
      <c r="E627" s="28" t="str">
        <f t="shared" si="178"/>
        <v>EUR 5.50</v>
      </c>
      <c r="F627" s="29">
        <f t="shared" si="178"/>
        <v>-2.6548672566371723E-2</v>
      </c>
      <c r="G627" s="28" t="str">
        <f t="shared" si="178"/>
        <v>Neutral</v>
      </c>
      <c r="H627" s="30"/>
      <c r="I627" s="29">
        <f>NOS!$D$32/NOS!$D$11</f>
        <v>0</v>
      </c>
      <c r="J627" s="29">
        <f>NOS!$E$32/NOS!$E$11</f>
        <v>0</v>
      </c>
      <c r="K627" s="29">
        <f>NOS!$F$32/NOS!$F$11</f>
        <v>0</v>
      </c>
      <c r="L627" s="29">
        <f>NOS!$G$32/NOS!$G$11</f>
        <v>0</v>
      </c>
      <c r="M627" s="29" t="str">
        <f>NOS!$H$32</f>
        <v>nm</v>
      </c>
      <c r="N627" s="30"/>
      <c r="O627" s="29">
        <f>(NOS!$D$31+NOS!$D$32)/NOS!$D$11</f>
        <v>6.1946902654867256E-2</v>
      </c>
      <c r="P627" s="29">
        <f>(NOS!$E$31+NOS!$E$32)/NOS!$E$11</f>
        <v>6.1946902654867256E-2</v>
      </c>
      <c r="Q627" s="29">
        <f>(NOS!$F$31+NOS!$F$32)/NOS!$F$11</f>
        <v>5.7610619469026535E-2</v>
      </c>
      <c r="R627" s="29">
        <f>(NOS!$G$31+NOS!$G$32)/NOS!$G$11</f>
        <v>5.184955752212389E-2</v>
      </c>
      <c r="S627" s="29">
        <f>NOS!$H$46</f>
        <v>-5.7585804282582087E-2</v>
      </c>
      <c r="T627" s="30"/>
      <c r="U627" s="32" t="str">
        <f t="shared" si="180"/>
        <v>EUR 5.65</v>
      </c>
      <c r="V627" s="28" t="str">
        <f t="shared" si="181"/>
        <v>NOS</v>
      </c>
      <c r="X627" s="27"/>
      <c r="Y627" s="60"/>
    </row>
    <row r="628" spans="1:29">
      <c r="C628" s="32" t="str">
        <f t="shared" si="178"/>
        <v>Orange Belgium</v>
      </c>
      <c r="D628" s="28" t="str">
        <f t="shared" si="178"/>
        <v>EUR 21.0</v>
      </c>
      <c r="E628" s="28" t="str">
        <f t="shared" si="178"/>
        <v>EUR 21.1</v>
      </c>
      <c r="F628" s="29">
        <f t="shared" si="178"/>
        <v>5.150744566468024E-3</v>
      </c>
      <c r="G628" s="28" t="str">
        <f t="shared" si="178"/>
        <v>Neutral</v>
      </c>
      <c r="H628" s="30"/>
      <c r="I628" s="29">
        <f>OBEL!$D$32/OBEL!$D$11</f>
        <v>0</v>
      </c>
      <c r="J628" s="29">
        <f>OBEL!$E$32/OBEL!$E$11</f>
        <v>0</v>
      </c>
      <c r="K628" s="29">
        <f>OBEL!$F$32/OBEL!$F$11</f>
        <v>0</v>
      </c>
      <c r="L628" s="29">
        <f>OBEL!$G$32/OBEL!$G$11</f>
        <v>0</v>
      </c>
      <c r="M628" s="29" t="str">
        <f>OBEL!$H$32</f>
        <v>nm</v>
      </c>
      <c r="N628" s="30"/>
      <c r="O628" s="29">
        <f>(OBEL!$D$31+OBEL!$D$32)/OBEL!$D$11</f>
        <v>0</v>
      </c>
      <c r="P628" s="29">
        <f>(OBEL!$E$31+OBEL!$E$32)/OBEL!$E$11</f>
        <v>0</v>
      </c>
      <c r="Q628" s="29">
        <f>(OBEL!$F$31+OBEL!$F$32)/OBEL!$F$11</f>
        <v>0</v>
      </c>
      <c r="R628" s="29">
        <f>(OBEL!$G$31+OBEL!$G$32)/OBEL!$G$11</f>
        <v>7.1428571428571438E-2</v>
      </c>
      <c r="S628" s="29" t="str">
        <f>OBEL!$H$46</f>
        <v>nm</v>
      </c>
      <c r="T628" s="30"/>
      <c r="U628" s="32" t="str">
        <f t="shared" si="180"/>
        <v>EUR 21.0</v>
      </c>
      <c r="V628" s="28" t="str">
        <f t="shared" si="181"/>
        <v>Orange Belgium</v>
      </c>
      <c r="X628" s="27"/>
      <c r="Y628" s="60"/>
    </row>
    <row r="629" spans="1:29">
      <c r="C629" s="32" t="str">
        <f t="shared" si="178"/>
        <v>SES</v>
      </c>
      <c r="D629" s="28" t="str">
        <f t="shared" si="178"/>
        <v>EUR 6.6</v>
      </c>
      <c r="E629" s="28" t="str">
        <f t="shared" si="178"/>
        <v>EUR 6.0</v>
      </c>
      <c r="F629" s="404">
        <f t="shared" si="178"/>
        <v>-9.297052154195018E-2</v>
      </c>
      <c r="G629" s="28" t="str">
        <f t="shared" si="178"/>
        <v>Neutral</v>
      </c>
      <c r="H629" s="30"/>
      <c r="I629" s="404">
        <f>SES!$D$32/SES!$D$11</f>
        <v>0</v>
      </c>
      <c r="J629" s="404">
        <f>SES!$E$32/SES!$E$11</f>
        <v>0</v>
      </c>
      <c r="K629" s="404">
        <f>SES!$F$32/SES!$F$11</f>
        <v>0</v>
      </c>
      <c r="L629" s="404">
        <f>SES!$G$32/SES!$G$11</f>
        <v>0</v>
      </c>
      <c r="M629" s="404" t="str">
        <f>SES!$H$32</f>
        <v>nm</v>
      </c>
      <c r="N629" s="30"/>
      <c r="O629" s="404">
        <f>(SES!$D$31+SES!$D$32)/SES!$D$11</f>
        <v>7.5585789871504161E-2</v>
      </c>
      <c r="P629" s="404">
        <f>(SES!$E$31+SES!$E$32)/SES!$E$11</f>
        <v>7.5585789871504161E-2</v>
      </c>
      <c r="Q629" s="404">
        <f>(SES!$F$31+SES!$F$32)/SES!$F$11</f>
        <v>7.5585789871504161E-2</v>
      </c>
      <c r="R629" s="404">
        <f>(SES!$G$31+SES!$G$32)/SES!$G$11</f>
        <v>7.5585789871504161E-2</v>
      </c>
      <c r="S629" s="404">
        <f>SES!$H$46</f>
        <v>0</v>
      </c>
      <c r="T629" s="30"/>
      <c r="U629" s="32" t="str">
        <f t="shared" si="180"/>
        <v>EUR 6.6</v>
      </c>
      <c r="V629" s="28" t="str">
        <f t="shared" si="181"/>
        <v>SES</v>
      </c>
      <c r="X629" s="27"/>
      <c r="Y629" s="60"/>
    </row>
    <row r="630" spans="1:29">
      <c r="C630" s="32" t="str">
        <f t="shared" si="178"/>
        <v>Sunrise</v>
      </c>
      <c r="D630" s="28" t="str">
        <f t="shared" si="178"/>
        <v>CHF46.1</v>
      </c>
      <c r="E630" s="28" t="str">
        <f t="shared" si="178"/>
        <v>CHF38.7</v>
      </c>
      <c r="F630" s="29">
        <f t="shared" si="178"/>
        <v>-0.15959504533103386</v>
      </c>
      <c r="G630" s="28" t="str">
        <f t="shared" si="178"/>
        <v>Sell</v>
      </c>
      <c r="H630" s="30"/>
      <c r="I630" s="29">
        <f>SUNN!$D$32/SUNN!$D$11</f>
        <v>0</v>
      </c>
      <c r="J630" s="29">
        <f>SUNN!$E$32/SUNN!$E$11</f>
        <v>0</v>
      </c>
      <c r="K630" s="29">
        <f>SUNN!$F$32/SUNN!$F$11</f>
        <v>0</v>
      </c>
      <c r="L630" s="29">
        <f>SUNN!$G$32/SUNN!$G$11</f>
        <v>0</v>
      </c>
      <c r="M630" s="29" t="str">
        <f>SUNN!$H$32</f>
        <v>nm</v>
      </c>
      <c r="N630" s="30"/>
      <c r="O630" s="29">
        <f>(SUNN!$D$31+SUNN!$D$32)/SUNN!$D$11</f>
        <v>7.1629580873982662E-2</v>
      </c>
      <c r="P630" s="29">
        <f>(SUNN!$E$31+SUNN!$E$32)/SUNN!$E$11</f>
        <v>7.4340087094890248E-2</v>
      </c>
      <c r="Q630" s="29">
        <f>(SUNN!$F$31+SUNN!$F$32)/SUNN!$F$11</f>
        <v>7.569584541055524E-2</v>
      </c>
      <c r="R630" s="29">
        <f>(SUNN!$G$31+SUNN!$G$32)/SUNN!$G$11</f>
        <v>7.6798089779668635E-2</v>
      </c>
      <c r="S630" s="29">
        <f>SUNN!$H$46</f>
        <v>2.9280019670324453E-2</v>
      </c>
      <c r="T630" s="30"/>
      <c r="U630" s="32" t="str">
        <f t="shared" si="180"/>
        <v>CHF46.1</v>
      </c>
      <c r="V630" s="28" t="str">
        <f t="shared" si="181"/>
        <v>Sunrise</v>
      </c>
      <c r="X630" s="27"/>
      <c r="Y630" s="60"/>
    </row>
    <row r="631" spans="1:29">
      <c r="C631" s="32" t="str">
        <f t="shared" si="178"/>
        <v>Tele2</v>
      </c>
      <c r="D631" s="28" t="str">
        <f t="shared" si="178"/>
        <v>SEK 189.7</v>
      </c>
      <c r="E631" s="28" t="str">
        <f t="shared" si="178"/>
        <v>SEK 170.0</v>
      </c>
      <c r="F631" s="29">
        <f t="shared" si="178"/>
        <v>-0.10361191668863701</v>
      </c>
      <c r="G631" s="28" t="str">
        <f t="shared" si="178"/>
        <v>Neutral</v>
      </c>
      <c r="H631" s="30"/>
      <c r="I631" s="29">
        <f>TELE2!$D$32/TELE2!$D$11</f>
        <v>0</v>
      </c>
      <c r="J631" s="29">
        <f>TELE2!$E$32/TELE2!$E$11</f>
        <v>0</v>
      </c>
      <c r="K631" s="29">
        <f>TELE2!$F$32/TELE2!$F$11</f>
        <v>0</v>
      </c>
      <c r="L631" s="29">
        <f>TELE2!$G$32/TELE2!$G$11</f>
        <v>0</v>
      </c>
      <c r="M631" s="29" t="str">
        <f>TELE2!$H$32</f>
        <v>nm</v>
      </c>
      <c r="N631" s="30"/>
      <c r="O631" s="29">
        <f>(TELE2!$D$31+TELE2!$D$32)/TELE2!$D$11</f>
        <v>5.4640633935933422E-2</v>
      </c>
      <c r="P631" s="29">
        <f>(TELE2!$E$31+TELE2!$E$32)/TELE2!$E$11</f>
        <v>5.5733446614652092E-2</v>
      </c>
      <c r="Q631" s="29">
        <f>(TELE2!$F$31+TELE2!$F$32)/TELE2!$F$11</f>
        <v>5.6848115546945133E-2</v>
      </c>
      <c r="R631" s="29">
        <f>(TELE2!$G$31+TELE2!$G$32)/TELE2!$G$11</f>
        <v>5.7985077857884038E-2</v>
      </c>
      <c r="S631" s="29">
        <f>TELE2!$H$46</f>
        <v>2.0000000000000018E-2</v>
      </c>
      <c r="T631" s="30"/>
      <c r="U631" s="32" t="str">
        <f t="shared" si="180"/>
        <v>SEK 189.7</v>
      </c>
      <c r="V631" s="28" t="str">
        <f t="shared" si="181"/>
        <v>Tele2</v>
      </c>
      <c r="X631" s="27"/>
      <c r="Y631" s="60"/>
    </row>
    <row r="632" spans="1:29">
      <c r="A632" s="25"/>
      <c r="C632" s="32" t="str">
        <f t="shared" si="178"/>
        <v>United Internet</v>
      </c>
      <c r="D632" s="28" t="str">
        <f t="shared" si="178"/>
        <v>EUR 26.7</v>
      </c>
      <c r="E632" s="28" t="str">
        <f t="shared" si="178"/>
        <v>EUR 33.0</v>
      </c>
      <c r="F632" s="29">
        <f t="shared" si="178"/>
        <v>0.23688155922038989</v>
      </c>
      <c r="G632" s="28" t="str">
        <f t="shared" si="178"/>
        <v>Neutral</v>
      </c>
      <c r="H632" s="30"/>
      <c r="I632" s="29">
        <f>UTDI!$D$32/UTDI!$D$11</f>
        <v>0</v>
      </c>
      <c r="J632" s="29">
        <f>UTDI!$E$32/UTDI!$E$11</f>
        <v>0</v>
      </c>
      <c r="K632" s="29">
        <f>UTDI!$F$32/UTDI!$F$11</f>
        <v>0</v>
      </c>
      <c r="L632" s="29">
        <f>UTDI!$G$32/UTDI!$G$11</f>
        <v>0</v>
      </c>
      <c r="M632" s="29" t="str">
        <f>UTDI!$H$32</f>
        <v>nm</v>
      </c>
      <c r="N632" s="30"/>
      <c r="O632" s="29">
        <f>(UTDI!$D$31+UTDI!$D$32)/UTDI!$D$11</f>
        <v>1.4992503748125939E-2</v>
      </c>
      <c r="P632" s="29">
        <f>(UTDI!$E$31+UTDI!$E$32)/UTDI!$E$11</f>
        <v>1.4992503748125939E-2</v>
      </c>
      <c r="Q632" s="29">
        <f>(UTDI!$F$31+UTDI!$F$32)/UTDI!$F$11</f>
        <v>1.4992503748125939E-2</v>
      </c>
      <c r="R632" s="29">
        <f>(UTDI!$G$31+UTDI!$G$32)/UTDI!$G$11</f>
        <v>1.4992503748125939E-2</v>
      </c>
      <c r="S632" s="29">
        <f>UTDI!$H$46</f>
        <v>0</v>
      </c>
      <c r="T632" s="30"/>
      <c r="U632" s="32" t="str">
        <f t="shared" si="180"/>
        <v>EUR 26.7</v>
      </c>
      <c r="V632" s="28" t="str">
        <f t="shared" si="181"/>
        <v>United Internet</v>
      </c>
      <c r="X632" s="27"/>
      <c r="Y632" s="60"/>
    </row>
    <row r="633" spans="1:29">
      <c r="C633" s="32" t="str">
        <f t="shared" si="178"/>
        <v>Vodafone</v>
      </c>
      <c r="D633" s="28" t="str">
        <f t="shared" si="178"/>
        <v>GBP 1.16</v>
      </c>
      <c r="E633" s="28" t="str">
        <f t="shared" si="178"/>
        <v>GBP 1.30</v>
      </c>
      <c r="F633" s="29">
        <f t="shared" si="178"/>
        <v>0.12117291936179386</v>
      </c>
      <c r="G633" s="28" t="str">
        <f t="shared" si="178"/>
        <v>Buy</v>
      </c>
      <c r="H633" s="30"/>
      <c r="I633" s="29">
        <f>VOD!$D$32/VOD!$D$11</f>
        <v>0</v>
      </c>
      <c r="J633" s="29">
        <f>VOD!$E$32/VOD!$E$11</f>
        <v>0</v>
      </c>
      <c r="K633" s="29">
        <f>VOD!$F$32/VOD!$F$11</f>
        <v>0</v>
      </c>
      <c r="L633" s="29">
        <f>VOD!$G$32/VOD!$G$11</f>
        <v>0</v>
      </c>
      <c r="M633" s="29" t="str">
        <f>VOD!$H$32</f>
        <v>nm</v>
      </c>
      <c r="N633" s="30"/>
      <c r="O633" s="29">
        <f>(VOD!$D$31+VOD!$D$32)/VOD!$D$11</f>
        <v>3.43728830530401E-2</v>
      </c>
      <c r="P633" s="29">
        <f>(VOD!$E$31+VOD!$E$32)/VOD!$E$11</f>
        <v>3.5027312111254851E-2</v>
      </c>
      <c r="Q633" s="29">
        <f>(VOD!$F$31+VOD!$F$32)/VOD!$F$11</f>
        <v>3.5727858353479948E-2</v>
      </c>
      <c r="R633" s="29">
        <f>(VOD!$G$31+VOD!$G$32)/VOD!$G$11</f>
        <v>3.6442415520549554E-2</v>
      </c>
      <c r="S633" s="29">
        <f>VOD!$H$46</f>
        <v>1.7654293856629977E-2</v>
      </c>
      <c r="T633" s="30"/>
      <c r="U633" s="32" t="str">
        <f t="shared" si="180"/>
        <v>GBP 1.16</v>
      </c>
      <c r="V633" s="28" t="str">
        <f t="shared" si="181"/>
        <v>Vodafone</v>
      </c>
    </row>
    <row r="634" spans="1:29">
      <c r="C634" s="32" t="str">
        <f t="shared" si="178"/>
        <v>Zegona</v>
      </c>
      <c r="D634" s="28" t="str">
        <f t="shared" si="178"/>
        <v>GBP 17.92</v>
      </c>
      <c r="E634" s="28" t="str">
        <f t="shared" si="178"/>
        <v>GBP 14.75</v>
      </c>
      <c r="F634" s="29">
        <f t="shared" si="178"/>
        <v>-0.17689732142857151</v>
      </c>
      <c r="G634" s="28" t="str">
        <f t="shared" si="178"/>
        <v>Neutral</v>
      </c>
      <c r="H634" s="30"/>
      <c r="I634" s="29">
        <f>ZEG!$D$32/ZEG!$D$11</f>
        <v>0</v>
      </c>
      <c r="J634" s="29">
        <f>ZEG!$E$32/ZEG!$E$11</f>
        <v>0</v>
      </c>
      <c r="K634" s="29">
        <f>ZEG!$F$32/ZEG!$F$11</f>
        <v>0</v>
      </c>
      <c r="L634" s="29">
        <f>ZEG!$G$32/ZEG!$G$11</f>
        <v>0</v>
      </c>
      <c r="M634" s="29" t="str">
        <f>ZEG!$H$32</f>
        <v>nm</v>
      </c>
      <c r="N634" s="30"/>
      <c r="O634" s="29">
        <f>(ZEG!$D$31+ZEG!$D$32)/ZEG!$D$11</f>
        <v>2.4184610979913226E-2</v>
      </c>
      <c r="P634" s="29">
        <f>(ZEG!$E$31+ZEG!$E$32)/ZEG!$E$11</f>
        <v>2.9021533175895873E-2</v>
      </c>
      <c r="Q634" s="29">
        <f>(ZEG!$F$31+ZEG!$F$32)/ZEG!$F$11</f>
        <v>3.0472609834690668E-2</v>
      </c>
      <c r="R634" s="29">
        <f>(ZEG!$G$31+ZEG!$G$32)/ZEG!$G$11</f>
        <v>3.9614392785097867E-2</v>
      </c>
      <c r="S634" s="29">
        <f>ZEG!$H$46</f>
        <v>0.17879413343610695</v>
      </c>
      <c r="T634" s="30"/>
      <c r="U634" s="32" t="str">
        <f t="shared" si="180"/>
        <v>GBP 17.92</v>
      </c>
      <c r="V634" s="28" t="str">
        <f t="shared" si="181"/>
        <v>Zegona</v>
      </c>
    </row>
    <row r="635" spans="1:29">
      <c r="C635" s="35" t="str">
        <f>C576</f>
        <v>Agg. W. Europe Other</v>
      </c>
      <c r="D635" s="36"/>
      <c r="E635" s="36"/>
      <c r="F635" s="37"/>
      <c r="G635" s="36"/>
      <c r="H635" s="30"/>
      <c r="I635" s="39">
        <f>'W.EUR OTHER'!$D$32/'W.EUR OTHER'!$D$11</f>
        <v>0</v>
      </c>
      <c r="J635" s="39">
        <f>'W.EUR OTHER'!$E$32/'W.EUR OTHER'!$E$11</f>
        <v>0</v>
      </c>
      <c r="K635" s="39">
        <f>'W.EUR OTHER'!$F$32/'W.EUR OTHER'!$F$11</f>
        <v>0</v>
      </c>
      <c r="L635" s="39">
        <f>'W.EUR OTHER'!$G$32/'W.EUR OTHER'!$G$11</f>
        <v>0</v>
      </c>
      <c r="M635" s="39" t="str">
        <f>'W.EUR OTHER'!$H$32</f>
        <v>nm</v>
      </c>
      <c r="N635" s="40"/>
      <c r="O635" s="39">
        <f>('W.EUR OTHER'!$D$31+'W.EUR OTHER'!$D$32)/'W.EUR OTHER'!$D$11</f>
        <v>3.8590223701861853E-2</v>
      </c>
      <c r="P635" s="39">
        <f>('W.EUR OTHER'!$E$31+'W.EUR OTHER'!$E$32)/'W.EUR OTHER'!$E$11</f>
        <v>3.991085519827961E-2</v>
      </c>
      <c r="Q635" s="39">
        <f>('W.EUR OTHER'!$F$31+'W.EUR OTHER'!$F$32)/'W.EUR OTHER'!$F$11</f>
        <v>4.0904800170073315E-2</v>
      </c>
      <c r="R635" s="39">
        <f>('W.EUR OTHER'!$G$31+'W.EUR OTHER'!$G$32)/'W.EUR OTHER'!$G$11</f>
        <v>4.3230152986554353E-2</v>
      </c>
      <c r="S635" s="39">
        <f>'W.EUR OTHER'!$H$46</f>
        <v>3.8610043639548675E-2</v>
      </c>
      <c r="T635" s="30"/>
      <c r="U635" s="41"/>
      <c r="V635" s="42" t="str">
        <f t="shared" si="181"/>
        <v>Agg. W. Europe Other</v>
      </c>
    </row>
    <row r="636" spans="1:29">
      <c r="C636" s="32"/>
      <c r="D636" s="28"/>
      <c r="E636" s="28"/>
      <c r="F636" s="29"/>
      <c r="G636" s="28"/>
      <c r="H636" s="30"/>
      <c r="I636" s="29"/>
      <c r="J636" s="29"/>
      <c r="K636" s="29"/>
      <c r="L636" s="29"/>
      <c r="M636" s="29"/>
      <c r="N636" s="30"/>
      <c r="O636" s="29"/>
      <c r="P636" s="29"/>
      <c r="Q636" s="29"/>
      <c r="R636" s="29"/>
      <c r="S636" s="29"/>
      <c r="T636" s="30"/>
      <c r="U636" s="32"/>
      <c r="V636" s="28"/>
      <c r="X636" s="27"/>
      <c r="Y636" s="60"/>
    </row>
    <row r="637" spans="1:29">
      <c r="C637" s="32" t="str">
        <f t="shared" ref="C637:G639" si="182">C578</f>
        <v>KDDI</v>
      </c>
      <c r="D637" s="28" t="str">
        <f t="shared" si="182"/>
        <v>JPY 2,565</v>
      </c>
      <c r="E637" s="28" t="str">
        <f t="shared" si="182"/>
        <v>JPY 3,150</v>
      </c>
      <c r="F637" s="29">
        <f t="shared" si="182"/>
        <v>0.22807017543859653</v>
      </c>
      <c r="G637" s="28" t="str">
        <f t="shared" si="182"/>
        <v>Buy</v>
      </c>
      <c r="H637" s="30"/>
      <c r="I637" s="29">
        <f>KDDI!$D$32/KDDI!$D$11</f>
        <v>1.8463929622802151E-2</v>
      </c>
      <c r="J637" s="29">
        <f>KDDI!$E$32/KDDI!$E$11</f>
        <v>-1.5849974988287746E-2</v>
      </c>
      <c r="K637" s="29">
        <f>KDDI!$F$32/KDDI!$F$11</f>
        <v>1.6342117067150767E-2</v>
      </c>
      <c r="L637" s="29">
        <f>KDDI!$G$32/KDDI!$G$11</f>
        <v>1.686580055256718E-2</v>
      </c>
      <c r="M637" s="29">
        <f>KDDI!$H$32</f>
        <v>-5.8963971118971448E-2</v>
      </c>
      <c r="N637" s="30"/>
      <c r="O637" s="29">
        <f>(KDDI!$D$31+KDDI!$D$32)/KDDI!$D$11</f>
        <v>4.965301344346492E-2</v>
      </c>
      <c r="P637" s="29">
        <f>(KDDI!$E$31+KDDI!$E$32)/KDDI!$E$11</f>
        <v>1.728842657116645E-2</v>
      </c>
      <c r="Q637" s="29">
        <f>(KDDI!$F$31+KDDI!$F$32)/KDDI!$F$11</f>
        <v>5.1429836365396386E-2</v>
      </c>
      <c r="R637" s="29">
        <f>(KDDI!$G$31+KDDI!$G$32)/KDDI!$G$11</f>
        <v>5.3902837589604222E-2</v>
      </c>
      <c r="S637" s="29">
        <f>KDDI!$H$46</f>
        <v>-3.2169392378770256E-3</v>
      </c>
      <c r="T637" s="30"/>
      <c r="U637" s="32" t="str">
        <f t="shared" ref="U637:V639" si="183">U578</f>
        <v>JPY 2,565</v>
      </c>
      <c r="V637" s="28" t="str">
        <f t="shared" si="183"/>
        <v>KDDI</v>
      </c>
    </row>
    <row r="638" spans="1:29">
      <c r="C638" s="32" t="str">
        <f t="shared" si="182"/>
        <v>Rakuten</v>
      </c>
      <c r="D638" s="28" t="str">
        <f t="shared" si="182"/>
        <v>JPY 775</v>
      </c>
      <c r="E638" s="28" t="str">
        <f t="shared" si="182"/>
        <v>JPY 510</v>
      </c>
      <c r="F638" s="29">
        <f t="shared" si="182"/>
        <v>-0.3421901199535663</v>
      </c>
      <c r="G638" s="28" t="str">
        <f t="shared" si="182"/>
        <v>Reduce</v>
      </c>
      <c r="H638" s="30"/>
      <c r="I638" s="29">
        <f>RAK!$D$32/RAK!$D$11</f>
        <v>0</v>
      </c>
      <c r="J638" s="29">
        <f>RAK!$E$32/RAK!$E$11</f>
        <v>0</v>
      </c>
      <c r="K638" s="29">
        <f>RAK!$F$32/RAK!$F$11</f>
        <v>0</v>
      </c>
      <c r="L638" s="29">
        <f>RAK!$G$32/RAK!$G$11</f>
        <v>0.33104861528933988</v>
      </c>
      <c r="M638" s="29" t="str">
        <f>RAK!$H$32</f>
        <v>nm</v>
      </c>
      <c r="N638" s="30"/>
      <c r="O638" s="29">
        <f>(RAK!$D$31+RAK!$D$32)/RAK!$D$11</f>
        <v>0</v>
      </c>
      <c r="P638" s="29">
        <f>(RAK!$E$31+RAK!$E$32)/RAK!$E$11</f>
        <v>0</v>
      </c>
      <c r="Q638" s="29">
        <f>(RAK!$F$31+RAK!$F$32)/RAK!$F$11</f>
        <v>0</v>
      </c>
      <c r="R638" s="29">
        <f>(RAK!$G$31+RAK!$G$32)/RAK!$G$11</f>
        <v>0.33104861528933988</v>
      </c>
      <c r="S638" s="29" t="e">
        <f>RAK!$H$46</f>
        <v>#DIV/0!</v>
      </c>
      <c r="T638" s="30"/>
      <c r="U638" s="32" t="str">
        <f t="shared" si="183"/>
        <v>JPY 775</v>
      </c>
      <c r="V638" s="28" t="str">
        <f t="shared" si="183"/>
        <v>Rakuten</v>
      </c>
      <c r="X638" s="27"/>
      <c r="Y638" s="60"/>
      <c r="AC638" s="47"/>
    </row>
    <row r="639" spans="1:29">
      <c r="C639" s="32" t="str">
        <f t="shared" si="182"/>
        <v>SoftBank KK (Corp)</v>
      </c>
      <c r="D639" s="28" t="str">
        <f t="shared" si="182"/>
        <v>JPY 220</v>
      </c>
      <c r="E639" s="28" t="str">
        <f t="shared" si="182"/>
        <v>JPY 270</v>
      </c>
      <c r="F639" s="29">
        <f t="shared" si="182"/>
        <v>0.22615803814713908</v>
      </c>
      <c r="G639" s="28" t="str">
        <f t="shared" si="182"/>
        <v>Buy</v>
      </c>
      <c r="H639" s="30"/>
      <c r="I639" s="29">
        <f>SBKK!$D$32/SBKK!$D$11</f>
        <v>0</v>
      </c>
      <c r="J639" s="29">
        <f>SBKK!$E$32/SBKK!$E$11</f>
        <v>5.1659705544843698E-2</v>
      </c>
      <c r="K639" s="29">
        <f>SBKK!$F$32/SBKK!$F$11</f>
        <v>6.6274406547442433E-3</v>
      </c>
      <c r="L639" s="29">
        <f>SBKK!$G$32/SBKK!$G$11</f>
        <v>0</v>
      </c>
      <c r="M639" s="29" t="str">
        <f>SBKK!$H$32</f>
        <v>nm</v>
      </c>
      <c r="N639" s="30"/>
      <c r="O639" s="29">
        <f>(SBKK!$D$31+SBKK!$D$32)/SBKK!$D$11</f>
        <v>3.9055404178019983E-2</v>
      </c>
      <c r="P639" s="29">
        <f>(SBKK!$E$31+SBKK!$E$32)/SBKK!$E$11</f>
        <v>9.0715109722863688E-2</v>
      </c>
      <c r="Q639" s="29">
        <f>(SBKK!$F$31+SBKK!$F$32)/SBKK!$F$11</f>
        <v>4.5682844832764226E-2</v>
      </c>
      <c r="R639" s="29">
        <f>(SBKK!$G$31+SBKK!$G$32)/SBKK!$G$11</f>
        <v>3.9055404178019983E-2</v>
      </c>
      <c r="S639" s="29">
        <f>SBKK!$H$46</f>
        <v>-1.0797071545027737E-2</v>
      </c>
      <c r="T639" s="30"/>
      <c r="U639" s="32" t="str">
        <f t="shared" si="183"/>
        <v>JPY 220</v>
      </c>
      <c r="V639" s="28" t="str">
        <f t="shared" si="183"/>
        <v>SoftBank KK (Corp)</v>
      </c>
      <c r="X639" s="27"/>
      <c r="Y639" s="60"/>
    </row>
    <row r="640" spans="1:29">
      <c r="C640" s="35" t="str">
        <f>C581</f>
        <v>Agg. Developed Asia Other</v>
      </c>
      <c r="D640" s="36"/>
      <c r="E640" s="36"/>
      <c r="F640" s="37"/>
      <c r="G640" s="36"/>
      <c r="H640" s="30"/>
      <c r="I640" s="39">
        <f>'DM ASIA OTHER'!$D$32/'DM ASIA OTHER'!$D$11</f>
        <v>8.2845421587515421E-3</v>
      </c>
      <c r="J640" s="39">
        <f>'DM ASIA OTHER'!$E$32/'DM ASIA OTHER'!$E$11</f>
        <v>1.7664730436237768E-2</v>
      </c>
      <c r="K640" s="39">
        <f>'DM ASIA OTHER'!$F$32/'DM ASIA OTHER'!$F$11</f>
        <v>1.0357590890168307E-2</v>
      </c>
      <c r="L640" s="39">
        <f>'DM ASIA OTHER'!$G$32/'DM ASIA OTHER'!$G$11</f>
        <v>3.42214013828019E-2</v>
      </c>
      <c r="M640" s="39">
        <f>'DM ASIA OTHER'!$H$32</f>
        <v>0.57478781796790046</v>
      </c>
      <c r="N640" s="40"/>
      <c r="O640" s="39">
        <f>('DM ASIA OTHER'!$D$31+'DM ASIA OTHER'!$D$32)/'DM ASIA OTHER'!$D$11</f>
        <v>4.0807880017692588E-2</v>
      </c>
      <c r="P640" s="39">
        <f>('DM ASIA OTHER'!$E$31+'DM ASIA OTHER'!$E$32)/'DM ASIA OTHER'!$E$11</f>
        <v>5.103697220796264E-2</v>
      </c>
      <c r="Q640" s="39">
        <f>('DM ASIA OTHER'!$F$31+'DM ASIA OTHER'!$F$32)/'DM ASIA OTHER'!$F$11</f>
        <v>4.455770648457192E-2</v>
      </c>
      <c r="R640" s="39">
        <f>('DM ASIA OTHER'!$G$31+'DM ASIA OTHER'!$G$32)/'DM ASIA OTHER'!$G$11</f>
        <v>6.9227147241122555E-2</v>
      </c>
      <c r="S640" s="39">
        <f>'DM ASIA OTHER'!H$46</f>
        <v>0.17054942112470028</v>
      </c>
      <c r="T640" s="30"/>
      <c r="U640" s="41"/>
      <c r="V640" s="42" t="str">
        <f>V581</f>
        <v>Agg. Developed Asia Cellular</v>
      </c>
      <c r="X640" s="27"/>
      <c r="Y640" s="60"/>
    </row>
    <row r="641" spans="1:29">
      <c r="A641" s="25"/>
      <c r="C641" s="32"/>
      <c r="D641" s="28"/>
      <c r="E641" s="28"/>
      <c r="F641" s="29"/>
      <c r="G641" s="28"/>
      <c r="H641" s="30"/>
      <c r="I641" s="29"/>
      <c r="J641" s="29"/>
      <c r="K641" s="29"/>
      <c r="L641" s="29"/>
      <c r="M641" s="29"/>
      <c r="N641" s="30"/>
      <c r="O641" s="29"/>
      <c r="P641" s="29"/>
      <c r="Q641" s="29"/>
      <c r="R641" s="29"/>
      <c r="S641" s="29"/>
      <c r="T641" s="30"/>
      <c r="U641" s="32"/>
      <c r="V641" s="28"/>
      <c r="X641" s="27"/>
      <c r="Y641" s="60"/>
    </row>
    <row r="642" spans="1:29">
      <c r="A642" s="25"/>
      <c r="B642" s="26" t="s">
        <v>424</v>
      </c>
      <c r="C642" s="32" t="str">
        <f>C583</f>
        <v>Altice US</v>
      </c>
      <c r="D642" s="28" t="str">
        <f>D583</f>
        <v>US$1.7</v>
      </c>
      <c r="E642" s="28" t="str">
        <f>E583</f>
        <v>US$2.5</v>
      </c>
      <c r="F642" s="29">
        <f>F583</f>
        <v>0.49700598802395213</v>
      </c>
      <c r="G642" s="28" t="str">
        <f>G583</f>
        <v>Neutral</v>
      </c>
      <c r="H642" s="30"/>
      <c r="I642" s="29">
        <f>ATCUS!$D$32/ATCUS!$D$11</f>
        <v>0</v>
      </c>
      <c r="J642" s="29">
        <f>ATCUS!$E$32/ATCUS!$E$11</f>
        <v>0</v>
      </c>
      <c r="K642" s="29">
        <f>ATCUS!$F$32/ATCUS!$F$11</f>
        <v>0</v>
      </c>
      <c r="L642" s="29">
        <f>ATCUS!$G$32/ATCUS!$G$11</f>
        <v>0</v>
      </c>
      <c r="M642" s="29" t="str">
        <f>ATCUS!$H$32</f>
        <v>nm</v>
      </c>
      <c r="N642" s="30"/>
      <c r="O642" s="29">
        <f>(ATCUS!$D$31+ATCUS!$D$32)/ATCUS!$D$11</f>
        <v>0</v>
      </c>
      <c r="P642" s="29">
        <f>(ATCUS!$E$31+ATCUS!$E$32)/ATCUS!$E$11</f>
        <v>0</v>
      </c>
      <c r="Q642" s="29">
        <f>(ATCUS!$F$31+ATCUS!$F$32)/ATCUS!$F$11</f>
        <v>0</v>
      </c>
      <c r="R642" s="29">
        <f>(ATCUS!$G$31+ATCUS!$G$32)/ATCUS!$G$11</f>
        <v>0</v>
      </c>
      <c r="S642" s="29" t="e">
        <f>ATCUS!$H$46</f>
        <v>#DIV/0!</v>
      </c>
      <c r="T642" s="30"/>
      <c r="U642" s="32" t="str">
        <f>D642</f>
        <v>US$1.7</v>
      </c>
      <c r="V642" s="28" t="str">
        <f t="shared" ref="V642:V646" si="184">C642</f>
        <v>Altice US</v>
      </c>
    </row>
    <row r="643" spans="1:29">
      <c r="A643" s="25"/>
      <c r="B643" s="26" t="s">
        <v>424</v>
      </c>
      <c r="C643" s="32" t="s">
        <v>258</v>
      </c>
      <c r="D643" s="28" t="str">
        <f>B643&amp;TEXT(Prices!$C$50,"0.0")</f>
        <v>US$222.0</v>
      </c>
      <c r="E643" s="28" t="str">
        <f>B643&amp;TEXT(Prices!$E$50,"0.0")</f>
        <v>US$328.0</v>
      </c>
      <c r="F643" s="29">
        <f>Prices!$F$50</f>
        <v>0.47747747747747749</v>
      </c>
      <c r="G643" s="28" t="str">
        <f>Prices!$D$50</f>
        <v>Buy</v>
      </c>
      <c r="H643" s="30"/>
      <c r="I643" s="29">
        <f>CHTR!$D$32/CHTR!$D$11</f>
        <v>0.32742637938144942</v>
      </c>
      <c r="J643" s="29">
        <f>CHTR!$E$32/CHTR!$E$11</f>
        <v>0.28635844944827071</v>
      </c>
      <c r="K643" s="29">
        <f>CHTR!$F$32/CHTR!$F$11</f>
        <v>-1.9654140189198427E-6</v>
      </c>
      <c r="L643" s="29">
        <f>CHTR!$G$32/CHTR!$G$11</f>
        <v>0</v>
      </c>
      <c r="M643" s="29" t="str">
        <f>CHTR!$H$32</f>
        <v>nm</v>
      </c>
      <c r="N643" s="30"/>
      <c r="O643" s="29">
        <f>(CHTR!$D$31+CHTR!$D$32)/CHTR!$D$11</f>
        <v>0.32742637938144942</v>
      </c>
      <c r="P643" s="29">
        <f>(CHTR!$E$31+CHTR!$E$32)/CHTR!$E$11</f>
        <v>0.28635844944827071</v>
      </c>
      <c r="Q643" s="29">
        <f>(CHTR!$F$31+CHTR!$F$32)/CHTR!$F$11</f>
        <v>-1.9654140189198427E-6</v>
      </c>
      <c r="R643" s="29">
        <f>(CHTR!$G$31+CHTR!$G$32)/CHTR!$G$11</f>
        <v>0</v>
      </c>
      <c r="S643" s="29">
        <f>CHTR!$H$46</f>
        <v>-1</v>
      </c>
      <c r="T643" s="30"/>
      <c r="U643" s="32" t="str">
        <f>D643</f>
        <v>US$222.0</v>
      </c>
      <c r="V643" s="28" t="str">
        <f t="shared" si="184"/>
        <v>Charter</v>
      </c>
    </row>
    <row r="644" spans="1:29">
      <c r="A644" s="25"/>
      <c r="B644" s="26" t="s">
        <v>424</v>
      </c>
      <c r="C644" s="32" t="s">
        <v>257</v>
      </c>
      <c r="D644" s="28" t="str">
        <f>B644&amp;TEXT(Prices!$C$51,"0.0")</f>
        <v>US$30.2</v>
      </c>
      <c r="E644" s="28" t="str">
        <f>B644&amp;TEXT(Prices!$E$51,"0.0")</f>
        <v>US$36.0</v>
      </c>
      <c r="F644" s="29">
        <f>Prices!$F$51</f>
        <v>0.19027938502231767</v>
      </c>
      <c r="G644" s="28" t="str">
        <f>Prices!$D$51</f>
        <v>Buy</v>
      </c>
      <c r="H644" s="30"/>
      <c r="I644" s="29">
        <f>CMCSA!$D$32/CMCSA!$D$11</f>
        <v>5.0873605654267441E-2</v>
      </c>
      <c r="J644" s="29">
        <f>CMCSA!$E$32/CMCSA!$E$11</f>
        <v>0.10916274249361113</v>
      </c>
      <c r="K644" s="29">
        <f>CMCSA!$F$32/CMCSA!$F$11</f>
        <v>0</v>
      </c>
      <c r="L644" s="29">
        <f>CMCSA!$G$32/CMCSA!$G$11</f>
        <v>0</v>
      </c>
      <c r="M644" s="29" t="str">
        <f>CMCSA!$H$32</f>
        <v>nm</v>
      </c>
      <c r="N644" s="30"/>
      <c r="O644" s="29">
        <f>(CMCSA!$D$31+CMCSA!$D$32)/CMCSA!$D$11</f>
        <v>8.8951648854343174E-2</v>
      </c>
      <c r="P644" s="29">
        <f>(CMCSA!$E$31+CMCSA!$E$32)/CMCSA!$E$11</f>
        <v>0.15136781741446664</v>
      </c>
      <c r="Q644" s="29">
        <f>(CMCSA!$F$31+CMCSA!$F$32)/CMCSA!$F$11</f>
        <v>0</v>
      </c>
      <c r="R644" s="29">
        <f>(CMCSA!$G$31+CMCSA!$G$32)/CMCSA!$G$11</f>
        <v>0</v>
      </c>
      <c r="S644" s="29">
        <f>CMCSA!$H$46</f>
        <v>-1</v>
      </c>
      <c r="T644" s="30"/>
      <c r="U644" s="32" t="str">
        <f>D644</f>
        <v>US$30.2</v>
      </c>
      <c r="V644" s="28" t="str">
        <f t="shared" si="184"/>
        <v>Comcast</v>
      </c>
    </row>
    <row r="645" spans="1:29">
      <c r="A645" s="25"/>
      <c r="B645" s="26" t="s">
        <v>431</v>
      </c>
      <c r="C645" s="32" t="s">
        <v>1264</v>
      </c>
      <c r="D645" s="28" t="str">
        <f>B645&amp;TEXT(Prices!C$52,"0.0")</f>
        <v>US$ 119.1</v>
      </c>
      <c r="E645" s="28" t="str">
        <f>B645&amp;TEXT(Prices!E$52,"0.0")</f>
        <v>US$ 0.0</v>
      </c>
      <c r="F645" s="29">
        <f>Prices!F$52</f>
        <v>-1</v>
      </c>
      <c r="G645" s="28" t="str">
        <f>Prices!D$52</f>
        <v>Buy</v>
      </c>
      <c r="H645" s="30"/>
      <c r="I645" s="29">
        <f>SATS!D$32/SATS!D$11</f>
        <v>0</v>
      </c>
      <c r="J645" s="29">
        <f>SATS!E$32/SATS!E$11</f>
        <v>0</v>
      </c>
      <c r="K645" s="29">
        <f>SATS!F$32/SATS!F$11</f>
        <v>0</v>
      </c>
      <c r="L645" s="29">
        <f>SATS!G$32/SATS!G$11</f>
        <v>0</v>
      </c>
      <c r="M645" s="29" t="str">
        <f>SATS!H$32</f>
        <v>nm</v>
      </c>
      <c r="N645" s="30"/>
      <c r="O645" s="29">
        <f>(SATS!D$31+SATS!D$32)/SATS!D$11</f>
        <v>0</v>
      </c>
      <c r="P645" s="29">
        <f>(SATS!E$31+SATS!E$32)/SATS!E$11</f>
        <v>0</v>
      </c>
      <c r="Q645" s="29">
        <f>(SATS!F$31+SATS!F$32)/SATS!F$11</f>
        <v>0</v>
      </c>
      <c r="R645" s="29">
        <f>(SATS!G$31+SATS!G$32)/SATS!G$11</f>
        <v>0</v>
      </c>
      <c r="S645" s="29" t="str">
        <f>SATS!H$46</f>
        <v>nm</v>
      </c>
      <c r="T645" s="30"/>
      <c r="U645" s="32" t="str">
        <f>D645</f>
        <v>US$ 119.1</v>
      </c>
      <c r="V645" s="28" t="str">
        <f t="shared" si="184"/>
        <v>EchoStar</v>
      </c>
    </row>
    <row r="646" spans="1:29">
      <c r="A646" s="25"/>
      <c r="C646" s="35" t="str">
        <f>C587</f>
        <v>Agg. US Other</v>
      </c>
      <c r="D646" s="42"/>
      <c r="E646" s="42"/>
      <c r="F646" s="39"/>
      <c r="G646" s="42"/>
      <c r="H646" s="40"/>
      <c r="I646" s="39">
        <f>'US OTHER'!D$32/'US OTHER'!D$11</f>
        <v>9.0121573410895647E-2</v>
      </c>
      <c r="J646" s="39">
        <f>'US OTHER'!E$32/'US OTHER'!E$11</f>
        <v>0.11813736554733792</v>
      </c>
      <c r="K646" s="39">
        <f>'US OTHER'!F$32/'US OTHER'!F$11</f>
        <v>-3.6320368415181106E-7</v>
      </c>
      <c r="L646" s="39">
        <f>'US OTHER'!G$32/'US OTHER'!G$11</f>
        <v>0</v>
      </c>
      <c r="M646" s="39" t="str">
        <f>'US OTHER'!H$32</f>
        <v>nm</v>
      </c>
      <c r="N646" s="40"/>
      <c r="O646" s="39">
        <f>('US OTHER'!D$31+'US OTHER'!D$32)/'US OTHER'!D$11</f>
        <v>0.1135356050117876</v>
      </c>
      <c r="P646" s="39">
        <f>('US OTHER'!E$31+'US OTHER'!E$32)/'US OTHER'!E$11</f>
        <v>0.1436581537776308</v>
      </c>
      <c r="Q646" s="39">
        <f>('US OTHER'!F$31+'US OTHER'!F$32)/'US OTHER'!F$11</f>
        <v>-3.6320368415181106E-7</v>
      </c>
      <c r="R646" s="39">
        <f>('US OTHER'!G$31+'US OTHER'!G$32)/'US OTHER'!G$11</f>
        <v>0</v>
      </c>
      <c r="S646" s="39">
        <f>'US OTHER'!H$46</f>
        <v>-1</v>
      </c>
      <c r="T646" s="40"/>
      <c r="U646" s="35"/>
      <c r="V646" s="42" t="str">
        <f t="shared" si="184"/>
        <v>Agg. US Other</v>
      </c>
    </row>
    <row r="647" spans="1:29">
      <c r="A647" s="25"/>
      <c r="C647" s="32"/>
      <c r="D647" s="28"/>
      <c r="E647" s="28"/>
      <c r="F647" s="29"/>
      <c r="G647" s="28"/>
      <c r="H647" s="30"/>
      <c r="I647" s="29"/>
      <c r="J647" s="29"/>
      <c r="K647" s="29"/>
      <c r="L647" s="29"/>
      <c r="M647" s="29"/>
      <c r="N647" s="30"/>
      <c r="O647" s="29"/>
      <c r="P647" s="29"/>
      <c r="Q647" s="29"/>
      <c r="R647" s="29"/>
      <c r="S647" s="29"/>
      <c r="T647" s="30"/>
      <c r="U647" s="32"/>
      <c r="V647" s="28"/>
    </row>
    <row r="648" spans="1:29">
      <c r="C648" s="32"/>
      <c r="D648" s="28"/>
      <c r="E648" s="28"/>
      <c r="F648" s="29"/>
      <c r="G648" s="28"/>
      <c r="H648" s="30"/>
      <c r="I648" s="29"/>
      <c r="J648" s="29"/>
      <c r="K648" s="29"/>
      <c r="L648" s="29"/>
      <c r="M648" s="29"/>
      <c r="N648" s="30"/>
      <c r="O648" s="29"/>
      <c r="P648" s="29"/>
      <c r="Q648" s="29"/>
      <c r="R648" s="29"/>
      <c r="S648" s="29"/>
      <c r="T648" s="30"/>
      <c r="U648" s="32"/>
      <c r="V648" s="28"/>
    </row>
    <row r="649" spans="1:29">
      <c r="C649" s="35" t="str">
        <f>C590</f>
        <v>Agg. W Europe</v>
      </c>
      <c r="D649" s="36"/>
      <c r="E649" s="36"/>
      <c r="F649" s="37"/>
      <c r="G649" s="36"/>
      <c r="H649" s="30"/>
      <c r="I649" s="39">
        <f>'W.EUR AGG'!$D$32/'W.EUR AGG'!$D$11</f>
        <v>0</v>
      </c>
      <c r="J649" s="39">
        <f>'W.EUR AGG'!$E$32/'W.EUR AGG'!$E$11</f>
        <v>0</v>
      </c>
      <c r="K649" s="39">
        <f>'W.EUR AGG'!$F$32/'W.EUR AGG'!$F$11</f>
        <v>0</v>
      </c>
      <c r="L649" s="39">
        <f>'W.EUR AGG'!$G$32/'W.EUR AGG'!$G$11</f>
        <v>0</v>
      </c>
      <c r="M649" s="39" t="str">
        <f>'W.EUR AGG'!$H$32</f>
        <v>nm</v>
      </c>
      <c r="N649" s="40"/>
      <c r="O649" s="39">
        <f>('W.EUR AGG'!$D$31+'W.EUR AGG'!$D$32)/'W.EUR AGG'!$D$11</f>
        <v>3.7957975161421499E-2</v>
      </c>
      <c r="P649" s="39">
        <f>('W.EUR AGG'!$E$31+'W.EUR AGG'!$E$32)/'W.EUR AGG'!$E$11</f>
        <v>4.130897795585213E-2</v>
      </c>
      <c r="Q649" s="39">
        <f>('W.EUR AGG'!$F$31+'W.EUR AGG'!$F$32)/'W.EUR AGG'!$F$11</f>
        <v>4.59004309999256E-2</v>
      </c>
      <c r="R649" s="39">
        <f>('W.EUR AGG'!$G$31+'W.EUR AGG'!$G$32)/'W.EUR AGG'!$G$11</f>
        <v>4.7930573113507347E-2</v>
      </c>
      <c r="S649" s="39">
        <f>'W.EUR AGG'!$H$46</f>
        <v>7.6179720297558706E-2</v>
      </c>
      <c r="T649" s="30"/>
      <c r="U649" s="41"/>
      <c r="V649" s="42" t="str">
        <f>V590</f>
        <v>Agg. W Europe</v>
      </c>
    </row>
    <row r="650" spans="1:29">
      <c r="C650" s="25" t="s">
        <v>1268</v>
      </c>
      <c r="D650" s="28"/>
      <c r="E650" s="28"/>
      <c r="F650" s="29"/>
      <c r="G650" s="28"/>
      <c r="H650" s="30"/>
      <c r="I650" s="43">
        <f>'US AGG'!$D$32/'US AGG'!$D$11</f>
        <v>3.2839887199232781E-2</v>
      </c>
      <c r="J650" s="43">
        <f>'US AGG'!$E$32/'US AGG'!$E$11</f>
        <v>3.7678268396488551E-2</v>
      </c>
      <c r="K650" s="43">
        <f>'US AGG'!$F$32/'US AGG'!$F$11</f>
        <v>9.7796294691779046E-3</v>
      </c>
      <c r="L650" s="43">
        <f>'US AGG'!$G$32/'US AGG'!$G$11</f>
        <v>1.0521787620912307E-2</v>
      </c>
      <c r="M650" s="43">
        <f>'US AGG'!H$32</f>
        <v>-0.32973550037937149</v>
      </c>
      <c r="N650" s="40"/>
      <c r="O650" s="43">
        <f>('US AGG'!$D$31+'US AGG'!$D$32)/'US AGG'!$D$11</f>
        <v>6.8785887308440374E-2</v>
      </c>
      <c r="P650" s="43">
        <f>('US AGG'!$E$31+'US AGG'!$E$32)/'US AGG'!$E$11</f>
        <v>7.5404728719341035E-2</v>
      </c>
      <c r="Q650" s="43">
        <f>('US AGG'!$F$31+'US AGG'!$F$32)/'US AGG'!$F$11</f>
        <v>4.4291983363214202E-2</v>
      </c>
      <c r="R650" s="43">
        <f>('US AGG'!$F$31+'US AGG'!$F$32)/'US AGG'!$F$11</f>
        <v>4.4291983363214202E-2</v>
      </c>
      <c r="S650" s="43">
        <f>'W.EUR AGG'!$H$46</f>
        <v>7.6179720297558706E-2</v>
      </c>
      <c r="T650" s="30"/>
      <c r="U650" s="32"/>
      <c r="V650" s="34" t="str">
        <f>V591</f>
        <v>Agg. US</v>
      </c>
    </row>
    <row r="651" spans="1:29">
      <c r="C651" s="51" t="str">
        <f>C592</f>
        <v xml:space="preserve">Agg. Developed Asia </v>
      </c>
      <c r="D651" s="36"/>
      <c r="E651" s="36"/>
      <c r="F651" s="37"/>
      <c r="G651" s="36"/>
      <c r="H651" s="30"/>
      <c r="I651" s="39">
        <f>'AGG DM ASIA'!$D$32/'AGG DM ASIA'!$D$11</f>
        <v>1.0070183227435681E-2</v>
      </c>
      <c r="J651" s="39">
        <f>'AGG DM ASIA'!$E$32/'AGG DM ASIA'!$E$11</f>
        <v>2.0523080946238205E-2</v>
      </c>
      <c r="K651" s="39">
        <f>'AGG DM ASIA'!$F$32/'AGG DM ASIA'!$F$11</f>
        <v>-0.10298657855728691</v>
      </c>
      <c r="L651" s="39">
        <f>'AGG DM ASIA'!$G$32/'AGG DM ASIA'!$G$11</f>
        <v>2.3134420673718056E-2</v>
      </c>
      <c r="M651" s="39">
        <f>'AGG DM ASIA'!$H$32</f>
        <v>0.29725563094103125</v>
      </c>
      <c r="N651" s="40"/>
      <c r="O651" s="39">
        <f>('AGG DM ASIA'!$D$31+'AGG DM ASIA'!$D$32)/'AGG DM ASIA'!$D$11</f>
        <v>4.6724714466452794E-2</v>
      </c>
      <c r="P651" s="39">
        <f>('AGG DM ASIA'!$E$31+'AGG DM ASIA'!$E$32)/'AGG DM ASIA'!$E$11</f>
        <v>5.945248094069646E-2</v>
      </c>
      <c r="Q651" s="39">
        <f>('AGG DM ASIA'!$F$31+'AGG DM ASIA'!$F$32)/'AGG DM ASIA'!$F$11</f>
        <v>-6.1884390633071613E-2</v>
      </c>
      <c r="R651" s="39">
        <f>('AGG DM ASIA'!$G$31+'AGG DM ASIA'!$G$32)/'AGG DM ASIA'!$G$11</f>
        <v>6.5360200339706645E-2</v>
      </c>
      <c r="S651" s="39">
        <f>'AGG DM ASIA'!$H$46</f>
        <v>9.95307648455106E-2</v>
      </c>
      <c r="T651" s="30"/>
      <c r="U651" s="41"/>
      <c r="V651" s="42" t="str">
        <f>V592</f>
        <v xml:space="preserve">Agg. Developed Asia </v>
      </c>
    </row>
    <row r="652" spans="1:29">
      <c r="C652" s="25"/>
      <c r="D652" s="28"/>
      <c r="E652" s="28"/>
      <c r="F652" s="29"/>
      <c r="G652" s="28"/>
      <c r="H652" s="30"/>
      <c r="I652" s="43"/>
      <c r="J652" s="43"/>
      <c r="K652" s="43"/>
      <c r="L652" s="43"/>
      <c r="M652" s="43"/>
      <c r="N652" s="40"/>
      <c r="O652" s="43"/>
      <c r="P652" s="43"/>
      <c r="Q652" s="43"/>
      <c r="R652" s="43"/>
      <c r="S652" s="43"/>
      <c r="T652" s="30"/>
      <c r="U652" s="32"/>
      <c r="V652" s="34"/>
    </row>
    <row r="653" spans="1:29">
      <c r="C653" s="51" t="str">
        <f>C594</f>
        <v>Agg. Global Developed</v>
      </c>
      <c r="D653" s="36"/>
      <c r="E653" s="36"/>
      <c r="F653" s="37"/>
      <c r="G653" s="36"/>
      <c r="H653" s="30"/>
      <c r="I653" s="39">
        <f>'AGG DM'!$D$32/'AGG DM'!$D$11</f>
        <v>1.9197615183636847E-2</v>
      </c>
      <c r="J653" s="39">
        <f>'AGG DM'!$E$32/'AGG DM'!$E$11</f>
        <v>2.3306570216224103E-2</v>
      </c>
      <c r="K653" s="39">
        <f>'AGG DM'!$F$32/'AGG DM'!$F$11</f>
        <v>-1.0604373590970221E-2</v>
      </c>
      <c r="L653" s="39">
        <f>'AGG DM'!$G$32/'AGG DM'!$G$11</f>
        <v>9.0894868907794666E-3</v>
      </c>
      <c r="M653" s="39">
        <f>'AGG DM'!$H$32</f>
        <v>-0.23218821935971767</v>
      </c>
      <c r="N653" s="40"/>
      <c r="O653" s="39">
        <f>('AGG DM'!$D$31+'AGG DM'!$D$32)/'AGG DM'!$D$11</f>
        <v>5.5874053189598601E-2</v>
      </c>
      <c r="P653" s="39">
        <f>('AGG DM'!$E$31+'AGG DM'!$E$32)/'AGG DM'!$E$11</f>
        <v>6.23338106192401E-2</v>
      </c>
      <c r="Q653" s="39">
        <f>('AGG DM'!$F$31+'AGG DM'!$F$32)/'AGG DM'!$F$11</f>
        <v>2.8516708398037438E-2</v>
      </c>
      <c r="R653" s="39">
        <f>('AGG DM'!$F$31+'AGG DM'!$F$32)/'AGG DM'!$F$11</f>
        <v>2.8516708398037438E-2</v>
      </c>
      <c r="S653" s="39">
        <f>'W.EUR AGG'!$H$46</f>
        <v>7.6179720297558706E-2</v>
      </c>
      <c r="T653" s="30"/>
      <c r="U653" s="41"/>
      <c r="V653" s="42" t="str">
        <f>V594</f>
        <v xml:space="preserve">Agg. Global Developed </v>
      </c>
    </row>
    <row r="656" spans="1:29" s="25" customFormat="1">
      <c r="B656" s="113"/>
      <c r="C656" s="130"/>
      <c r="D656" s="131" t="s">
        <v>379</v>
      </c>
      <c r="E656" s="131" t="s">
        <v>50</v>
      </c>
      <c r="F656" s="131" t="s">
        <v>52</v>
      </c>
      <c r="G656" s="131" t="s">
        <v>49</v>
      </c>
      <c r="H656" s="33"/>
      <c r="I656" s="132" t="s">
        <v>15</v>
      </c>
      <c r="J656" s="132"/>
      <c r="K656" s="132"/>
      <c r="L656" s="132"/>
      <c r="M656" s="132"/>
      <c r="O656" s="132" t="s">
        <v>17</v>
      </c>
      <c r="P656" s="132"/>
      <c r="Q656" s="132"/>
      <c r="R656" s="132"/>
      <c r="S656" s="132"/>
      <c r="T656" s="33"/>
      <c r="U656" s="133" t="s">
        <v>379</v>
      </c>
      <c r="V656" s="131"/>
      <c r="Z656" s="33"/>
      <c r="AC656" s="106"/>
    </row>
    <row r="657" spans="1:26">
      <c r="A657" s="25" t="s">
        <v>415</v>
      </c>
      <c r="C657" s="32" t="s">
        <v>160</v>
      </c>
      <c r="D657" s="28" t="str">
        <f t="shared" ref="D657:G667" si="185">D598</f>
        <v>GBP2.24</v>
      </c>
      <c r="E657" s="28" t="str">
        <f t="shared" si="185"/>
        <v>GBP2.40</v>
      </c>
      <c r="F657" s="29">
        <f t="shared" si="185"/>
        <v>7.1189466636911503E-2</v>
      </c>
      <c r="G657" s="28" t="str">
        <f t="shared" si="185"/>
        <v>Neutral</v>
      </c>
      <c r="H657" s="30"/>
      <c r="I657" s="31">
        <f>BT!D$11/1000/Prices!$F$133</f>
        <v>25.076389984739762</v>
      </c>
      <c r="J657" s="31">
        <f>BT!$E$11/1000/Prices!$F$133</f>
        <v>24.998844039165391</v>
      </c>
      <c r="K657" s="31">
        <f>BT!$F$11/1000/Prices!$F$133</f>
        <v>24.921298093591016</v>
      </c>
      <c r="L657" s="31">
        <f>BT!$G$11/1000/Prices!$F$133</f>
        <v>24.843752148016645</v>
      </c>
      <c r="M657" s="29">
        <f t="shared" ref="M657:M668" si="186">(L657/I657)^(1/3)-1</f>
        <v>-3.102001183650116E-3</v>
      </c>
      <c r="N657" s="30"/>
      <c r="O657" s="31">
        <f>BT!D$12/1000/Prices!$F$133</f>
        <v>18.502484208961036</v>
      </c>
      <c r="P657" s="31">
        <f>BT!E$12/1000/Prices!$F$133</f>
        <v>18.77218214490393</v>
      </c>
      <c r="Q657" s="31">
        <f>BT!F$12/1000/Prices!$F$133</f>
        <v>18.626615369768782</v>
      </c>
      <c r="R657" s="31">
        <f>BT!G$12/1000/Prices!$F$133</f>
        <v>18.439089347600774</v>
      </c>
      <c r="S657" s="29">
        <f t="shared" ref="S657:S668" si="187">(R657/O657)^(1/3)-1</f>
        <v>-1.143403264488696E-3</v>
      </c>
      <c r="T657" s="30"/>
      <c r="U657" s="32" t="str">
        <f t="shared" ref="U657:V661" si="188">U598</f>
        <v>GBP2.24</v>
      </c>
      <c r="V657" s="53" t="str">
        <f t="shared" si="188"/>
        <v>British Telecom</v>
      </c>
      <c r="Z657" s="33"/>
    </row>
    <row r="658" spans="1:26">
      <c r="A658" s="25"/>
      <c r="C658" s="32" t="s">
        <v>161</v>
      </c>
      <c r="D658" s="28" t="str">
        <f t="shared" si="185"/>
        <v>EUR 27.67</v>
      </c>
      <c r="E658" s="28" t="str">
        <f t="shared" si="185"/>
        <v>EUR 43.00</v>
      </c>
      <c r="F658" s="29">
        <f t="shared" si="185"/>
        <v>0.55402963498373681</v>
      </c>
      <c r="G658" s="28" t="str">
        <f t="shared" si="185"/>
        <v>Buy</v>
      </c>
      <c r="H658" s="30"/>
      <c r="I658" s="31">
        <f>DT!$D$11/1000</f>
        <v>133.86281716769003</v>
      </c>
      <c r="J658" s="31">
        <f>DT!$E$11/1000</f>
        <v>131.88638859626144</v>
      </c>
      <c r="K658" s="31">
        <f>DT!$F$11/1000</f>
        <v>131.88638859626144</v>
      </c>
      <c r="L658" s="31">
        <f>DT!$G$11/1000</f>
        <v>131.88638859626144</v>
      </c>
      <c r="M658" s="29">
        <f t="shared" si="186"/>
        <v>-4.9459494960020223E-3</v>
      </c>
      <c r="N658" s="30"/>
      <c r="O658" s="31">
        <f>DT!$D$12/1000</f>
        <v>98.066999999999993</v>
      </c>
      <c r="P658" s="31">
        <f>DT!$E$12/1000</f>
        <v>97.434738858167194</v>
      </c>
      <c r="Q658" s="31">
        <f>DT!$F$12/1000</f>
        <v>90.984176032102638</v>
      </c>
      <c r="R658" s="31">
        <f>DT!$G$12/1000</f>
        <v>84.362125417508565</v>
      </c>
      <c r="S658" s="29">
        <f t="shared" si="187"/>
        <v>-4.8939362093157412E-2</v>
      </c>
      <c r="T658" s="30"/>
      <c r="U658" s="32" t="str">
        <f t="shared" si="188"/>
        <v>EUR 27.67</v>
      </c>
      <c r="V658" s="53" t="str">
        <f t="shared" si="188"/>
        <v>Deutsche Telekom</v>
      </c>
      <c r="Z658" s="33"/>
    </row>
    <row r="659" spans="1:26">
      <c r="A659" s="25"/>
      <c r="C659" s="32" t="s">
        <v>373</v>
      </c>
      <c r="D659" s="28" t="str">
        <f t="shared" si="185"/>
        <v>EUR 4.66</v>
      </c>
      <c r="E659" s="28" t="str">
        <f t="shared" si="185"/>
        <v>EUR 4.33</v>
      </c>
      <c r="F659" s="29">
        <f t="shared" si="185"/>
        <v>-7.2021498159240971E-2</v>
      </c>
      <c r="G659" s="28" t="str">
        <f t="shared" si="185"/>
        <v>Neutral</v>
      </c>
      <c r="H659" s="30"/>
      <c r="I659" s="31">
        <f>KPN!$D$11/1000</f>
        <v>17.815051590922664</v>
      </c>
      <c r="J659" s="31">
        <f>KPN!$E$11/1000</f>
        <v>17.545266070673442</v>
      </c>
      <c r="K659" s="31">
        <f>KPN!$F$11/1000</f>
        <v>17.293130070440526</v>
      </c>
      <c r="L659" s="31">
        <f>KPN!$G$11/1000</f>
        <v>17.006938398678678</v>
      </c>
      <c r="M659" s="29">
        <f t="shared" si="186"/>
        <v>-1.5354989005359587E-2</v>
      </c>
      <c r="N659" s="30"/>
      <c r="O659" s="31">
        <f>KPN!$D$12/1000</f>
        <v>6.3019999999999996</v>
      </c>
      <c r="P659" s="31">
        <f>KPN!$E$12/1000</f>
        <v>6.4445543265017093</v>
      </c>
      <c r="Q659" s="31">
        <f>KPN!$F$12/1000</f>
        <v>6.4498237045873257</v>
      </c>
      <c r="R659" s="31">
        <f>KPN!$G$12/1000</f>
        <v>6.5336543643609639</v>
      </c>
      <c r="S659" s="29">
        <f t="shared" si="187"/>
        <v>1.2105812773548719E-2</v>
      </c>
      <c r="T659" s="30"/>
      <c r="U659" s="32" t="str">
        <f t="shared" si="188"/>
        <v>EUR 4.66</v>
      </c>
      <c r="V659" s="53" t="str">
        <f t="shared" si="188"/>
        <v>KPN</v>
      </c>
      <c r="Z659" s="33"/>
    </row>
    <row r="660" spans="1:26">
      <c r="A660" s="25"/>
      <c r="C660" s="32" t="s">
        <v>604</v>
      </c>
      <c r="D660" s="28" t="str">
        <f t="shared" si="185"/>
        <v>EUR 17.64</v>
      </c>
      <c r="E660" s="28" t="str">
        <f t="shared" si="185"/>
        <v>EUR 18.80</v>
      </c>
      <c r="F660" s="29">
        <f t="shared" si="185"/>
        <v>6.5759637188208542E-2</v>
      </c>
      <c r="G660" s="28" t="str">
        <f t="shared" si="185"/>
        <v>Neutral</v>
      </c>
      <c r="H660" s="30"/>
      <c r="I660" s="31">
        <f>ORA!$D$11/1000</f>
        <v>46.92339840636</v>
      </c>
      <c r="J660" s="31">
        <f>ORA!$E$11/1000</f>
        <v>46.92339840636</v>
      </c>
      <c r="K660" s="31">
        <f>ORA!$F$11/1000</f>
        <v>46.92339840636</v>
      </c>
      <c r="L660" s="31">
        <f>ORA!$G$11/1000</f>
        <v>46.92339840636</v>
      </c>
      <c r="M660" s="29">
        <f t="shared" si="186"/>
        <v>0</v>
      </c>
      <c r="N660" s="30"/>
      <c r="O660" s="31">
        <f>ORA!$D$12/1000</f>
        <v>28.18840625</v>
      </c>
      <c r="P660" s="31">
        <f>ORA!$E$12/1000</f>
        <v>40.80085506647508</v>
      </c>
      <c r="Q660" s="31">
        <f>ORA!$F$12/1000</f>
        <v>41.640988156114986</v>
      </c>
      <c r="R660" s="31">
        <f>ORA!$G$12/1000</f>
        <v>39.715265069353634</v>
      </c>
      <c r="S660" s="29">
        <f t="shared" si="187"/>
        <v>0.12106032059965122</v>
      </c>
      <c r="T660" s="30"/>
      <c r="U660" s="32" t="str">
        <f t="shared" si="188"/>
        <v>EUR 17.64</v>
      </c>
      <c r="V660" s="53" t="str">
        <f t="shared" si="188"/>
        <v>Orange</v>
      </c>
      <c r="Z660" s="33"/>
    </row>
    <row r="661" spans="1:26">
      <c r="A661" s="25"/>
      <c r="C661" s="32" t="s">
        <v>374</v>
      </c>
      <c r="D661" s="28" t="str">
        <f t="shared" si="185"/>
        <v>EUR 18.29</v>
      </c>
      <c r="E661" s="28" t="str">
        <f t="shared" si="185"/>
        <v>EUR 22.10</v>
      </c>
      <c r="F661" s="29">
        <f t="shared" si="185"/>
        <v>0.20831055221432493</v>
      </c>
      <c r="G661" s="28" t="str">
        <f t="shared" si="185"/>
        <v>Buy</v>
      </c>
      <c r="H661" s="30"/>
      <c r="I661" s="31">
        <f>OTE!$D$11/1000</f>
        <v>7.3864736928299992</v>
      </c>
      <c r="J661" s="31">
        <f>OTE!$D$11/1000</f>
        <v>7.3864736928299992</v>
      </c>
      <c r="K661" s="31">
        <f>OTE!$F$11/1000</f>
        <v>7.035913720166544</v>
      </c>
      <c r="L661" s="31">
        <f>OTE!$G$11/1000</f>
        <v>6.8661207338348156</v>
      </c>
      <c r="M661" s="29">
        <f t="shared" si="186"/>
        <v>-2.4056310764715261E-2</v>
      </c>
      <c r="N661" s="30"/>
      <c r="O661" s="31">
        <f>OTE!$D$12/1000</f>
        <v>0.55300000000000005</v>
      </c>
      <c r="P661" s="31">
        <f>OTE!$E$12/1000</f>
        <v>0.34685069309099126</v>
      </c>
      <c r="Q661" s="31">
        <f>OTE!$F$12/1000</f>
        <v>0.44252770697225402</v>
      </c>
      <c r="R661" s="31">
        <f>OTE!$G$12/1000</f>
        <v>0.41142975473179272</v>
      </c>
      <c r="S661" s="29">
        <f t="shared" si="187"/>
        <v>-9.3870669100058701E-2</v>
      </c>
      <c r="T661" s="30"/>
      <c r="U661" s="32" t="str">
        <f t="shared" si="188"/>
        <v>EUR 18.29</v>
      </c>
      <c r="V661" s="53" t="str">
        <f t="shared" si="188"/>
        <v>OTE</v>
      </c>
      <c r="Z661" s="33"/>
    </row>
    <row r="662" spans="1:26">
      <c r="A662" s="25"/>
      <c r="C662" s="32" t="s">
        <v>686</v>
      </c>
      <c r="D662" s="28" t="str">
        <f t="shared" si="185"/>
        <v>EUR 6.6</v>
      </c>
      <c r="E662" s="28" t="str">
        <f t="shared" si="185"/>
        <v>EUR 13.3</v>
      </c>
      <c r="F662" s="29">
        <f t="shared" si="185"/>
        <v>1.0060331825037707</v>
      </c>
      <c r="G662" s="28" t="str">
        <f t="shared" si="185"/>
        <v>Neutral</v>
      </c>
      <c r="H662" s="30"/>
      <c r="I662" s="31">
        <f>PROX!$D$11/1000</f>
        <v>2.1465372399899998</v>
      </c>
      <c r="J662" s="31">
        <f>PROX!$E$11/1000</f>
        <v>2.1465372399899998</v>
      </c>
      <c r="K662" s="31">
        <f>PROX!$F$11/1000</f>
        <v>2.1465372399899998</v>
      </c>
      <c r="L662" s="31">
        <f>PROX!$G$11/1000</f>
        <v>2.1465372399899998</v>
      </c>
      <c r="M662" s="29">
        <f t="shared" si="186"/>
        <v>0</v>
      </c>
      <c r="N662" s="30"/>
      <c r="O662" s="31">
        <f>PROX!$D$12/1000</f>
        <v>4.2679999999999998</v>
      </c>
      <c r="P662" s="31">
        <f>PROX!$E$12/1000</f>
        <v>4.2907832370351349</v>
      </c>
      <c r="Q662" s="31">
        <f>PROX!$F$12/1000</f>
        <v>4.3181672415133647</v>
      </c>
      <c r="R662" s="31">
        <f>PROX!$G$12/1000</f>
        <v>4.3843705957888588</v>
      </c>
      <c r="S662" s="29">
        <f t="shared" si="187"/>
        <v>9.0072386693156314E-3</v>
      </c>
      <c r="T662" s="30"/>
      <c r="U662" s="32" t="str">
        <f t="shared" ref="U662:U667" si="189">U603</f>
        <v>EUR 6.6</v>
      </c>
      <c r="V662" s="53" t="s">
        <v>686</v>
      </c>
      <c r="Z662" s="33"/>
    </row>
    <row r="663" spans="1:26">
      <c r="C663" s="32" t="s">
        <v>378</v>
      </c>
      <c r="D663" s="28" t="str">
        <f t="shared" si="185"/>
        <v>CHF673</v>
      </c>
      <c r="E663" s="28" t="str">
        <f t="shared" si="185"/>
        <v>CHF570</v>
      </c>
      <c r="F663" s="29">
        <f t="shared" si="185"/>
        <v>-0.15241635687732347</v>
      </c>
      <c r="G663" s="28" t="str">
        <f t="shared" si="185"/>
        <v>Sell</v>
      </c>
      <c r="H663" s="30"/>
      <c r="I663" s="31">
        <f>SWISS!D$11/1000/Prices!$F$128</f>
        <v>37.879823368508141</v>
      </c>
      <c r="J663" s="31">
        <f>SWISS!E$11/1000/Prices!$F$128</f>
        <v>37.879823368508141</v>
      </c>
      <c r="K663" s="31">
        <f>SWISS!F$11/1000/Prices!$F$128</f>
        <v>37.879823368508141</v>
      </c>
      <c r="L663" s="31">
        <f>SWISS!G$11/1000/Prices!$F$128</f>
        <v>37.879823368508141</v>
      </c>
      <c r="M663" s="29">
        <f t="shared" si="186"/>
        <v>0</v>
      </c>
      <c r="N663" s="30"/>
      <c r="O663" s="31">
        <f>SWISS!D$12/1000/Prices!$F$128</f>
        <v>12.944057427052897</v>
      </c>
      <c r="P663" s="31">
        <f>SWISS!E$12/1000/Prices!$F$128</f>
        <v>12.835117004323372</v>
      </c>
      <c r="Q663" s="31">
        <f>SWISS!F$12/1000/Prices!$F$128</f>
        <v>12.622776225342324</v>
      </c>
      <c r="R663" s="31">
        <f>SWISS!G$12/1000/Prices!$F$128</f>
        <v>12.713930804314263</v>
      </c>
      <c r="S663" s="29">
        <f t="shared" si="187"/>
        <v>-5.9616553415923201E-3</v>
      </c>
      <c r="T663" s="30"/>
      <c r="U663" s="32" t="str">
        <f t="shared" si="189"/>
        <v>CHF673</v>
      </c>
      <c r="V663" s="53" t="str">
        <f t="shared" ref="V663:V668" si="190">V604</f>
        <v>Swisscom</v>
      </c>
    </row>
    <row r="664" spans="1:26">
      <c r="A664" s="25"/>
      <c r="C664" s="32" t="s">
        <v>222</v>
      </c>
      <c r="D664" s="28" t="str">
        <f t="shared" si="185"/>
        <v>EUR 0.66</v>
      </c>
      <c r="E664" s="28" t="str">
        <f t="shared" si="185"/>
        <v>EUR 0.55</v>
      </c>
      <c r="F664" s="29">
        <f t="shared" si="185"/>
        <v>-0.16641406486814181</v>
      </c>
      <c r="G664" s="28" t="str">
        <f t="shared" si="185"/>
        <v>Neutral</v>
      </c>
      <c r="H664" s="30"/>
      <c r="I664" s="31">
        <f>TI!$D$11/1000</f>
        <v>14.703060528172802</v>
      </c>
      <c r="J664" s="31">
        <f>TI!$E$11/1000</f>
        <v>14.380773605095877</v>
      </c>
      <c r="K664" s="31">
        <f>TI!$F$11/1000</f>
        <v>14.380773605095877</v>
      </c>
      <c r="L664" s="31">
        <f>TI!$G$11/1000</f>
        <v>14.380773605095877</v>
      </c>
      <c r="M664" s="29">
        <f t="shared" si="186"/>
        <v>-7.3606180396988963E-3</v>
      </c>
      <c r="N664" s="30"/>
      <c r="O664" s="31">
        <f>TI!$D$12/1000</f>
        <v>6.1539999999999999</v>
      </c>
      <c r="P664" s="31">
        <f>TI!$E$12/1000</f>
        <v>5.684005436524898</v>
      </c>
      <c r="Q664" s="31">
        <f>TI!$F$12/1000</f>
        <v>5.253105239541199</v>
      </c>
      <c r="R664" s="31">
        <f>TI!$G$12/1000</f>
        <v>4.6120976127337761</v>
      </c>
      <c r="S664" s="29">
        <f t="shared" si="187"/>
        <v>-9.1663011559797392E-2</v>
      </c>
      <c r="T664" s="30"/>
      <c r="U664" s="32" t="str">
        <f t="shared" si="189"/>
        <v>EUR 0.66</v>
      </c>
      <c r="V664" s="53" t="str">
        <f t="shared" si="190"/>
        <v>Telecom Italia</v>
      </c>
    </row>
    <row r="665" spans="1:26">
      <c r="A665" s="25"/>
      <c r="C665" s="32" t="s">
        <v>376</v>
      </c>
      <c r="D665" s="28" t="str">
        <f t="shared" si="185"/>
        <v>EUR 3.88</v>
      </c>
      <c r="E665" s="28" t="str">
        <f t="shared" si="185"/>
        <v>EUR 3.30</v>
      </c>
      <c r="F665" s="29">
        <f t="shared" si="185"/>
        <v>-0.14992272024729525</v>
      </c>
      <c r="G665" s="28" t="str">
        <f t="shared" si="185"/>
        <v>Sell</v>
      </c>
      <c r="H665" s="30"/>
      <c r="I665" s="31">
        <f>TEF!$D$11/1000</f>
        <v>22.115894936010001</v>
      </c>
      <c r="J665" s="31">
        <f>TEF!$E$11/1000</f>
        <v>22.115894936010001</v>
      </c>
      <c r="K665" s="31">
        <f>TEF!$F$11/1000</f>
        <v>22.115894936010001</v>
      </c>
      <c r="L665" s="31">
        <f>TEF!$G$11/1000</f>
        <v>22.115894936010001</v>
      </c>
      <c r="M665" s="29">
        <f t="shared" si="186"/>
        <v>0</v>
      </c>
      <c r="N665" s="30"/>
      <c r="O665" s="31">
        <f>TEF!$D$12/1000</f>
        <v>34.16020872081004</v>
      </c>
      <c r="P665" s="31">
        <f>TEF!$E$12/1000</f>
        <v>32.727865755454921</v>
      </c>
      <c r="Q665" s="31">
        <f>TEF!$F$12/1000</f>
        <v>32.160392939914836</v>
      </c>
      <c r="R665" s="31">
        <f>TEF!$G$12/1000</f>
        <v>31.310723556526458</v>
      </c>
      <c r="S665" s="29">
        <f t="shared" si="187"/>
        <v>-2.8616185744530842E-2</v>
      </c>
      <c r="T665" s="30"/>
      <c r="U665" s="32" t="str">
        <f t="shared" si="189"/>
        <v>EUR 3.88</v>
      </c>
      <c r="V665" s="53" t="str">
        <f t="shared" si="190"/>
        <v>Telefonica</v>
      </c>
    </row>
    <row r="666" spans="1:26">
      <c r="A666" s="25"/>
      <c r="C666" s="32" t="s">
        <v>377</v>
      </c>
      <c r="D666" s="28" t="str">
        <f t="shared" si="185"/>
        <v>NOK 164</v>
      </c>
      <c r="E666" s="28" t="str">
        <f t="shared" si="185"/>
        <v>NOK 160</v>
      </c>
      <c r="F666" s="29">
        <f t="shared" si="185"/>
        <v>-2.6171637248934898E-2</v>
      </c>
      <c r="G666" s="28" t="str">
        <f t="shared" si="185"/>
        <v>Neutral</v>
      </c>
      <c r="H666" s="30"/>
      <c r="I666" s="31">
        <f>TNOR!D$11/1000/Prices!$F$137</f>
        <v>20.581196518972362</v>
      </c>
      <c r="J666" s="31">
        <f>TNOR!E$11/1000/Prices!$F$137</f>
        <v>20.138783864541395</v>
      </c>
      <c r="K666" s="31">
        <f>TNOR!F$11/1000/Prices!$F$137</f>
        <v>19.723762612729981</v>
      </c>
      <c r="L666" s="31">
        <f>TNOR!G$11/1000/Prices!$F$137</f>
        <v>19.334436860561674</v>
      </c>
      <c r="M666" s="29">
        <f t="shared" si="186"/>
        <v>-2.0614576700636267E-2</v>
      </c>
      <c r="N666" s="30"/>
      <c r="O666" s="31">
        <f>TNOR!D$12/1000/Prices!$F$137</f>
        <v>6.103996861604573</v>
      </c>
      <c r="P666" s="31">
        <f>TNOR!E$12/1000/Prices!$F$137</f>
        <v>4.3756426406904803</v>
      </c>
      <c r="Q666" s="31">
        <f>TNOR!F$12/1000/Prices!$F$137</f>
        <v>4.9480677225123477</v>
      </c>
      <c r="R666" s="31">
        <f>TNOR!G$12/1000/Prices!$F$137</f>
        <v>5.4035538202889759</v>
      </c>
      <c r="S666" s="29">
        <f t="shared" si="187"/>
        <v>-3.9814684289143254E-2</v>
      </c>
      <c r="T666" s="30"/>
      <c r="U666" s="32" t="str">
        <f t="shared" si="189"/>
        <v>NOK 164</v>
      </c>
      <c r="V666" s="28" t="str">
        <f t="shared" si="190"/>
        <v>Telenor</v>
      </c>
    </row>
    <row r="667" spans="1:26">
      <c r="A667" s="25"/>
      <c r="C667" s="32" t="s">
        <v>846</v>
      </c>
      <c r="D667" s="28" t="str">
        <f t="shared" si="185"/>
        <v>SEK48.7</v>
      </c>
      <c r="E667" s="28" t="str">
        <f t="shared" si="185"/>
        <v>SEK45.0</v>
      </c>
      <c r="F667" s="29">
        <f t="shared" si="185"/>
        <v>-7.6165058509546357E-2</v>
      </c>
      <c r="G667" s="28" t="str">
        <f t="shared" si="185"/>
        <v>Neutral</v>
      </c>
      <c r="H667" s="30"/>
      <c r="I667" s="31">
        <f>TELIA!D$11/1000/Prices!$F$138</f>
        <v>17.672784662932902</v>
      </c>
      <c r="J667" s="31">
        <f>TELIA!E$11/1000/Prices!$F$138</f>
        <v>17.672784662932902</v>
      </c>
      <c r="K667" s="31">
        <f>TELIA!F$11/1000/Prices!$F$138</f>
        <v>17.672784662932902</v>
      </c>
      <c r="L667" s="31">
        <f>TELIA!G$11/1000/Prices!$F$138</f>
        <v>17.672784662932902</v>
      </c>
      <c r="M667" s="29">
        <f t="shared" si="186"/>
        <v>0</v>
      </c>
      <c r="N667" s="30"/>
      <c r="O667" s="31">
        <f>TELIA!D$12/1000/Prices!$F$138</f>
        <v>4.8954856395448347</v>
      </c>
      <c r="P667" s="31">
        <f>TELIA!E$12/1000/Prices!$F$138</f>
        <v>4.6261819009931511</v>
      </c>
      <c r="Q667" s="31">
        <f>TELIA!F$12/1000/Prices!$F$138</f>
        <v>4.5522472032949466</v>
      </c>
      <c r="R667" s="31">
        <f>TELIA!G$12/1000/Prices!$F$138</f>
        <v>4.4652655697845605</v>
      </c>
      <c r="S667" s="29">
        <f t="shared" si="187"/>
        <v>-3.0196298202006533E-2</v>
      </c>
      <c r="T667" s="30"/>
      <c r="U667" s="32" t="str">
        <f t="shared" si="189"/>
        <v>SEK48.7</v>
      </c>
      <c r="V667" s="28" t="str">
        <f t="shared" si="190"/>
        <v>Telia</v>
      </c>
    </row>
    <row r="668" spans="1:26">
      <c r="A668" s="25"/>
      <c r="C668" s="35" t="str">
        <f>C609</f>
        <v>Agg. W.Europe Incumbent</v>
      </c>
      <c r="D668" s="36"/>
      <c r="E668" s="36"/>
      <c r="F668" s="37"/>
      <c r="G668" s="36"/>
      <c r="H668" s="30"/>
      <c r="I668" s="38">
        <f>'W.EUR INCUMB'!$D$11/1000</f>
        <v>346.16342809712876</v>
      </c>
      <c r="J668" s="38">
        <f>'W.EUR INCUMB'!$E$11/1000</f>
        <v>342.8996884960369</v>
      </c>
      <c r="K668" s="38">
        <f>'W.EUR INCUMB'!$F$11/1000</f>
        <v>341.97970531208648</v>
      </c>
      <c r="L668" s="38">
        <f>'W.EUR INCUMB'!$G$11/1000</f>
        <v>341.05684895625018</v>
      </c>
      <c r="M668" s="39">
        <f t="shared" si="186"/>
        <v>-4.9416905427571711E-3</v>
      </c>
      <c r="N668" s="40"/>
      <c r="O668" s="38">
        <f>'W.EUR INCUMB'!$D$12/1000</f>
        <v>220.13863910797338</v>
      </c>
      <c r="P668" s="38">
        <f>'W.EUR INCUMB'!$E$12/1000</f>
        <v>228.33877706416089</v>
      </c>
      <c r="Q668" s="38">
        <f>'W.EUR INCUMB'!$F$12/1000</f>
        <v>221.99888754166503</v>
      </c>
      <c r="R668" s="38">
        <f>'W.EUR INCUMB'!$G$12/1000</f>
        <v>212.35150591299262</v>
      </c>
      <c r="S668" s="39">
        <f t="shared" si="187"/>
        <v>-1.1933088248493706E-2</v>
      </c>
      <c r="T668" s="30"/>
      <c r="U668" s="41"/>
      <c r="V668" s="42" t="str">
        <f t="shared" si="190"/>
        <v>Agg. W.Europe Incumbent</v>
      </c>
    </row>
    <row r="669" spans="1:26">
      <c r="A669" s="25"/>
      <c r="C669" s="32"/>
      <c r="D669" s="28"/>
      <c r="E669" s="28"/>
      <c r="F669" s="29"/>
      <c r="G669" s="28"/>
      <c r="H669" s="30"/>
      <c r="I669" s="31"/>
      <c r="J669" s="31"/>
      <c r="K669" s="31"/>
      <c r="L669" s="31"/>
      <c r="M669" s="29"/>
      <c r="N669" s="30"/>
      <c r="O669" s="31"/>
      <c r="P669" s="31"/>
      <c r="Q669" s="31"/>
      <c r="R669" s="31"/>
      <c r="S669" s="29"/>
      <c r="T669" s="30"/>
      <c r="U669" s="32"/>
      <c r="V669" s="28"/>
    </row>
    <row r="670" spans="1:26">
      <c r="A670" s="25"/>
      <c r="B670" s="26" t="s">
        <v>424</v>
      </c>
      <c r="C670" s="32" t="s">
        <v>403</v>
      </c>
      <c r="D670" s="28" t="str">
        <f>B670&amp;TEXT(Prices!$C$45,"0.0")</f>
        <v>US$26.3</v>
      </c>
      <c r="E670" s="28" t="str">
        <f>B670&amp;TEXT(Prices!$E$45,"0.00")</f>
        <v>US$32.00</v>
      </c>
      <c r="F670" s="29">
        <f>Prices!$F$45</f>
        <v>0.21765601217656005</v>
      </c>
      <c r="G670" s="28" t="str">
        <f>Prices!$D$45</f>
        <v>Buy</v>
      </c>
      <c r="H670" s="30"/>
      <c r="I670" s="31">
        <f>ATT!D$11/1000</f>
        <v>188.74112553778741</v>
      </c>
      <c r="J670" s="31">
        <f>ATT!E$11/1000</f>
        <v>184.57011872354215</v>
      </c>
      <c r="K670" s="31">
        <f>ATT!F$11/1000</f>
        <v>175.79071713102024</v>
      </c>
      <c r="L670" s="31">
        <f>ATT!G$11/1000</f>
        <v>172.35186095502908</v>
      </c>
      <c r="M670" s="29">
        <f>(L670/I670)^(1/3)-1</f>
        <v>-2.9825596789653352E-2</v>
      </c>
      <c r="N670" s="30"/>
      <c r="O670" s="31">
        <f>ATT!D$12/1000</f>
        <v>116.96945998309207</v>
      </c>
      <c r="P670" s="31">
        <f>ATT!E$12/1000</f>
        <v>142.12481630943461</v>
      </c>
      <c r="Q670" s="31">
        <f>ATT!F$12/1000</f>
        <v>140.25017494607138</v>
      </c>
      <c r="R670" s="31">
        <f>ATT!G$12/1000</f>
        <v>138.3009475277284</v>
      </c>
      <c r="S670" s="29">
        <f>(R670/O670)^(1/3)-1</f>
        <v>5.7428204934879323E-2</v>
      </c>
      <c r="T670" s="30"/>
      <c r="U670" s="32" t="str">
        <f>D670</f>
        <v>US$26.3</v>
      </c>
      <c r="V670" s="28" t="str">
        <f>C670</f>
        <v xml:space="preserve">AT&amp;T </v>
      </c>
    </row>
    <row r="671" spans="1:26">
      <c r="B671" s="26" t="s">
        <v>424</v>
      </c>
      <c r="C671" s="32" t="s">
        <v>570</v>
      </c>
      <c r="D671" s="28" t="str">
        <f>B671&amp;TEXT(Prices!$C$46,"0.0")</f>
        <v>US$191.5</v>
      </c>
      <c r="E671" s="28" t="str">
        <f>B671&amp;TEXT(Prices!$E$46,"0.0")</f>
        <v>US$296.0</v>
      </c>
      <c r="F671" s="29">
        <f>Prices!$F$46</f>
        <v>0.54593408889121009</v>
      </c>
      <c r="G671" s="28" t="str">
        <f>Prices!$D$46</f>
        <v>Buy</v>
      </c>
      <c r="H671" s="30"/>
      <c r="I671" s="31">
        <f>TMUS!D$11/1000</f>
        <v>217.42291105961451</v>
      </c>
      <c r="J671" s="31">
        <f>TMUS!E$11/1000</f>
        <v>209.27253735921042</v>
      </c>
      <c r="K671" s="31">
        <f>TMUS!F$11/1000</f>
        <v>200.89791402044855</v>
      </c>
      <c r="L671" s="31">
        <f>TMUS!G$11/1000</f>
        <v>192.40777704149241</v>
      </c>
      <c r="M671" s="29">
        <f>(L671/I671)^(1/3)-1</f>
        <v>-3.9923649317297638E-2</v>
      </c>
      <c r="N671" s="30"/>
      <c r="O671" s="31">
        <f>TMUS!D$12/1000</f>
        <v>83.661976193335079</v>
      </c>
      <c r="P671" s="31">
        <f>TMUS!E$12/1000</f>
        <v>92.214444291574495</v>
      </c>
      <c r="Q671" s="31">
        <f>TMUS!F$12/1000</f>
        <v>99.571288745265605</v>
      </c>
      <c r="R671" s="31">
        <f>TMUS!G$12/1000</f>
        <v>107.36442805181643</v>
      </c>
      <c r="S671" s="29">
        <f>(R671/O671)^(1/3)-1</f>
        <v>8.6702748104354965E-2</v>
      </c>
      <c r="T671" s="30"/>
      <c r="U671" s="32" t="str">
        <f>D671</f>
        <v>US$191.5</v>
      </c>
      <c r="V671" s="28" t="str">
        <f>C671</f>
        <v>TMUS</v>
      </c>
    </row>
    <row r="672" spans="1:26">
      <c r="A672" s="25"/>
      <c r="B672" s="26" t="s">
        <v>424</v>
      </c>
      <c r="C672" s="32" t="s">
        <v>30</v>
      </c>
      <c r="D672" s="28" t="str">
        <f>B672&amp;TEXT(Prices!$C$44,"0.0")</f>
        <v>US$46.9</v>
      </c>
      <c r="E672" s="28" t="str">
        <f>B672&amp;TEXT(Prices!$E$44,"0.00")</f>
        <v>US$42.00</v>
      </c>
      <c r="F672" s="29">
        <f>Prices!$F$44</f>
        <v>-0.10371318822023046</v>
      </c>
      <c r="G672" s="28" t="str">
        <f>Prices!$D$44</f>
        <v>Neutral</v>
      </c>
      <c r="H672" s="30"/>
      <c r="I672" s="31">
        <f>VZN!D$11/1000</f>
        <v>198.85229999999999</v>
      </c>
      <c r="J672" s="31">
        <f>VZN!E$11/1000</f>
        <v>198.85229999999999</v>
      </c>
      <c r="K672" s="31">
        <f>VZN!F$11/1000</f>
        <v>198.85229999999999</v>
      </c>
      <c r="L672" s="31">
        <f>VZN!G$11/1000</f>
        <v>198.85229999999999</v>
      </c>
      <c r="M672" s="29">
        <f>(L672/I672)^(1/3)-1</f>
        <v>0</v>
      </c>
      <c r="N672" s="30"/>
      <c r="O672" s="31">
        <f>VZN!D$12/1000</f>
        <v>110.35655753623297</v>
      </c>
      <c r="P672" s="31">
        <f>VZN!E$12/1000</f>
        <v>103.04985187467972</v>
      </c>
      <c r="Q672" s="31">
        <f>VZN!F$12/1000</f>
        <v>93.003962758495234</v>
      </c>
      <c r="R672" s="31">
        <f>VZN!G$12/1000</f>
        <v>81.847290640036036</v>
      </c>
      <c r="S672" s="29">
        <f>(R672/O672)^(1/3)-1</f>
        <v>-9.481908697055863E-2</v>
      </c>
      <c r="T672" s="30"/>
      <c r="U672" s="32" t="str">
        <f>D672</f>
        <v>US$46.9</v>
      </c>
      <c r="V672" s="28" t="str">
        <f>C672</f>
        <v>Verizon</v>
      </c>
    </row>
    <row r="673" spans="1:22">
      <c r="A673" s="25"/>
      <c r="C673" s="35" t="s">
        <v>214</v>
      </c>
      <c r="D673" s="36"/>
      <c r="E673" s="36"/>
      <c r="F673" s="37"/>
      <c r="G673" s="36"/>
      <c r="H673" s="30"/>
      <c r="I673" s="38">
        <f>'US TELCO'!D$11/1000</f>
        <v>605.01633659740185</v>
      </c>
      <c r="J673" s="38">
        <f>'US TELCO'!E$11/1000</f>
        <v>592.69495608275258</v>
      </c>
      <c r="K673" s="38">
        <f>'US TELCO'!F$11/1000</f>
        <v>575.54093115146873</v>
      </c>
      <c r="L673" s="38">
        <f>'US TELCO'!G$11/1000</f>
        <v>563.61193799652142</v>
      </c>
      <c r="M673" s="39">
        <f>(L673/I673)^(1/3)-1</f>
        <v>-2.3352834536940259E-2</v>
      </c>
      <c r="N673" s="30"/>
      <c r="O673" s="38">
        <f>'US TELCO'!D$12/1000</f>
        <v>310.98799371266011</v>
      </c>
      <c r="P673" s="38">
        <f>'US TELCO'!E$12/1000</f>
        <v>337.38911247568882</v>
      </c>
      <c r="Q673" s="38">
        <f>'US TELCO'!F$12/1000</f>
        <v>332.82542644983221</v>
      </c>
      <c r="R673" s="38">
        <f>'US TELCO'!G$12/1000</f>
        <v>327.51266621958086</v>
      </c>
      <c r="S673" s="39">
        <f>(R673/O673)^(1/3)-1</f>
        <v>1.7407245127550874E-2</v>
      </c>
      <c r="T673" s="30"/>
      <c r="U673" s="41"/>
      <c r="V673" s="42" t="str">
        <f>C673</f>
        <v>Agg. US Telecoms</v>
      </c>
    </row>
    <row r="674" spans="1:22">
      <c r="A674" s="25"/>
      <c r="C674" s="32"/>
      <c r="D674" s="28"/>
      <c r="E674" s="28"/>
      <c r="F674" s="29"/>
      <c r="G674" s="28"/>
      <c r="H674" s="30"/>
      <c r="I674" s="31"/>
      <c r="J674" s="31"/>
      <c r="K674" s="31"/>
      <c r="L674" s="31"/>
      <c r="M674" s="29"/>
      <c r="N674" s="30"/>
      <c r="O674" s="31"/>
      <c r="P674" s="31"/>
      <c r="Q674" s="31"/>
      <c r="R674" s="31"/>
      <c r="S674" s="29"/>
      <c r="T674" s="30"/>
      <c r="U674" s="32"/>
      <c r="V674" s="28"/>
    </row>
    <row r="675" spans="1:22">
      <c r="A675" s="25"/>
      <c r="C675" s="32" t="str">
        <f t="shared" ref="C675:G676" si="191">C616</f>
        <v>NTT</v>
      </c>
      <c r="D675" s="28" t="str">
        <f t="shared" si="191"/>
        <v>JPY 152</v>
      </c>
      <c r="E675" s="28" t="str">
        <f t="shared" si="191"/>
        <v>JPY 215</v>
      </c>
      <c r="F675" s="29">
        <f t="shared" si="191"/>
        <v>0.41914191419141922</v>
      </c>
      <c r="G675" s="28" t="str">
        <f t="shared" si="191"/>
        <v>Buy</v>
      </c>
      <c r="H675" s="30"/>
      <c r="I675" s="31">
        <f>NTT!$D$11/Prices!$C$141</f>
        <v>77.010952751291825</v>
      </c>
      <c r="J675" s="31">
        <f>NTT!$E$11/Prices!$C$141</f>
        <v>75.556417588344175</v>
      </c>
      <c r="K675" s="31">
        <f>NTT!$F$11/Prices!$C$141</f>
        <v>74.101882425396525</v>
      </c>
      <c r="L675" s="31">
        <f>NTT!$G$11/Prices!$C$141</f>
        <v>72.647347262448875</v>
      </c>
      <c r="M675" s="29">
        <f t="shared" ref="M675:M677" si="192">(L675/I675)^(1/3)-1</f>
        <v>-1.9255785810206594E-2</v>
      </c>
      <c r="N675" s="30"/>
      <c r="O675" s="31">
        <f>NTT!$D$12/Prices!$C$141</f>
        <v>38.476844838845743</v>
      </c>
      <c r="P675" s="31">
        <f>NTT!$E$12/Prices!$C$141</f>
        <v>36.823937637495021</v>
      </c>
      <c r="Q675" s="31">
        <f>NTT!$F$12/Prices!$C$141</f>
        <v>34.15515559254996</v>
      </c>
      <c r="R675" s="31">
        <f>NTT!$G$12/Prices!$C$141</f>
        <v>30.493000694452814</v>
      </c>
      <c r="S675" s="29">
        <f t="shared" ref="S675:S677" si="193">(R675/O675)^(1/3)-1</f>
        <v>-7.4591316075295344E-2</v>
      </c>
      <c r="T675" s="30"/>
      <c r="U675" s="32" t="str">
        <f>U616</f>
        <v>JPY 152</v>
      </c>
      <c r="V675" s="28" t="str">
        <f>V616</f>
        <v>NTT</v>
      </c>
    </row>
    <row r="676" spans="1:22">
      <c r="A676" s="25"/>
      <c r="C676" s="32" t="str">
        <f t="shared" si="191"/>
        <v>SingTel</v>
      </c>
      <c r="D676" s="28" t="str">
        <f t="shared" si="191"/>
        <v>SGD 4.63</v>
      </c>
      <c r="E676" s="28" t="str">
        <f t="shared" si="191"/>
        <v>SGD 6.20</v>
      </c>
      <c r="F676" s="29">
        <f t="shared" si="191"/>
        <v>0.33909287257019449</v>
      </c>
      <c r="G676" s="28" t="str">
        <f t="shared" si="191"/>
        <v>Buy</v>
      </c>
      <c r="H676" s="30"/>
      <c r="I676" s="31">
        <f>SINGTEL!D$11/Prices!$C$156/1000</f>
        <v>59.379561849852038</v>
      </c>
      <c r="J676" s="31">
        <f>SINGTEL!E$11/Prices!$C$156/1000</f>
        <v>58.787657315140535</v>
      </c>
      <c r="K676" s="31">
        <f>SINGTEL!F$11/Prices!$C$156/1000</f>
        <v>58.201671825776124</v>
      </c>
      <c r="L676" s="31">
        <f>SINGTEL!G$11/Prices!$C$156/1000</f>
        <v>57.621546191305363</v>
      </c>
      <c r="M676" s="29">
        <f t="shared" si="192"/>
        <v>-9.9678308860906562E-3</v>
      </c>
      <c r="N676" s="30"/>
      <c r="O676" s="31">
        <f>SINGTEL!D$12/Prices!$C$156/1000</f>
        <v>8.4619635380966471</v>
      </c>
      <c r="P676" s="31">
        <f>SINGTEL!E$12/Prices!$C$156/1000</f>
        <v>9.6595929859817105</v>
      </c>
      <c r="Q676" s="31">
        <f>SINGTEL!F$12/Prices!$C$156/1000</f>
        <v>10.786287594006165</v>
      </c>
      <c r="R676" s="31">
        <f>SINGTEL!G$12/Prices!$C$156/1000</f>
        <v>11.778456068428408</v>
      </c>
      <c r="S676" s="29">
        <f t="shared" si="193"/>
        <v>0.11653516492571669</v>
      </c>
      <c r="T676" s="30"/>
      <c r="U676" s="32" t="str">
        <f>U617</f>
        <v>SGD 4.63</v>
      </c>
      <c r="V676" s="28" t="str">
        <f>V617</f>
        <v>SingTel</v>
      </c>
    </row>
    <row r="677" spans="1:22">
      <c r="A677" s="25"/>
      <c r="C677" s="35" t="str">
        <f>C618</f>
        <v>Agg. Developed Asia Incumbent</v>
      </c>
      <c r="D677" s="42"/>
      <c r="E677" s="42"/>
      <c r="F677" s="39"/>
      <c r="G677" s="42"/>
      <c r="H677" s="40"/>
      <c r="I677" s="38">
        <f>'DM ASIA INCUMB'!$D$11/1000</f>
        <v>136.39051460114385</v>
      </c>
      <c r="J677" s="38">
        <f>'DM ASIA INCUMB'!$E$11/1000</f>
        <v>134.34407490348474</v>
      </c>
      <c r="K677" s="38">
        <f>'DM ASIA INCUMB'!$F$11/1000</f>
        <v>132.30355425117264</v>
      </c>
      <c r="L677" s="38">
        <f>'DM ASIA INCUMB'!$G$11/1000</f>
        <v>130.26889345375426</v>
      </c>
      <c r="M677" s="39">
        <f t="shared" si="192"/>
        <v>-1.5190599772305191E-2</v>
      </c>
      <c r="N677" s="40"/>
      <c r="O677" s="38">
        <f>'DM ASIA INCUMB'!$D$12/1000</f>
        <v>46.938808376942383</v>
      </c>
      <c r="P677" s="38">
        <f>'DM ASIA INCUMB'!$E$12/1000</f>
        <v>46.483530623476732</v>
      </c>
      <c r="Q677" s="38">
        <f>'DM ASIA INCUMB'!$F$12/1000</f>
        <v>44.941443186556128</v>
      </c>
      <c r="R677" s="38">
        <f>'DM ASIA INCUMB'!$G$12/1000</f>
        <v>42.271456762881222</v>
      </c>
      <c r="S677" s="39">
        <f t="shared" si="193"/>
        <v>-3.4308553076022985E-2</v>
      </c>
      <c r="T677" s="40"/>
      <c r="U677" s="35"/>
      <c r="V677" s="42" t="str">
        <f>V618</f>
        <v xml:space="preserve">Agg. Developed Asia Incumbent </v>
      </c>
    </row>
    <row r="678" spans="1:22">
      <c r="A678" s="25"/>
      <c r="C678" s="27"/>
      <c r="D678" s="34"/>
      <c r="E678" s="34"/>
      <c r="F678" s="45"/>
      <c r="G678" s="34"/>
      <c r="H678" s="40"/>
      <c r="I678" s="46"/>
      <c r="J678" s="46"/>
      <c r="K678" s="46"/>
      <c r="L678" s="46"/>
      <c r="M678" s="45"/>
      <c r="N678" s="40"/>
      <c r="O678" s="46"/>
      <c r="P678" s="46"/>
      <c r="Q678" s="46"/>
      <c r="R678" s="46"/>
      <c r="S678" s="45"/>
      <c r="T678" s="40"/>
      <c r="U678" s="27"/>
      <c r="V678" s="34"/>
    </row>
    <row r="679" spans="1:22">
      <c r="A679" s="25"/>
      <c r="C679" s="35" t="s">
        <v>717</v>
      </c>
      <c r="D679" s="42"/>
      <c r="E679" s="42"/>
      <c r="F679" s="39"/>
      <c r="G679" s="42"/>
      <c r="H679" s="40"/>
      <c r="I679" s="38">
        <f>'AGG DM INCUMB'!$D$11/1000</f>
        <v>1145.9592916809293</v>
      </c>
      <c r="J679" s="38">
        <f>'AGG DM INCUMB'!$E$11/1000</f>
        <v>1127.7772215694365</v>
      </c>
      <c r="K679" s="38">
        <f>'AGG DM INCUMB'!$F$11/1000</f>
        <v>1107.5075149143324</v>
      </c>
      <c r="L679" s="38">
        <f>'AGG DM INCUMB'!$G$11/1000</f>
        <v>1092.4653420871666</v>
      </c>
      <c r="M679" s="39">
        <f>(L679/I679)^(1/3)-1</f>
        <v>-1.5808765877040054E-2</v>
      </c>
      <c r="N679" s="40"/>
      <c r="O679" s="38">
        <f>'AGG DM INCUMB'!$D$12/1000</f>
        <v>615.19726010752152</v>
      </c>
      <c r="P679" s="38">
        <f>'AGG DM INCUMB'!$E$12/1000</f>
        <v>650.72639488299058</v>
      </c>
      <c r="Q679" s="38">
        <f>'AGG DM INCUMB'!$F$12/1000</f>
        <v>637.21135293447742</v>
      </c>
      <c r="R679" s="38">
        <f>'AGG DM INCUMB'!$G$12/1000</f>
        <v>617.95395544987696</v>
      </c>
      <c r="S679" s="39">
        <f>(R679/O679)^(1/3)-1</f>
        <v>1.4914392299836265E-3</v>
      </c>
      <c r="T679" s="40"/>
      <c r="U679" s="35"/>
      <c r="V679" s="42" t="str">
        <f>C679</f>
        <v>Agg. DM Incumbent total</v>
      </c>
    </row>
    <row r="680" spans="1:22">
      <c r="A680" s="25"/>
      <c r="C680" s="25"/>
      <c r="D680" s="28"/>
      <c r="E680" s="28"/>
      <c r="F680" s="29"/>
      <c r="G680" s="28"/>
      <c r="H680" s="30"/>
      <c r="I680" s="31"/>
      <c r="J680" s="31"/>
      <c r="K680" s="31"/>
      <c r="L680" s="31"/>
      <c r="M680" s="29"/>
      <c r="N680" s="30"/>
      <c r="O680" s="31"/>
      <c r="P680" s="31"/>
      <c r="Q680" s="31"/>
      <c r="R680" s="31"/>
      <c r="S680" s="29"/>
      <c r="T680" s="30"/>
      <c r="U680" s="32"/>
      <c r="V680" s="34"/>
    </row>
    <row r="681" spans="1:22">
      <c r="A681" s="25" t="s">
        <v>1091</v>
      </c>
      <c r="C681" s="32" t="str">
        <f t="shared" ref="C681:G693" si="194">C622</f>
        <v>1&amp;1</v>
      </c>
      <c r="D681" s="28" t="str">
        <f t="shared" si="194"/>
        <v>EUR 23.2</v>
      </c>
      <c r="E681" s="28" t="str">
        <f t="shared" si="194"/>
        <v>EUR 10.0</v>
      </c>
      <c r="F681" s="29">
        <f t="shared" si="194"/>
        <v>-0.56803455723542107</v>
      </c>
      <c r="G681" s="28" t="str">
        <f t="shared" si="194"/>
        <v>Sell</v>
      </c>
      <c r="H681" s="30"/>
      <c r="I681" s="31">
        <f>DRI!$D$11/1000</f>
        <v>4.0863451453500002</v>
      </c>
      <c r="J681" s="31">
        <f>DRI!$E$11/1000</f>
        <v>4.0863451453500002</v>
      </c>
      <c r="K681" s="31">
        <f>DRI!$F$11/1000</f>
        <v>4.0863451453500002</v>
      </c>
      <c r="L681" s="31">
        <f>DRI!$G$11/1000</f>
        <v>4.0863451453500002</v>
      </c>
      <c r="M681" s="29">
        <f>(L681/I681)^(1/3)-1</f>
        <v>0</v>
      </c>
      <c r="N681" s="30"/>
      <c r="O681" s="31">
        <f>DRI!$D$12/1000</f>
        <v>1.8115679999999996</v>
      </c>
      <c r="P681" s="31">
        <f>DRI!$E$12/1000</f>
        <v>1.9719214537833329</v>
      </c>
      <c r="Q681" s="31">
        <f>DRI!$F$12/1000</f>
        <v>2.0859892821615764</v>
      </c>
      <c r="R681" s="31">
        <f>DRI!$G$12/1000</f>
        <v>2.1499286785336444</v>
      </c>
      <c r="S681" s="29">
        <f>(R681/O681)^(1/3)-1</f>
        <v>5.8741176859459898E-2</v>
      </c>
      <c r="T681" s="30"/>
      <c r="U681" s="32" t="str">
        <f t="shared" ref="U681:V693" si="195">U622</f>
        <v>EUR 23.2</v>
      </c>
      <c r="V681" s="28" t="str">
        <f t="shared" si="195"/>
        <v>1&amp;1</v>
      </c>
    </row>
    <row r="682" spans="1:22">
      <c r="A682" s="25"/>
      <c r="C682" s="32" t="str">
        <f t="shared" si="194"/>
        <v>Bouygues</v>
      </c>
      <c r="D682" s="28" t="str">
        <f t="shared" si="194"/>
        <v>EUR 51.8</v>
      </c>
      <c r="E682" s="28" t="str">
        <f t="shared" si="194"/>
        <v>EUR 64.0</v>
      </c>
      <c r="F682" s="29">
        <f t="shared" si="194"/>
        <v>0.23599845500193117</v>
      </c>
      <c r="G682" s="28" t="str">
        <f t="shared" si="194"/>
        <v>Buy</v>
      </c>
      <c r="H682" s="30"/>
      <c r="I682" s="31">
        <f>BOUY!$D$11/1000</f>
        <v>19.952076720000001</v>
      </c>
      <c r="J682" s="31">
        <f>BOUY!$E$11/1000</f>
        <v>19.952076720000001</v>
      </c>
      <c r="K682" s="31">
        <f>BOUY!$F$11/1000</f>
        <v>19.952076720000001</v>
      </c>
      <c r="L682" s="31">
        <f>BOUY!$G$11/1000</f>
        <v>19.952076720000001</v>
      </c>
      <c r="M682" s="29">
        <f>(L682/I682)^(1/3)-1</f>
        <v>0</v>
      </c>
      <c r="N682" s="30"/>
      <c r="O682" s="31">
        <f>BOUY!$D$12/1000</f>
        <v>4.2039999999999997</v>
      </c>
      <c r="P682" s="31">
        <f>BOUY!$E$12/1000</f>
        <v>3.127525513118695</v>
      </c>
      <c r="Q682" s="31">
        <f>BOUY!$F$12/1000</f>
        <v>2.141192490272454</v>
      </c>
      <c r="R682" s="31">
        <f>BOUY!$G$12/1000</f>
        <v>0.98403494212240794</v>
      </c>
      <c r="S682" s="29">
        <f>(R682/O682)^(1/3)-1</f>
        <v>-0.38371357123802863</v>
      </c>
      <c r="T682" s="30"/>
      <c r="U682" s="32" t="str">
        <f t="shared" si="195"/>
        <v>EUR 51.8</v>
      </c>
      <c r="V682" s="28" t="str">
        <f t="shared" si="195"/>
        <v>Bouygues</v>
      </c>
    </row>
    <row r="683" spans="1:22">
      <c r="C683" s="32" t="str">
        <f t="shared" si="194"/>
        <v>Elisa</v>
      </c>
      <c r="D683" s="28" t="str">
        <f t="shared" si="194"/>
        <v>EUR 41.9</v>
      </c>
      <c r="E683" s="28" t="str">
        <f t="shared" si="194"/>
        <v>EUR 39.0</v>
      </c>
      <c r="F683" s="29">
        <f t="shared" si="194"/>
        <v>-6.9256376181545454E-2</v>
      </c>
      <c r="G683" s="28" t="str">
        <f t="shared" si="194"/>
        <v>Neutral</v>
      </c>
      <c r="H683" s="30"/>
      <c r="I683" s="31">
        <f>ELISA!$D$11/1000</f>
        <v>6.7223068039199996</v>
      </c>
      <c r="J683" s="31">
        <f>ELISA!$E$11/1000</f>
        <v>6.7223068039199996</v>
      </c>
      <c r="K683" s="31">
        <f>ELISA!$F$11/1000</f>
        <v>6.7223068039199996</v>
      </c>
      <c r="L683" s="31">
        <f>ELISA!$G$11/1000</f>
        <v>6.7223068039199996</v>
      </c>
      <c r="M683" s="29">
        <f t="shared" ref="M683:M694" si="196">(L683/I683)^(1/3)-1</f>
        <v>0</v>
      </c>
      <c r="N683" s="30"/>
      <c r="O683" s="31">
        <f>ELISA!$D$12/1000</f>
        <v>1.508</v>
      </c>
      <c r="P683" s="31">
        <f>ELISA!$E$12/1000</f>
        <v>1.3973609790682415</v>
      </c>
      <c r="Q683" s="31">
        <f>ELISA!$F$12/1000</f>
        <v>1.3837947941374278</v>
      </c>
      <c r="R683" s="31">
        <f>ELISA!$G$12/1000</f>
        <v>1.3953088755779335</v>
      </c>
      <c r="S683" s="29">
        <f t="shared" ref="S683:S694" si="197">(R683/O683)^(1/3)-1</f>
        <v>-2.5557228278989208E-2</v>
      </c>
      <c r="T683" s="30"/>
      <c r="U683" s="32" t="str">
        <f t="shared" si="195"/>
        <v>EUR 41.9</v>
      </c>
      <c r="V683" s="28" t="str">
        <f t="shared" si="195"/>
        <v>Elisa</v>
      </c>
    </row>
    <row r="684" spans="1:22">
      <c r="C684" s="32" t="str">
        <f t="shared" si="194"/>
        <v>Eutelsat</v>
      </c>
      <c r="D684" s="28" t="str">
        <f t="shared" si="194"/>
        <v>EUR 2.8</v>
      </c>
      <c r="E684" s="28" t="str">
        <f t="shared" si="194"/>
        <v>EUR 1.4</v>
      </c>
      <c r="F684" s="29">
        <f t="shared" si="194"/>
        <v>-0.5</v>
      </c>
      <c r="G684" s="28" t="str">
        <f t="shared" si="194"/>
        <v>Sell</v>
      </c>
      <c r="H684" s="30"/>
      <c r="I684" s="31">
        <f>ETL!$D$11/1000</f>
        <v>3.2986819104296297</v>
      </c>
      <c r="J684" s="31">
        <f>ETL!$E$11/1000</f>
        <v>3.2986819104296297</v>
      </c>
      <c r="K684" s="31">
        <f>ETL!$F$11/1000</f>
        <v>3.2986819104296297</v>
      </c>
      <c r="L684" s="31">
        <f>ETL!$G$11/1000</f>
        <v>3.2986819104296297</v>
      </c>
      <c r="M684" s="29">
        <f t="shared" ref="M684" si="198">(L684/I684)^(1/3)-1</f>
        <v>0</v>
      </c>
      <c r="N684" s="30"/>
      <c r="O684" s="31">
        <f>ETL!$D$12/1000</f>
        <v>1.4282728598118095</v>
      </c>
      <c r="P684" s="31">
        <f>ETL!$E$12/1000</f>
        <v>1.7999609354322665</v>
      </c>
      <c r="Q684" s="31">
        <f>ETL!$F$12/1000</f>
        <v>2.3782749379522237</v>
      </c>
      <c r="R684" s="31">
        <f>ETL!$G$12/1000</f>
        <v>2.4554192257766672</v>
      </c>
      <c r="S684" s="29">
        <f t="shared" ref="S684" si="199">(R684/O684)^(1/3)-1</f>
        <v>0.19794852212283409</v>
      </c>
      <c r="T684" s="30"/>
      <c r="U684" s="32" t="str">
        <f t="shared" si="195"/>
        <v>EUR 2.8</v>
      </c>
      <c r="V684" s="28" t="str">
        <f t="shared" si="195"/>
        <v>Eutelsat</v>
      </c>
    </row>
    <row r="685" spans="1:22">
      <c r="A685" s="25"/>
      <c r="C685" s="32" t="str">
        <f t="shared" si="194"/>
        <v>Liberty Global (prop.)</v>
      </c>
      <c r="D685" s="28" t="str">
        <f t="shared" si="194"/>
        <v>USD 12.0</v>
      </c>
      <c r="E685" s="28" t="str">
        <f t="shared" si="194"/>
        <v>USD 12.5</v>
      </c>
      <c r="F685" s="29">
        <f t="shared" si="194"/>
        <v>4.4277360066833804E-2</v>
      </c>
      <c r="G685" s="28" t="str">
        <f t="shared" si="194"/>
        <v>Neutral</v>
      </c>
      <c r="H685" s="30"/>
      <c r="I685" s="31">
        <f>LBTY!D$11/1000</f>
        <v>4.8574166500000002</v>
      </c>
      <c r="J685" s="31">
        <f>LBTY!E$11/1000</f>
        <v>4.9081062982506705</v>
      </c>
      <c r="K685" s="31">
        <f>LBTY!F$11/1000</f>
        <v>4.9587959465013398</v>
      </c>
      <c r="L685" s="31">
        <f>LBTY!G$11/1000</f>
        <v>5.0094855947520109</v>
      </c>
      <c r="M685" s="29">
        <f>(L685/I685)^(1/3)-1</f>
        <v>1.0328471221808133E-2</v>
      </c>
      <c r="N685" s="30"/>
      <c r="O685" s="31">
        <f>LBTY!D$12/1000/Prices!$C$135</f>
        <v>5.6451123653143176</v>
      </c>
      <c r="P685" s="31">
        <f>LBTY!E$12/1000/Prices!$C$135</f>
        <v>6.4651225822535938</v>
      </c>
      <c r="Q685" s="31">
        <f>LBTY!F$12/1000/Prices!$C$135</f>
        <v>13.63979179110612</v>
      </c>
      <c r="R685" s="31">
        <f>LBTY!G$12/1000/Prices!$C$135</f>
        <v>13.26999307032971</v>
      </c>
      <c r="S685" s="29">
        <f>(R685/O685)^(1/3)-1</f>
        <v>0.32963580576627094</v>
      </c>
      <c r="T685" s="30"/>
      <c r="U685" s="32" t="str">
        <f t="shared" si="195"/>
        <v>USD 12.0</v>
      </c>
      <c r="V685" s="28" t="str">
        <f t="shared" si="195"/>
        <v>Liberty Global</v>
      </c>
    </row>
    <row r="686" spans="1:22">
      <c r="A686" s="25"/>
      <c r="C686" s="32" t="str">
        <f t="shared" si="194"/>
        <v>NOS</v>
      </c>
      <c r="D686" s="28" t="str">
        <f t="shared" si="194"/>
        <v>EUR 5.65</v>
      </c>
      <c r="E686" s="28" t="str">
        <f t="shared" si="194"/>
        <v>EUR 5.50</v>
      </c>
      <c r="F686" s="29">
        <f t="shared" si="194"/>
        <v>-2.6548672566371723E-2</v>
      </c>
      <c r="G686" s="28" t="str">
        <f t="shared" si="194"/>
        <v>Neutral</v>
      </c>
      <c r="H686" s="30"/>
      <c r="I686" s="31">
        <f>NOS!D$11/1000</f>
        <v>2.8993717523</v>
      </c>
      <c r="J686" s="31">
        <f>NOS!$E$11/1000</f>
        <v>2.8993717523</v>
      </c>
      <c r="K686" s="31">
        <f>NOS!$F$11/1000</f>
        <v>2.8993717523</v>
      </c>
      <c r="L686" s="31">
        <f>NOS!$G$11/1000</f>
        <v>2.8993717523</v>
      </c>
      <c r="M686" s="29">
        <f>(L686/I686)^(1/3)-1</f>
        <v>0</v>
      </c>
      <c r="N686" s="30"/>
      <c r="O686" s="31">
        <f>NOS!$D$12/1000</f>
        <v>1.0219999114600002</v>
      </c>
      <c r="P686" s="31">
        <f>NOS!$E$12/1000</f>
        <v>0.89885710394447149</v>
      </c>
      <c r="Q686" s="31">
        <f>NOS!$F$12/1000</f>
        <v>1.0216462304220968</v>
      </c>
      <c r="R686" s="31">
        <f>NOS!$G$12/1000</f>
        <v>0.95743235292143947</v>
      </c>
      <c r="S686" s="29">
        <f>(R686/O686)^(1/3)-1</f>
        <v>-2.151896276235099E-2</v>
      </c>
      <c r="T686" s="30"/>
      <c r="U686" s="32" t="str">
        <f t="shared" si="195"/>
        <v>EUR 5.65</v>
      </c>
      <c r="V686" s="28" t="str">
        <f t="shared" si="195"/>
        <v>NOS</v>
      </c>
    </row>
    <row r="687" spans="1:22">
      <c r="C687" s="32" t="str">
        <f t="shared" si="194"/>
        <v>Orange Belgium</v>
      </c>
      <c r="D687" s="28" t="str">
        <f t="shared" si="194"/>
        <v>EUR 21.0</v>
      </c>
      <c r="E687" s="28" t="str">
        <f t="shared" si="194"/>
        <v>EUR 21.1</v>
      </c>
      <c r="F687" s="29">
        <f t="shared" si="194"/>
        <v>5.150744566468024E-3</v>
      </c>
      <c r="G687" s="28" t="str">
        <f t="shared" si="194"/>
        <v>Neutral</v>
      </c>
      <c r="H687" s="30"/>
      <c r="I687" s="31">
        <f>OBEL!$D$11/1000</f>
        <v>1.2603026939999999</v>
      </c>
      <c r="J687" s="31">
        <f>OBEL!$E$11/1000</f>
        <v>1.2603026939999999</v>
      </c>
      <c r="K687" s="31">
        <f>OBEL!$F$11/1000</f>
        <v>1.2603026939999999</v>
      </c>
      <c r="L687" s="31">
        <f>OBEL!$G$11/1000</f>
        <v>1.2603026939999999</v>
      </c>
      <c r="M687" s="29">
        <f t="shared" si="196"/>
        <v>0</v>
      </c>
      <c r="N687" s="30"/>
      <c r="O687" s="31">
        <f>OBEL!$D$12/1000</f>
        <v>1.8151295000000001</v>
      </c>
      <c r="P687" s="31">
        <f>OBEL!$E$12/1000</f>
        <v>1.7238640456151912</v>
      </c>
      <c r="Q687" s="31">
        <f>OBEL!$F$12/1000</f>
        <v>1.6471686986946177</v>
      </c>
      <c r="R687" s="31">
        <f>OBEL!$G$12/1000</f>
        <v>1.6961435532638456</v>
      </c>
      <c r="S687" s="29">
        <f t="shared" si="197"/>
        <v>-2.2346415394682517E-2</v>
      </c>
      <c r="T687" s="30"/>
      <c r="U687" s="32" t="str">
        <f t="shared" si="195"/>
        <v>EUR 21.0</v>
      </c>
      <c r="V687" s="28" t="str">
        <f t="shared" si="195"/>
        <v>Orange Belgium</v>
      </c>
    </row>
    <row r="688" spans="1:22">
      <c r="C688" s="32" t="str">
        <f t="shared" si="194"/>
        <v>SES</v>
      </c>
      <c r="D688" s="28" t="str">
        <f t="shared" si="194"/>
        <v>EUR 6.6</v>
      </c>
      <c r="E688" s="28" t="str">
        <f t="shared" si="194"/>
        <v>EUR 6.0</v>
      </c>
      <c r="F688" s="404">
        <f t="shared" si="194"/>
        <v>-9.297052154195018E-2</v>
      </c>
      <c r="G688" s="28" t="str">
        <f t="shared" si="194"/>
        <v>Neutral</v>
      </c>
      <c r="H688" s="30"/>
      <c r="I688" s="528">
        <f>SES!$D$11/1000</f>
        <v>2.7449614531079995</v>
      </c>
      <c r="J688" s="528">
        <f>SES!$E$11/1000</f>
        <v>2.7449614531079995</v>
      </c>
      <c r="K688" s="528">
        <f>SES!$F$11/1000</f>
        <v>2.7449614531079995</v>
      </c>
      <c r="L688" s="528">
        <f>SES!$G$11/1000</f>
        <v>2.7449614531079995</v>
      </c>
      <c r="M688" s="404">
        <f>(L688/I688)^(1/3)-1</f>
        <v>0</v>
      </c>
      <c r="N688" s="30"/>
      <c r="O688" s="528">
        <f>SES!$D$12/1000</f>
        <v>6.6020000000000003</v>
      </c>
      <c r="P688" s="528">
        <f>SES!$E$12/1000</f>
        <v>6.5462879202256259</v>
      </c>
      <c r="Q688" s="528">
        <f>SES!$F$12/1000</f>
        <v>5.0786271268928793</v>
      </c>
      <c r="R688" s="528">
        <f>SES!$G$12/1000</f>
        <v>5.4681606865803571</v>
      </c>
      <c r="S688" s="404">
        <f>(R688/O688)^(1/3)-1</f>
        <v>-6.0878212867436554E-2</v>
      </c>
      <c r="T688" s="30"/>
      <c r="U688" s="32" t="str">
        <f t="shared" si="195"/>
        <v>EUR 6.6</v>
      </c>
      <c r="V688" s="28" t="str">
        <f t="shared" si="195"/>
        <v>SES</v>
      </c>
    </row>
    <row r="689" spans="1:29">
      <c r="C689" s="32" t="str">
        <f t="shared" si="194"/>
        <v>Sunrise</v>
      </c>
      <c r="D689" s="28" t="str">
        <f t="shared" si="194"/>
        <v>CHF46.1</v>
      </c>
      <c r="E689" s="28" t="str">
        <f t="shared" si="194"/>
        <v>CHF38.7</v>
      </c>
      <c r="F689" s="29">
        <f t="shared" si="194"/>
        <v>-0.15959504533103386</v>
      </c>
      <c r="G689" s="28" t="str">
        <f t="shared" si="194"/>
        <v>Sell</v>
      </c>
      <c r="H689" s="30"/>
      <c r="I689" s="31">
        <f>SUNN!$D$11/1000</f>
        <v>3.3505710500000001</v>
      </c>
      <c r="J689" s="31">
        <f>SUNN!$E$11/1000</f>
        <v>3.37045609968383</v>
      </c>
      <c r="K689" s="31">
        <f>SUNN!$F$11/1000</f>
        <v>3.3895313356817689</v>
      </c>
      <c r="L689" s="31">
        <f>SUNN!$G$11/1000</f>
        <v>3.4077007585842738</v>
      </c>
      <c r="M689" s="29">
        <f t="shared" ref="M689" si="200">(L689/I689)^(1/3)-1</f>
        <v>5.6515787659763284E-3</v>
      </c>
      <c r="N689" s="30"/>
      <c r="O689" s="31">
        <f>SUNN!$D$12/1000</f>
        <v>4.5609999999999999</v>
      </c>
      <c r="P689" s="31">
        <f>SUNN!$E$12/1000</f>
        <v>4.4567082777887483</v>
      </c>
      <c r="Q689" s="31">
        <f>SUNN!$F$12/1000</f>
        <v>4.3188837283773687</v>
      </c>
      <c r="R689" s="31">
        <f>SUNN!$G$12/1000</f>
        <v>4.6000119517063851</v>
      </c>
      <c r="S689" s="29">
        <f t="shared" ref="S689" si="201">(R689/O689)^(1/3)-1</f>
        <v>2.8430351003632115E-3</v>
      </c>
      <c r="T689" s="30"/>
      <c r="U689" s="32" t="str">
        <f t="shared" si="195"/>
        <v>CHF46.1</v>
      </c>
      <c r="V689" s="28" t="str">
        <f t="shared" si="195"/>
        <v>Sunrise</v>
      </c>
    </row>
    <row r="690" spans="1:29">
      <c r="C690" s="32" t="str">
        <f t="shared" si="194"/>
        <v>Tele2</v>
      </c>
      <c r="D690" s="28" t="str">
        <f t="shared" si="194"/>
        <v>SEK 189.7</v>
      </c>
      <c r="E690" s="28" t="str">
        <f t="shared" si="194"/>
        <v>SEK 170.0</v>
      </c>
      <c r="F690" s="29">
        <f t="shared" si="194"/>
        <v>-0.10361191668863701</v>
      </c>
      <c r="G690" s="28" t="str">
        <f t="shared" si="194"/>
        <v>Neutral</v>
      </c>
      <c r="H690" s="30"/>
      <c r="I690" s="31">
        <f>TELE2!D$11/1000/Prices!$F$138</f>
        <v>12.197742031772583</v>
      </c>
      <c r="J690" s="31">
        <f>TELE2!E$11/1000/Prices!$F$138</f>
        <v>12.197742031772583</v>
      </c>
      <c r="K690" s="31">
        <f>TELE2!F$11/1000/Prices!$F$138</f>
        <v>12.197742031772583</v>
      </c>
      <c r="L690" s="31">
        <f>TELE2!G$11/1000/Prices!$F$138</f>
        <v>12.197742031772583</v>
      </c>
      <c r="M690" s="29">
        <f t="shared" si="196"/>
        <v>0</v>
      </c>
      <c r="N690" s="30"/>
      <c r="O690" s="31">
        <f>TELE2!D$12/1000/Prices!$F$138</f>
        <v>2.2406162198301209</v>
      </c>
      <c r="P690" s="31">
        <f>TELE2!E$12/1000/Prices!$F$138</f>
        <v>1.9384840247079789</v>
      </c>
      <c r="Q690" s="31">
        <f>TELE2!F$12/1000/Prices!$F$138</f>
        <v>1.9971222886264439</v>
      </c>
      <c r="R690" s="31">
        <f>TELE2!G$12/1000/Prices!$F$138</f>
        <v>2.0527207606114706</v>
      </c>
      <c r="S690" s="29">
        <f t="shared" si="197"/>
        <v>-2.8772882631418084E-2</v>
      </c>
      <c r="T690" s="30"/>
      <c r="U690" s="32" t="str">
        <f t="shared" si="195"/>
        <v>SEK 189.7</v>
      </c>
      <c r="V690" s="28" t="str">
        <f t="shared" si="195"/>
        <v>Tele2</v>
      </c>
    </row>
    <row r="691" spans="1:29">
      <c r="A691" s="25"/>
      <c r="C691" s="32" t="str">
        <f t="shared" si="194"/>
        <v>United Internet</v>
      </c>
      <c r="D691" s="28" t="str">
        <f t="shared" si="194"/>
        <v>EUR 26.7</v>
      </c>
      <c r="E691" s="28" t="str">
        <f t="shared" si="194"/>
        <v>EUR 33.0</v>
      </c>
      <c r="F691" s="29">
        <f t="shared" si="194"/>
        <v>0.23688155922038989</v>
      </c>
      <c r="G691" s="28" t="str">
        <f t="shared" si="194"/>
        <v>Neutral</v>
      </c>
      <c r="H691" s="30"/>
      <c r="I691" s="31">
        <f>UTDI!$D$11/1000</f>
        <v>4.6112994574799995</v>
      </c>
      <c r="J691" s="31">
        <f>UTDI!$E$11/1000</f>
        <v>4.6112994574799995</v>
      </c>
      <c r="K691" s="31">
        <f>UTDI!$F$11/1000</f>
        <v>4.6112994574799995</v>
      </c>
      <c r="L691" s="31">
        <f>UTDI!$G$11/1000</f>
        <v>4.6112994574799995</v>
      </c>
      <c r="M691" s="29">
        <f>(L691/I691)^(1/3)-1</f>
        <v>0</v>
      </c>
      <c r="N691" s="30"/>
      <c r="O691" s="31">
        <f>UTDI!$D$12/1000</f>
        <v>3.199986</v>
      </c>
      <c r="P691" s="31">
        <f>UTDI!$E$12/1000</f>
        <v>3.058009653104008</v>
      </c>
      <c r="Q691" s="31">
        <f>UTDI!$F$12/1000</f>
        <v>2.9206381137814952</v>
      </c>
      <c r="R691" s="31">
        <f>UTDI!$G$12/1000</f>
        <v>2.7028677526152136</v>
      </c>
      <c r="S691" s="29">
        <f>(R691/O691)^(1/3)-1</f>
        <v>-5.4723402249335806E-2</v>
      </c>
      <c r="T691" s="30"/>
      <c r="U691" s="32" t="str">
        <f t="shared" si="195"/>
        <v>EUR 26.7</v>
      </c>
      <c r="V691" s="28" t="str">
        <f t="shared" si="195"/>
        <v>United Internet</v>
      </c>
    </row>
    <row r="692" spans="1:29">
      <c r="C692" s="32" t="str">
        <f t="shared" si="194"/>
        <v>Vodafone</v>
      </c>
      <c r="D692" s="28" t="str">
        <f t="shared" si="194"/>
        <v>GBP 1.16</v>
      </c>
      <c r="E692" s="28" t="str">
        <f t="shared" si="194"/>
        <v>GBP 1.30</v>
      </c>
      <c r="F692" s="29">
        <f t="shared" si="194"/>
        <v>0.12117291936179386</v>
      </c>
      <c r="G692" s="28" t="str">
        <f t="shared" si="194"/>
        <v>Buy</v>
      </c>
      <c r="H692" s="30"/>
      <c r="I692" s="31">
        <f>VOD!D$11/1000/Prices!$F$133</f>
        <v>30.515009042561537</v>
      </c>
      <c r="J692" s="31">
        <f>VOD!E$11/1000/Prices!$F$133</f>
        <v>30.333541354866938</v>
      </c>
      <c r="K692" s="31">
        <f>VOD!F$11/1000/Prices!$F$133</f>
        <v>30.333541354866938</v>
      </c>
      <c r="L692" s="31">
        <f>VOD!G$11/1000/Prices!$F$133</f>
        <v>30.333541354866938</v>
      </c>
      <c r="M692" s="29">
        <f>(L692/I692)^(1/3)-1</f>
        <v>-1.9862203984811755E-3</v>
      </c>
      <c r="N692" s="30"/>
      <c r="O692" s="31">
        <f>VOD!$D$12/Prices!$F$133/1000</f>
        <v>25.094389975437458</v>
      </c>
      <c r="P692" s="31">
        <f>VOD!$E$12/Prices!$F$133/1000</f>
        <v>24.439841210690187</v>
      </c>
      <c r="Q692" s="31">
        <f>VOD!$F$12/Prices!$F$133/1000</f>
        <v>23.770030842596924</v>
      </c>
      <c r="R692" s="31">
        <f>VOD!$G$12/Prices!$F$133/1000</f>
        <v>21.956973260437081</v>
      </c>
      <c r="S692" s="29">
        <f>(R692/O692)^(1/3)-1</f>
        <v>-4.3543381527926583E-2</v>
      </c>
      <c r="T692" s="30"/>
      <c r="U692" s="32" t="str">
        <f t="shared" si="195"/>
        <v>GBP 1.16</v>
      </c>
      <c r="V692" s="28" t="str">
        <f t="shared" si="195"/>
        <v>Vodafone</v>
      </c>
      <c r="AC692" s="47"/>
    </row>
    <row r="693" spans="1:29">
      <c r="C693" s="32" t="str">
        <f t="shared" si="194"/>
        <v>Zegona</v>
      </c>
      <c r="D693" s="28" t="str">
        <f t="shared" si="194"/>
        <v>GBP 17.92</v>
      </c>
      <c r="E693" s="28" t="str">
        <f t="shared" si="194"/>
        <v>GBP 14.75</v>
      </c>
      <c r="F693" s="29">
        <f t="shared" si="194"/>
        <v>-0.17689732142857151</v>
      </c>
      <c r="G693" s="28" t="str">
        <f t="shared" si="194"/>
        <v>Neutral</v>
      </c>
      <c r="H693" s="30"/>
      <c r="I693" s="31">
        <f>ZEG!D$11/1000/Prices!$F$133</f>
        <v>5.3194606781243881</v>
      </c>
      <c r="J693" s="31">
        <f>ZEG!E$11/1000/Prices!$F$133</f>
        <v>5.3194606781243881</v>
      </c>
      <c r="K693" s="31">
        <f>ZEG!F$11/1000/Prices!$F$133</f>
        <v>5.3194606781243881</v>
      </c>
      <c r="L693" s="31">
        <f>ZEG!G$11/1000/Prices!$F$133</f>
        <v>5.3194606781243881</v>
      </c>
      <c r="M693" s="29">
        <f>(L693/I693)^(1/3)-1</f>
        <v>0</v>
      </c>
      <c r="N693" s="30"/>
      <c r="O693" s="31">
        <f>ZEG!$D$12/Prices!$F$133/1000</f>
        <v>3.4091871813382371</v>
      </c>
      <c r="P693" s="31">
        <f>ZEG!$E$12/Prices!$F$133/1000</f>
        <v>3.314632575043857</v>
      </c>
      <c r="Q693" s="31">
        <f>ZEG!$F$12/Prices!$F$133/1000</f>
        <v>2.9903182664072365</v>
      </c>
      <c r="R693" s="31">
        <f>ZEG!$G$12/Prices!$F$133/1000</f>
        <v>2.7291607691822617</v>
      </c>
      <c r="S693" s="29">
        <f>(R693/O693)^(1/3)-1</f>
        <v>-7.1476803827229318E-2</v>
      </c>
      <c r="T693" s="30"/>
      <c r="U693" s="32" t="str">
        <f t="shared" si="195"/>
        <v>GBP 17.92</v>
      </c>
      <c r="V693" s="28" t="str">
        <f t="shared" si="195"/>
        <v>Zegona</v>
      </c>
      <c r="AC693" s="47"/>
    </row>
    <row r="694" spans="1:29">
      <c r="C694" s="35" t="str">
        <f>C635</f>
        <v>Agg. W. Europe Other</v>
      </c>
      <c r="D694" s="36"/>
      <c r="E694" s="36"/>
      <c r="F694" s="37"/>
      <c r="G694" s="36"/>
      <c r="H694" s="30"/>
      <c r="I694" s="38">
        <f>'W.EUR OTHER'!$D$11/1000</f>
        <v>97.320870580146945</v>
      </c>
      <c r="J694" s="38">
        <f>'W.EUR OTHER'!$E$11/1000</f>
        <v>97.204398923690547</v>
      </c>
      <c r="K694" s="38">
        <f>'W.EUR OTHER'!$F$11/1000</f>
        <v>97.268514387484558</v>
      </c>
      <c r="L694" s="38">
        <f>'W.EUR OTHER'!$G$11/1000</f>
        <v>97.331644896916572</v>
      </c>
      <c r="M694" s="39">
        <f t="shared" si="196"/>
        <v>3.6901708490910679E-5</v>
      </c>
      <c r="N694" s="40"/>
      <c r="O694" s="38">
        <f>'W.EUR OTHER'!$D$12/1000</f>
        <v>61.128190478647944</v>
      </c>
      <c r="P694" s="38">
        <f>'W.EUR OTHER'!$E$12/1000</f>
        <v>59.55603927533781</v>
      </c>
      <c r="Q694" s="38">
        <f>'W.EUR OTHER'!$F$12/1000</f>
        <v>63.664831975453183</v>
      </c>
      <c r="R694" s="38">
        <f>'W.EUR OTHER'!$G$12/1000</f>
        <v>60.67013215701391</v>
      </c>
      <c r="S694" s="39">
        <f t="shared" si="197"/>
        <v>-2.5040669667073523E-3</v>
      </c>
      <c r="T694" s="30"/>
      <c r="U694" s="41"/>
      <c r="V694" s="42" t="str">
        <f>V635</f>
        <v>Agg. W. Europe Other</v>
      </c>
    </row>
    <row r="695" spans="1:29">
      <c r="C695" s="32"/>
      <c r="D695" s="28"/>
      <c r="E695" s="28"/>
      <c r="F695" s="29"/>
      <c r="G695" s="28"/>
      <c r="H695" s="30"/>
      <c r="I695" s="31"/>
      <c r="J695" s="31"/>
      <c r="K695" s="31"/>
      <c r="L695" s="31"/>
      <c r="M695" s="29"/>
      <c r="N695" s="30"/>
      <c r="O695" s="31"/>
      <c r="P695" s="31"/>
      <c r="Q695" s="31"/>
      <c r="R695" s="31"/>
      <c r="S695" s="29"/>
      <c r="T695" s="30"/>
      <c r="U695" s="32"/>
      <c r="V695" s="28"/>
    </row>
    <row r="696" spans="1:29">
      <c r="C696" s="32" t="str">
        <f t="shared" ref="C696:G698" si="202">C637</f>
        <v>KDDI</v>
      </c>
      <c r="D696" s="28" t="str">
        <f t="shared" si="202"/>
        <v>JPY 2,565</v>
      </c>
      <c r="E696" s="28" t="str">
        <f t="shared" si="202"/>
        <v>JPY 3,150</v>
      </c>
      <c r="F696" s="29">
        <f t="shared" si="202"/>
        <v>0.22807017543859653</v>
      </c>
      <c r="G696" s="28" t="str">
        <f t="shared" si="202"/>
        <v>Buy</v>
      </c>
      <c r="H696" s="30"/>
      <c r="I696" s="31">
        <f>KDDI!$D$11/Prices!$C$141</f>
        <v>61.024967461654761</v>
      </c>
      <c r="J696" s="31">
        <f>KDDI!$E$11/Prices!$C$141</f>
        <v>59.240929679615604</v>
      </c>
      <c r="K696" s="31">
        <f>KDDI!$F$11/Prices!$C$141</f>
        <v>57.456891897576433</v>
      </c>
      <c r="L696" s="31">
        <f>KDDI!$G$11/Prices!$C$141</f>
        <v>55.672854115537277</v>
      </c>
      <c r="M696" s="29">
        <f t="shared" ref="M696:M699" si="203">(L696/I696)^(1/3)-1</f>
        <v>-3.013345999844308E-2</v>
      </c>
      <c r="N696" s="30"/>
      <c r="O696" s="31">
        <f>KDDI!$D$12/Prices!$C$141</f>
        <v>16.273597926867691</v>
      </c>
      <c r="P696" s="31">
        <f>KDDI!$E$12/Prices!$C$141</f>
        <v>14.81589463210706</v>
      </c>
      <c r="Q696" s="31">
        <f>KDDI!$F$12/Prices!$C$141</f>
        <v>12.979274369740729</v>
      </c>
      <c r="R696" s="31">
        <f>KDDI!$G$12/Prices!$C$141</f>
        <v>10.813166021080221</v>
      </c>
      <c r="S696" s="29">
        <f t="shared" ref="S696:S699" si="204">(R696/O696)^(1/3)-1</f>
        <v>-0.12738415138441816</v>
      </c>
      <c r="T696" s="30"/>
      <c r="U696" s="32" t="str">
        <f t="shared" ref="U696:V698" si="205">U637</f>
        <v>JPY 2,565</v>
      </c>
      <c r="V696" s="28" t="str">
        <f t="shared" si="205"/>
        <v>KDDI</v>
      </c>
    </row>
    <row r="697" spans="1:29">
      <c r="C697" s="32" t="str">
        <f t="shared" si="202"/>
        <v>Rakuten</v>
      </c>
      <c r="D697" s="28" t="str">
        <f t="shared" si="202"/>
        <v>JPY 775</v>
      </c>
      <c r="E697" s="28" t="str">
        <f t="shared" si="202"/>
        <v>JPY 510</v>
      </c>
      <c r="F697" s="29">
        <f t="shared" si="202"/>
        <v>-0.3421901199535663</v>
      </c>
      <c r="G697" s="28" t="str">
        <f t="shared" si="202"/>
        <v>Reduce</v>
      </c>
      <c r="H697" s="30"/>
      <c r="I697" s="31">
        <f>(RAK!D$11/Prices!$C$141)</f>
        <v>10.456138770416121</v>
      </c>
      <c r="J697" s="31">
        <f>(RAK!E$11/Prices!$C$141)</f>
        <v>10.456138770416121</v>
      </c>
      <c r="K697" s="31">
        <f>(RAK!F$11/Prices!$C$141)</f>
        <v>10.456138770416121</v>
      </c>
      <c r="L697" s="31">
        <f>(RAK!G$11/Prices!$C$141)</f>
        <v>10.456138770416121</v>
      </c>
      <c r="M697" s="29">
        <f>(L697/I697)^(1/3)-1</f>
        <v>0</v>
      </c>
      <c r="N697" s="30"/>
      <c r="O697" s="31">
        <f>RAK!D$12/Prices!$C$141</f>
        <v>0.55712057053152686</v>
      </c>
      <c r="P697" s="31">
        <f>RAK!E$12/Prices!$C$141</f>
        <v>0.55712057053152686</v>
      </c>
      <c r="Q697" s="31">
        <f>RAK!F$12/Prices!$C$141</f>
        <v>0.55712057053152686</v>
      </c>
      <c r="R697" s="31">
        <f>RAK!G$12/Prices!$C$141</f>
        <v>0.55712057053152686</v>
      </c>
      <c r="S697" s="29">
        <f>(R697/O697)^(1/3)-1</f>
        <v>0</v>
      </c>
      <c r="T697" s="30"/>
      <c r="U697" s="32" t="str">
        <f t="shared" si="205"/>
        <v>JPY 775</v>
      </c>
      <c r="V697" s="28" t="str">
        <f t="shared" si="205"/>
        <v>Rakuten</v>
      </c>
    </row>
    <row r="698" spans="1:29">
      <c r="C698" s="32" t="str">
        <f t="shared" si="202"/>
        <v>SoftBank KK (Corp)</v>
      </c>
      <c r="D698" s="28" t="str">
        <f t="shared" si="202"/>
        <v>JPY 220</v>
      </c>
      <c r="E698" s="28" t="str">
        <f t="shared" si="202"/>
        <v>JPY 270</v>
      </c>
      <c r="F698" s="29">
        <f t="shared" si="202"/>
        <v>0.22615803814713908</v>
      </c>
      <c r="G698" s="28" t="str">
        <f t="shared" si="202"/>
        <v>Buy</v>
      </c>
      <c r="H698" s="30"/>
      <c r="I698" s="31">
        <f>SBKK!D$11/Prices!$C$141</f>
        <v>64.526494774040046</v>
      </c>
      <c r="J698" s="31">
        <f>SBKK!E$11/Prices!$C$141</f>
        <v>63.837292809820703</v>
      </c>
      <c r="K698" s="31">
        <f>SBKK!F$11/Prices!$C$141</f>
        <v>63.148090845601359</v>
      </c>
      <c r="L698" s="31">
        <f>SBKK!G$11/Prices!$C$141</f>
        <v>62.45888888138203</v>
      </c>
      <c r="M698" s="29">
        <f t="shared" si="203"/>
        <v>-1.0797071545027737E-2</v>
      </c>
      <c r="N698" s="30"/>
      <c r="O698" s="31">
        <f>SBKK!D$12/Prices!$C$141</f>
        <v>25.28510062004937</v>
      </c>
      <c r="P698" s="31">
        <f>SBKK!E$12/Prices!$C$141</f>
        <v>22.501354077180096</v>
      </c>
      <c r="Q698" s="31">
        <f>SBKK!F$12/Prices!$C$141</f>
        <v>19.170012664064323</v>
      </c>
      <c r="R698" s="31">
        <f>SBKK!G$12/Prices!$C$141</f>
        <v>15.206062040944945</v>
      </c>
      <c r="S698" s="29">
        <f t="shared" si="204"/>
        <v>-0.15591919550331912</v>
      </c>
      <c r="T698" s="30"/>
      <c r="U698" s="32" t="str">
        <f t="shared" si="205"/>
        <v>JPY 220</v>
      </c>
      <c r="V698" s="28" t="str">
        <f t="shared" si="205"/>
        <v>SoftBank KK (Corp)</v>
      </c>
    </row>
    <row r="699" spans="1:29">
      <c r="C699" s="35" t="str">
        <f>C640</f>
        <v>Agg. Developed Asia Other</v>
      </c>
      <c r="D699" s="36"/>
      <c r="E699" s="36"/>
      <c r="F699" s="37"/>
      <c r="G699" s="36"/>
      <c r="H699" s="30"/>
      <c r="I699" s="38">
        <f>'DM ASIA OTHER'!$D$11/1000</f>
        <v>136.00760100611092</v>
      </c>
      <c r="J699" s="38">
        <f>'DM ASIA OTHER'!$E$11/1000</f>
        <v>133.53436125985243</v>
      </c>
      <c r="K699" s="38">
        <f>'DM ASIA OTHER'!$F$11/1000</f>
        <v>131.06112151359392</v>
      </c>
      <c r="L699" s="38">
        <f>'DM ASIA OTHER'!$G$11/1000</f>
        <v>128.58788176733543</v>
      </c>
      <c r="M699" s="39">
        <f t="shared" si="203"/>
        <v>-1.8525650429595419E-2</v>
      </c>
      <c r="N699" s="40"/>
      <c r="O699" s="38">
        <f>'DM ASIA OTHER'!$D$12/1000</f>
        <v>42.115819117448588</v>
      </c>
      <c r="P699" s="38">
        <f>'DM ASIA OTHER'!$E$12/1000</f>
        <v>37.87436927981868</v>
      </c>
      <c r="Q699" s="38">
        <f>'DM ASIA OTHER'!$F$12/1000</f>
        <v>32.706407604336583</v>
      </c>
      <c r="R699" s="38">
        <f>'DM ASIA OTHER'!$G$12/1000</f>
        <v>26.576348632556687</v>
      </c>
      <c r="S699" s="39">
        <f t="shared" si="204"/>
        <v>-0.1422711456445489</v>
      </c>
      <c r="T699" s="30"/>
      <c r="U699" s="41"/>
      <c r="V699" s="42" t="str">
        <f>V640</f>
        <v>Agg. Developed Asia Cellular</v>
      </c>
    </row>
    <row r="700" spans="1:29">
      <c r="A700" s="25"/>
      <c r="C700" s="32"/>
      <c r="D700" s="28"/>
      <c r="E700" s="28"/>
      <c r="F700" s="29"/>
      <c r="G700" s="28"/>
      <c r="H700" s="30"/>
      <c r="I700" s="31"/>
      <c r="J700" s="31"/>
      <c r="K700" s="31"/>
      <c r="L700" s="31"/>
      <c r="M700" s="29"/>
      <c r="N700" s="30"/>
      <c r="O700" s="31"/>
      <c r="P700" s="31"/>
      <c r="Q700" s="31"/>
      <c r="R700" s="31"/>
      <c r="S700" s="29"/>
      <c r="T700" s="30"/>
      <c r="U700" s="32"/>
      <c r="V700" s="28"/>
    </row>
    <row r="701" spans="1:29">
      <c r="A701" s="25"/>
      <c r="B701" s="26" t="s">
        <v>424</v>
      </c>
      <c r="C701" s="32" t="str">
        <f>C642</f>
        <v>Altice US</v>
      </c>
      <c r="D701" s="28" t="str">
        <f>D642</f>
        <v>US$1.7</v>
      </c>
      <c r="E701" s="28" t="str">
        <f>E642</f>
        <v>US$2.5</v>
      </c>
      <c r="F701" s="29">
        <f>F642</f>
        <v>0.49700598802395213</v>
      </c>
      <c r="G701" s="28" t="str">
        <f>G642</f>
        <v>Neutral</v>
      </c>
      <c r="H701" s="30"/>
      <c r="I701" s="31">
        <f>ATCUS!D$11/1000</f>
        <v>0.75990970250000001</v>
      </c>
      <c r="J701" s="31">
        <f>ATCUS!E$11/1000</f>
        <v>0.76800210499999999</v>
      </c>
      <c r="K701" s="31">
        <f>ATCUS!F$11/1000</f>
        <v>0.77631953999999992</v>
      </c>
      <c r="L701" s="31">
        <f>ATCUS!G$11/1000</f>
        <v>0.78113248000000002</v>
      </c>
      <c r="M701" s="29">
        <f t="shared" ref="M701:M705" si="206">(L701/I701)^(1/3)-1</f>
        <v>9.2239980721859904E-3</v>
      </c>
      <c r="N701" s="30"/>
      <c r="O701" s="31">
        <f>(ATCUS!D$12/1000)</f>
        <v>24.422000000000001</v>
      </c>
      <c r="P701" s="31">
        <f>(ATCUS!E$12/1000)</f>
        <v>24.643000000000001</v>
      </c>
      <c r="Q701" s="31">
        <f>(ATCUS!F$12/1000)</f>
        <v>24.907</v>
      </c>
      <c r="R701" s="31">
        <f>(ATCUS!G$12/1000)</f>
        <v>25</v>
      </c>
      <c r="S701" s="29">
        <f t="shared" ref="S701:S705" si="207">(R701/O701)^(1/3)-1</f>
        <v>7.8276301107735868E-3</v>
      </c>
      <c r="T701" s="30"/>
      <c r="U701" s="32" t="str">
        <f>D701</f>
        <v>US$1.7</v>
      </c>
      <c r="V701" s="28" t="str">
        <f t="shared" ref="V701:V705" si="208">C701</f>
        <v>Altice US</v>
      </c>
    </row>
    <row r="702" spans="1:29">
      <c r="A702" s="25"/>
      <c r="B702" s="26" t="s">
        <v>424</v>
      </c>
      <c r="C702" s="32" t="s">
        <v>258</v>
      </c>
      <c r="D702" s="28" t="str">
        <f>B702&amp;TEXT(Prices!$C$50,"0.0")</f>
        <v>US$222.0</v>
      </c>
      <c r="E702" s="28" t="str">
        <f>B702&amp;TEXT(Prices!$E$50,"0.0")</f>
        <v>US$328.0</v>
      </c>
      <c r="F702" s="29">
        <f>Prices!$F$50</f>
        <v>0.47747747747747749</v>
      </c>
      <c r="G702" s="28" t="str">
        <f>Prices!$D$50</f>
        <v>Buy</v>
      </c>
      <c r="H702" s="30"/>
      <c r="I702" s="31">
        <f>CHTR!D$11/1000</f>
        <v>36.765624461999998</v>
      </c>
      <c r="J702" s="31">
        <f>CHTR!E$11/1000</f>
        <v>35.875047485999993</v>
      </c>
      <c r="K702" s="31">
        <f>CHTR!F$11/1000</f>
        <v>35.473809791999997</v>
      </c>
      <c r="L702" s="31">
        <f>CHTR!G$11/1000</f>
        <v>34.607292954000002</v>
      </c>
      <c r="M702" s="29">
        <f t="shared" si="206"/>
        <v>-1.9964304454401782E-2</v>
      </c>
      <c r="N702" s="30"/>
      <c r="O702" s="31">
        <f>(CHTR!D$12/1000)</f>
        <v>97.067999999999998</v>
      </c>
      <c r="P702" s="31">
        <f>(CHTR!E$12/1000)</f>
        <v>93.474000000000004</v>
      </c>
      <c r="Q702" s="31">
        <f>(CHTR!F$12/1000)</f>
        <v>92.972999999999999</v>
      </c>
      <c r="R702" s="31">
        <f>(CHTR!G$12/1000)</f>
        <v>93.805999999999997</v>
      </c>
      <c r="S702" s="29">
        <f t="shared" si="207"/>
        <v>-1.1329645308262304E-2</v>
      </c>
      <c r="T702" s="30"/>
      <c r="U702" s="32" t="str">
        <f>D702</f>
        <v>US$222.0</v>
      </c>
      <c r="V702" s="28" t="str">
        <f t="shared" si="208"/>
        <v>Charter</v>
      </c>
    </row>
    <row r="703" spans="1:29">
      <c r="A703" s="25"/>
      <c r="B703" s="26" t="s">
        <v>424</v>
      </c>
      <c r="C703" s="32" t="s">
        <v>257</v>
      </c>
      <c r="D703" s="28" t="str">
        <f>B703&amp;TEXT(Prices!$C$51,"0.0")</f>
        <v>US$30.2</v>
      </c>
      <c r="E703" s="28" t="str">
        <f>B703&amp;TEXT(Prices!$E$51,"0.0")</f>
        <v>US$36.0</v>
      </c>
      <c r="F703" s="29">
        <f>Prices!$F$51</f>
        <v>0.19027938502231767</v>
      </c>
      <c r="G703" s="28" t="str">
        <f>Prices!$D$51</f>
        <v>Buy</v>
      </c>
      <c r="H703" s="30"/>
      <c r="I703" s="31">
        <f>CMCSA!D$11/1000</f>
        <v>125.80197368933977</v>
      </c>
      <c r="J703" s="31">
        <f>CMCSA!E$11/1000</f>
        <v>119.16772928061083</v>
      </c>
      <c r="K703" s="31">
        <f>CMCSA!F$11/1000</f>
        <v>114.44708</v>
      </c>
      <c r="L703" s="31">
        <f>CMCSA!G$11/1000</f>
        <v>112.72311500000001</v>
      </c>
      <c r="M703" s="29">
        <f t="shared" si="206"/>
        <v>-3.593013255696953E-2</v>
      </c>
      <c r="N703" s="30"/>
      <c r="O703" s="31">
        <f>(CMCSA!D$12/1000)</f>
        <v>87.615441672000003</v>
      </c>
      <c r="P703" s="31">
        <f>(CMCSA!E$12/1000)</f>
        <v>88.590751600000004</v>
      </c>
      <c r="Q703" s="31">
        <f>(CMCSA!F$12/1000)</f>
        <v>87.391653000000005</v>
      </c>
      <c r="R703" s="31">
        <f>(CMCSA!G$12/1000)</f>
        <v>88.798306999999994</v>
      </c>
      <c r="S703" s="29">
        <f t="shared" si="207"/>
        <v>4.4801149407840413E-3</v>
      </c>
      <c r="T703" s="30"/>
      <c r="U703" s="32" t="str">
        <f>D703</f>
        <v>US$30.2</v>
      </c>
      <c r="V703" s="28" t="str">
        <f t="shared" si="208"/>
        <v>Comcast</v>
      </c>
    </row>
    <row r="704" spans="1:29">
      <c r="A704" s="25"/>
      <c r="B704" s="26" t="s">
        <v>431</v>
      </c>
      <c r="C704" s="32" t="s">
        <v>1264</v>
      </c>
      <c r="D704" s="28" t="str">
        <f>B704&amp;TEXT(Prices!C$52,"0.0")</f>
        <v>US$ 119.1</v>
      </c>
      <c r="E704" s="28" t="str">
        <f>B704&amp;TEXT(Prices!E$52,"0.0")</f>
        <v>US$ 0.0</v>
      </c>
      <c r="F704" s="29">
        <f>Prices!F$52</f>
        <v>-1</v>
      </c>
      <c r="G704" s="28" t="str">
        <f>Prices!D$52</f>
        <v>Buy</v>
      </c>
      <c r="H704" s="30"/>
      <c r="I704" s="31">
        <f>(SATS!D$11/1000)</f>
        <v>41.263186754045975</v>
      </c>
      <c r="J704" s="31">
        <f>(SATS!E$11/1000)</f>
        <v>41.263186754045975</v>
      </c>
      <c r="K704" s="31">
        <f>(SATS!F$11/1000)</f>
        <v>41.263186754045975</v>
      </c>
      <c r="L704" s="31">
        <f>(SATS!G$11/1000)</f>
        <v>41.263186754045975</v>
      </c>
      <c r="M704" s="29">
        <f t="shared" si="206"/>
        <v>0</v>
      </c>
      <c r="N704" s="30"/>
      <c r="O704" s="31">
        <f>(SATS!D$12/1000)</f>
        <v>22.472476090075471</v>
      </c>
      <c r="P704" s="31">
        <f>(SATS!E$12/1000)</f>
        <v>-1.3956763029122885</v>
      </c>
      <c r="Q704" s="31">
        <f>(SATS!F$12/1000)</f>
        <v>-10.646595333070417</v>
      </c>
      <c r="R704" s="31">
        <f>(SATS!G$12/1000)</f>
        <v>-11.712952216112106</v>
      </c>
      <c r="S704" s="29">
        <f t="shared" si="207"/>
        <v>-1.8047700673427034</v>
      </c>
      <c r="T704" s="30"/>
      <c r="U704" s="32" t="str">
        <f>D704</f>
        <v>US$ 119.1</v>
      </c>
      <c r="V704" s="28" t="str">
        <f t="shared" si="208"/>
        <v>EchoStar</v>
      </c>
    </row>
    <row r="705" spans="1:22">
      <c r="A705" s="25"/>
      <c r="C705" s="35" t="str">
        <f>C646</f>
        <v>Agg. US Other</v>
      </c>
      <c r="D705" s="42"/>
      <c r="E705" s="42"/>
      <c r="F705" s="39"/>
      <c r="G705" s="42"/>
      <c r="H705" s="40"/>
      <c r="I705" s="38">
        <f>('US OTHER'!D$11/1000)</f>
        <v>204.59069460788575</v>
      </c>
      <c r="J705" s="38">
        <f>('US OTHER'!E$11/1000)</f>
        <v>197.0739656256568</v>
      </c>
      <c r="K705" s="38">
        <f>('US OTHER'!F$11/1000)</f>
        <v>191.96039608604599</v>
      </c>
      <c r="L705" s="38">
        <f>('US OTHER'!G$11/1000)</f>
        <v>189.37472718804599</v>
      </c>
      <c r="M705" s="39">
        <f t="shared" si="206"/>
        <v>-2.5432223054905112E-2</v>
      </c>
      <c r="N705" s="40"/>
      <c r="O705" s="50">
        <f>('US OTHER'!D$12/1000)</f>
        <v>231.57791776207546</v>
      </c>
      <c r="P705" s="50">
        <f>('US OTHER'!E$12/1000)</f>
        <v>205.31207529708772</v>
      </c>
      <c r="Q705" s="50">
        <f>('US OTHER'!F$12/1000)</f>
        <v>194.62505766692959</v>
      </c>
      <c r="R705" s="50">
        <f>('US OTHER'!G$12/1000)</f>
        <v>195.89135478388789</v>
      </c>
      <c r="S705" s="39">
        <f t="shared" si="207"/>
        <v>-5.425793010575175E-2</v>
      </c>
      <c r="T705" s="40"/>
      <c r="U705" s="35"/>
      <c r="V705" s="42" t="str">
        <f t="shared" si="208"/>
        <v>Agg. US Other</v>
      </c>
    </row>
    <row r="706" spans="1:22">
      <c r="A706" s="25"/>
      <c r="C706" s="32"/>
      <c r="D706" s="28"/>
      <c r="E706" s="28"/>
      <c r="F706" s="29"/>
      <c r="G706" s="28"/>
      <c r="H706" s="30"/>
      <c r="I706" s="31"/>
      <c r="J706" s="31"/>
      <c r="K706" s="31"/>
      <c r="L706" s="31"/>
      <c r="M706" s="29"/>
      <c r="N706" s="30"/>
      <c r="O706" s="31"/>
      <c r="P706" s="31"/>
      <c r="Q706" s="31"/>
      <c r="R706" s="31"/>
      <c r="S706" s="29"/>
      <c r="T706" s="30"/>
      <c r="U706" s="32"/>
      <c r="V706" s="28"/>
    </row>
    <row r="707" spans="1:22">
      <c r="C707" s="32"/>
      <c r="D707" s="28"/>
      <c r="E707" s="28"/>
      <c r="F707" s="29"/>
      <c r="G707" s="28"/>
      <c r="H707" s="30"/>
      <c r="I707" s="31"/>
      <c r="J707" s="31"/>
      <c r="K707" s="31"/>
      <c r="L707" s="31"/>
      <c r="M707" s="29"/>
      <c r="N707" s="30"/>
      <c r="O707" s="31"/>
      <c r="P707" s="31"/>
      <c r="Q707" s="31"/>
      <c r="R707" s="31"/>
      <c r="S707" s="29"/>
      <c r="T707" s="30"/>
      <c r="U707" s="32"/>
      <c r="V707" s="28"/>
    </row>
    <row r="708" spans="1:22">
      <c r="C708" s="35" t="str">
        <f>C649</f>
        <v>Agg. W Europe</v>
      </c>
      <c r="D708" s="36"/>
      <c r="E708" s="36"/>
      <c r="F708" s="37"/>
      <c r="G708" s="36"/>
      <c r="H708" s="30"/>
      <c r="I708" s="38">
        <f>'W.EUR AGG'!$D$11/1000</f>
        <v>469.2005911411257</v>
      </c>
      <c r="J708" s="38">
        <f>'W.EUR AGG'!$E$11/1000</f>
        <v>465.41187988357746</v>
      </c>
      <c r="K708" s="38">
        <f>'W.EUR AGG'!$F$11/1000</f>
        <v>464.26621624505367</v>
      </c>
      <c r="L708" s="38">
        <f>'W.EUR AGG'!$G$11/1000</f>
        <v>463.13049428591859</v>
      </c>
      <c r="M708" s="39">
        <f>(L708/I708)^(1/3)-1</f>
        <v>-4.3310993476693982E-3</v>
      </c>
      <c r="N708" s="40"/>
      <c r="O708" s="38">
        <f>'W.EUR AGG'!$D$12/1000</f>
        <v>303.28443814662131</v>
      </c>
      <c r="P708" s="38">
        <f>'W.EUR AGG'!$E$12/1000</f>
        <v>310.21889644112508</v>
      </c>
      <c r="Q708" s="38">
        <f>'W.EUR AGG'!$F$12/1000</f>
        <v>308.2930884582014</v>
      </c>
      <c r="R708" s="38">
        <f>'W.EUR AGG'!$G$12/1000</f>
        <v>295.44897162112972</v>
      </c>
      <c r="S708" s="39">
        <f>(R708/O708)^(1/3)-1</f>
        <v>-8.6870370260182517E-3</v>
      </c>
      <c r="T708" s="30"/>
      <c r="U708" s="41"/>
      <c r="V708" s="42" t="str">
        <f>V649</f>
        <v>Agg. W Europe</v>
      </c>
    </row>
    <row r="709" spans="1:22">
      <c r="C709" s="25" t="s">
        <v>1268</v>
      </c>
      <c r="D709" s="28"/>
      <c r="E709" s="28"/>
      <c r="F709" s="29"/>
      <c r="G709" s="28"/>
      <c r="H709" s="30"/>
      <c r="I709" s="44">
        <f>'US AGG'!D$11/1000</f>
        <v>953.88586791560454</v>
      </c>
      <c r="J709" s="44">
        <f>'US AGG'!E$11/1000</f>
        <v>933.94891822259683</v>
      </c>
      <c r="K709" s="44">
        <f>'US AGG'!F$11/1000</f>
        <v>911.32879433888513</v>
      </c>
      <c r="L709" s="44">
        <f>'US AGG'!G$11/1000</f>
        <v>896.49359901201603</v>
      </c>
      <c r="M709" s="43">
        <f>(L709/I709)^(1/3)-1</f>
        <v>-2.0471839344347709E-2</v>
      </c>
      <c r="N709" s="40"/>
      <c r="O709" s="44">
        <f>'US AGG'!D$12/1000</f>
        <v>611.53381101587809</v>
      </c>
      <c r="P709" s="44">
        <f>'US AGG'!E$12/1000</f>
        <v>604.94906004521556</v>
      </c>
      <c r="Q709" s="44">
        <f>'US AGG'!F$12/1000</f>
        <v>589.93275195242325</v>
      </c>
      <c r="R709" s="44">
        <f>'US AGG'!G$12/1000</f>
        <v>586.19385994490096</v>
      </c>
      <c r="S709" s="43">
        <f>(R709/O709)^(1/3)-1</f>
        <v>-1.4007532519617172E-2</v>
      </c>
      <c r="T709" s="30"/>
      <c r="U709" s="32"/>
      <c r="V709" s="34" t="str">
        <f>V650</f>
        <v>Agg. US</v>
      </c>
    </row>
    <row r="710" spans="1:22">
      <c r="C710" s="51" t="str">
        <f>C651</f>
        <v xml:space="preserve">Agg. Developed Asia </v>
      </c>
      <c r="D710" s="36"/>
      <c r="E710" s="36"/>
      <c r="F710" s="37"/>
      <c r="G710" s="36"/>
      <c r="H710" s="30"/>
      <c r="I710" s="38">
        <f>'AGG DM ASIA'!$D$11/1000</f>
        <v>272.39811560725479</v>
      </c>
      <c r="J710" s="38">
        <f>'AGG DM ASIA'!$E$11/1000</f>
        <v>267.87843616333714</v>
      </c>
      <c r="K710" s="38">
        <f>'AGG DM ASIA'!$F$11/1000</f>
        <v>263.3646757647665</v>
      </c>
      <c r="L710" s="38">
        <f>'AGG DM ASIA'!$G$11/1000</f>
        <v>258.85677522108966</v>
      </c>
      <c r="M710" s="39">
        <f>(L710/I710)^(1/3)-1</f>
        <v>-1.6852952742833716E-2</v>
      </c>
      <c r="N710" s="40"/>
      <c r="O710" s="38">
        <f>'AGG DM ASIA'!$D$12/1000</f>
        <v>89.054627494390971</v>
      </c>
      <c r="P710" s="38">
        <f>'AGG DM ASIA'!$E$12/1000</f>
        <v>84.357899903295419</v>
      </c>
      <c r="Q710" s="38">
        <f>'AGG DM ASIA'!$F$12/1000</f>
        <v>77.647850790892718</v>
      </c>
      <c r="R710" s="38">
        <f>'AGG DM ASIA'!$G$12/1000</f>
        <v>68.847805395437916</v>
      </c>
      <c r="S710" s="39">
        <f>(R710/O710)^(1/3)-1</f>
        <v>-8.2207431989048674E-2</v>
      </c>
      <c r="T710" s="30"/>
      <c r="U710" s="41"/>
      <c r="V710" s="42" t="str">
        <f>V651</f>
        <v xml:space="preserve">Agg. Developed Asia </v>
      </c>
    </row>
    <row r="711" spans="1:22">
      <c r="C711" s="25"/>
      <c r="D711" s="28"/>
      <c r="E711" s="28"/>
      <c r="F711" s="29"/>
      <c r="G711" s="28"/>
      <c r="H711" s="30"/>
      <c r="I711" s="44"/>
      <c r="J711" s="44"/>
      <c r="K711" s="44"/>
      <c r="L711" s="44"/>
      <c r="M711" s="43"/>
      <c r="N711" s="40"/>
      <c r="O711" s="44"/>
      <c r="P711" s="44"/>
      <c r="Q711" s="44"/>
      <c r="R711" s="44"/>
      <c r="S711" s="43"/>
      <c r="T711" s="30"/>
      <c r="U711" s="32"/>
      <c r="V711" s="34"/>
    </row>
    <row r="712" spans="1:22">
      <c r="C712" s="51" t="str">
        <f>C653</f>
        <v>Agg. Global Developed</v>
      </c>
      <c r="D712" s="36"/>
      <c r="E712" s="36"/>
      <c r="F712" s="37"/>
      <c r="G712" s="36"/>
      <c r="H712" s="30"/>
      <c r="I712" s="38">
        <f>'AGG DM'!$D$11/1000</f>
        <v>1774.6268436145369</v>
      </c>
      <c r="J712" s="38">
        <f>'AGG DM'!$E$11/1000</f>
        <v>1745.7424434853099</v>
      </c>
      <c r="K712" s="38">
        <f>'AGG DM'!$F$11/1000</f>
        <v>1717.2696510939747</v>
      </c>
      <c r="L712" s="38">
        <f>'AGG DM'!$G$11/1000</f>
        <v>1696.5992657035533</v>
      </c>
      <c r="M712" s="39">
        <f>(L712/I712)^(1/3)-1</f>
        <v>-1.4876355979279277E-2</v>
      </c>
      <c r="N712" s="40"/>
      <c r="O712" s="38">
        <f>'AGG DM'!$D$12/1000</f>
        <v>1055.0292882759404</v>
      </c>
      <c r="P712" s="38">
        <f>'AGG DM'!$E$12/1000</f>
        <v>1051.8519356811737</v>
      </c>
      <c r="Q712" s="38">
        <f>'AGG DM'!$F$12/1000</f>
        <v>1027.8749354092779</v>
      </c>
      <c r="R712" s="38">
        <f>'AGG DM'!$G$12/1000</f>
        <v>1000.325403614971</v>
      </c>
      <c r="S712" s="39">
        <f>(R712/O712)^(1/3)-1</f>
        <v>-1.7591162450704578E-2</v>
      </c>
      <c r="T712" s="30"/>
      <c r="U712" s="41"/>
      <c r="V712" s="42" t="str">
        <f>V653</f>
        <v xml:space="preserve">Agg. Global Developed </v>
      </c>
    </row>
    <row r="713" spans="1:22">
      <c r="C713" s="27"/>
      <c r="D713" s="28"/>
      <c r="E713" s="28"/>
      <c r="F713" s="29"/>
      <c r="G713" s="28"/>
      <c r="H713" s="105"/>
      <c r="I713" s="31"/>
      <c r="J713" s="31"/>
      <c r="K713" s="31"/>
      <c r="L713" s="31"/>
      <c r="M713" s="29"/>
      <c r="N713" s="58"/>
      <c r="O713" s="31"/>
      <c r="P713" s="31"/>
      <c r="Q713" s="31"/>
      <c r="R713" s="31"/>
      <c r="S713" s="59"/>
      <c r="T713" s="30"/>
      <c r="U713" s="32"/>
      <c r="V713" s="34"/>
    </row>
    <row r="714" spans="1:22">
      <c r="C714" s="27"/>
      <c r="D714" s="28"/>
      <c r="E714" s="28"/>
      <c r="F714" s="29"/>
      <c r="G714" s="28"/>
      <c r="H714" s="105"/>
      <c r="I714" s="31"/>
      <c r="J714" s="31"/>
      <c r="K714" s="31"/>
      <c r="L714" s="31"/>
      <c r="M714" s="29"/>
      <c r="N714" s="58"/>
      <c r="O714" s="31"/>
      <c r="P714" s="31"/>
      <c r="Q714" s="31"/>
      <c r="R714" s="31"/>
      <c r="S714" s="59"/>
      <c r="T714" s="30"/>
      <c r="U714" s="32"/>
      <c r="V714" s="34"/>
    </row>
    <row r="715" spans="1:22" s="25" customFormat="1">
      <c r="B715" s="113"/>
      <c r="C715" s="130"/>
      <c r="D715" s="131" t="s">
        <v>379</v>
      </c>
      <c r="E715" s="131" t="s">
        <v>50</v>
      </c>
      <c r="F715" s="131" t="s">
        <v>52</v>
      </c>
      <c r="G715" s="131" t="s">
        <v>49</v>
      </c>
      <c r="H715" s="33"/>
      <c r="I715" s="132" t="s">
        <v>16</v>
      </c>
      <c r="J715" s="132"/>
      <c r="K715" s="132"/>
      <c r="L715" s="132"/>
      <c r="M715" s="132"/>
      <c r="O715" s="132" t="s">
        <v>910</v>
      </c>
      <c r="P715" s="132"/>
      <c r="Q715" s="132"/>
      <c r="R715" s="132"/>
      <c r="S715" s="132"/>
      <c r="T715" s="33"/>
      <c r="U715" s="133" t="s">
        <v>379</v>
      </c>
      <c r="V715" s="131"/>
    </row>
    <row r="716" spans="1:22">
      <c r="A716" s="25" t="s">
        <v>415</v>
      </c>
      <c r="C716" s="32" t="s">
        <v>160</v>
      </c>
      <c r="D716" s="28" t="str">
        <f t="shared" ref="D716:G726" si="209">D657</f>
        <v>GBP2.24</v>
      </c>
      <c r="E716" s="28" t="str">
        <f t="shared" si="209"/>
        <v>GBP2.40</v>
      </c>
      <c r="F716" s="29">
        <f t="shared" si="209"/>
        <v>7.1189466636911503E-2</v>
      </c>
      <c r="G716" s="28" t="str">
        <f t="shared" si="209"/>
        <v>Neutral</v>
      </c>
      <c r="H716" s="30"/>
      <c r="I716" s="31">
        <f>BT!D$18/1000/Prices!$F$133</f>
        <v>47.352155031345539</v>
      </c>
      <c r="J716" s="31">
        <f>BT!E$18/1000/Prices!$F$133</f>
        <v>45.857273836159827</v>
      </c>
      <c r="K716" s="31">
        <f>BT!F$18/1000/Prices!$F$133</f>
        <v>43.811137247923142</v>
      </c>
      <c r="L716" s="31">
        <f>BT!G$18/1000/Prices!$F$133</f>
        <v>41.497412362539343</v>
      </c>
      <c r="M716" s="29">
        <f t="shared" ref="M716:M727" si="210">(L716/I716)^(1/3)-1</f>
        <v>-4.3040064359258778E-2</v>
      </c>
      <c r="N716" s="30"/>
      <c r="O716" s="31">
        <f>BT!L$26/1000/Prices!$F$133</f>
        <v>26.962203402646022</v>
      </c>
      <c r="P716" s="31">
        <f>BT!M$26/1000/Prices!$F$133</f>
        <v>26.790592133519702</v>
      </c>
      <c r="Q716" s="31">
        <f>BT!N$26/1000/Prices!$F$133</f>
        <v>26.611592672049838</v>
      </c>
      <c r="R716" s="31">
        <f>BT!O$26/1000/Prices!$F$133</f>
        <v>26.424627573295254</v>
      </c>
      <c r="S716" s="29">
        <f t="shared" ref="S716:S727" si="211">(R716/O716)^(1/3)-1</f>
        <v>-6.6907079911876499E-3</v>
      </c>
      <c r="T716" s="30"/>
      <c r="U716" s="32" t="str">
        <f t="shared" ref="U716:V720" si="212">U657</f>
        <v>GBP2.24</v>
      </c>
      <c r="V716" s="53" t="str">
        <f t="shared" si="212"/>
        <v>British Telecom</v>
      </c>
    </row>
    <row r="717" spans="1:22">
      <c r="A717" s="25"/>
      <c r="C717" s="32" t="s">
        <v>161</v>
      </c>
      <c r="D717" s="28" t="str">
        <f t="shared" si="209"/>
        <v>EUR 27.67</v>
      </c>
      <c r="E717" s="28" t="str">
        <f t="shared" si="209"/>
        <v>EUR 43.00</v>
      </c>
      <c r="F717" s="29">
        <f t="shared" si="209"/>
        <v>0.55402963498373681</v>
      </c>
      <c r="G717" s="28" t="str">
        <f t="shared" si="209"/>
        <v>Buy</v>
      </c>
      <c r="H717" s="30"/>
      <c r="I717" s="31">
        <f>DT!$D$18/1000</f>
        <v>336.18920934660144</v>
      </c>
      <c r="J717" s="31">
        <f>DT!$E$18/1000</f>
        <v>324.20558339695179</v>
      </c>
      <c r="K717" s="31">
        <f>DT!$F$18/1000</f>
        <v>310.61237526510462</v>
      </c>
      <c r="L717" s="31">
        <f>DT!$G$18/1000</f>
        <v>296.09704823334238</v>
      </c>
      <c r="M717" s="29">
        <f t="shared" si="210"/>
        <v>-4.1445590415425393E-2</v>
      </c>
      <c r="N717" s="30"/>
      <c r="O717" s="31">
        <f>DT!L$26/1000</f>
        <v>133.86281716769003</v>
      </c>
      <c r="P717" s="31">
        <f>DT!M$26/1000</f>
        <v>131.88638859626144</v>
      </c>
      <c r="Q717" s="31">
        <f>DT!N$26/1000</f>
        <v>131.88638859626144</v>
      </c>
      <c r="R717" s="31">
        <f>DT!O$26/1000</f>
        <v>131.88638859626144</v>
      </c>
      <c r="S717" s="29">
        <f t="shared" si="211"/>
        <v>-4.9459494960020223E-3</v>
      </c>
      <c r="T717" s="30"/>
      <c r="U717" s="32" t="str">
        <f t="shared" si="212"/>
        <v>EUR 27.67</v>
      </c>
      <c r="V717" s="53" t="str">
        <f t="shared" si="212"/>
        <v>Deutsche Telekom</v>
      </c>
    </row>
    <row r="718" spans="1:22">
      <c r="A718" s="25"/>
      <c r="C718" s="32" t="s">
        <v>373</v>
      </c>
      <c r="D718" s="28" t="str">
        <f t="shared" si="209"/>
        <v>EUR 4.66</v>
      </c>
      <c r="E718" s="28" t="str">
        <f t="shared" si="209"/>
        <v>EUR 4.33</v>
      </c>
      <c r="F718" s="29">
        <f t="shared" si="209"/>
        <v>-7.2021498159240971E-2</v>
      </c>
      <c r="G718" s="28" t="str">
        <f t="shared" si="209"/>
        <v>Neutral</v>
      </c>
      <c r="H718" s="30"/>
      <c r="I718" s="31">
        <f>KPN!$D$18/1000</f>
        <v>25.07997956386815</v>
      </c>
      <c r="J718" s="31">
        <f>KPN!$E$18/1000</f>
        <v>24.513137821415111</v>
      </c>
      <c r="K718" s="31">
        <f>KPN!$F$18/1000</f>
        <v>23.446560519655279</v>
      </c>
      <c r="L718" s="31">
        <f>KPN!$G$18/1000</f>
        <v>22.305933936138644</v>
      </c>
      <c r="M718" s="29">
        <f t="shared" si="210"/>
        <v>-3.8318906924509011E-2</v>
      </c>
      <c r="N718" s="30"/>
      <c r="O718" s="31">
        <f>KPN!L$26/1000</f>
        <v>19.076051590922663</v>
      </c>
      <c r="P718" s="31">
        <f>KPN!M$26/1000</f>
        <v>18.806266070673441</v>
      </c>
      <c r="Q718" s="31">
        <f>KPN!N$26/1000</f>
        <v>18.554130070440525</v>
      </c>
      <c r="R718" s="31">
        <f>KPN!O$26/1000</f>
        <v>18.267938398678677</v>
      </c>
      <c r="S718" s="29">
        <f t="shared" si="211"/>
        <v>-1.4325131995533535E-2</v>
      </c>
      <c r="T718" s="30"/>
      <c r="U718" s="32" t="str">
        <f t="shared" si="212"/>
        <v>EUR 4.66</v>
      </c>
      <c r="V718" s="53" t="str">
        <f t="shared" si="212"/>
        <v>KPN</v>
      </c>
    </row>
    <row r="719" spans="1:22">
      <c r="A719" s="25"/>
      <c r="C719" s="32" t="s">
        <v>604</v>
      </c>
      <c r="D719" s="28" t="str">
        <f t="shared" si="209"/>
        <v>EUR 17.64</v>
      </c>
      <c r="E719" s="28" t="str">
        <f t="shared" si="209"/>
        <v>EUR 18.80</v>
      </c>
      <c r="F719" s="29">
        <f t="shared" si="209"/>
        <v>6.5759637188208542E-2</v>
      </c>
      <c r="G719" s="28" t="str">
        <f t="shared" si="209"/>
        <v>Neutral</v>
      </c>
      <c r="H719" s="30"/>
      <c r="I719" s="31">
        <f>ORA!$D$18/1000</f>
        <v>101.44610915539859</v>
      </c>
      <c r="J719" s="31">
        <f>ORA!$E$18/1000</f>
        <v>111.59279082403752</v>
      </c>
      <c r="K719" s="31">
        <f>ORA!$F$18/1000</f>
        <v>109.25358771639193</v>
      </c>
      <c r="L719" s="31">
        <f>ORA!$G$18/1000</f>
        <v>104.63204806015267</v>
      </c>
      <c r="M719" s="29">
        <f t="shared" si="210"/>
        <v>1.0360696928774837E-2</v>
      </c>
      <c r="N719" s="30"/>
      <c r="O719" s="31">
        <f>ORA!L$26/1000</f>
        <v>46.92339840636</v>
      </c>
      <c r="P719" s="31">
        <f>ORA!M$26/1000</f>
        <v>46.92339840636</v>
      </c>
      <c r="Q719" s="31">
        <f>ORA!N$26/1000</f>
        <v>46.92339840636</v>
      </c>
      <c r="R719" s="31">
        <f>ORA!O$26/1000</f>
        <v>46.92339840636</v>
      </c>
      <c r="S719" s="29">
        <f t="shared" si="211"/>
        <v>0</v>
      </c>
      <c r="T719" s="30"/>
      <c r="U719" s="32" t="str">
        <f t="shared" si="212"/>
        <v>EUR 17.64</v>
      </c>
      <c r="V719" s="53" t="str">
        <f t="shared" si="212"/>
        <v>Orange</v>
      </c>
    </row>
    <row r="720" spans="1:22">
      <c r="A720" s="25"/>
      <c r="C720" s="32" t="s">
        <v>374</v>
      </c>
      <c r="D720" s="28" t="str">
        <f t="shared" si="209"/>
        <v>EUR 18.29</v>
      </c>
      <c r="E720" s="28" t="str">
        <f t="shared" si="209"/>
        <v>EUR 22.10</v>
      </c>
      <c r="F720" s="29">
        <f t="shared" si="209"/>
        <v>0.20831055221432493</v>
      </c>
      <c r="G720" s="28" t="str">
        <f t="shared" si="209"/>
        <v>Buy</v>
      </c>
      <c r="H720" s="30"/>
      <c r="I720" s="31">
        <f>OTE!$D$18/1000</f>
        <v>8.1886015165146429</v>
      </c>
      <c r="J720" s="31">
        <f>OTE!$E$18/1000</f>
        <v>7.4612399456313927</v>
      </c>
      <c r="K720" s="31">
        <f>OTE!$F$18/1000</f>
        <v>7.0011114677741624</v>
      </c>
      <c r="L720" s="31">
        <f>OTE!$G$18/1000</f>
        <v>6.4103805151901847</v>
      </c>
      <c r="M720" s="29">
        <f t="shared" si="210"/>
        <v>-7.8366984392383987E-2</v>
      </c>
      <c r="N720" s="30"/>
      <c r="O720" s="31">
        <f>OTE!L$26/1000</f>
        <v>8.1794736928299994</v>
      </c>
      <c r="P720" s="31">
        <f>OTE!M$26/1000</f>
        <v>8.0041937064982704</v>
      </c>
      <c r="Q720" s="31">
        <f>OTE!N$26/1000</f>
        <v>7.8289137201665442</v>
      </c>
      <c r="R720" s="31">
        <f>OTE!O$26/1000</f>
        <v>7.6591207338348157</v>
      </c>
      <c r="S720" s="29">
        <f t="shared" si="211"/>
        <v>-2.1671920691400115E-2</v>
      </c>
      <c r="T720" s="30"/>
      <c r="U720" s="32" t="str">
        <f t="shared" si="212"/>
        <v>EUR 18.29</v>
      </c>
      <c r="V720" s="53" t="str">
        <f t="shared" si="212"/>
        <v>OTE</v>
      </c>
    </row>
    <row r="721" spans="1:22">
      <c r="A721" s="25"/>
      <c r="C721" s="32" t="s">
        <v>686</v>
      </c>
      <c r="D721" s="28" t="str">
        <f t="shared" si="209"/>
        <v>EUR 6.6</v>
      </c>
      <c r="E721" s="28" t="str">
        <f t="shared" si="209"/>
        <v>EUR 13.3</v>
      </c>
      <c r="F721" s="29">
        <f t="shared" si="209"/>
        <v>1.0060331825037707</v>
      </c>
      <c r="G721" s="28" t="str">
        <f t="shared" si="209"/>
        <v>Neutral</v>
      </c>
      <c r="H721" s="30"/>
      <c r="I721" s="31">
        <f>PROX!$D$18/1000</f>
        <v>7.991352461921176</v>
      </c>
      <c r="J721" s="31">
        <f>PROX!$E$18/1000</f>
        <v>7.9978925307135995</v>
      </c>
      <c r="K721" s="31">
        <f>PROX!$F$18/1000</f>
        <v>7.8720710311831947</v>
      </c>
      <c r="L721" s="31">
        <f>PROX!$G$18/1000</f>
        <v>7.7812954253638837</v>
      </c>
      <c r="M721" s="29">
        <f t="shared" si="210"/>
        <v>-8.8397586574854303E-3</v>
      </c>
      <c r="N721" s="30"/>
      <c r="O721" s="31">
        <f>PROX!L$26/1000</f>
        <v>2.5995372399899996</v>
      </c>
      <c r="P721" s="31">
        <f>PROX!M$26/1000</f>
        <v>2.5995372399899996</v>
      </c>
      <c r="Q721" s="31">
        <f>PROX!N$26/1000</f>
        <v>2.5995372399899996</v>
      </c>
      <c r="R721" s="31">
        <f>PROX!O$26/1000</f>
        <v>2.5995372399899996</v>
      </c>
      <c r="S721" s="29">
        <f t="shared" si="211"/>
        <v>0</v>
      </c>
      <c r="T721" s="30"/>
      <c r="U721" s="32" t="str">
        <f t="shared" ref="U721:U726" si="213">U662</f>
        <v>EUR 6.6</v>
      </c>
      <c r="V721" s="53" t="s">
        <v>686</v>
      </c>
    </row>
    <row r="722" spans="1:22">
      <c r="C722" s="32" t="s">
        <v>378</v>
      </c>
      <c r="D722" s="28" t="str">
        <f t="shared" si="209"/>
        <v>CHF673</v>
      </c>
      <c r="E722" s="28" t="str">
        <f t="shared" si="209"/>
        <v>CHF570</v>
      </c>
      <c r="F722" s="29">
        <f t="shared" si="209"/>
        <v>-0.15241635687732347</v>
      </c>
      <c r="G722" s="28" t="str">
        <f t="shared" si="209"/>
        <v>Sell</v>
      </c>
      <c r="H722" s="30"/>
      <c r="I722" s="31">
        <f>SWISS!D$18/1000/Prices!$F$128</f>
        <v>54.306269791251246</v>
      </c>
      <c r="J722" s="31">
        <f>SWISS!E$18/1000/Prices!$F$128</f>
        <v>54.197329368521721</v>
      </c>
      <c r="K722" s="31">
        <f>SWISS!F$18/1000/Prices!$F$128</f>
        <v>52.461909892314708</v>
      </c>
      <c r="L722" s="31">
        <f>SWISS!G$18/1000/Prices!$F$128</f>
        <v>50.520255419403085</v>
      </c>
      <c r="M722" s="29">
        <f t="shared" si="210"/>
        <v>-2.3800633286339967E-2</v>
      </c>
      <c r="N722" s="30"/>
      <c r="O722" s="31">
        <f>SWISS!L$26/1000/Prices!$F$128</f>
        <v>38.881291521256436</v>
      </c>
      <c r="P722" s="31">
        <f>SWISS!M$26/1000/Prices!$F$128</f>
        <v>38.881291521256436</v>
      </c>
      <c r="Q722" s="31">
        <f>SWISS!N$26/1000/Prices!$F$128</f>
        <v>38.881291521256436</v>
      </c>
      <c r="R722" s="31">
        <f>SWISS!O$26/1000/Prices!$F$128</f>
        <v>38.881291521256436</v>
      </c>
      <c r="S722" s="29">
        <f t="shared" si="211"/>
        <v>0</v>
      </c>
      <c r="T722" s="30"/>
      <c r="U722" s="32" t="str">
        <f t="shared" si="213"/>
        <v>CHF673</v>
      </c>
      <c r="V722" s="53" t="str">
        <f t="shared" ref="V722:V727" si="214">V663</f>
        <v>Swisscom</v>
      </c>
    </row>
    <row r="723" spans="1:22">
      <c r="A723" s="25"/>
      <c r="C723" s="32" t="s">
        <v>222</v>
      </c>
      <c r="D723" s="28" t="str">
        <f t="shared" si="209"/>
        <v>EUR 0.66</v>
      </c>
      <c r="E723" s="28" t="str">
        <f t="shared" si="209"/>
        <v>EUR 0.55</v>
      </c>
      <c r="F723" s="29">
        <f t="shared" si="209"/>
        <v>-0.16641406486814181</v>
      </c>
      <c r="G723" s="28" t="str">
        <f t="shared" si="209"/>
        <v>Neutral</v>
      </c>
      <c r="H723" s="30"/>
      <c r="I723" s="31">
        <f>TI!$D$18/1000</f>
        <v>26.461242120791947</v>
      </c>
      <c r="J723" s="31">
        <f>TI!$E$18/1000</f>
        <v>24.945625630359917</v>
      </c>
      <c r="K723" s="31">
        <f>TI!$F$18/1000</f>
        <v>24.057570796062372</v>
      </c>
      <c r="L723" s="31">
        <f>TI!$G$18/1000</f>
        <v>22.822262140746957</v>
      </c>
      <c r="M723" s="29">
        <f t="shared" si="210"/>
        <v>-4.8118643250612103E-2</v>
      </c>
      <c r="N723" s="30"/>
      <c r="O723" s="31">
        <f>TI!L$26/1000</f>
        <v>18.834060528172802</v>
      </c>
      <c r="P723" s="31">
        <f>TI!M$26/1000</f>
        <v>18.511773605095879</v>
      </c>
      <c r="Q723" s="31">
        <f>TI!N$26/1000</f>
        <v>18.511773605095879</v>
      </c>
      <c r="R723" s="31">
        <f>TI!O$26/1000</f>
        <v>18.511773605095879</v>
      </c>
      <c r="S723" s="29">
        <f t="shared" si="211"/>
        <v>-5.7368212695391163E-3</v>
      </c>
      <c r="T723" s="30"/>
      <c r="U723" s="32" t="str">
        <f t="shared" si="213"/>
        <v>EUR 0.66</v>
      </c>
      <c r="V723" s="53" t="str">
        <f t="shared" si="214"/>
        <v>Telecom Italia</v>
      </c>
    </row>
    <row r="724" spans="1:22">
      <c r="A724" s="25"/>
      <c r="C724" s="32" t="s">
        <v>376</v>
      </c>
      <c r="D724" s="28" t="str">
        <f t="shared" si="209"/>
        <v>EUR 3.88</v>
      </c>
      <c r="E724" s="28" t="str">
        <f t="shared" si="209"/>
        <v>EUR 3.30</v>
      </c>
      <c r="F724" s="29">
        <f t="shared" si="209"/>
        <v>-0.14992272024729525</v>
      </c>
      <c r="G724" s="28" t="str">
        <f t="shared" si="209"/>
        <v>Sell</v>
      </c>
      <c r="H724" s="30"/>
      <c r="I724" s="31">
        <f>TEF!$D$18/1000</f>
        <v>69.665736833001176</v>
      </c>
      <c r="J724" s="31">
        <f>TEF!$E$18/1000</f>
        <v>67.378838421896063</v>
      </c>
      <c r="K724" s="31">
        <f>TEF!$F$18/1000</f>
        <v>65.939719051690972</v>
      </c>
      <c r="L724" s="31">
        <f>TEF!$G$18/1000</f>
        <v>64.200970182544296</v>
      </c>
      <c r="M724" s="29">
        <f t="shared" si="210"/>
        <v>-2.686270113773459E-2</v>
      </c>
      <c r="N724" s="30"/>
      <c r="O724" s="31">
        <f>TEF!L$26/1000</f>
        <v>28.485152500097815</v>
      </c>
      <c r="P724" s="31">
        <f>TEF!M$26/1000</f>
        <v>28.485152500097815</v>
      </c>
      <c r="Q724" s="31">
        <f>TEF!N$26/1000</f>
        <v>28.485152500097815</v>
      </c>
      <c r="R724" s="31">
        <f>TEF!O$26/1000</f>
        <v>28.485152500097815</v>
      </c>
      <c r="S724" s="29">
        <f t="shared" si="211"/>
        <v>0</v>
      </c>
      <c r="T724" s="30"/>
      <c r="U724" s="32" t="str">
        <f t="shared" si="213"/>
        <v>EUR 3.88</v>
      </c>
      <c r="V724" s="53" t="str">
        <f t="shared" si="214"/>
        <v>Telefonica</v>
      </c>
    </row>
    <row r="725" spans="1:22">
      <c r="A725" s="25"/>
      <c r="C725" s="32" t="s">
        <v>377</v>
      </c>
      <c r="D725" s="28" t="str">
        <f t="shared" si="209"/>
        <v>NOK 164</v>
      </c>
      <c r="E725" s="28" t="str">
        <f t="shared" si="209"/>
        <v>NOK 160</v>
      </c>
      <c r="F725" s="29">
        <f t="shared" si="209"/>
        <v>-2.6171637248934898E-2</v>
      </c>
      <c r="G725" s="28" t="str">
        <f t="shared" si="209"/>
        <v>Neutral</v>
      </c>
      <c r="H725" s="30"/>
      <c r="I725" s="31">
        <f>TNOR!D$18/1000/Prices!$F$137</f>
        <v>27.518515031897284</v>
      </c>
      <c r="J725" s="31">
        <f>TNOR!E$18/1000/Prices!$F$137</f>
        <v>24.079920100435821</v>
      </c>
      <c r="K725" s="31">
        <f>TNOR!F$18/1000/Prices!$F$137</f>
        <v>22.97583680495897</v>
      </c>
      <c r="L725" s="31">
        <f>TNOR!G$18/1000/Prices!$F$137</f>
        <v>21.167377235032156</v>
      </c>
      <c r="M725" s="29">
        <f t="shared" si="210"/>
        <v>-8.3749935203597192E-2</v>
      </c>
      <c r="N725" s="30"/>
      <c r="O725" s="31">
        <f>TNOR!L$26/1000/Prices!$F$137</f>
        <v>24.429685768007317</v>
      </c>
      <c r="P725" s="31">
        <f>TNOR!M$26/1000/Prices!$F$137</f>
        <v>23.98727311357635</v>
      </c>
      <c r="Q725" s="31">
        <f>TNOR!N$26/1000/Prices!$F$137</f>
        <v>23.572251861764936</v>
      </c>
      <c r="R725" s="31">
        <f>TNOR!O$26/1000/Prices!$F$137</f>
        <v>23.182926109596636</v>
      </c>
      <c r="S725" s="29">
        <f t="shared" si="211"/>
        <v>-1.7309426543487771E-2</v>
      </c>
      <c r="T725" s="30"/>
      <c r="U725" s="32" t="str">
        <f t="shared" si="213"/>
        <v>NOK 164</v>
      </c>
      <c r="V725" s="28" t="str">
        <f t="shared" si="214"/>
        <v>Telenor</v>
      </c>
    </row>
    <row r="726" spans="1:22">
      <c r="A726" s="25"/>
      <c r="C726" s="32" t="s">
        <v>846</v>
      </c>
      <c r="D726" s="28" t="str">
        <f t="shared" si="209"/>
        <v>SEK48.7</v>
      </c>
      <c r="E726" s="28" t="str">
        <f t="shared" si="209"/>
        <v>SEK45.0</v>
      </c>
      <c r="F726" s="29">
        <f t="shared" si="209"/>
        <v>-7.6165058509546357E-2</v>
      </c>
      <c r="G726" s="28" t="str">
        <f t="shared" si="209"/>
        <v>Neutral</v>
      </c>
      <c r="H726" s="30"/>
      <c r="I726" s="31">
        <f>TELIA!D$18/1000/Prices!$F$138</f>
        <v>25.553137596361267</v>
      </c>
      <c r="J726" s="31">
        <f>TELIA!E$18/1000/Prices!$F$138</f>
        <v>24.913761175481692</v>
      </c>
      <c r="K726" s="31">
        <f>TELIA!F$18/1000/Prices!$F$138</f>
        <v>24.079386073257393</v>
      </c>
      <c r="L726" s="31">
        <f>TELIA!G$18/1000/Prices!$F$138</f>
        <v>23.215742175838546</v>
      </c>
      <c r="M726" s="29">
        <f t="shared" si="210"/>
        <v>-3.1470664427467376E-2</v>
      </c>
      <c r="N726" s="30"/>
      <c r="O726" s="31">
        <f>TELIA!L$26/1000/Prices!$F$138</f>
        <v>21.077092237401512</v>
      </c>
      <c r="P726" s="31">
        <f>TELIA!M$26/1000/Prices!$F$138</f>
        <v>21.077092237401512</v>
      </c>
      <c r="Q726" s="31">
        <f>TELIA!N$26/1000/Prices!$F$138</f>
        <v>21.077092237401512</v>
      </c>
      <c r="R726" s="31">
        <f>TELIA!O$26/1000/Prices!$F$138</f>
        <v>21.077092237401512</v>
      </c>
      <c r="S726" s="29">
        <f t="shared" si="211"/>
        <v>0</v>
      </c>
      <c r="T726" s="30"/>
      <c r="U726" s="32" t="str">
        <f t="shared" si="213"/>
        <v>SEK48.7</v>
      </c>
      <c r="V726" s="28" t="str">
        <f t="shared" si="214"/>
        <v>Telia</v>
      </c>
    </row>
    <row r="727" spans="1:22">
      <c r="A727" s="25"/>
      <c r="C727" s="35" t="str">
        <f>C668</f>
        <v>Agg. W.Europe Incumbent</v>
      </c>
      <c r="D727" s="36"/>
      <c r="E727" s="36"/>
      <c r="F727" s="37"/>
      <c r="G727" s="36"/>
      <c r="H727" s="30"/>
      <c r="I727" s="38">
        <f>'W.EUR INCUMB'!$D$18/1000</f>
        <v>729.75230844895236</v>
      </c>
      <c r="J727" s="38">
        <f>'W.EUR INCUMB'!$E$18/1000</f>
        <v>717.14339305160456</v>
      </c>
      <c r="K727" s="38">
        <f>'W.EUR INCUMB'!$F$18/1000</f>
        <v>691.51126586631688</v>
      </c>
      <c r="L727" s="38">
        <f>'W.EUR INCUMB'!$G$18/1000</f>
        <v>660.65072568629216</v>
      </c>
      <c r="M727" s="39">
        <f t="shared" si="210"/>
        <v>-3.2616194136948051E-2</v>
      </c>
      <c r="N727" s="40"/>
      <c r="O727" s="38">
        <f>'W.EUR INCUMB'!L$26/1000</f>
        <v>369.31076405537465</v>
      </c>
      <c r="P727" s="38">
        <f>'W.EUR INCUMB'!M$26/1000</f>
        <v>365.9529591307309</v>
      </c>
      <c r="Q727" s="38">
        <f>'W.EUR INCUMB'!N$26/1000</f>
        <v>364.93152243088497</v>
      </c>
      <c r="R727" s="38">
        <f>'W.EUR INCUMB'!O$26/1000</f>
        <v>363.8992469218685</v>
      </c>
      <c r="S727" s="39">
        <f t="shared" si="211"/>
        <v>-4.9083921020145471E-3</v>
      </c>
      <c r="T727" s="30"/>
      <c r="U727" s="41"/>
      <c r="V727" s="42" t="str">
        <f t="shared" si="214"/>
        <v>Agg. W.Europe Incumbent</v>
      </c>
    </row>
    <row r="728" spans="1:22">
      <c r="A728" s="25"/>
      <c r="C728" s="32"/>
      <c r="D728" s="28"/>
      <c r="E728" s="28"/>
      <c r="F728" s="29"/>
      <c r="G728" s="28"/>
      <c r="H728" s="30"/>
      <c r="I728" s="31"/>
      <c r="J728" s="31"/>
      <c r="K728" s="31"/>
      <c r="L728" s="31"/>
      <c r="M728" s="29"/>
      <c r="N728" s="30"/>
      <c r="O728" s="31"/>
      <c r="P728" s="31"/>
      <c r="Q728" s="31"/>
      <c r="R728" s="31"/>
      <c r="S728" s="29"/>
      <c r="T728" s="30"/>
      <c r="U728" s="32"/>
      <c r="V728" s="28"/>
    </row>
    <row r="729" spans="1:22">
      <c r="A729" s="25"/>
      <c r="B729" s="26" t="s">
        <v>424</v>
      </c>
      <c r="C729" s="32" t="s">
        <v>403</v>
      </c>
      <c r="D729" s="28" t="str">
        <f>B729&amp;TEXT(Prices!$C$45,"0.0")</f>
        <v>US$26.3</v>
      </c>
      <c r="E729" s="28" t="str">
        <f>B729&amp;TEXT(Prices!$E$45,"0.00")</f>
        <v>US$32.00</v>
      </c>
      <c r="F729" s="29">
        <f>Prices!$F$45</f>
        <v>0.21765601217656005</v>
      </c>
      <c r="G729" s="28" t="str">
        <f>Prices!$D$45</f>
        <v>Buy</v>
      </c>
      <c r="H729" s="30"/>
      <c r="I729" s="31">
        <f>(ATT!D$18/1000)</f>
        <v>318.51483802087949</v>
      </c>
      <c r="J729" s="31">
        <f>(ATT!E$18/1000)</f>
        <v>331.57642695310494</v>
      </c>
      <c r="K729" s="31">
        <f>(ATT!F$18/1000)</f>
        <v>313.18493682963305</v>
      </c>
      <c r="L729" s="31">
        <f>(ATT!G$18/1000)</f>
        <v>300.3647903541941</v>
      </c>
      <c r="M729" s="29">
        <f>(L729/I729)^(1/3)-1</f>
        <v>-1.9367119280740974E-2</v>
      </c>
      <c r="N729" s="30"/>
      <c r="O729" s="31">
        <f>(ATT!L$26/1000)</f>
        <v>188.74112553778741</v>
      </c>
      <c r="P729" s="31">
        <f>(ATT!M$26/1000)</f>
        <v>184.57011872354215</v>
      </c>
      <c r="Q729" s="31">
        <f>(ATT!N$26/1000)</f>
        <v>175.79071713102024</v>
      </c>
      <c r="R729" s="31">
        <f>(ATT!O$26/1000)</f>
        <v>172.35186095502908</v>
      </c>
      <c r="S729" s="29">
        <f>(R729/O729)^(1/3)-1</f>
        <v>-2.9825596789653352E-2</v>
      </c>
      <c r="T729" s="30"/>
      <c r="U729" s="32" t="str">
        <f>D729</f>
        <v>US$26.3</v>
      </c>
      <c r="V729" s="28" t="str">
        <f>C729</f>
        <v xml:space="preserve">AT&amp;T </v>
      </c>
    </row>
    <row r="730" spans="1:22">
      <c r="B730" s="26" t="s">
        <v>424</v>
      </c>
      <c r="C730" s="32" t="s">
        <v>570</v>
      </c>
      <c r="D730" s="28" t="str">
        <f>B730&amp;TEXT(Prices!$C$46,"0.0")</f>
        <v>US$191.5</v>
      </c>
      <c r="E730" s="28" t="str">
        <f>B730&amp;TEXT(Prices!$E$46,"0.0")</f>
        <v>US$296.0</v>
      </c>
      <c r="F730" s="29">
        <f>Prices!$F$46</f>
        <v>0.54593408889121009</v>
      </c>
      <c r="G730" s="28" t="str">
        <f>Prices!$D$46</f>
        <v>Buy</v>
      </c>
      <c r="H730" s="30"/>
      <c r="I730" s="31">
        <f>(TMUS!D$18/1000)</f>
        <v>296.97205671148117</v>
      </c>
      <c r="J730" s="31">
        <f>(TMUS!E$18/1000)</f>
        <v>292.75982014669245</v>
      </c>
      <c r="K730" s="31">
        <f>(TMUS!F$18/1000)</f>
        <v>286.33485578257046</v>
      </c>
      <c r="L730" s="31">
        <f>(TMUS!G$18/1000)</f>
        <v>279.42245411258762</v>
      </c>
      <c r="M730" s="29">
        <f>(L730/I730)^(1/3)-1</f>
        <v>-2.0099666881010836E-2</v>
      </c>
      <c r="N730" s="30"/>
      <c r="O730" s="31">
        <f>(TMUS!L$26/1000)</f>
        <v>217.42291105961451</v>
      </c>
      <c r="P730" s="31">
        <f>(TMUS!M$26/1000)</f>
        <v>209.27253735921042</v>
      </c>
      <c r="Q730" s="31">
        <f>(TMUS!N$26/1000)</f>
        <v>200.89791402044855</v>
      </c>
      <c r="R730" s="31">
        <f>(TMUS!O$26/1000)</f>
        <v>192.40777704149241</v>
      </c>
      <c r="S730" s="29">
        <f>(R730/O730)^(1/3)-1</f>
        <v>-3.9923649317297638E-2</v>
      </c>
      <c r="T730" s="30"/>
      <c r="U730" s="32" t="str">
        <f>D730</f>
        <v>US$191.5</v>
      </c>
      <c r="V730" s="28" t="str">
        <f>C730</f>
        <v>TMUS</v>
      </c>
    </row>
    <row r="731" spans="1:22">
      <c r="A731" s="25"/>
      <c r="B731" s="26" t="s">
        <v>424</v>
      </c>
      <c r="C731" s="32" t="s">
        <v>30</v>
      </c>
      <c r="D731" s="28" t="str">
        <f>B731&amp;TEXT(Prices!$C$44,"0.0")</f>
        <v>US$46.9</v>
      </c>
      <c r="E731" s="28" t="str">
        <f>B731&amp;TEXT(Prices!$E$44,"0.00")</f>
        <v>US$42.00</v>
      </c>
      <c r="F731" s="29">
        <f>Prices!$F$44</f>
        <v>-0.10371318822023046</v>
      </c>
      <c r="G731" s="28" t="str">
        <f>Prices!$D$44</f>
        <v>Neutral</v>
      </c>
      <c r="H731" s="30"/>
      <c r="I731" s="31">
        <f>(VZN!D$18/1000)</f>
        <v>298.22377753623294</v>
      </c>
      <c r="J731" s="31">
        <f>(VZN!E$18/1000)</f>
        <v>279.13095187467974</v>
      </c>
      <c r="K731" s="31">
        <f>(VZN!F$18/1000)</f>
        <v>257.08734275849525</v>
      </c>
      <c r="L731" s="31">
        <f>(VZN!G$18/1000)</f>
        <v>233.72135064003604</v>
      </c>
      <c r="M731" s="29">
        <f>(L731/I731)^(1/3)-1</f>
        <v>-7.8025930332206839E-2</v>
      </c>
      <c r="N731" s="30"/>
      <c r="O731" s="31">
        <f>(VZN!L$26/1000)</f>
        <v>198.85229999999999</v>
      </c>
      <c r="P731" s="31">
        <f>(VZN!M$26/1000)</f>
        <v>198.85229999999999</v>
      </c>
      <c r="Q731" s="31">
        <f>(VZN!N$26/1000)</f>
        <v>198.85229999999999</v>
      </c>
      <c r="R731" s="31">
        <f>(VZN!O$26/1000)</f>
        <v>198.85229999999999</v>
      </c>
      <c r="S731" s="29">
        <f>(R731/O731)^(1/3)-1</f>
        <v>0</v>
      </c>
      <c r="T731" s="30"/>
      <c r="U731" s="32" t="str">
        <f>D731</f>
        <v>US$46.9</v>
      </c>
      <c r="V731" s="28" t="str">
        <f>C731</f>
        <v>Verizon</v>
      </c>
    </row>
    <row r="732" spans="1:22">
      <c r="A732" s="25"/>
      <c r="C732" s="35" t="s">
        <v>214</v>
      </c>
      <c r="D732" s="36"/>
      <c r="E732" s="36"/>
      <c r="F732" s="37"/>
      <c r="G732" s="36"/>
      <c r="H732" s="30"/>
      <c r="I732" s="38">
        <f>'US TELCO'!D$18/1000</f>
        <v>913.71067226859373</v>
      </c>
      <c r="J732" s="38">
        <f>'US TELCO'!E$18/1000</f>
        <v>903.46719897447713</v>
      </c>
      <c r="K732" s="38">
        <f>'US TELCO'!F$18/1000</f>
        <v>856.60713537069864</v>
      </c>
      <c r="L732" s="38">
        <f>'US TELCO'!G$18/1000</f>
        <v>813.50859510681778</v>
      </c>
      <c r="M732" s="39">
        <f>(L732/I732)^(1/3)-1</f>
        <v>-3.7979154218927391E-2</v>
      </c>
      <c r="N732" s="30"/>
      <c r="O732" s="38">
        <f>'US TELCO'!L$26/1000</f>
        <v>605.01633659740185</v>
      </c>
      <c r="P732" s="38">
        <f>'US TELCO'!M$26/1000</f>
        <v>592.69495608275258</v>
      </c>
      <c r="Q732" s="38">
        <f>'US TELCO'!N$26/1000</f>
        <v>575.54093115146873</v>
      </c>
      <c r="R732" s="38">
        <f>'US TELCO'!O$26/1000</f>
        <v>563.61193799652142</v>
      </c>
      <c r="S732" s="39">
        <f>(R732/O732)^(1/3)-1</f>
        <v>-2.3352834536940259E-2</v>
      </c>
      <c r="T732" s="30"/>
      <c r="U732" s="41"/>
      <c r="V732" s="42" t="str">
        <f>C732</f>
        <v>Agg. US Telecoms</v>
      </c>
    </row>
    <row r="733" spans="1:22">
      <c r="A733" s="25"/>
      <c r="C733" s="32"/>
      <c r="D733" s="28"/>
      <c r="E733" s="28"/>
      <c r="F733" s="29"/>
      <c r="G733" s="28"/>
      <c r="H733" s="30"/>
      <c r="I733" s="31"/>
      <c r="J733" s="31"/>
      <c r="K733" s="31"/>
      <c r="L733" s="31"/>
      <c r="M733" s="29"/>
      <c r="N733" s="30"/>
      <c r="O733" s="31"/>
      <c r="P733" s="31"/>
      <c r="Q733" s="31"/>
      <c r="R733" s="31"/>
      <c r="S733" s="29"/>
      <c r="T733" s="30"/>
      <c r="U733" s="32"/>
      <c r="V733" s="28"/>
    </row>
    <row r="734" spans="1:22">
      <c r="A734" s="25"/>
      <c r="C734" s="32" t="str">
        <f t="shared" ref="C734:G735" si="215">C675</f>
        <v>NTT</v>
      </c>
      <c r="D734" s="28" t="str">
        <f t="shared" si="215"/>
        <v>JPY 152</v>
      </c>
      <c r="E734" s="28" t="str">
        <f t="shared" si="215"/>
        <v>JPY 215</v>
      </c>
      <c r="F734" s="29">
        <f t="shared" si="215"/>
        <v>0.41914191419141922</v>
      </c>
      <c r="G734" s="28" t="str">
        <f t="shared" si="215"/>
        <v>Buy</v>
      </c>
      <c r="H734" s="30"/>
      <c r="I734" s="31">
        <f>NTT!$D$18/Prices!$C$141</f>
        <v>141.76797671754653</v>
      </c>
      <c r="J734" s="31">
        <f>NTT!$E$18/Prices!$C$141</f>
        <v>135.96743432039628</v>
      </c>
      <c r="K734" s="31">
        <f>NTT!$F$18/Prices!$C$141</f>
        <v>129.15394976372681</v>
      </c>
      <c r="L734" s="31">
        <f>NTT!$G$18/Prices!$C$141</f>
        <v>121.35194521641328</v>
      </c>
      <c r="M734" s="29">
        <f t="shared" ref="M734:M736" si="216">(L734/I734)^(1/3)-1</f>
        <v>-5.0511883364002474E-2</v>
      </c>
      <c r="N734" s="30"/>
      <c r="O734" s="31">
        <f>NTT!L$26/Prices!$C$141</f>
        <v>77.010952751291825</v>
      </c>
      <c r="P734" s="31">
        <f>NTT!M$26/Prices!$C$141</f>
        <v>75.556417588344175</v>
      </c>
      <c r="Q734" s="31">
        <f>NTT!N$26/Prices!$C$141</f>
        <v>74.101882425396525</v>
      </c>
      <c r="R734" s="31">
        <f>NTT!O$26/Prices!$C$141</f>
        <v>72.647347262448875</v>
      </c>
      <c r="S734" s="29">
        <f t="shared" ref="S734:S736" si="217">(R734/O734)^(1/3)-1</f>
        <v>-1.9255785810206594E-2</v>
      </c>
      <c r="T734" s="30"/>
      <c r="U734" s="32" t="str">
        <f>U675</f>
        <v>JPY 152</v>
      </c>
      <c r="V734" s="28" t="str">
        <f>V675</f>
        <v>NTT</v>
      </c>
    </row>
    <row r="735" spans="1:22">
      <c r="A735" s="25"/>
      <c r="C735" s="32" t="str">
        <f t="shared" si="215"/>
        <v>SingTel</v>
      </c>
      <c r="D735" s="28" t="str">
        <f t="shared" si="215"/>
        <v>SGD 4.63</v>
      </c>
      <c r="E735" s="28" t="str">
        <f t="shared" si="215"/>
        <v>SGD 6.20</v>
      </c>
      <c r="F735" s="29">
        <f t="shared" si="215"/>
        <v>0.33909287257019449</v>
      </c>
      <c r="G735" s="28" t="str">
        <f t="shared" si="215"/>
        <v>Buy</v>
      </c>
      <c r="H735" s="30"/>
      <c r="I735" s="31">
        <f>SINGTEL!D$18/Prices!$C$156/1000</f>
        <v>66.034473910841015</v>
      </c>
      <c r="J735" s="31">
        <f>SINGTEL!E$18/Prices!$C$156/1000</f>
        <v>63.781996473002543</v>
      </c>
      <c r="K735" s="31">
        <f>SINGTEL!F$18/Prices!$C$156/1000</f>
        <v>61.056015250937051</v>
      </c>
      <c r="L735" s="31">
        <f>SINGTEL!G$18/Prices!$C$156/1000</f>
        <v>58.080259981283035</v>
      </c>
      <c r="M735" s="29">
        <f t="shared" si="216"/>
        <v>-4.1881388374402806E-2</v>
      </c>
      <c r="N735" s="30"/>
      <c r="O735" s="31">
        <f>SINGTEL!L$26/Prices!$C$156/1000</f>
        <v>297.45450647366579</v>
      </c>
      <c r="P735" s="31">
        <f>SINGTEL!M$26/Prices!$C$156/1000</f>
        <v>292.56278745936174</v>
      </c>
      <c r="Q735" s="31">
        <f>SINGTEL!N$26/Prices!$C$156/1000</f>
        <v>282.1684549284829</v>
      </c>
      <c r="R735" s="31">
        <f>SINGTEL!O$26/Prices!$C$156/1000</f>
        <v>267.9145599210629</v>
      </c>
      <c r="S735" s="29">
        <f t="shared" si="217"/>
        <v>-3.4263629260650852E-2</v>
      </c>
      <c r="T735" s="30"/>
      <c r="U735" s="32" t="str">
        <f>U676</f>
        <v>SGD 4.63</v>
      </c>
      <c r="V735" s="28" t="str">
        <f>V676</f>
        <v>SingTel</v>
      </c>
    </row>
    <row r="736" spans="1:22">
      <c r="A736" s="25"/>
      <c r="C736" s="35" t="str">
        <f>C677</f>
        <v>Agg. Developed Asia Incumbent</v>
      </c>
      <c r="D736" s="42"/>
      <c r="E736" s="42"/>
      <c r="F736" s="39"/>
      <c r="G736" s="42"/>
      <c r="H736" s="40"/>
      <c r="I736" s="38">
        <f>'DM ASIA INCUMB'!D$18/1000</f>
        <v>207.80245062838753</v>
      </c>
      <c r="J736" s="38">
        <f>'DM ASIA INCUMB'!$E$18/1000</f>
        <v>199.74943079339883</v>
      </c>
      <c r="K736" s="38">
        <f>'DM ASIA INCUMB'!$F$18/1000</f>
        <v>190.20996501466388</v>
      </c>
      <c r="L736" s="38">
        <f>'DM ASIA INCUMB'!$G$18/1000</f>
        <v>179.43220519769631</v>
      </c>
      <c r="M736" s="39">
        <f t="shared" si="216"/>
        <v>-4.7752349282422557E-2</v>
      </c>
      <c r="N736" s="40"/>
      <c r="O736" s="38">
        <f>'DM ASIA INCUMB'!L$26/1000</f>
        <v>374.46545922495761</v>
      </c>
      <c r="P736" s="38">
        <f>'DM ASIA INCUMB'!M$26/1000</f>
        <v>368.11920504770592</v>
      </c>
      <c r="Q736" s="38">
        <f>'DM ASIA INCUMB'!N$26/1000</f>
        <v>356.27033735387943</v>
      </c>
      <c r="R736" s="38">
        <f>'DM ASIA INCUMB'!O$26/1000</f>
        <v>340.56190718351178</v>
      </c>
      <c r="S736" s="39">
        <f t="shared" si="217"/>
        <v>-3.1139088053650288E-2</v>
      </c>
      <c r="T736" s="40"/>
      <c r="U736" s="35"/>
      <c r="V736" s="42" t="str">
        <f>V677</f>
        <v xml:space="preserve">Agg. Developed Asia Incumbent </v>
      </c>
    </row>
    <row r="737" spans="1:22">
      <c r="A737" s="25"/>
      <c r="C737" s="27"/>
      <c r="D737" s="34"/>
      <c r="E737" s="34"/>
      <c r="F737" s="45"/>
      <c r="G737" s="34"/>
      <c r="H737" s="40"/>
      <c r="I737" s="46"/>
      <c r="J737" s="46"/>
      <c r="K737" s="46"/>
      <c r="L737" s="46"/>
      <c r="M737" s="45"/>
      <c r="N737" s="40"/>
      <c r="O737" s="46"/>
      <c r="P737" s="46"/>
      <c r="Q737" s="46"/>
      <c r="R737" s="46"/>
      <c r="S737" s="45"/>
      <c r="T737" s="40"/>
      <c r="U737" s="27"/>
      <c r="V737" s="34"/>
    </row>
    <row r="738" spans="1:22">
      <c r="A738" s="25"/>
      <c r="C738" s="35" t="s">
        <v>717</v>
      </c>
      <c r="D738" s="42"/>
      <c r="E738" s="42"/>
      <c r="F738" s="39"/>
      <c r="G738" s="42"/>
      <c r="H738" s="40"/>
      <c r="I738" s="38">
        <f>'AGG DM INCUMB'!D$18/1000</f>
        <v>1974.3561830478682</v>
      </c>
      <c r="J738" s="38">
        <f>'AGG DM INCUMB'!$E$18/1000</f>
        <v>1941.3239694994418</v>
      </c>
      <c r="K738" s="38">
        <f>'AGG DM INCUMB'!$F$18/1000</f>
        <v>1854.9688215683004</v>
      </c>
      <c r="L738" s="38">
        <f>'AGG DM INCUMB'!$G$18/1000</f>
        <v>1765.0265889507239</v>
      </c>
      <c r="M738" s="39">
        <f>(L738/I738)^(1/3)-1</f>
        <v>-3.6669636129920913E-2</v>
      </c>
      <c r="N738" s="40"/>
      <c r="O738" s="38">
        <f>'AGG DM INCUMB'!L$26/1000</f>
        <v>1411.085942211545</v>
      </c>
      <c r="P738" s="38">
        <f>'AGG DM INCUMB'!M$26/1000</f>
        <v>1388.4941258566776</v>
      </c>
      <c r="Q738" s="38">
        <f>'AGG DM INCUMB'!N$26/1000</f>
        <v>1358.2975060028059</v>
      </c>
      <c r="R738" s="38">
        <f>'AGG DM INCUMB'!O$26/1000</f>
        <v>1329.4536884066738</v>
      </c>
      <c r="S738" s="39">
        <f>(R738/O738)^(1/3)-1</f>
        <v>-1.9667841497602812E-2</v>
      </c>
      <c r="T738" s="40"/>
      <c r="U738" s="35"/>
      <c r="V738" s="42" t="str">
        <f>C738</f>
        <v>Agg. DM Incumbent total</v>
      </c>
    </row>
    <row r="739" spans="1:22">
      <c r="A739" s="25"/>
      <c r="C739" s="25"/>
      <c r="D739" s="28"/>
      <c r="E739" s="28"/>
      <c r="F739" s="29"/>
      <c r="G739" s="28"/>
      <c r="H739" s="30"/>
      <c r="I739" s="31"/>
      <c r="J739" s="31"/>
      <c r="K739" s="31"/>
      <c r="L739" s="31"/>
      <c r="M739" s="29"/>
      <c r="N739" s="30"/>
      <c r="O739" s="31"/>
      <c r="P739" s="31"/>
      <c r="Q739" s="31"/>
      <c r="R739" s="31"/>
      <c r="S739" s="29"/>
      <c r="T739" s="30"/>
      <c r="U739" s="32"/>
      <c r="V739" s="34"/>
    </row>
    <row r="740" spans="1:22">
      <c r="A740" s="25" t="s">
        <v>1091</v>
      </c>
      <c r="C740" s="32" t="str">
        <f t="shared" ref="C740:G752" si="218">C681</f>
        <v>1&amp;1</v>
      </c>
      <c r="D740" s="28" t="str">
        <f t="shared" si="218"/>
        <v>EUR 23.2</v>
      </c>
      <c r="E740" s="28" t="str">
        <f t="shared" si="218"/>
        <v>EUR 10.0</v>
      </c>
      <c r="F740" s="29">
        <f t="shared" si="218"/>
        <v>-0.56803455723542107</v>
      </c>
      <c r="G740" s="28" t="str">
        <f t="shared" si="218"/>
        <v>Sell</v>
      </c>
      <c r="H740" s="30"/>
      <c r="I740" s="31">
        <f>DRI!D$18/1000</f>
        <v>7.1417000089821814</v>
      </c>
      <c r="J740" s="31">
        <f>DRI!$E$18/1000</f>
        <v>7.3102915963152384</v>
      </c>
      <c r="K740" s="31">
        <f>DRI!$F$18/1000</f>
        <v>7.4102462378211875</v>
      </c>
      <c r="L740" s="31">
        <f>DRI!$G$18/1000</f>
        <v>7.4584408197510914</v>
      </c>
      <c r="M740" s="29">
        <f>(L740/I740)^(1/3)-1</f>
        <v>1.4570307833101426E-2</v>
      </c>
      <c r="N740" s="30"/>
      <c r="O740" s="31">
        <f>DRI!L$26/1000</f>
        <v>4.0863451453500002</v>
      </c>
      <c r="P740" s="31">
        <f>DRI!M$26/1000</f>
        <v>4.0863451453500002</v>
      </c>
      <c r="Q740" s="31">
        <f>DRI!N$26/1000</f>
        <v>4.0863451453500002</v>
      </c>
      <c r="R740" s="31">
        <f>DRI!O$26/1000</f>
        <v>4.0863451453500002</v>
      </c>
      <c r="S740" s="29">
        <f>(R740/O740)^(1/3)-1</f>
        <v>0</v>
      </c>
      <c r="T740" s="30"/>
      <c r="U740" s="32" t="str">
        <f t="shared" ref="U740:V742" si="219">U681</f>
        <v>EUR 23.2</v>
      </c>
      <c r="V740" s="28" t="str">
        <f t="shared" si="219"/>
        <v>1&amp;1</v>
      </c>
    </row>
    <row r="741" spans="1:22">
      <c r="A741" s="25"/>
      <c r="C741" s="32" t="str">
        <f t="shared" si="218"/>
        <v>Bouygues</v>
      </c>
      <c r="D741" s="28" t="str">
        <f t="shared" si="218"/>
        <v>EUR 51.8</v>
      </c>
      <c r="E741" s="28" t="str">
        <f t="shared" si="218"/>
        <v>EUR 64.0</v>
      </c>
      <c r="F741" s="29">
        <f t="shared" si="218"/>
        <v>0.23599845500193117</v>
      </c>
      <c r="G741" s="28" t="str">
        <f t="shared" si="218"/>
        <v>Buy</v>
      </c>
      <c r="H741" s="30"/>
      <c r="I741" s="31">
        <f>BOUY!D$18/1000</f>
        <v>28.407144836962317</v>
      </c>
      <c r="J741" s="31">
        <f>BOUY!$E$18/1000</f>
        <v>26.521489950081016</v>
      </c>
      <c r="K741" s="31">
        <f>BOUY!$F$18/1000</f>
        <v>24.685517507234774</v>
      </c>
      <c r="L741" s="31">
        <f>BOUY!$G$18/1000</f>
        <v>22.636238568084725</v>
      </c>
      <c r="M741" s="29">
        <f>(L741/I741)^(1/3)-1</f>
        <v>-7.290218197018361E-2</v>
      </c>
      <c r="N741" s="30"/>
      <c r="O741" s="31">
        <f>BOUY!L$26/1000</f>
        <v>19.952076720000001</v>
      </c>
      <c r="P741" s="31">
        <f>BOUY!M$26/1000</f>
        <v>19.952076720000001</v>
      </c>
      <c r="Q741" s="31">
        <f>BOUY!N$26/1000</f>
        <v>19.952076720000001</v>
      </c>
      <c r="R741" s="31">
        <f>BOUY!O$26/1000</f>
        <v>19.952076720000001</v>
      </c>
      <c r="S741" s="29">
        <f>(R741/O741)^(1/3)-1</f>
        <v>0</v>
      </c>
      <c r="T741" s="30"/>
      <c r="U741" s="32" t="str">
        <f t="shared" si="219"/>
        <v>EUR 51.8</v>
      </c>
      <c r="V741" s="28" t="str">
        <f t="shared" si="219"/>
        <v>Bouygues</v>
      </c>
    </row>
    <row r="742" spans="1:22">
      <c r="C742" s="32" t="str">
        <f t="shared" si="218"/>
        <v>Elisa</v>
      </c>
      <c r="D742" s="28" t="str">
        <f t="shared" si="218"/>
        <v>EUR 41.9</v>
      </c>
      <c r="E742" s="28" t="str">
        <f t="shared" si="218"/>
        <v>EUR 39.0</v>
      </c>
      <c r="F742" s="29">
        <f t="shared" si="218"/>
        <v>-6.9256376181545454E-2</v>
      </c>
      <c r="G742" s="28" t="str">
        <f t="shared" si="218"/>
        <v>Neutral</v>
      </c>
      <c r="H742" s="30"/>
      <c r="I742" s="31">
        <f>ELISA!$D$18/1000</f>
        <v>8.5847824217402273</v>
      </c>
      <c r="J742" s="31">
        <f>ELISA!$E$18/1000</f>
        <v>8.2815271600084674</v>
      </c>
      <c r="K742" s="31">
        <f>ELISA!$F$18/1000</f>
        <v>7.8682822754176529</v>
      </c>
      <c r="L742" s="31">
        <f>ELISA!$G$18/1000</f>
        <v>7.4601337222151596</v>
      </c>
      <c r="M742" s="29">
        <f t="shared" ref="M742:M753" si="220">(L742/I742)^(1/3)-1</f>
        <v>-4.5727431297776566E-2</v>
      </c>
      <c r="N742" s="30"/>
      <c r="O742" s="31">
        <f>ELISA!L$26/1000</f>
        <v>7.0152244439438682</v>
      </c>
      <c r="P742" s="31">
        <f>ELISA!M$26/1000</f>
        <v>6.7223068039199996</v>
      </c>
      <c r="Q742" s="31">
        <f>ELISA!N$26/1000</f>
        <v>6.7223068039199996</v>
      </c>
      <c r="R742" s="31">
        <f>ELISA!O$26/1000</f>
        <v>6.7223068039199996</v>
      </c>
      <c r="S742" s="29">
        <f t="shared" ref="S742:S753" si="221">(R742/O742)^(1/3)-1</f>
        <v>-1.4116526725523326E-2</v>
      </c>
      <c r="T742" s="30"/>
      <c r="U742" s="32" t="str">
        <f t="shared" si="219"/>
        <v>EUR 41.9</v>
      </c>
      <c r="V742" s="28" t="str">
        <f t="shared" si="219"/>
        <v>Elisa</v>
      </c>
    </row>
    <row r="743" spans="1:22">
      <c r="C743" s="32" t="str">
        <f t="shared" si="218"/>
        <v>Eutelsat</v>
      </c>
      <c r="D743" s="28" t="str">
        <f t="shared" si="218"/>
        <v>EUR 2.8</v>
      </c>
      <c r="E743" s="28" t="str">
        <f t="shared" si="218"/>
        <v>EUR 1.4</v>
      </c>
      <c r="F743" s="29">
        <f t="shared" si="218"/>
        <v>-0.5</v>
      </c>
      <c r="G743" s="28" t="str">
        <f t="shared" si="218"/>
        <v>Sell</v>
      </c>
      <c r="H743" s="30"/>
      <c r="I743" s="31">
        <f>ETL!$D$18/1000</f>
        <v>4.7769547702414394</v>
      </c>
      <c r="J743" s="31">
        <f>ETL!$E$18/1000</f>
        <v>5.1486428458618958</v>
      </c>
      <c r="K743" s="31">
        <f>ETL!$F$18/1000</f>
        <v>5.7269568483818531</v>
      </c>
      <c r="L743" s="31">
        <f>ETL!$G$18/1000</f>
        <v>5.8041011362062962</v>
      </c>
      <c r="M743" s="29">
        <f t="shared" ref="M743" si="222">(L743/I743)^(1/3)-1</f>
        <v>6.7074186480456488E-2</v>
      </c>
      <c r="N743" s="30"/>
      <c r="O743" s="31">
        <f>ETL!L$26/1000</f>
        <v>3.2986819104296297</v>
      </c>
      <c r="P743" s="31">
        <f>ETL!M$26/1000</f>
        <v>3.2986819104296297</v>
      </c>
      <c r="Q743" s="31">
        <f>ETL!N$26/1000</f>
        <v>3.2986819104296297</v>
      </c>
      <c r="R743" s="31">
        <f>ETL!O$26/1000</f>
        <v>3.2986819104296297</v>
      </c>
      <c r="S743" s="29">
        <f t="shared" ref="S743" si="223">(R743/O743)^(1/3)-1</f>
        <v>0</v>
      </c>
      <c r="T743" s="30"/>
      <c r="U743" s="32" t="str">
        <f t="shared" ref="U743:U752" si="224">U684</f>
        <v>EUR 2.8</v>
      </c>
      <c r="V743" s="28" t="s">
        <v>1283</v>
      </c>
    </row>
    <row r="744" spans="1:22">
      <c r="A744" s="25"/>
      <c r="C744" s="32" t="str">
        <f t="shared" si="218"/>
        <v>Liberty Global (prop.)</v>
      </c>
      <c r="D744" s="28" t="str">
        <f t="shared" si="218"/>
        <v>USD 12.0</v>
      </c>
      <c r="E744" s="28" t="str">
        <f t="shared" si="218"/>
        <v>USD 12.5</v>
      </c>
      <c r="F744" s="29">
        <f t="shared" si="218"/>
        <v>4.4277360066833804E-2</v>
      </c>
      <c r="G744" s="28" t="str">
        <f t="shared" si="218"/>
        <v>Neutral</v>
      </c>
      <c r="H744" s="30"/>
      <c r="I744" s="31">
        <f>LBTY!D$18/1000/Prices!$C$135</f>
        <v>3.6634372503536361</v>
      </c>
      <c r="J744" s="31">
        <f>LBTY!E$18/1000/Prices!$C$135</f>
        <v>4.5268210837925853</v>
      </c>
      <c r="K744" s="31">
        <f>LBTY!F$18/1000/Prices!$C$135</f>
        <v>11.744863909144785</v>
      </c>
      <c r="L744" s="31">
        <f>LBTY!G$18/1000/Prices!$C$135</f>
        <v>11.418438804868044</v>
      </c>
      <c r="M744" s="29">
        <f>(L744/I744)^(1/3)-1</f>
        <v>0.46073910979991961</v>
      </c>
      <c r="N744" s="30"/>
      <c r="O744" s="31">
        <f>LBTY!L$26/1000/Prices!$C$135</f>
        <v>4.0307332827518216</v>
      </c>
      <c r="P744" s="31">
        <f>LBTY!M$26/1000/Prices!$C$135</f>
        <v>4.1997198178848834</v>
      </c>
      <c r="Q744" s="31">
        <f>LBTY!N$26/1000/Prices!$C$135</f>
        <v>4.243093434384555</v>
      </c>
      <c r="R744" s="31">
        <f>LBTY!O$26/1000/Prices!$C$135</f>
        <v>4.2864670508842293</v>
      </c>
      <c r="S744" s="29">
        <f>(R744/O744)^(1/3)-1</f>
        <v>2.0716517673653678E-2</v>
      </c>
      <c r="T744" s="30"/>
      <c r="U744" s="32" t="str">
        <f t="shared" si="224"/>
        <v>USD 12.0</v>
      </c>
      <c r="V744" s="28" t="str">
        <f t="shared" ref="V744:V753" si="225">V685</f>
        <v>Liberty Global</v>
      </c>
    </row>
    <row r="745" spans="1:22">
      <c r="A745" s="25"/>
      <c r="C745" s="32" t="str">
        <f t="shared" si="218"/>
        <v>NOS</v>
      </c>
      <c r="D745" s="28" t="str">
        <f t="shared" si="218"/>
        <v>EUR 5.65</v>
      </c>
      <c r="E745" s="28" t="str">
        <f t="shared" si="218"/>
        <v>EUR 5.50</v>
      </c>
      <c r="F745" s="29">
        <f t="shared" si="218"/>
        <v>-2.6548672566371723E-2</v>
      </c>
      <c r="G745" s="28" t="str">
        <f t="shared" si="218"/>
        <v>Neutral</v>
      </c>
      <c r="H745" s="30"/>
      <c r="I745" s="31">
        <f>NOS!$D$18/1000</f>
        <v>4.3619003949429489</v>
      </c>
      <c r="J745" s="31">
        <f>NOS!$E$18/1000</f>
        <v>4.0078341735274199</v>
      </c>
      <c r="K745" s="31">
        <f>NOS!$F$18/1000</f>
        <v>3.7417046880007039</v>
      </c>
      <c r="L745" s="31">
        <f>NOS!$G$18/1000</f>
        <v>3.5104562077790464</v>
      </c>
      <c r="M745" s="29">
        <f>(L745/I745)^(1/3)-1</f>
        <v>-6.9829407331336246E-2</v>
      </c>
      <c r="N745" s="30"/>
      <c r="O745" s="31">
        <f>NOS!L$26/1000</f>
        <v>3.1380333289397737</v>
      </c>
      <c r="P745" s="31">
        <f>NOS!M$26/1000</f>
        <v>2.8993717523</v>
      </c>
      <c r="Q745" s="31">
        <f>NOS!N$26/1000</f>
        <v>2.8993717523</v>
      </c>
      <c r="R745" s="31">
        <f>NOS!O$26/1000</f>
        <v>2.8993717523</v>
      </c>
      <c r="S745" s="29">
        <f>(R745/O745)^(1/3)-1</f>
        <v>-2.6022815009880573E-2</v>
      </c>
      <c r="T745" s="30"/>
      <c r="U745" s="32" t="str">
        <f t="shared" si="224"/>
        <v>EUR 5.65</v>
      </c>
      <c r="V745" s="28" t="str">
        <f t="shared" si="225"/>
        <v>NOS</v>
      </c>
    </row>
    <row r="746" spans="1:22">
      <c r="C746" s="32" t="str">
        <f t="shared" si="218"/>
        <v>Orange Belgium</v>
      </c>
      <c r="D746" s="28" t="str">
        <f t="shared" si="218"/>
        <v>EUR 21.0</v>
      </c>
      <c r="E746" s="28" t="str">
        <f t="shared" si="218"/>
        <v>EUR 21.1</v>
      </c>
      <c r="F746" s="29">
        <f t="shared" si="218"/>
        <v>5.150744566468024E-3</v>
      </c>
      <c r="G746" s="28" t="str">
        <f t="shared" si="218"/>
        <v>Neutral</v>
      </c>
      <c r="H746" s="30"/>
      <c r="I746" s="31">
        <f>OBEL!$D$18/1000</f>
        <v>3.3791183719328548</v>
      </c>
      <c r="J746" s="31">
        <f>OBEL!$E$18/1000</f>
        <v>3.2878529175480464</v>
      </c>
      <c r="K746" s="31">
        <f>OBEL!$F$18/1000</f>
        <v>3.2051575706274726</v>
      </c>
      <c r="L746" s="31">
        <f>OBEL!$G$18/1000</f>
        <v>3.2481324251967001</v>
      </c>
      <c r="M746" s="29">
        <f t="shared" si="220"/>
        <v>-1.3091762830969134E-2</v>
      </c>
      <c r="N746" s="30"/>
      <c r="O746" s="31">
        <f>OBEL!L$26/1000</f>
        <v>1.7624831066268185</v>
      </c>
      <c r="P746" s="31">
        <f>OBEL!M$26/1000</f>
        <v>1.360302694</v>
      </c>
      <c r="Q746" s="31">
        <f>OBEL!N$26/1000</f>
        <v>1.360302694</v>
      </c>
      <c r="R746" s="31">
        <f>OBEL!O$26/1000</f>
        <v>1.360302694</v>
      </c>
      <c r="S746" s="29">
        <f t="shared" si="221"/>
        <v>-8.2716605201222038E-2</v>
      </c>
      <c r="T746" s="30"/>
      <c r="U746" s="32" t="str">
        <f t="shared" si="224"/>
        <v>EUR 21.0</v>
      </c>
      <c r="V746" s="28" t="str">
        <f t="shared" si="225"/>
        <v>Orange Belgium</v>
      </c>
    </row>
    <row r="747" spans="1:22">
      <c r="C747" s="32" t="str">
        <f t="shared" si="218"/>
        <v>SES</v>
      </c>
      <c r="D747" s="28" t="str">
        <f t="shared" si="218"/>
        <v>EUR 6.6</v>
      </c>
      <c r="E747" s="28" t="str">
        <f t="shared" si="218"/>
        <v>EUR 6.0</v>
      </c>
      <c r="F747" s="404">
        <f t="shared" si="218"/>
        <v>-9.297052154195018E-2</v>
      </c>
      <c r="G747" s="28" t="str">
        <f t="shared" si="218"/>
        <v>Neutral</v>
      </c>
      <c r="H747" s="30"/>
      <c r="I747" s="528">
        <f>SES!$D$18/1000</f>
        <v>7.3234882628606623</v>
      </c>
      <c r="J747" s="528">
        <f>SES!$E$18/1000</f>
        <v>6.9065121410274903</v>
      </c>
      <c r="K747" s="528">
        <f>SES!$F$18/1000</f>
        <v>6.2372640726449777</v>
      </c>
      <c r="L747" s="528">
        <f>SES!$G$18/1000</f>
        <v>6.3302938622726064</v>
      </c>
      <c r="M747" s="404">
        <f>(L747/I747)^(1/3)-1</f>
        <v>-4.7418900172074618E-2</v>
      </c>
      <c r="N747" s="30"/>
      <c r="O747" s="528">
        <f>SES!L$26/1000</f>
        <v>2.7449614531079995</v>
      </c>
      <c r="P747" s="528">
        <f>SES!M$26/1000</f>
        <v>2.7449614531079995</v>
      </c>
      <c r="Q747" s="528">
        <f>SES!N$26/1000</f>
        <v>2.7449614531079995</v>
      </c>
      <c r="R747" s="528">
        <f>SES!O$26/1000</f>
        <v>2.7449614531079995</v>
      </c>
      <c r="S747" s="404">
        <f>(R747/O747)^(1/3)-1</f>
        <v>0</v>
      </c>
      <c r="T747" s="30"/>
      <c r="U747" s="32" t="str">
        <f t="shared" si="224"/>
        <v>EUR 6.6</v>
      </c>
      <c r="V747" s="28" t="str">
        <f t="shared" si="225"/>
        <v>SES</v>
      </c>
    </row>
    <row r="748" spans="1:22">
      <c r="C748" s="32" t="str">
        <f t="shared" si="218"/>
        <v>Sunrise</v>
      </c>
      <c r="D748" s="28" t="str">
        <f t="shared" si="218"/>
        <v>CHF46.1</v>
      </c>
      <c r="E748" s="28" t="str">
        <f t="shared" si="218"/>
        <v>CHF38.7</v>
      </c>
      <c r="F748" s="29">
        <f t="shared" si="218"/>
        <v>-0.15959504533103386</v>
      </c>
      <c r="G748" s="28" t="str">
        <f t="shared" si="218"/>
        <v>Sell</v>
      </c>
      <c r="H748" s="30"/>
      <c r="I748" s="31">
        <f>SUNN!$D$18/1000</f>
        <v>8.5158976923595837</v>
      </c>
      <c r="J748" s="31">
        <f>SUNN!$E$18/1000</f>
        <v>8.2354969527799753</v>
      </c>
      <c r="K748" s="31">
        <f>SUNN!$F$18/1000</f>
        <v>7.8968070983318981</v>
      </c>
      <c r="L748" s="31">
        <f>SUNN!$G$18/1000</f>
        <v>7.9760858397873271</v>
      </c>
      <c r="M748" s="29">
        <f t="shared" ref="M748" si="226">(L748/I748)^(1/3)-1</f>
        <v>-2.1592451513953281E-2</v>
      </c>
      <c r="N748" s="30"/>
      <c r="O748" s="31">
        <f>SUNN!L$26/1000</f>
        <v>3.4834558859370834</v>
      </c>
      <c r="P748" s="31">
        <f>SUNN!M$26/1000</f>
        <v>3.4487750026730999</v>
      </c>
      <c r="Q748" s="31">
        <f>SUNN!N$26/1000</f>
        <v>3.4312173397056762</v>
      </c>
      <c r="R748" s="31">
        <f>SUNN!O$26/1000</f>
        <v>3.4077007585842738</v>
      </c>
      <c r="S748" s="29">
        <f t="shared" ref="S748" si="227">(R748/O748)^(1/3)-1</f>
        <v>-7.302232248196594E-3</v>
      </c>
      <c r="T748" s="30"/>
      <c r="U748" s="32" t="str">
        <f t="shared" si="224"/>
        <v>CHF46.1</v>
      </c>
      <c r="V748" s="28" t="str">
        <f t="shared" si="225"/>
        <v>Sunrise</v>
      </c>
    </row>
    <row r="749" spans="1:22">
      <c r="C749" s="32" t="str">
        <f t="shared" si="218"/>
        <v>Tele2</v>
      </c>
      <c r="D749" s="28" t="str">
        <f t="shared" si="218"/>
        <v>SEK 189.7</v>
      </c>
      <c r="E749" s="28" t="str">
        <f t="shared" si="218"/>
        <v>SEK 170.0</v>
      </c>
      <c r="F749" s="29">
        <f t="shared" si="218"/>
        <v>-0.10361191668863701</v>
      </c>
      <c r="G749" s="28" t="str">
        <f t="shared" si="218"/>
        <v>Neutral</v>
      </c>
      <c r="H749" s="30"/>
      <c r="I749" s="31">
        <f>TELE2!D$18/1000/Prices!$F$138</f>
        <v>14.618548882033361</v>
      </c>
      <c r="J749" s="31">
        <f>TELE2!E$18/1000/Prices!$F$138</f>
        <v>13.649924329708186</v>
      </c>
      <c r="K749" s="31">
        <f>TELE2!F$18/1000/Prices!$F$138</f>
        <v>13.028740389279555</v>
      </c>
      <c r="L749" s="31">
        <f>TELE2!G$18/1000/Prices!$F$138</f>
        <v>12.390920212830547</v>
      </c>
      <c r="M749" s="29">
        <f t="shared" si="220"/>
        <v>-5.3618085933653914E-2</v>
      </c>
      <c r="N749" s="30"/>
      <c r="O749" s="31">
        <f>TELE2!L$26/1000/Prices!$F$138</f>
        <v>12.767798639340958</v>
      </c>
      <c r="P749" s="31">
        <f>TELE2!M$26/1000/Prices!$F$138</f>
        <v>12.197742031772583</v>
      </c>
      <c r="Q749" s="31">
        <f>TELE2!N$26/1000/Prices!$F$138</f>
        <v>12.197742031772583</v>
      </c>
      <c r="R749" s="31">
        <f>TELE2!O$26/1000/Prices!$F$138</f>
        <v>12.197742031772583</v>
      </c>
      <c r="S749" s="29">
        <f t="shared" si="221"/>
        <v>-1.5109821763957143E-2</v>
      </c>
      <c r="T749" s="30"/>
      <c r="U749" s="32" t="str">
        <f t="shared" si="224"/>
        <v>SEK 189.7</v>
      </c>
      <c r="V749" s="28" t="str">
        <f t="shared" si="225"/>
        <v>Tele2</v>
      </c>
    </row>
    <row r="750" spans="1:22">
      <c r="A750" s="25"/>
      <c r="C750" s="32" t="str">
        <f t="shared" si="218"/>
        <v>United Internet</v>
      </c>
      <c r="D750" s="28" t="str">
        <f t="shared" si="218"/>
        <v>EUR 26.7</v>
      </c>
      <c r="E750" s="28" t="str">
        <f t="shared" si="218"/>
        <v>EUR 33.0</v>
      </c>
      <c r="F750" s="29">
        <f t="shared" si="218"/>
        <v>0.23688155922038989</v>
      </c>
      <c r="G750" s="28" t="str">
        <f t="shared" si="218"/>
        <v>Neutral</v>
      </c>
      <c r="H750" s="30"/>
      <c r="I750" s="31">
        <f>UTDI!D$18/1000</f>
        <v>11.205777050623039</v>
      </c>
      <c r="J750" s="31">
        <f>UTDI!$E$18/1000</f>
        <v>11.011729712326773</v>
      </c>
      <c r="K750" s="31">
        <f>UTDI!$F$18/1000</f>
        <v>10.799935861181964</v>
      </c>
      <c r="L750" s="31">
        <f>UTDI!$G$18/1000</f>
        <v>10.506111560623518</v>
      </c>
      <c r="M750" s="29">
        <f>(L750/I750)^(1/3)-1</f>
        <v>-2.1261489527401256E-2</v>
      </c>
      <c r="N750" s="30"/>
      <c r="O750" s="31">
        <f>UTDI!L$26/1000</f>
        <v>4.6112994574799995</v>
      </c>
      <c r="P750" s="31">
        <f>UTDI!M$26/1000</f>
        <v>4.6112994574799995</v>
      </c>
      <c r="Q750" s="31">
        <f>UTDI!N$26/1000</f>
        <v>4.6112994574799995</v>
      </c>
      <c r="R750" s="31">
        <f>UTDI!O$26/1000</f>
        <v>4.6112994574799995</v>
      </c>
      <c r="S750" s="29">
        <f>(R750/O750)^(1/3)-1</f>
        <v>0</v>
      </c>
      <c r="T750" s="30"/>
      <c r="U750" s="32" t="str">
        <f t="shared" si="224"/>
        <v>EUR 26.7</v>
      </c>
      <c r="V750" s="28" t="str">
        <f t="shared" si="225"/>
        <v>United Internet</v>
      </c>
    </row>
    <row r="751" spans="1:22">
      <c r="C751" s="32" t="str">
        <f t="shared" si="218"/>
        <v>Vodafone</v>
      </c>
      <c r="D751" s="28" t="str">
        <f t="shared" si="218"/>
        <v>GBP 1.16</v>
      </c>
      <c r="E751" s="28" t="str">
        <f t="shared" si="218"/>
        <v>GBP 1.30</v>
      </c>
      <c r="F751" s="29">
        <f t="shared" si="218"/>
        <v>0.12117291936179386</v>
      </c>
      <c r="G751" s="28" t="str">
        <f t="shared" si="218"/>
        <v>Buy</v>
      </c>
      <c r="H751" s="30"/>
      <c r="I751" s="31">
        <f>VOD!D$18/1000/Prices!$F$133</f>
        <v>66.853842342089621</v>
      </c>
      <c r="J751" s="31">
        <f>VOD!E$18/1000/Prices!$F$133</f>
        <v>65.117822728331163</v>
      </c>
      <c r="K751" s="31">
        <f>VOD!F$18/1000/Prices!$F$133</f>
        <v>62.843281581571027</v>
      </c>
      <c r="L751" s="31">
        <f>VOD!G$18/1000/Prices!$F$133</f>
        <v>60.112335614880379</v>
      </c>
      <c r="M751" s="29">
        <f>(L751/I751)^(1/3)-1</f>
        <v>-3.4810897463564139E-2</v>
      </c>
      <c r="N751" s="30"/>
      <c r="O751" s="31">
        <f>VOD!D$26/1000/Prices!$F$133</f>
        <v>3.2037409833855994</v>
      </c>
      <c r="P751" s="31">
        <f>VOD!E$26/1000/Prices!$F$133</f>
        <v>3.5775912758680919</v>
      </c>
      <c r="Q751" s="31">
        <f>VOD!F$26/1000/Prices!$F$133</f>
        <v>3.9187385319075876</v>
      </c>
      <c r="R751" s="31">
        <f>VOD!G$26/1000/Prices!$F$133</f>
        <v>4.3614051456444569</v>
      </c>
      <c r="S751" s="29">
        <f>(R751/O751)^(1/3)-1</f>
        <v>0.10829747782754495</v>
      </c>
      <c r="T751" s="30"/>
      <c r="U751" s="32" t="str">
        <f t="shared" si="224"/>
        <v>GBP 1.16</v>
      </c>
      <c r="V751" s="28" t="str">
        <f t="shared" si="225"/>
        <v>Vodafone</v>
      </c>
    </row>
    <row r="752" spans="1:22">
      <c r="C752" s="32" t="str">
        <f t="shared" si="218"/>
        <v>Zegona</v>
      </c>
      <c r="D752" s="28" t="str">
        <f t="shared" si="218"/>
        <v>GBP 17.92</v>
      </c>
      <c r="E752" s="28" t="str">
        <f t="shared" si="218"/>
        <v>GBP 14.75</v>
      </c>
      <c r="F752" s="29">
        <f t="shared" si="218"/>
        <v>-0.17689732142857151</v>
      </c>
      <c r="G752" s="28" t="str">
        <f t="shared" si="218"/>
        <v>Neutral</v>
      </c>
      <c r="H752" s="30"/>
      <c r="I752" s="31">
        <f>ZEG!D$18/1000/Prices!$F$133</f>
        <v>9.1940874099275103</v>
      </c>
      <c r="J752" s="31">
        <f>ZEG!E$18/1000/Prices!$F$133</f>
        <v>9.0217319780391918</v>
      </c>
      <c r="K752" s="31">
        <f>ZEG!F$18/1000/Prices!$F$133</f>
        <v>8.5951049913053765</v>
      </c>
      <c r="L752" s="31">
        <f>ZEG!G$18/1000/Prices!$F$133</f>
        <v>8.2279927675400959</v>
      </c>
      <c r="M752" s="29">
        <f>(L752/I752)^(1/3)-1</f>
        <v>-3.6329811103423482E-2</v>
      </c>
      <c r="N752" s="30"/>
      <c r="O752" s="31">
        <f>ZEG!D$26/1000/Prices!$F$133</f>
        <v>0.52382315441698857</v>
      </c>
      <c r="P752" s="31">
        <f>ZEG!E$26/1000/Prices!$F$133</f>
        <v>0.56376375910205367</v>
      </c>
      <c r="Q752" s="31">
        <f>ZEG!F$26/1000/Prices!$F$133</f>
        <v>0.58282509606109012</v>
      </c>
      <c r="R752" s="31">
        <f>ZEG!G$26/1000/Prices!$F$133</f>
        <v>0.57884962392150507</v>
      </c>
      <c r="S752" s="29">
        <f>(R752/O752)^(1/3)-1</f>
        <v>3.3856719209723884E-2</v>
      </c>
      <c r="T752" s="30"/>
      <c r="U752" s="32" t="str">
        <f t="shared" si="224"/>
        <v>GBP 17.92</v>
      </c>
      <c r="V752" s="28" t="str">
        <f t="shared" si="225"/>
        <v>Zegona</v>
      </c>
    </row>
    <row r="753" spans="1:22">
      <c r="C753" s="35" t="str">
        <f>C694</f>
        <v>Agg. W. Europe Other</v>
      </c>
      <c r="D753" s="36"/>
      <c r="E753" s="36"/>
      <c r="F753" s="37"/>
      <c r="G753" s="36"/>
      <c r="H753" s="30"/>
      <c r="I753" s="38">
        <f>'W.EUR OTHER'!$D$18/1000</f>
        <v>171.62901720647724</v>
      </c>
      <c r="J753" s="38">
        <f>'W.EUR OTHER'!$E$18/1000</f>
        <v>166.43692476429652</v>
      </c>
      <c r="K753" s="38">
        <f>'W.EUR OTHER'!$F$18/1000</f>
        <v>167.06356411105082</v>
      </c>
      <c r="L753" s="38">
        <f>'W.EUR OTHER'!$G$18/1000</f>
        <v>160.31811465680076</v>
      </c>
      <c r="M753" s="39">
        <f t="shared" si="220"/>
        <v>-2.246880140956331E-2</v>
      </c>
      <c r="N753" s="40"/>
      <c r="O753" s="38">
        <f>'W.EUR OTHER'!L$26/1000</f>
        <v>87.580464895987419</v>
      </c>
      <c r="P753" s="38">
        <f>'W.EUR OTHER'!M$26/1000</f>
        <v>86.026456540119653</v>
      </c>
      <c r="Q753" s="38">
        <f>'W.EUR OTHER'!N$26/1000</f>
        <v>86.050738473341838</v>
      </c>
      <c r="R753" s="38">
        <f>'W.EUR OTHER'!O$26/1000</f>
        <v>86.06854085525454</v>
      </c>
      <c r="S753" s="39">
        <f t="shared" si="221"/>
        <v>-5.787853493084083E-3</v>
      </c>
      <c r="T753" s="30"/>
      <c r="U753" s="41"/>
      <c r="V753" s="42" t="str">
        <f t="shared" si="225"/>
        <v>Agg. W. Europe Other</v>
      </c>
    </row>
    <row r="754" spans="1:22">
      <c r="C754" s="32"/>
      <c r="D754" s="28"/>
      <c r="E754" s="28"/>
      <c r="F754" s="29"/>
      <c r="G754" s="28"/>
      <c r="H754" s="30"/>
      <c r="I754" s="31"/>
      <c r="J754" s="31"/>
      <c r="K754" s="31"/>
      <c r="L754" s="31"/>
      <c r="M754" s="29"/>
      <c r="N754" s="30"/>
      <c r="O754" s="31"/>
      <c r="P754" s="31"/>
      <c r="Q754" s="31"/>
      <c r="R754" s="31"/>
      <c r="S754" s="29"/>
      <c r="T754" s="30"/>
      <c r="U754" s="32"/>
      <c r="V754" s="28"/>
    </row>
    <row r="755" spans="1:22">
      <c r="C755" s="32" t="str">
        <f t="shared" ref="C755:G757" si="228">C696</f>
        <v>KDDI</v>
      </c>
      <c r="D755" s="28" t="str">
        <f t="shared" si="228"/>
        <v>JPY 2,565</v>
      </c>
      <c r="E755" s="28" t="str">
        <f t="shared" si="228"/>
        <v>JPY 3,150</v>
      </c>
      <c r="F755" s="29">
        <f t="shared" si="228"/>
        <v>0.22807017543859653</v>
      </c>
      <c r="G755" s="28" t="str">
        <f t="shared" si="228"/>
        <v>Buy</v>
      </c>
      <c r="H755" s="30"/>
      <c r="I755" s="31">
        <f>KDDI!D18/Prices!$C$141</f>
        <v>77.298565388522462</v>
      </c>
      <c r="J755" s="31">
        <f>KDDI!E18/Prices!$C$141</f>
        <v>72.064114515034944</v>
      </c>
      <c r="K755" s="31">
        <f>KDDI!F18/Prices!$C$141</f>
        <v>66.396126267520813</v>
      </c>
      <c r="L755" s="31">
        <f>KDDI!G18/Prices!$C$141</f>
        <v>60.35098484028201</v>
      </c>
      <c r="M755" s="29">
        <f t="shared" ref="M755:M758" si="229">(L755/I755)^(1/3)-1</f>
        <v>-7.9187988228587636E-2</v>
      </c>
      <c r="N755" s="30"/>
      <c r="O755" s="31">
        <f>KDDI!L26/Prices!$C$141</f>
        <v>61.024967461654761</v>
      </c>
      <c r="P755" s="31">
        <f>KDDI!M26/Prices!$C$141</f>
        <v>59.240929679615604</v>
      </c>
      <c r="Q755" s="31">
        <f>KDDI!N26/Prices!$C$141</f>
        <v>57.456891897576433</v>
      </c>
      <c r="R755" s="31">
        <f>KDDI!O26/Prices!$C$141</f>
        <v>55.672854115537277</v>
      </c>
      <c r="S755" s="29">
        <f t="shared" ref="S755:S758" si="230">(R755/O755)^(1/3)-1</f>
        <v>-3.013345999844308E-2</v>
      </c>
      <c r="T755" s="30"/>
      <c r="U755" s="32" t="str">
        <f t="shared" ref="U755:V757" si="231">U696</f>
        <v>JPY 2,565</v>
      </c>
      <c r="V755" s="28" t="str">
        <f t="shared" si="231"/>
        <v>KDDI</v>
      </c>
    </row>
    <row r="756" spans="1:22">
      <c r="C756" s="32" t="str">
        <f t="shared" si="228"/>
        <v>Rakuten</v>
      </c>
      <c r="D756" s="28" t="str">
        <f t="shared" si="228"/>
        <v>JPY 775</v>
      </c>
      <c r="E756" s="28" t="str">
        <f t="shared" si="228"/>
        <v>JPY 510</v>
      </c>
      <c r="F756" s="29">
        <f t="shared" si="228"/>
        <v>-0.3421901199535663</v>
      </c>
      <c r="G756" s="28" t="str">
        <f t="shared" si="228"/>
        <v>Reduce</v>
      </c>
      <c r="H756" s="30"/>
      <c r="I756" s="31">
        <f>(RAK!D$18/Prices!$C$141)</f>
        <v>14.899658624012346</v>
      </c>
      <c r="J756" s="31">
        <f>(RAK!E$18/Prices!$C$141)</f>
        <v>14.872397419052616</v>
      </c>
      <c r="K756" s="31">
        <f>(RAK!F$18/Prices!$C$141)</f>
        <v>14.849607413383827</v>
      </c>
      <c r="L756" s="31">
        <f>(RAK!G$18/Prices!$C$141)</f>
        <v>14.815491581474811</v>
      </c>
      <c r="M756" s="29">
        <f>(L756/I756)^(1/3)-1</f>
        <v>-1.8865315045522024E-3</v>
      </c>
      <c r="N756" s="30"/>
      <c r="O756" s="31">
        <f>(RAK!L$26/Prices!$C$141)</f>
        <v>10.456138770416121</v>
      </c>
      <c r="P756" s="31">
        <f>(RAK!M$26/Prices!$C$141)</f>
        <v>10.456138770416121</v>
      </c>
      <c r="Q756" s="31">
        <f>(RAK!N$26/Prices!$C$141)</f>
        <v>10.456138770416121</v>
      </c>
      <c r="R756" s="31">
        <f>(RAK!O$26/Prices!$C$141)</f>
        <v>10.456138770416121</v>
      </c>
      <c r="S756" s="29">
        <f>(R756/O756)^(1/3)-1</f>
        <v>0</v>
      </c>
      <c r="T756" s="30"/>
      <c r="U756" s="32" t="str">
        <f t="shared" si="231"/>
        <v>JPY 775</v>
      </c>
      <c r="V756" s="28" t="str">
        <f t="shared" si="231"/>
        <v>Rakuten</v>
      </c>
    </row>
    <row r="757" spans="1:22">
      <c r="C757" s="32" t="str">
        <f t="shared" si="228"/>
        <v>SoftBank KK (Corp)</v>
      </c>
      <c r="D757" s="28" t="str">
        <f t="shared" si="228"/>
        <v>JPY 220</v>
      </c>
      <c r="E757" s="28" t="str">
        <f t="shared" si="228"/>
        <v>JPY 270</v>
      </c>
      <c r="F757" s="29">
        <f t="shared" si="228"/>
        <v>0.22615803814713908</v>
      </c>
      <c r="G757" s="28" t="str">
        <f t="shared" si="228"/>
        <v>Buy</v>
      </c>
      <c r="H757" s="30"/>
      <c r="I757" s="31">
        <f>SBKK!D$18/Prices!$C$141</f>
        <v>89.811595394089409</v>
      </c>
      <c r="J757" s="31">
        <f>SBKK!E$18/Prices!$C$141</f>
        <v>83.845455614682649</v>
      </c>
      <c r="K757" s="31">
        <f>SBKK!F$18/Prices!$C$141</f>
        <v>77.358638026302245</v>
      </c>
      <c r="L757" s="31">
        <f>SBKK!G$18/Prices!$C$141</f>
        <v>70.26612828919113</v>
      </c>
      <c r="M757" s="29">
        <f t="shared" si="229"/>
        <v>-7.8551209391452659E-2</v>
      </c>
      <c r="N757" s="30"/>
      <c r="O757" s="31">
        <f>SBKK!L$26/Prices!$C$141</f>
        <v>64.526494774040046</v>
      </c>
      <c r="P757" s="31">
        <f>SBKK!M$26/Prices!$C$141</f>
        <v>63.837292809820703</v>
      </c>
      <c r="Q757" s="31">
        <f>SBKK!N$26/Prices!$C$141</f>
        <v>63.148090845601359</v>
      </c>
      <c r="R757" s="31">
        <f>SBKK!O$26/Prices!$C$141</f>
        <v>62.45888888138203</v>
      </c>
      <c r="S757" s="29">
        <f t="shared" si="230"/>
        <v>-1.0797071545027737E-2</v>
      </c>
      <c r="T757" s="30"/>
      <c r="U757" s="32" t="str">
        <f t="shared" si="231"/>
        <v>JPY 220</v>
      </c>
      <c r="V757" s="28" t="str">
        <f t="shared" si="231"/>
        <v>SoftBank KK (Corp)</v>
      </c>
    </row>
    <row r="758" spans="1:22">
      <c r="C758" s="35" t="str">
        <f>C699</f>
        <v>Agg. Developed Asia Other</v>
      </c>
      <c r="D758" s="36"/>
      <c r="E758" s="36"/>
      <c r="F758" s="37"/>
      <c r="G758" s="36"/>
      <c r="H758" s="30"/>
      <c r="I758" s="38">
        <f>'DM ASIA OTHER'!D$18/1000</f>
        <v>182.00981940662422</v>
      </c>
      <c r="J758" s="38">
        <f>'DM ASIA OTHER'!$E$18/1000</f>
        <v>170.78196754877018</v>
      </c>
      <c r="K758" s="38">
        <f>'DM ASIA OTHER'!$F$18/1000</f>
        <v>158.60437170720689</v>
      </c>
      <c r="L758" s="38">
        <f>'DM ASIA OTHER'!$G$18/1000</f>
        <v>145.43260471094794</v>
      </c>
      <c r="M758" s="39">
        <f t="shared" si="229"/>
        <v>-7.2054817932410753E-2</v>
      </c>
      <c r="N758" s="40"/>
      <c r="O758" s="38">
        <f>'DM ASIA OTHER'!L$26/1000</f>
        <v>69.090672270561029</v>
      </c>
      <c r="P758" s="38">
        <f>'DM ASIA OTHER'!M$26/1000</f>
        <v>67.220485386256556</v>
      </c>
      <c r="Q758" s="38">
        <f>'DM ASIA OTHER'!N$26/1000</f>
        <v>65.350298501952054</v>
      </c>
      <c r="R758" s="38">
        <f>'DM ASIA OTHER'!O$26/1000</f>
        <v>63.48011161764758</v>
      </c>
      <c r="S758" s="39">
        <f t="shared" si="230"/>
        <v>-2.7836254519598369E-2</v>
      </c>
      <c r="T758" s="30"/>
      <c r="U758" s="41"/>
      <c r="V758" s="42" t="str">
        <f>V699</f>
        <v>Agg. Developed Asia Cellular</v>
      </c>
    </row>
    <row r="759" spans="1:22">
      <c r="A759" s="25"/>
      <c r="C759" s="32"/>
      <c r="D759" s="28"/>
      <c r="E759" s="28"/>
      <c r="F759" s="29"/>
      <c r="G759" s="28"/>
      <c r="H759" s="30"/>
      <c r="I759" s="31"/>
      <c r="J759" s="31"/>
      <c r="K759" s="31"/>
      <c r="L759" s="31"/>
      <c r="M759" s="29"/>
      <c r="N759" s="30"/>
      <c r="O759" s="31"/>
      <c r="P759" s="31"/>
      <c r="Q759" s="31"/>
      <c r="R759" s="31"/>
      <c r="S759" s="29"/>
      <c r="T759" s="30"/>
      <c r="U759" s="32"/>
      <c r="V759" s="28"/>
    </row>
    <row r="760" spans="1:22">
      <c r="A760" s="25"/>
      <c r="B760" s="26" t="s">
        <v>424</v>
      </c>
      <c r="C760" s="32" t="str">
        <f>C701</f>
        <v>Altice US</v>
      </c>
      <c r="D760" s="28" t="str">
        <f>D701</f>
        <v>US$1.7</v>
      </c>
      <c r="E760" s="28" t="str">
        <f>E701</f>
        <v>US$2.5</v>
      </c>
      <c r="F760" s="29">
        <f>F701</f>
        <v>0.49700598802395213</v>
      </c>
      <c r="G760" s="28" t="str">
        <f>G701</f>
        <v>Neutral</v>
      </c>
      <c r="H760" s="30"/>
      <c r="I760" s="31">
        <f>ATCUS!D$18/1000</f>
        <v>25.1819097025</v>
      </c>
      <c r="J760" s="31">
        <f>ATCUS!E$18/1000</f>
        <v>25.411002104999998</v>
      </c>
      <c r="K760" s="31">
        <f>ATCUS!F$18/1000</f>
        <v>25.683319539999999</v>
      </c>
      <c r="L760" s="31">
        <f>ATCUS!G$18/1000</f>
        <v>25.78113248</v>
      </c>
      <c r="M760" s="29">
        <f t="shared" ref="M760:M764" si="232">(L760/I760)^(1/3)-1</f>
        <v>7.8698246847628273E-3</v>
      </c>
      <c r="N760" s="30"/>
      <c r="O760" s="31">
        <f>ATCUS!L$26/1000</f>
        <v>0.75990970250000001</v>
      </c>
      <c r="P760" s="31">
        <f>ATCUS!M$26/1000</f>
        <v>0.76800210499999999</v>
      </c>
      <c r="Q760" s="31">
        <f>ATCUS!N$26/1000</f>
        <v>0.77631953999999992</v>
      </c>
      <c r="R760" s="31">
        <f>ATCUS!O$26/1000</f>
        <v>0.78113248000000002</v>
      </c>
      <c r="S760" s="29">
        <f t="shared" ref="S760:S764" si="233">(R760/O760)^(1/3)-1</f>
        <v>9.2239980721859904E-3</v>
      </c>
      <c r="T760" s="30"/>
      <c r="U760" s="32" t="str">
        <f>D760</f>
        <v>US$1.7</v>
      </c>
      <c r="V760" s="28" t="str">
        <f t="shared" ref="V760:V764" si="234">C760</f>
        <v>Altice US</v>
      </c>
    </row>
    <row r="761" spans="1:22">
      <c r="A761" s="25"/>
      <c r="B761" s="26" t="s">
        <v>424</v>
      </c>
      <c r="C761" s="32" t="s">
        <v>258</v>
      </c>
      <c r="D761" s="28" t="str">
        <f>B761&amp;TEXT(Prices!$C$50,"0.0")</f>
        <v>US$222.0</v>
      </c>
      <c r="E761" s="28" t="str">
        <f>B761&amp;TEXT(Prices!$E$50,"0.0")</f>
        <v>US$328.0</v>
      </c>
      <c r="F761" s="29">
        <f>Prices!$F$50</f>
        <v>0.47747747747747749</v>
      </c>
      <c r="G761" s="28" t="str">
        <f>Prices!$D$50</f>
        <v>Buy</v>
      </c>
      <c r="H761" s="30"/>
      <c r="I761" s="31">
        <f>CHTR!D$18/1000</f>
        <v>133.83362446200002</v>
      </c>
      <c r="J761" s="31">
        <f>CHTR!E$18/1000</f>
        <v>129.34904748599999</v>
      </c>
      <c r="K761" s="31">
        <f>CHTR!F$18/1000</f>
        <v>128.44680979200001</v>
      </c>
      <c r="L761" s="31">
        <f>CHTR!G$18/1000</f>
        <v>128.41329295400001</v>
      </c>
      <c r="M761" s="29">
        <f t="shared" si="232"/>
        <v>-1.3686643231453965E-2</v>
      </c>
      <c r="N761" s="30"/>
      <c r="O761" s="31">
        <f>CHTR!L$26/1000</f>
        <v>36.765624461999998</v>
      </c>
      <c r="P761" s="31">
        <f>CHTR!M$26/1000</f>
        <v>35.875047485999993</v>
      </c>
      <c r="Q761" s="31">
        <f>CHTR!N$26/1000</f>
        <v>35.473809791999997</v>
      </c>
      <c r="R761" s="31">
        <f>CHTR!O$26/1000</f>
        <v>34.607292954000002</v>
      </c>
      <c r="S761" s="29">
        <f t="shared" si="233"/>
        <v>-1.9964304454401782E-2</v>
      </c>
      <c r="T761" s="30"/>
      <c r="U761" s="32" t="str">
        <f>D761</f>
        <v>US$222.0</v>
      </c>
      <c r="V761" s="28" t="str">
        <f t="shared" si="234"/>
        <v>Charter</v>
      </c>
    </row>
    <row r="762" spans="1:22">
      <c r="A762" s="25"/>
      <c r="B762" s="26" t="s">
        <v>424</v>
      </c>
      <c r="C762" s="32" t="s">
        <v>257</v>
      </c>
      <c r="D762" s="28" t="str">
        <f>B762&amp;TEXT(Prices!$C$51,"0.0")</f>
        <v>US$30.2</v>
      </c>
      <c r="E762" s="28" t="str">
        <f>B762&amp;TEXT(Prices!$E$51,"0.0")</f>
        <v>US$36.0</v>
      </c>
      <c r="F762" s="29">
        <f>Prices!$F$51</f>
        <v>0.19027938502231767</v>
      </c>
      <c r="G762" s="28" t="str">
        <f>Prices!$D$51</f>
        <v>Buy</v>
      </c>
      <c r="H762" s="30"/>
      <c r="I762" s="31">
        <f>CMCSA!D$18/1000</f>
        <v>166.69891747254229</v>
      </c>
      <c r="J762" s="31">
        <f>CMCSA!E$18/1000</f>
        <v>156.01050004937693</v>
      </c>
      <c r="K762" s="31">
        <f>CMCSA!F$18/1000</f>
        <v>150.0907521687661</v>
      </c>
      <c r="L762" s="31">
        <f>CMCSA!G$18/1000</f>
        <v>149.77344116876611</v>
      </c>
      <c r="M762" s="29">
        <f t="shared" si="232"/>
        <v>-3.5059185766527445E-2</v>
      </c>
      <c r="N762" s="30"/>
      <c r="O762" s="31">
        <f>CMCSA!L$26/1000</f>
        <v>125.80197368933977</v>
      </c>
      <c r="P762" s="31">
        <f>CMCSA!M$26/1000</f>
        <v>119.16772928061083</v>
      </c>
      <c r="Q762" s="31">
        <f>CMCSA!N$26/1000</f>
        <v>114.44708</v>
      </c>
      <c r="R762" s="31">
        <f>CMCSA!O$26/1000</f>
        <v>112.72311500000001</v>
      </c>
      <c r="S762" s="29">
        <f t="shared" si="233"/>
        <v>-3.593013255696953E-2</v>
      </c>
      <c r="T762" s="30"/>
      <c r="U762" s="32" t="str">
        <f>D762</f>
        <v>US$30.2</v>
      </c>
      <c r="V762" s="28" t="str">
        <f t="shared" si="234"/>
        <v>Comcast</v>
      </c>
    </row>
    <row r="763" spans="1:22">
      <c r="A763" s="25"/>
      <c r="B763" s="26" t="s">
        <v>431</v>
      </c>
      <c r="C763" s="32" t="s">
        <v>1264</v>
      </c>
      <c r="D763" s="28" t="str">
        <f>B763&amp;TEXT(Prices!C$52,"0.0")</f>
        <v>US$ 119.1</v>
      </c>
      <c r="E763" s="28" t="str">
        <f>B763&amp;TEXT(Prices!E$52,"0.0")</f>
        <v>US$ 0.0</v>
      </c>
      <c r="F763" s="29">
        <f>Prices!F$52</f>
        <v>-1</v>
      </c>
      <c r="G763" s="28" t="str">
        <f>Prices!D$52</f>
        <v>Buy</v>
      </c>
      <c r="H763" s="30"/>
      <c r="I763" s="31">
        <f>(SATS!D$18/1000)</f>
        <v>64.128260844121442</v>
      </c>
      <c r="J763" s="31">
        <f>(SATS!E$18/1000)</f>
        <v>40.260108451133682</v>
      </c>
      <c r="K763" s="31">
        <f>(SATS!F$18/1000)</f>
        <v>31.009189420975552</v>
      </c>
      <c r="L763" s="31">
        <f>(SATS!G$18/1000)</f>
        <v>29.942832537933864</v>
      </c>
      <c r="M763" s="29">
        <f t="shared" si="232"/>
        <v>-0.22420351694624141</v>
      </c>
      <c r="N763" s="30"/>
      <c r="O763" s="31">
        <f>(SATS!L$26/1000)</f>
        <v>41.263186754045975</v>
      </c>
      <c r="P763" s="31">
        <f>(SATS!M$26/1000)</f>
        <v>41.263186754045975</v>
      </c>
      <c r="Q763" s="31">
        <f>(SATS!N$26/1000)</f>
        <v>41.263186754045975</v>
      </c>
      <c r="R763" s="31">
        <f>(SATS!O$26/1000)</f>
        <v>41.263186754045975</v>
      </c>
      <c r="S763" s="29">
        <f t="shared" si="233"/>
        <v>0</v>
      </c>
      <c r="T763" s="30"/>
      <c r="U763" s="32" t="str">
        <f>D763</f>
        <v>US$ 119.1</v>
      </c>
      <c r="V763" s="28" t="str">
        <f t="shared" si="234"/>
        <v>EchoStar</v>
      </c>
    </row>
    <row r="764" spans="1:22">
      <c r="A764" s="25"/>
      <c r="C764" s="35" t="str">
        <f>C705</f>
        <v>Agg. US Other</v>
      </c>
      <c r="D764" s="42"/>
      <c r="E764" s="42"/>
      <c r="F764" s="39"/>
      <c r="G764" s="42"/>
      <c r="H764" s="40"/>
      <c r="I764" s="38">
        <f>('US OTHER'!D$18/1000)</f>
        <v>389.8427124811638</v>
      </c>
      <c r="J764" s="38">
        <f>('US OTHER'!E$18/1000)</f>
        <v>351.03065809151065</v>
      </c>
      <c r="K764" s="38">
        <f>('US OTHER'!F$18/1000)</f>
        <v>335.23007092174174</v>
      </c>
      <c r="L764" s="38">
        <f>('US OTHER'!G$18/1000)</f>
        <v>333.91069914069993</v>
      </c>
      <c r="M764" s="39">
        <f t="shared" si="232"/>
        <v>-5.0313411524529839E-2</v>
      </c>
      <c r="N764" s="40"/>
      <c r="O764" s="50">
        <f>('US OTHER'!L$26/1000)</f>
        <v>162.56759815133978</v>
      </c>
      <c r="P764" s="50">
        <f>('US OTHER'!M$26/1000)</f>
        <v>155.04277676661081</v>
      </c>
      <c r="Q764" s="50">
        <f>('US OTHER'!N$26/1000)</f>
        <v>149.920889792</v>
      </c>
      <c r="R764" s="50">
        <f>('US OTHER'!O$26/1000)</f>
        <v>147.33040795400001</v>
      </c>
      <c r="S764" s="39">
        <f t="shared" si="233"/>
        <v>-3.2273128182289224E-2</v>
      </c>
      <c r="T764" s="40"/>
      <c r="U764" s="35"/>
      <c r="V764" s="42" t="str">
        <f t="shared" si="234"/>
        <v>Agg. US Other</v>
      </c>
    </row>
    <row r="765" spans="1:22">
      <c r="A765" s="25"/>
      <c r="C765" s="32"/>
      <c r="D765" s="28"/>
      <c r="E765" s="28"/>
      <c r="F765" s="29"/>
      <c r="G765" s="28"/>
      <c r="H765" s="30"/>
      <c r="I765" s="31"/>
      <c r="J765" s="31"/>
      <c r="K765" s="31"/>
      <c r="L765" s="31"/>
      <c r="M765" s="29"/>
      <c r="N765" s="30"/>
      <c r="O765" s="31"/>
      <c r="P765" s="31"/>
      <c r="Q765" s="31"/>
      <c r="R765" s="31"/>
      <c r="S765" s="29"/>
      <c r="T765" s="30"/>
      <c r="U765" s="32"/>
      <c r="V765" s="28"/>
    </row>
    <row r="766" spans="1:22">
      <c r="C766" s="32"/>
      <c r="D766" s="28"/>
      <c r="E766" s="28"/>
      <c r="F766" s="29"/>
      <c r="G766" s="28"/>
      <c r="H766" s="30"/>
      <c r="I766" s="31"/>
      <c r="J766" s="31"/>
      <c r="K766" s="31"/>
      <c r="L766" s="31"/>
      <c r="M766" s="29"/>
      <c r="N766" s="30"/>
      <c r="O766" s="31"/>
      <c r="P766" s="31"/>
      <c r="Q766" s="31"/>
      <c r="R766" s="31"/>
      <c r="S766" s="29"/>
      <c r="T766" s="30"/>
      <c r="U766" s="32"/>
      <c r="V766" s="28"/>
    </row>
    <row r="767" spans="1:22">
      <c r="C767" s="35" t="str">
        <f>C708</f>
        <v>Agg. W Europe</v>
      </c>
      <c r="D767" s="36"/>
      <c r="E767" s="36"/>
      <c r="F767" s="37"/>
      <c r="G767" s="36"/>
      <c r="H767" s="30"/>
      <c r="I767" s="38">
        <f>'W.EUR AGG'!$D$18/1000</f>
        <v>950.33699720192749</v>
      </c>
      <c r="J767" s="38">
        <f>'W.EUR AGG'!$E$18/1000</f>
        <v>931.83377257564212</v>
      </c>
      <c r="K767" s="38">
        <f>'W.EUR AGG'!$F$18/1000</f>
        <v>905.69094374714211</v>
      </c>
      <c r="L767" s="38">
        <f>'W.EUR AGG'!$G$18/1000</f>
        <v>866.36002668044978</v>
      </c>
      <c r="M767" s="39">
        <f>(L767/I767)^(1/3)-1</f>
        <v>-3.0368037327201947E-2</v>
      </c>
      <c r="N767" s="40"/>
      <c r="O767" s="38">
        <f>'W.EUR AGG'!L$26/1000</f>
        <v>482.60752141521209</v>
      </c>
      <c r="P767" s="38">
        <f>'W.EUR AGG'!M$26/1000</f>
        <v>477.28720813470056</v>
      </c>
      <c r="Q767" s="38">
        <f>'W.EUR AGG'!N$26/1000</f>
        <v>476.00025744970947</v>
      </c>
      <c r="R767" s="38">
        <f>'W.EUR AGG'!O$26/1000</f>
        <v>474.70978820987489</v>
      </c>
      <c r="S767" s="39">
        <f>(R767/O767)^(1/3)-1</f>
        <v>-5.484933567247996E-3</v>
      </c>
      <c r="T767" s="30"/>
      <c r="U767" s="41"/>
      <c r="V767" s="42" t="str">
        <f>V708</f>
        <v>Agg. W Europe</v>
      </c>
    </row>
    <row r="768" spans="1:22">
      <c r="C768" s="25" t="s">
        <v>1268</v>
      </c>
      <c r="D768" s="28"/>
      <c r="E768" s="28"/>
      <c r="F768" s="29"/>
      <c r="G768" s="28"/>
      <c r="H768" s="30"/>
      <c r="I768" s="44">
        <f>'US AGG'!D$18/1000</f>
        <v>1504.8525995192169</v>
      </c>
      <c r="J768" s="44">
        <f>'US AGG'!E$18/1000</f>
        <v>1443.0963120486508</v>
      </c>
      <c r="K768" s="44">
        <f>'US AGG'!F$18/1000</f>
        <v>1374.0077782080978</v>
      </c>
      <c r="L768" s="44">
        <f>'US AGG'!G$18/1000</f>
        <v>1322.7631853688117</v>
      </c>
      <c r="M768" s="43">
        <f>(L768/I768)^(1/3)-1</f>
        <v>-4.2079695563097208E-2</v>
      </c>
      <c r="N768" s="40"/>
      <c r="O768" s="44">
        <f>'US AGG'!L$26/1000</f>
        <v>911.86277145905854</v>
      </c>
      <c r="P768" s="44">
        <f>'US AGG'!M$26/1000</f>
        <v>891.91772936355085</v>
      </c>
      <c r="Q768" s="44">
        <f>'US AGG'!N$26/1000</f>
        <v>869.28928804483905</v>
      </c>
      <c r="R768" s="44">
        <f>'US AGG'!O$26/1000</f>
        <v>854.44927977797022</v>
      </c>
      <c r="S768" s="43">
        <f>(R768/O768)^(1/3)-1</f>
        <v>-2.144418745521548E-2</v>
      </c>
      <c r="T768" s="30"/>
      <c r="U768" s="32"/>
      <c r="V768" s="34" t="str">
        <f>V709</f>
        <v>Agg. US</v>
      </c>
    </row>
    <row r="769" spans="3:22">
      <c r="C769" s="51" t="str">
        <f>C710</f>
        <v xml:space="preserve">Agg. Developed Asia </v>
      </c>
      <c r="D769" s="36"/>
      <c r="E769" s="36"/>
      <c r="F769" s="37"/>
      <c r="G769" s="36"/>
      <c r="H769" s="30"/>
      <c r="I769" s="38">
        <f>'AGG DM ASIA'!$D$18/1000</f>
        <v>389.81227003501175</v>
      </c>
      <c r="J769" s="38">
        <f>'AGG DM ASIA'!$E$18/1000</f>
        <v>370.53139834216898</v>
      </c>
      <c r="K769" s="38">
        <f>'AGG DM ASIA'!$F$18/1000</f>
        <v>348.81433672187075</v>
      </c>
      <c r="L769" s="38">
        <f>'AGG DM ASIA'!$G$18/1000</f>
        <v>324.8648099086443</v>
      </c>
      <c r="M769" s="39">
        <f>(L769/I769)^(1/3)-1</f>
        <v>-5.894345043655147E-2</v>
      </c>
      <c r="N769" s="40"/>
      <c r="O769" s="38">
        <f>'AGG DM ASIA'!L$26/1000</f>
        <v>443.55613149551868</v>
      </c>
      <c r="P769" s="38">
        <f>'AGG DM ASIA'!M$26/1000</f>
        <v>435.33969043396246</v>
      </c>
      <c r="Q769" s="38">
        <f>'AGG DM ASIA'!N$26/1000</f>
        <v>421.62063585583144</v>
      </c>
      <c r="R769" s="38">
        <f>'AGG DM ASIA'!O$26/1000</f>
        <v>404.04201880115932</v>
      </c>
      <c r="S769" s="39">
        <f>(R769/O769)^(1/3)-1</f>
        <v>-3.0623140063497201E-2</v>
      </c>
      <c r="T769" s="30"/>
      <c r="U769" s="41"/>
      <c r="V769" s="42" t="str">
        <f>V710</f>
        <v xml:space="preserve">Agg. Developed Asia </v>
      </c>
    </row>
    <row r="770" spans="3:22">
      <c r="C770" s="25"/>
      <c r="D770" s="28"/>
      <c r="E770" s="28"/>
      <c r="F770" s="29"/>
      <c r="G770" s="28"/>
      <c r="H770" s="30"/>
      <c r="I770" s="44"/>
      <c r="J770" s="44"/>
      <c r="K770" s="44"/>
      <c r="L770" s="44"/>
      <c r="M770" s="43"/>
      <c r="N770" s="40"/>
      <c r="O770" s="44"/>
      <c r="P770" s="44"/>
      <c r="Q770" s="44"/>
      <c r="R770" s="44"/>
      <c r="S770" s="43"/>
      <c r="T770" s="30"/>
      <c r="U770" s="32"/>
      <c r="V770" s="34"/>
    </row>
    <row r="771" spans="3:22">
      <c r="C771" s="51" t="str">
        <f>C712</f>
        <v>Agg. Global Developed</v>
      </c>
      <c r="D771" s="36"/>
      <c r="E771" s="36"/>
      <c r="F771" s="37"/>
      <c r="G771" s="36"/>
      <c r="H771" s="30"/>
      <c r="I771" s="38">
        <f>'AGG DM'!$D$18/1000</f>
        <v>3005.2996746580916</v>
      </c>
      <c r="J771" s="38">
        <f>'AGG DM'!$E$18/1000</f>
        <v>2902.6382650055266</v>
      </c>
      <c r="K771" s="38">
        <f>'AGG DM'!$F$18/1000</f>
        <v>2781.2802069063764</v>
      </c>
      <c r="L771" s="38">
        <f>'AGG DM'!$G$18/1000</f>
        <v>2660.1210395502226</v>
      </c>
      <c r="M771" s="39">
        <f>(L771/I771)^(1/3)-1</f>
        <v>-3.9852686122129111E-2</v>
      </c>
      <c r="N771" s="40"/>
      <c r="O771" s="38">
        <f>'AGG DM'!L$26/1000</f>
        <v>1919.4301032622438</v>
      </c>
      <c r="P771" s="38">
        <f>'AGG DM'!M$26/1000</f>
        <v>1885.0509045781721</v>
      </c>
      <c r="Q771" s="38">
        <f>'AGG DM'!N$26/1000</f>
        <v>1847.1993819756324</v>
      </c>
      <c r="R771" s="38">
        <f>'AGG DM'!O$26/1000</f>
        <v>1813.2726179023684</v>
      </c>
      <c r="S771" s="39">
        <f>(R771/O771)^(1/3)-1</f>
        <v>-1.8786306311199374E-2</v>
      </c>
      <c r="T771" s="30"/>
      <c r="U771" s="41"/>
      <c r="V771" s="42" t="str">
        <f>V712</f>
        <v xml:space="preserve">Agg. Global Developed </v>
      </c>
    </row>
    <row r="772" spans="3:22">
      <c r="I772" s="61"/>
      <c r="J772" s="61"/>
      <c r="K772" s="61"/>
      <c r="L772" s="61"/>
      <c r="M772" s="62"/>
      <c r="N772" s="61"/>
      <c r="O772" s="63"/>
      <c r="P772" s="63"/>
      <c r="Q772" s="63"/>
      <c r="R772" s="63"/>
      <c r="S772" s="62"/>
      <c r="U772" s="5"/>
      <c r="V772" s="47"/>
    </row>
  </sheetData>
  <phoneticPr fontId="7" type="noConversion"/>
  <conditionalFormatting sqref="C8:G63 I8:M63 O8:S63 U8:V63 C67:G122 I67:M122 O67:S122 U67:V122 C126:G181 I126:M181 O126:S181 U126:V181 C185:G240 I185:M240 O185:S240 U185:V240 C244:G299 I244:M299 O244:S299 U244:V299 C303:G358 I303:M358 O303:S358 U303:V358 C362:G417 I362:M417 O362:S417 U362:V417 C421:G476 I421:M476 O421:S476 U421:V476 C480:G535 I480:M535 O480:S535 U480:V535 C539:G594 I539:M594 O539:S594 U539:V594 C598:G653 I598:M653 O598:S653 U598:V653 C657:G712 I657:M712 O657:S712 U657:V712 C716:G771 I716:M771 O716:S771 U716:V771">
    <cfRule type="expression" dxfId="3" priority="42">
      <formula>EVEN(ROW())=ROW()</formula>
    </cfRule>
  </conditionalFormatting>
  <hyperlinks>
    <hyperlink ref="Y1" location="Prices!A1" display="Jump to Prices" xr:uid="{00000000-0004-0000-0100-000000000000}"/>
  </hyperlinks>
  <printOptions horizontalCentered="1" verticalCentered="1"/>
  <pageMargins left="0.31496062992125984" right="0" top="0" bottom="0" header="0" footer="0"/>
  <pageSetup paperSize="9" scale="58" fitToHeight="2"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64" max="22" man="1"/>
    <brk id="123" max="22" man="1"/>
    <brk id="182" max="22" man="1"/>
    <brk id="241" max="22" man="1"/>
    <brk id="300" max="22" man="1"/>
    <brk id="359" max="22" man="1"/>
    <brk id="418" max="22" man="1"/>
    <brk id="477" max="22" man="1"/>
    <brk id="536" max="22" man="1"/>
    <brk id="595" max="22" man="1"/>
    <brk id="654" max="22" man="1"/>
    <brk id="713" max="2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pageSetUpPr fitToPage="1"/>
  </sheetPr>
  <dimension ref="B1:AR49"/>
  <sheetViews>
    <sheetView showGridLines="0" zoomScale="80" zoomScaleNormal="80" zoomScaleSheetLayoutView="80" workbookViewId="0">
      <selection activeCell="D33" sqref="D33"/>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373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Prices!$C$10</f>
        <v>4.6639999999999997</v>
      </c>
      <c r="D9" s="413">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3819.693737333333</v>
      </c>
      <c r="E10" s="408">
        <v>3761.8495005732084</v>
      </c>
      <c r="F10" s="408">
        <v>3707.7894662179519</v>
      </c>
      <c r="G10" s="408">
        <v>3646.4276154971435</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17815.051590922663</v>
      </c>
      <c r="E11" s="409">
        <f>$C$9*E10</f>
        <v>17545.266070673442</v>
      </c>
      <c r="F11" s="409">
        <f>$C$9*F10</f>
        <v>17293.130070440526</v>
      </c>
      <c r="G11" s="409">
        <f>$C$9*G10</f>
        <v>17006.938398678678</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6302</v>
      </c>
      <c r="E12" s="410">
        <v>6444.5543265017095</v>
      </c>
      <c r="F12" s="410">
        <v>6449.8237045873257</v>
      </c>
      <c r="G12" s="410">
        <v>6533.6543643609639</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1501.95892809258</v>
      </c>
      <c r="E13" s="410">
        <v>1501.95892809258</v>
      </c>
      <c r="F13" s="410">
        <v>1501.95892809258</v>
      </c>
      <c r="G13" s="410">
        <v>1501.95892809258</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E14</f>
        <v>527</v>
      </c>
      <c r="E14" s="410">
        <f>F14</f>
        <v>527</v>
      </c>
      <c r="F14" s="410">
        <f>KPNSOP!$R$26</f>
        <v>527</v>
      </c>
      <c r="G14" s="410">
        <f>F14</f>
        <v>527</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v>0</v>
      </c>
      <c r="E15" s="410">
        <v>0</v>
      </c>
      <c r="F15" s="410">
        <v>0</v>
      </c>
      <c r="G15" s="410">
        <v>0</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302.07651489602864</v>
      </c>
      <c r="F16" s="410">
        <v>1121.7871945085612</v>
      </c>
      <c r="G16" s="410">
        <v>2060.0527660369853</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12.030955147091248</v>
      </c>
      <c r="E17" s="410">
        <v>149.56498895658913</v>
      </c>
      <c r="F17" s="410">
        <v>149.56498895658913</v>
      </c>
      <c r="G17" s="410">
        <v>149.56498895658913</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25079.97956386815</v>
      </c>
      <c r="E18" s="411">
        <f>E11+E12+E13-E14+E15-E16-E17</f>
        <v>24513.137821415112</v>
      </c>
      <c r="F18" s="411">
        <f>F11+F12+F13-F14+F15-F16-F17</f>
        <v>23446.560519655279</v>
      </c>
      <c r="G18" s="411">
        <f>G11+G12+G13-G14+G15-G16-G17</f>
        <v>22305.933936138645</v>
      </c>
      <c r="H18" s="230">
        <f>IF(D18=0,"nm",IF(G18=0,"nm",(G18/D18)^(1/3)-1))</f>
        <v>-3.8318906924509011E-2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5633</v>
      </c>
      <c r="D23" s="416">
        <v>5829</v>
      </c>
      <c r="E23" s="416">
        <v>5913.3628197524276</v>
      </c>
      <c r="F23" s="416">
        <v>6032.8535007428172</v>
      </c>
      <c r="G23" s="416">
        <v>6151.4968287787424</v>
      </c>
      <c r="H23" s="233">
        <f t="shared" ref="H23:H32" si="3">IF(D23=0,"nm",IF(G23=0,"nm",(G23/D23)^(1/3)-1))</f>
        <v>1.811206270402943E-2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2507</v>
      </c>
      <c r="D24" s="416">
        <v>2638</v>
      </c>
      <c r="E24" s="416">
        <v>2667.5685067200498</v>
      </c>
      <c r="F24" s="416">
        <v>2729.2752886041608</v>
      </c>
      <c r="G24" s="416">
        <v>2801.3688604160297</v>
      </c>
      <c r="H24" s="233">
        <f t="shared" si="3"/>
        <v>2.0230967832902902E-2</v>
      </c>
      <c r="I24" s="209"/>
      <c r="J24" s="13"/>
      <c r="K24" s="13"/>
      <c r="L24" s="13"/>
      <c r="M24" s="13"/>
      <c r="N24" s="13"/>
      <c r="O24" s="208"/>
      <c r="S24" s="72"/>
      <c r="T24" s="26"/>
      <c r="U24" s="26"/>
      <c r="V24" s="26"/>
      <c r="W24" s="26" t="s">
        <v>373</v>
      </c>
      <c r="X24" s="26" t="s">
        <v>204</v>
      </c>
    </row>
    <row r="25" spans="2:24">
      <c r="B25" s="5" t="s">
        <v>157</v>
      </c>
      <c r="C25" s="422">
        <v>1252.4042112300106</v>
      </c>
      <c r="D25" s="416">
        <v>1374</v>
      </c>
      <c r="E25" s="416">
        <v>1420.0870611200496</v>
      </c>
      <c r="F25" s="416">
        <v>1731.1375060329608</v>
      </c>
      <c r="G25" s="416">
        <v>1801.6826257019577</v>
      </c>
      <c r="H25" s="233">
        <f t="shared" si="3"/>
        <v>9.4537181734261511E-2</v>
      </c>
      <c r="I25" s="208"/>
      <c r="J25" s="207" t="s">
        <v>8</v>
      </c>
      <c r="K25" s="207"/>
      <c r="L25" s="252">
        <v>1261</v>
      </c>
      <c r="M25" s="252">
        <v>1261</v>
      </c>
      <c r="N25" s="252">
        <v>1261</v>
      </c>
      <c r="O25" s="252">
        <v>1261</v>
      </c>
      <c r="P25" s="233">
        <f>IF(L25=0,"nm",IF(O25=0,"nm",(O25/L25)^(1/3)-1))</f>
        <v>0</v>
      </c>
      <c r="S25" s="72"/>
      <c r="T25" s="26"/>
      <c r="U25" s="26"/>
      <c r="V25" s="113" t="s">
        <v>225</v>
      </c>
      <c r="W25" s="242">
        <f>D37/L9</f>
        <v>1.6475486584119876</v>
      </c>
      <c r="X25" s="242">
        <v>1</v>
      </c>
    </row>
    <row r="26" spans="2:24">
      <c r="B26" s="5" t="s">
        <v>487</v>
      </c>
      <c r="C26" s="422">
        <v>964.35124264710817</v>
      </c>
      <c r="D26" s="416">
        <v>1057.98</v>
      </c>
      <c r="E26" s="416">
        <v>1093.4670370624383</v>
      </c>
      <c r="F26" s="416">
        <v>1332.9758796453798</v>
      </c>
      <c r="G26" s="416">
        <v>1387.2956217905075</v>
      </c>
      <c r="H26" s="233">
        <f t="shared" si="3"/>
        <v>9.4537181734261511E-2</v>
      </c>
      <c r="I26" s="209"/>
      <c r="J26" s="209" t="s">
        <v>9</v>
      </c>
      <c r="K26" s="209"/>
      <c r="L26" s="235">
        <f>D11+L25</f>
        <v>19076.051590922663</v>
      </c>
      <c r="M26" s="235">
        <f>E11+M25</f>
        <v>18806.266070673442</v>
      </c>
      <c r="N26" s="235">
        <f>F11+N25</f>
        <v>18554.130070440526</v>
      </c>
      <c r="O26" s="235">
        <f>G11+O25</f>
        <v>18267.938398678678</v>
      </c>
      <c r="P26" s="233">
        <f>IF(L26=0,"nm",IF(O26=0,"nm",(O26/L26)^(1/3)-1))</f>
        <v>-1.4325131995533535E-2</v>
      </c>
      <c r="Q26" s="5"/>
      <c r="S26" s="72"/>
      <c r="T26" s="26"/>
      <c r="U26" s="26"/>
      <c r="V26" s="113" t="s">
        <v>158</v>
      </c>
      <c r="W26" s="242">
        <f t="shared" ref="W26:W33" si="5">D38/L10</f>
        <v>1.2351293140085144</v>
      </c>
      <c r="X26" s="242">
        <v>1</v>
      </c>
    </row>
    <row r="27" spans="2:24">
      <c r="B27" s="5" t="s">
        <v>488</v>
      </c>
      <c r="C27" s="423">
        <v>9493</v>
      </c>
      <c r="D27" s="416">
        <v>9863</v>
      </c>
      <c r="E27" s="416">
        <v>9346.8628808748599</v>
      </c>
      <c r="F27" s="416">
        <v>8788.9836707527102</v>
      </c>
      <c r="G27" s="416">
        <v>8214.7207949563417</v>
      </c>
      <c r="H27" s="233">
        <f t="shared" si="3"/>
        <v>-5.913367526711244E-2</v>
      </c>
      <c r="I27" s="209"/>
      <c r="J27" s="208"/>
      <c r="K27" s="208"/>
      <c r="L27" s="208"/>
      <c r="M27" s="208"/>
      <c r="N27" s="208"/>
      <c r="O27" s="208"/>
      <c r="Q27" s="25"/>
      <c r="S27" s="72"/>
      <c r="T27" s="26"/>
      <c r="U27" s="26"/>
      <c r="V27" s="113" t="s">
        <v>159</v>
      </c>
      <c r="W27" s="242">
        <f t="shared" si="5"/>
        <v>1.2428155711771476</v>
      </c>
      <c r="X27" s="242">
        <v>1</v>
      </c>
    </row>
    <row r="28" spans="2:24" ht="12.6" thickBot="1">
      <c r="B28" s="5" t="s">
        <v>492</v>
      </c>
      <c r="C28" s="422">
        <v>6219</v>
      </c>
      <c r="D28" s="416">
        <v>6571</v>
      </c>
      <c r="E28" s="416">
        <v>6340.4929692604419</v>
      </c>
      <c r="F28" s="416">
        <v>5974.1641024436321</v>
      </c>
      <c r="G28" s="416">
        <v>5670.452146253032</v>
      </c>
      <c r="H28" s="233">
        <f t="shared" si="3"/>
        <v>-4.7944921137217822E-2</v>
      </c>
      <c r="I28" s="208"/>
      <c r="J28" s="249" t="s">
        <v>1073</v>
      </c>
      <c r="K28" s="249"/>
      <c r="L28" s="249"/>
      <c r="M28" s="249"/>
      <c r="N28" s="220"/>
      <c r="O28" s="220"/>
      <c r="P28" s="220"/>
      <c r="Q28" s="5"/>
      <c r="S28" s="72"/>
      <c r="T28" s="26"/>
      <c r="U28" s="26"/>
      <c r="V28" s="113" t="s">
        <v>381</v>
      </c>
      <c r="W28" s="242">
        <f t="shared" si="5"/>
        <v>1.1954198231056379</v>
      </c>
      <c r="X28" s="242">
        <v>1</v>
      </c>
    </row>
    <row r="29" spans="2:24" ht="12.6" thickTop="1">
      <c r="B29" s="5" t="s">
        <v>489</v>
      </c>
      <c r="C29" s="422">
        <v>641.39028179768707</v>
      </c>
      <c r="D29" s="416">
        <v>753.98607056767651</v>
      </c>
      <c r="E29" s="416">
        <v>812.00408623580438</v>
      </c>
      <c r="F29" s="416">
        <v>1110.8341732408242</v>
      </c>
      <c r="G29" s="416">
        <v>1147.3927855655209</v>
      </c>
      <c r="H29" s="233">
        <f t="shared" si="3"/>
        <v>0.15022533911974123</v>
      </c>
      <c r="I29" s="212"/>
      <c r="J29" s="209"/>
      <c r="K29" s="209"/>
      <c r="L29" s="209"/>
      <c r="M29" s="209"/>
      <c r="N29" s="209"/>
      <c r="O29" s="211"/>
      <c r="Q29" s="5"/>
      <c r="S29" s="72"/>
      <c r="T29" s="26"/>
      <c r="U29" s="26"/>
      <c r="V29" s="113" t="s">
        <v>434</v>
      </c>
      <c r="W29" s="242">
        <f t="shared" si="5"/>
        <v>1.5409315910514898</v>
      </c>
      <c r="X29" s="242">
        <v>1</v>
      </c>
    </row>
    <row r="30" spans="2:24">
      <c r="B30" s="5" t="s">
        <v>490</v>
      </c>
      <c r="C30" s="423">
        <v>753</v>
      </c>
      <c r="D30" s="416">
        <v>767</v>
      </c>
      <c r="E30" s="416">
        <v>500.75541860857112</v>
      </c>
      <c r="F30" s="416">
        <v>588.96057062769637</v>
      </c>
      <c r="G30" s="416">
        <v>688.60062922146801</v>
      </c>
      <c r="H30" s="233">
        <f t="shared" si="3"/>
        <v>-3.5303542461023629E-2</v>
      </c>
      <c r="I30" s="214"/>
      <c r="J30" s="208"/>
      <c r="K30" s="208"/>
      <c r="L30" s="208"/>
      <c r="M30" s="208"/>
      <c r="N30" s="208"/>
      <c r="O30" s="5"/>
      <c r="Q30" s="5"/>
      <c r="S30" s="72"/>
      <c r="T30" s="26"/>
      <c r="U30" s="26"/>
      <c r="V30" s="113" t="s">
        <v>493</v>
      </c>
      <c r="W30" s="242">
        <f t="shared" si="5"/>
        <v>1.0078325199748974</v>
      </c>
      <c r="X30" s="242">
        <v>1</v>
      </c>
    </row>
    <row r="31" spans="2:24">
      <c r="B31" s="5" t="s">
        <v>491</v>
      </c>
      <c r="C31" s="423">
        <v>659.86980201333324</v>
      </c>
      <c r="D31" s="416">
        <v>695.18426019466665</v>
      </c>
      <c r="E31" s="416">
        <v>753.1222700147564</v>
      </c>
      <c r="F31" s="416">
        <v>935.29730843241089</v>
      </c>
      <c r="G31" s="416">
        <v>965.80959180760499</v>
      </c>
      <c r="H31" s="233">
        <f t="shared" si="3"/>
        <v>0.11582784422802184</v>
      </c>
      <c r="I31" s="214"/>
      <c r="J31" s="212"/>
      <c r="K31" s="212"/>
      <c r="L31" s="212"/>
      <c r="M31" s="212"/>
      <c r="N31" s="212"/>
      <c r="O31" s="5"/>
      <c r="Q31" s="5"/>
      <c r="S31" s="72"/>
      <c r="T31" s="26"/>
      <c r="U31" s="26"/>
      <c r="V31" s="113" t="s">
        <v>390</v>
      </c>
      <c r="W31" s="242">
        <f t="shared" si="5"/>
        <v>1.4272819062428475</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1.6421442149815229</v>
      </c>
      <c r="X32" s="242">
        <v>1</v>
      </c>
    </row>
    <row r="33" spans="2:24">
      <c r="B33" s="5" t="s">
        <v>3</v>
      </c>
      <c r="C33" s="423">
        <v>237</v>
      </c>
      <c r="D33" s="416">
        <v>254</v>
      </c>
      <c r="E33" s="416">
        <v>295.02327716325084</v>
      </c>
      <c r="F33" s="416">
        <v>295.3911487470881</v>
      </c>
      <c r="G33" s="416">
        <v>296.02130938285245</v>
      </c>
      <c r="H33" s="233">
        <f>IF(D33=0,"nm",IF(G33=0,"nm",(G33/D33)^(1/3)-1))</f>
        <v>5.2356980633738948E-2</v>
      </c>
      <c r="I33" s="5"/>
      <c r="J33" s="214"/>
      <c r="K33" s="214"/>
      <c r="L33" s="214"/>
      <c r="M33" s="214"/>
      <c r="N33" s="214"/>
      <c r="O33" s="211"/>
      <c r="Q33" s="5"/>
      <c r="S33" s="72"/>
      <c r="T33" s="26"/>
      <c r="U33" s="26"/>
      <c r="V33" s="113" t="s">
        <v>481</v>
      </c>
      <c r="W33" s="242">
        <f t="shared" si="5"/>
        <v>1.0153110203897524</v>
      </c>
      <c r="X33" s="242">
        <v>1</v>
      </c>
    </row>
    <row r="34" spans="2:24">
      <c r="H34" s="231"/>
      <c r="I34" s="33"/>
      <c r="J34" s="214"/>
      <c r="K34" s="214"/>
      <c r="L34" s="214"/>
      <c r="M34" s="214"/>
      <c r="N34" s="214"/>
      <c r="O34" s="211"/>
      <c r="Q34" s="5"/>
      <c r="S34" s="72"/>
      <c r="T34" s="26"/>
      <c r="U34" s="26"/>
      <c r="V34" s="113" t="s">
        <v>482</v>
      </c>
      <c r="W34" s="242">
        <f>D47/L19</f>
        <v>0.70063243681998522</v>
      </c>
      <c r="X34" s="242">
        <v>1</v>
      </c>
    </row>
    <row r="35" spans="2:24" ht="12.6" thickBot="1">
      <c r="B35" s="249" t="s">
        <v>502</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4.3026213010581831</v>
      </c>
      <c r="E37" s="406">
        <f t="shared" ref="E37:G41" si="7">E$18/E23</f>
        <v>4.1453803138095617</v>
      </c>
      <c r="F37" s="406">
        <f t="shared" si="7"/>
        <v>3.8864793446034014</v>
      </c>
      <c r="G37" s="406">
        <f t="shared" si="7"/>
        <v>3.6260985833210686</v>
      </c>
      <c r="H37" s="13">
        <f t="shared" ref="H37:H44" si="8">H23</f>
        <v>1.811206270402943E-2</v>
      </c>
      <c r="I37" s="5"/>
      <c r="J37" s="217"/>
      <c r="K37" s="217"/>
      <c r="L37" s="217"/>
      <c r="M37" s="217"/>
      <c r="N37" s="217"/>
      <c r="O37" s="14"/>
      <c r="Q37" s="5"/>
      <c r="R37" s="5"/>
      <c r="S37" s="26"/>
      <c r="T37" s="26"/>
      <c r="U37" s="26"/>
      <c r="V37" s="26"/>
      <c r="W37" s="26"/>
      <c r="X37" s="26"/>
    </row>
    <row r="38" spans="2:24">
      <c r="B38" s="5" t="s">
        <v>158</v>
      </c>
      <c r="C38" s="207"/>
      <c r="D38" s="406">
        <f>D$18/D24</f>
        <v>9.507194679252521</v>
      </c>
      <c r="E38" s="406">
        <f>E$18/E24</f>
        <v>9.1893189470719996</v>
      </c>
      <c r="F38" s="406">
        <f>F$18/F24</f>
        <v>8.590764228714578</v>
      </c>
      <c r="G38" s="406">
        <f t="shared" si="7"/>
        <v>7.9625122743836032</v>
      </c>
      <c r="H38" s="13">
        <f t="shared" si="8"/>
        <v>2.0230967832902902E-2</v>
      </c>
      <c r="I38" s="217"/>
      <c r="J38" s="13"/>
      <c r="K38" s="13"/>
      <c r="L38" s="13"/>
      <c r="M38" s="13"/>
      <c r="N38" s="13"/>
      <c r="O38" s="5"/>
      <c r="Q38" s="5"/>
      <c r="R38" s="5"/>
      <c r="S38" s="26"/>
      <c r="T38" s="26"/>
      <c r="U38" s="26"/>
      <c r="V38" s="26"/>
      <c r="W38" s="26"/>
      <c r="X38" s="26"/>
    </row>
    <row r="39" spans="2:24">
      <c r="B39" s="5" t="s">
        <v>159</v>
      </c>
      <c r="C39" s="207"/>
      <c r="D39" s="406">
        <f>D$18/D25</f>
        <v>18.253260235711899</v>
      </c>
      <c r="E39" s="406">
        <f t="shared" si="7"/>
        <v>17.261714786754787</v>
      </c>
      <c r="F39" s="406">
        <f t="shared" si="7"/>
        <v>13.544019719949882</v>
      </c>
      <c r="G39" s="406">
        <f>G$18/G25</f>
        <v>12.380612222115412</v>
      </c>
      <c r="H39" s="13">
        <f t="shared" si="8"/>
        <v>9.4537181734261511E-2</v>
      </c>
      <c r="I39" s="13"/>
      <c r="J39" s="5"/>
      <c r="K39" s="5"/>
      <c r="L39" s="5"/>
      <c r="M39" s="5"/>
      <c r="N39" s="5"/>
      <c r="O39" s="5"/>
      <c r="Q39" s="5"/>
      <c r="R39" s="5"/>
      <c r="S39" s="26"/>
      <c r="T39" s="26"/>
      <c r="U39" s="26"/>
      <c r="V39" s="26"/>
      <c r="W39" s="26"/>
      <c r="X39" s="26"/>
    </row>
    <row r="40" spans="2:24">
      <c r="B40" s="5" t="s">
        <v>381</v>
      </c>
      <c r="C40" s="207"/>
      <c r="D40" s="406">
        <f>D$18/D26</f>
        <v>23.705532773651818</v>
      </c>
      <c r="E40" s="406">
        <f t="shared" si="7"/>
        <v>22.417811411369854</v>
      </c>
      <c r="F40" s="406">
        <f>F$18/F26</f>
        <v>17.589635999934913</v>
      </c>
      <c r="G40" s="406">
        <f t="shared" si="7"/>
        <v>16.078717171578457</v>
      </c>
      <c r="H40" s="13">
        <f t="shared" si="8"/>
        <v>9.4537181734261511E-2</v>
      </c>
      <c r="I40" s="5"/>
      <c r="J40" s="217"/>
      <c r="K40" s="217"/>
      <c r="L40" s="217"/>
      <c r="M40" s="217"/>
      <c r="N40" s="217"/>
      <c r="O40" s="14"/>
      <c r="Q40" s="5"/>
      <c r="R40" s="5"/>
      <c r="S40" s="26"/>
      <c r="T40" s="26"/>
      <c r="U40" s="26"/>
      <c r="V40" s="26"/>
      <c r="W40" s="242"/>
      <c r="X40" s="242"/>
    </row>
    <row r="41" spans="2:24">
      <c r="B41" s="5" t="s">
        <v>434</v>
      </c>
      <c r="C41" s="207"/>
      <c r="D41" s="406">
        <f>D$18/D27</f>
        <v>2.5428347930516222</v>
      </c>
      <c r="E41" s="406">
        <f t="shared" si="7"/>
        <v>2.622605908937941</v>
      </c>
      <c r="F41" s="406">
        <f t="shared" si="7"/>
        <v>2.6677214792967363</v>
      </c>
      <c r="G41" s="406">
        <f t="shared" si="7"/>
        <v>2.7153611781710216</v>
      </c>
      <c r="H41" s="13">
        <f t="shared" si="8"/>
        <v>-5.913367526711244E-2</v>
      </c>
      <c r="I41" s="207"/>
      <c r="J41" s="13"/>
      <c r="K41" s="13"/>
      <c r="L41" s="13"/>
      <c r="M41" s="13"/>
      <c r="N41" s="13"/>
      <c r="O41" s="5"/>
      <c r="Q41" s="5"/>
      <c r="R41" s="5"/>
      <c r="S41" s="26"/>
      <c r="T41" s="26"/>
      <c r="U41" s="26"/>
      <c r="V41" s="26"/>
      <c r="W41" s="242"/>
      <c r="X41" s="242"/>
    </row>
    <row r="42" spans="2:24">
      <c r="B42" s="5" t="s">
        <v>493</v>
      </c>
      <c r="C42" s="207"/>
      <c r="D42" s="406">
        <f>D18/D28</f>
        <v>3.8167675489070385</v>
      </c>
      <c r="E42" s="406">
        <f>E18/E28</f>
        <v>3.8661249117786398</v>
      </c>
      <c r="F42" s="406">
        <f>F18/F28</f>
        <v>3.9246596038540109</v>
      </c>
      <c r="G42" s="406">
        <f>G18/G28</f>
        <v>3.9337134607296074</v>
      </c>
      <c r="H42" s="13">
        <f t="shared" si="8"/>
        <v>-4.7944921137217822E-2</v>
      </c>
      <c r="I42" s="208"/>
      <c r="J42" s="5"/>
      <c r="K42" s="5"/>
      <c r="L42" s="5"/>
      <c r="M42" s="5"/>
      <c r="N42" s="5"/>
      <c r="O42" s="5"/>
      <c r="Q42" s="5"/>
      <c r="R42" s="5"/>
      <c r="S42" s="26"/>
      <c r="T42" s="26"/>
      <c r="U42" s="26"/>
      <c r="V42" s="26"/>
      <c r="W42" s="242"/>
      <c r="X42" s="242"/>
    </row>
    <row r="43" spans="2:24">
      <c r="B43" s="5" t="s">
        <v>390</v>
      </c>
      <c r="C43" s="207"/>
      <c r="D43" s="406">
        <f>L26/D29</f>
        <v>25.30027056940229</v>
      </c>
      <c r="E43" s="406">
        <f>M26/E29</f>
        <v>23.160309645550406</v>
      </c>
      <c r="F43" s="406">
        <f>N26/F29</f>
        <v>16.702880157449091</v>
      </c>
      <c r="G43" s="406">
        <f>O26/G29</f>
        <v>15.921259596969554</v>
      </c>
      <c r="H43" s="13">
        <f t="shared" si="8"/>
        <v>0.15022533911974123</v>
      </c>
      <c r="I43" s="207"/>
      <c r="J43" s="207"/>
      <c r="K43" s="207"/>
      <c r="L43" s="207"/>
      <c r="M43" s="207"/>
      <c r="N43" s="207"/>
      <c r="O43" s="14"/>
      <c r="Q43" s="5"/>
      <c r="R43" s="5"/>
      <c r="S43" s="26"/>
      <c r="T43" s="26"/>
      <c r="U43" s="26"/>
      <c r="V43" s="26"/>
      <c r="W43" s="242"/>
      <c r="X43" s="242"/>
    </row>
    <row r="44" spans="2:24">
      <c r="B44" s="5" t="s">
        <v>437</v>
      </c>
      <c r="C44" s="53"/>
      <c r="D44" s="406">
        <f>D11/D30</f>
        <v>23.226925151137763</v>
      </c>
      <c r="E44" s="406">
        <f>E11/E30</f>
        <v>35.037596037254602</v>
      </c>
      <c r="F44" s="406">
        <f>F11/F30</f>
        <v>29.36211850652418</v>
      </c>
      <c r="G44" s="406">
        <f>G11/G30</f>
        <v>24.697825818002411</v>
      </c>
      <c r="H44" s="13">
        <f t="shared" si="8"/>
        <v>-3.5303542461023629E-2</v>
      </c>
      <c r="I44" s="207"/>
      <c r="J44" s="208"/>
      <c r="K44" s="208"/>
      <c r="L44" s="208"/>
      <c r="M44" s="208"/>
      <c r="N44" s="208"/>
      <c r="O44" s="208"/>
      <c r="Q44" s="5"/>
      <c r="R44" s="5"/>
      <c r="S44" s="26"/>
      <c r="T44" s="26"/>
      <c r="U44" s="26"/>
      <c r="V44" s="26"/>
      <c r="W44" s="255"/>
      <c r="X44" s="255"/>
    </row>
    <row r="45" spans="2:24">
      <c r="B45" s="5" t="s">
        <v>481</v>
      </c>
      <c r="C45" s="207"/>
      <c r="D45" s="208">
        <f>D31/D11</f>
        <v>3.9022298456260728E-2</v>
      </c>
      <c r="E45" s="208">
        <f>E31/E11</f>
        <v>4.2924528301886804E-2</v>
      </c>
      <c r="F45" s="208">
        <f>F31/F11</f>
        <v>5.4084905660377366E-2</v>
      </c>
      <c r="G45" s="208">
        <f>G31/G11</f>
        <v>5.678915094339624E-2</v>
      </c>
      <c r="H45" s="13">
        <f>H31</f>
        <v>0.11582784422802184</v>
      </c>
      <c r="I45" s="208"/>
      <c r="J45" s="207"/>
      <c r="K45" s="207"/>
      <c r="L45" s="207"/>
      <c r="M45" s="207"/>
      <c r="N45" s="207"/>
      <c r="O45" s="208"/>
      <c r="Q45" s="5"/>
      <c r="R45" s="5"/>
      <c r="S45" s="26"/>
      <c r="T45" s="26"/>
      <c r="U45" s="26"/>
      <c r="V45" s="26"/>
      <c r="W45" s="26"/>
      <c r="X45" s="26"/>
    </row>
    <row r="46" spans="2:24">
      <c r="B46" s="5" t="s">
        <v>505</v>
      </c>
      <c r="C46" s="207"/>
      <c r="D46" s="208">
        <f>(D31+D32)/D11</f>
        <v>3.9022298456260728E-2</v>
      </c>
      <c r="E46" s="208">
        <f>(E31+E32)/E11</f>
        <v>4.2924528301886804E-2</v>
      </c>
      <c r="F46" s="208">
        <f>(F31+F32)/F11</f>
        <v>5.4084905660377366E-2</v>
      </c>
      <c r="G46" s="208">
        <f>(G31+G32)/G11</f>
        <v>5.678915094339624E-2</v>
      </c>
      <c r="H46" s="13" t="str">
        <f>H32</f>
        <v>nm</v>
      </c>
      <c r="I46" s="207"/>
      <c r="J46" s="207"/>
      <c r="K46" s="207"/>
      <c r="L46" s="207"/>
      <c r="M46" s="207"/>
      <c r="N46" s="207"/>
      <c r="O46" s="14"/>
      <c r="Q46" s="5"/>
      <c r="R46" s="5"/>
      <c r="S46" s="26"/>
      <c r="T46" s="26"/>
      <c r="U46" s="26"/>
      <c r="V46" s="26"/>
      <c r="W46" s="26"/>
      <c r="X46" s="26"/>
    </row>
    <row r="47" spans="2:24">
      <c r="B47" s="5" t="s">
        <v>482</v>
      </c>
      <c r="C47" s="5"/>
      <c r="D47" s="208">
        <f>1/D43</f>
        <v>3.9525268998877136E-2</v>
      </c>
      <c r="E47" s="208">
        <f>1/E43</f>
        <v>4.3177315644919348E-2</v>
      </c>
      <c r="F47" s="208">
        <f>1/F43</f>
        <v>5.9869914085088106E-2</v>
      </c>
      <c r="G47" s="208">
        <f>1/G43</f>
        <v>6.2809100869779144E-2</v>
      </c>
      <c r="H47" s="13">
        <f>H29</f>
        <v>0.15022533911974123</v>
      </c>
      <c r="I47" s="13"/>
      <c r="J47" s="208"/>
      <c r="K47" s="208"/>
      <c r="L47" s="208"/>
      <c r="M47" s="208"/>
      <c r="N47" s="208"/>
      <c r="O47" s="208"/>
      <c r="Q47" s="5"/>
      <c r="R47" s="5"/>
      <c r="S47" s="26"/>
      <c r="T47" s="26"/>
      <c r="U47" s="26"/>
      <c r="V47" s="26"/>
      <c r="W47" s="26"/>
      <c r="X47" s="26"/>
    </row>
    <row r="48" spans="2:24">
      <c r="B48" s="5" t="s">
        <v>518</v>
      </c>
      <c r="C48" s="5"/>
      <c r="D48" s="248">
        <f>D31/D29</f>
        <v>0.92201207334143731</v>
      </c>
      <c r="E48" s="248">
        <f>E31/E29</f>
        <v>0.92748581291751186</v>
      </c>
      <c r="F48" s="248">
        <f>F31/F29</f>
        <v>0.84197743548320092</v>
      </c>
      <c r="G48" s="248">
        <f>G31/G29</f>
        <v>0.84174277889640203</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KPNSOP!A1" display="Jump to KPN SOP" xr:uid="{00000000-0004-0000-3200-000001000000}"/>
  </hyperlinks>
  <pageMargins left="0.75" right="0.75" top="1" bottom="1" header="0.5" footer="0.5"/>
  <pageSetup scale="71"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0">
    <pageSetUpPr fitToPage="1"/>
  </sheetPr>
  <dimension ref="B1:AR48"/>
  <sheetViews>
    <sheetView showGridLines="0" zoomScale="80" zoomScaleNormal="80" workbookViewId="0">
      <selection activeCell="D17" sqref="D17:G17"/>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S2" s="64"/>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S3" s="64"/>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19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96</v>
      </c>
      <c r="C9" s="239">
        <f>Prices!C81</f>
        <v>61700</v>
      </c>
      <c r="D9" s="412">
        <v>247.06494353057201</v>
      </c>
      <c r="E9" s="413">
        <v>242.13397706114401</v>
      </c>
      <c r="F9" s="413">
        <v>237.20301059171601</v>
      </c>
      <c r="G9" s="413">
        <v>232.27204412228801</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240.86903353057201</v>
      </c>
      <c r="E10" s="408">
        <v>235.93806706114401</v>
      </c>
      <c r="F10" s="408">
        <v>231.00710059171601</v>
      </c>
      <c r="G10" s="408">
        <v>226.07613412228801</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14861.619368836293</v>
      </c>
      <c r="E11" s="409">
        <f>$C$9*E10/1000</f>
        <v>14557.378737672587</v>
      </c>
      <c r="F11" s="409">
        <f>$C$9*F10/1000</f>
        <v>14253.138106508877</v>
      </c>
      <c r="G11" s="409">
        <f>$C$9*G10/1000</f>
        <v>13948.897475345169</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5804.6116242683111</v>
      </c>
      <c r="E12" s="410">
        <v>4474.9431743285913</v>
      </c>
      <c r="F12" s="410">
        <v>2995.1148867767934</v>
      </c>
      <c r="G12" s="410">
        <v>1465.1390471223458</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1232.6999624155756</v>
      </c>
      <c r="E13" s="410">
        <v>1132.4633592208995</v>
      </c>
      <c r="F13" s="410">
        <v>1057.5541447546761</v>
      </c>
      <c r="G13" s="410">
        <v>976.2776470588235</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1.8793192731432682</v>
      </c>
      <c r="E15" s="410">
        <v>1.8793192731432682</v>
      </c>
      <c r="F15" s="410">
        <v>1.8793192731432682</v>
      </c>
      <c r="G15" s="410">
        <v>1.8793192731432682</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541.95532544378705</v>
      </c>
      <c r="F16" s="410">
        <v>1108.2066863905327</v>
      </c>
      <c r="G16" s="410">
        <v>1801.2279881656807</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2705.6041168444626</v>
      </c>
      <c r="E17" s="410">
        <v>2705.6041168444626</v>
      </c>
      <c r="F17" s="410">
        <v>2705.6041168444626</v>
      </c>
      <c r="G17" s="410">
        <v>2705.6041168444626</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19195.206157948858</v>
      </c>
      <c r="E18" s="411">
        <f>E11+E12+E13-E14+E15-E16-E17</f>
        <v>16919.105148206967</v>
      </c>
      <c r="F18" s="411">
        <f>F11+F12+F13-F14+F15-F16-F17</f>
        <v>14493.875654078494</v>
      </c>
      <c r="G18" s="411">
        <f>G11+G12+G13-G14+G15-G16-G17</f>
        <v>11885.361383789339</v>
      </c>
      <c r="H18" s="230">
        <f>IF(D18=0,"nm",IF(G18=0,"nm",(G18/D18)^(1/3)-1))</f>
        <v>-0.1476724296832963</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810</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26431.199999999997</v>
      </c>
      <c r="D23" s="416">
        <v>28210.942597065114</v>
      </c>
      <c r="E23" s="416">
        <v>28300.034836254585</v>
      </c>
      <c r="F23" s="416">
        <v>29052.375110883873</v>
      </c>
      <c r="G23" s="416">
        <v>29771.388766329648</v>
      </c>
      <c r="H23" s="233">
        <f t="shared" ref="H23:H32" si="3">IF(D23=0,"nm",IF(G23=0,"nm",(G23/D23)^(1/3)-1))</f>
        <v>1.8107958305597638E-2</v>
      </c>
      <c r="I23" s="207"/>
      <c r="J23" s="249" t="s">
        <v>7</v>
      </c>
      <c r="K23" s="249"/>
      <c r="L23" s="219" t="str">
        <f>D21</f>
        <v>2025E</v>
      </c>
      <c r="M23" s="219" t="str">
        <f t="shared" ref="M23:P23" si="4">E21</f>
        <v>2026E</v>
      </c>
      <c r="N23" s="219" t="str">
        <f t="shared" si="4"/>
        <v>2027E</v>
      </c>
      <c r="O23" s="219" t="str">
        <f t="shared" si="4"/>
        <v>2028E</v>
      </c>
      <c r="P23" s="219" t="str">
        <f t="shared" si="4"/>
        <v>2025-28</v>
      </c>
      <c r="S23" s="26"/>
      <c r="T23" s="26"/>
      <c r="U23" s="26"/>
      <c r="V23" s="26"/>
      <c r="W23" s="26"/>
      <c r="X23" s="26"/>
    </row>
    <row r="24" spans="2:24" ht="12.6" thickTop="1">
      <c r="B24" s="5" t="s">
        <v>397</v>
      </c>
      <c r="C24" s="423">
        <v>4687.3</v>
      </c>
      <c r="D24" s="416">
        <v>6498.360330805217</v>
      </c>
      <c r="E24" s="416">
        <v>6324.2531567657134</v>
      </c>
      <c r="F24" s="416">
        <v>6524.9185929957548</v>
      </c>
      <c r="G24" s="416">
        <v>6730.2037947990384</v>
      </c>
      <c r="H24" s="233">
        <f t="shared" si="3"/>
        <v>1.1753717224058491E-2</v>
      </c>
      <c r="I24" s="209"/>
      <c r="J24" s="13"/>
      <c r="K24" s="13"/>
      <c r="L24" s="13"/>
      <c r="M24" s="13"/>
      <c r="N24" s="13"/>
      <c r="O24" s="208"/>
      <c r="S24" s="26"/>
      <c r="T24" s="26"/>
      <c r="U24" s="26"/>
      <c r="V24" s="26"/>
      <c r="W24" s="26" t="s">
        <v>18</v>
      </c>
      <c r="X24" s="26" t="s">
        <v>209</v>
      </c>
    </row>
    <row r="25" spans="2:24">
      <c r="B25" s="5" t="s">
        <v>157</v>
      </c>
      <c r="C25" s="422">
        <v>1564.3000000000002</v>
      </c>
      <c r="D25" s="416">
        <v>3504.4487611320574</v>
      </c>
      <c r="E25" s="416">
        <v>3346.3435935125181</v>
      </c>
      <c r="F25" s="416">
        <v>3521.3853446106236</v>
      </c>
      <c r="G25" s="416">
        <v>3702.9641089011902</v>
      </c>
      <c r="H25" s="233">
        <f t="shared" si="3"/>
        <v>1.8536498064697149E-2</v>
      </c>
      <c r="I25" s="208"/>
      <c r="J25" s="207" t="s">
        <v>8</v>
      </c>
      <c r="K25" s="207"/>
      <c r="L25" s="252">
        <v>-1208.6453105999999</v>
      </c>
      <c r="M25" s="252">
        <v>-942.39791100000002</v>
      </c>
      <c r="N25" s="252">
        <v>-942.39791100000002</v>
      </c>
      <c r="O25" s="252">
        <v>-942.39791100000002</v>
      </c>
      <c r="P25" s="233">
        <f>IF(L25=0,"nm",IF(O25=0,"nm",(O25/L25)^(1/3)-1))</f>
        <v>-7.9596034509965885E-2</v>
      </c>
      <c r="S25" s="26"/>
      <c r="T25" s="26"/>
      <c r="U25" s="26"/>
      <c r="V25" s="113" t="s">
        <v>225</v>
      </c>
      <c r="W25" s="242">
        <f>D37/L9</f>
        <v>0.32802324758335549</v>
      </c>
      <c r="X25" s="242">
        <v>1</v>
      </c>
    </row>
    <row r="26" spans="2:24">
      <c r="B26" s="5" t="s">
        <v>487</v>
      </c>
      <c r="C26" s="422">
        <v>1115.6372498717292</v>
      </c>
      <c r="D26" s="416">
        <v>2540.7253518207417</v>
      </c>
      <c r="E26" s="416">
        <v>2426.0991052965755</v>
      </c>
      <c r="F26" s="416">
        <v>2553.004374842702</v>
      </c>
      <c r="G26" s="416">
        <v>2684.648978953363</v>
      </c>
      <c r="H26" s="233">
        <f t="shared" si="3"/>
        <v>1.8536498064697149E-2</v>
      </c>
      <c r="I26" s="209"/>
      <c r="J26" s="209" t="s">
        <v>9</v>
      </c>
      <c r="K26" s="209"/>
      <c r="L26" s="235">
        <f>D11+L25</f>
        <v>13652.974058236294</v>
      </c>
      <c r="M26" s="235">
        <f>E11+M25</f>
        <v>13614.980826672587</v>
      </c>
      <c r="N26" s="235">
        <f>F11+N25</f>
        <v>13310.740195508877</v>
      </c>
      <c r="O26" s="235">
        <f>G11+O25</f>
        <v>13006.499564345169</v>
      </c>
      <c r="P26" s="233">
        <f>IF(L26=0,"nm",IF(O26=0,"nm",(O26/L26)^(1/3)-1))</f>
        <v>-1.6039369979053086E-2</v>
      </c>
      <c r="Q26" s="5"/>
      <c r="S26" s="26"/>
      <c r="T26" s="26"/>
      <c r="U26" s="26"/>
      <c r="V26" s="113" t="s">
        <v>158</v>
      </c>
      <c r="W26" s="242">
        <f t="shared" ref="W26:W33" si="5">D38/L10</f>
        <v>0.47553494947258856</v>
      </c>
      <c r="X26" s="242">
        <v>1</v>
      </c>
    </row>
    <row r="27" spans="2:24">
      <c r="B27" s="5" t="s">
        <v>488</v>
      </c>
      <c r="C27" s="423">
        <v>24820.748111498</v>
      </c>
      <c r="D27" s="416">
        <v>24943.850634883995</v>
      </c>
      <c r="E27" s="416">
        <v>24604.210696557799</v>
      </c>
      <c r="F27" s="416">
        <v>24300.947736745315</v>
      </c>
      <c r="G27" s="416">
        <v>24031.376007290954</v>
      </c>
      <c r="H27" s="233">
        <f t="shared" si="3"/>
        <v>-1.2345499297268914E-2</v>
      </c>
      <c r="I27" s="209"/>
      <c r="J27" s="208"/>
      <c r="K27" s="208"/>
      <c r="L27" s="208"/>
      <c r="M27" s="208"/>
      <c r="N27" s="208"/>
      <c r="O27" s="208"/>
      <c r="Q27" s="25"/>
      <c r="S27" s="26"/>
      <c r="T27" s="26"/>
      <c r="U27" s="26"/>
      <c r="V27" s="113" t="s">
        <v>159</v>
      </c>
      <c r="W27" s="242">
        <f t="shared" si="5"/>
        <v>0.52952326168427488</v>
      </c>
      <c r="X27" s="242">
        <v>1</v>
      </c>
    </row>
    <row r="28" spans="2:24" ht="12.6" thickBot="1">
      <c r="B28" s="5" t="s">
        <v>492</v>
      </c>
      <c r="C28" s="422">
        <v>14825.8</v>
      </c>
      <c r="D28" s="416">
        <v>14358.126883506342</v>
      </c>
      <c r="E28" s="416">
        <v>13877.016631713723</v>
      </c>
      <c r="F28" s="416">
        <v>13418.591617057169</v>
      </c>
      <c r="G28" s="416">
        <v>12979.818544785499</v>
      </c>
      <c r="H28" s="233">
        <f t="shared" si="3"/>
        <v>-3.308059063786517E-2</v>
      </c>
      <c r="I28" s="208"/>
      <c r="J28" s="249" t="s">
        <v>1073</v>
      </c>
      <c r="K28" s="249"/>
      <c r="L28" s="249"/>
      <c r="M28" s="249"/>
      <c r="N28" s="220"/>
      <c r="O28" s="220"/>
      <c r="P28" s="220"/>
      <c r="Q28" s="5"/>
      <c r="S28" s="26"/>
      <c r="T28" s="26"/>
      <c r="U28" s="26"/>
      <c r="V28" s="113" t="s">
        <v>381</v>
      </c>
      <c r="W28" s="242">
        <f t="shared" si="5"/>
        <v>0.55756411158797992</v>
      </c>
      <c r="X28" s="242">
        <v>1</v>
      </c>
    </row>
    <row r="29" spans="2:24" ht="12.6" thickTop="1">
      <c r="B29" s="5" t="s">
        <v>489</v>
      </c>
      <c r="C29" s="422">
        <v>721.5989999999988</v>
      </c>
      <c r="D29" s="416">
        <v>1877.8593757316917</v>
      </c>
      <c r="E29" s="416">
        <v>2271.2947753835124</v>
      </c>
      <c r="F29" s="416">
        <v>2445.7506484985433</v>
      </c>
      <c r="G29" s="416">
        <v>2622.6681414296017</v>
      </c>
      <c r="H29" s="233">
        <f t="shared" si="3"/>
        <v>0.11778966875594077</v>
      </c>
      <c r="I29" s="212"/>
      <c r="J29" s="209"/>
      <c r="K29" s="209"/>
      <c r="L29" s="209"/>
      <c r="M29" s="209"/>
      <c r="N29" s="209"/>
      <c r="O29" s="211"/>
      <c r="Q29" s="5"/>
      <c r="S29" s="26"/>
      <c r="T29" s="26"/>
      <c r="U29" s="26"/>
      <c r="V29" s="113" t="s">
        <v>434</v>
      </c>
      <c r="W29" s="242">
        <f t="shared" si="5"/>
        <v>0.44547443625351668</v>
      </c>
      <c r="X29" s="242">
        <v>1</v>
      </c>
    </row>
    <row r="30" spans="2:24">
      <c r="B30" s="5" t="s">
        <v>490</v>
      </c>
      <c r="C30" s="423">
        <v>503.3</v>
      </c>
      <c r="D30" s="416">
        <v>1904.4908991176831</v>
      </c>
      <c r="E30" s="416">
        <v>1835.1838370573107</v>
      </c>
      <c r="F30" s="416">
        <v>2046.0166886860613</v>
      </c>
      <c r="G30" s="416">
        <v>2256.6254119752339</v>
      </c>
      <c r="H30" s="233">
        <f t="shared" si="3"/>
        <v>5.8181564224432991E-2</v>
      </c>
      <c r="I30" s="214"/>
      <c r="J30" s="208"/>
      <c r="K30" s="208"/>
      <c r="L30" s="208"/>
      <c r="M30" s="208"/>
      <c r="N30" s="208"/>
      <c r="O30" s="5"/>
      <c r="Q30" s="5"/>
      <c r="S30" s="26"/>
      <c r="T30" s="26"/>
      <c r="U30" s="26"/>
      <c r="V30" s="113" t="s">
        <v>493</v>
      </c>
      <c r="W30" s="242">
        <f t="shared" si="5"/>
        <v>0.40993263228388294</v>
      </c>
      <c r="X30" s="242">
        <v>1</v>
      </c>
    </row>
    <row r="31" spans="2:24">
      <c r="B31" s="5" t="s">
        <v>491</v>
      </c>
      <c r="C31" s="423">
        <v>491.6</v>
      </c>
      <c r="D31" s="416">
        <v>541.95532544378705</v>
      </c>
      <c r="E31" s="416">
        <v>566.25136094674565</v>
      </c>
      <c r="F31" s="416">
        <v>693.021301775148</v>
      </c>
      <c r="G31" s="416">
        <v>734.74743589743605</v>
      </c>
      <c r="H31" s="233">
        <f t="shared" si="3"/>
        <v>0.10677208540873573</v>
      </c>
      <c r="I31" s="214"/>
      <c r="J31" s="212"/>
      <c r="K31" s="212"/>
      <c r="L31" s="212"/>
      <c r="M31" s="212"/>
      <c r="N31" s="212"/>
      <c r="O31" s="5"/>
      <c r="Q31" s="5"/>
      <c r="S31" s="26"/>
      <c r="T31" s="26"/>
      <c r="U31" s="26"/>
      <c r="V31" s="113" t="s">
        <v>390</v>
      </c>
      <c r="W31" s="242">
        <f t="shared" si="5"/>
        <v>0.45188269149806787</v>
      </c>
      <c r="X31" s="242">
        <v>1</v>
      </c>
    </row>
    <row r="32" spans="2:24">
      <c r="B32" s="5" t="s">
        <v>506</v>
      </c>
      <c r="C32" s="424">
        <v>233.2199</v>
      </c>
      <c r="D32" s="416">
        <v>233.2199</v>
      </c>
      <c r="E32" s="416">
        <v>321.4049</v>
      </c>
      <c r="F32" s="416">
        <v>324</v>
      </c>
      <c r="G32" s="416">
        <v>321.4049</v>
      </c>
      <c r="H32" s="233">
        <f t="shared" si="3"/>
        <v>0.11283035344096159</v>
      </c>
      <c r="I32" s="214"/>
      <c r="J32" s="214"/>
      <c r="K32" s="214"/>
      <c r="L32" s="214"/>
      <c r="M32" s="214"/>
      <c r="N32" s="214"/>
      <c r="O32" s="211"/>
      <c r="Q32" s="5"/>
      <c r="S32" s="26"/>
      <c r="T32" s="26"/>
      <c r="U32" s="26"/>
      <c r="V32" s="113" t="s">
        <v>437</v>
      </c>
      <c r="W32" s="242">
        <f t="shared" si="5"/>
        <v>0.45223262657121516</v>
      </c>
      <c r="X32" s="242">
        <v>1</v>
      </c>
    </row>
    <row r="33" spans="2:24">
      <c r="B33" s="5" t="s">
        <v>3</v>
      </c>
      <c r="C33" s="423">
        <v>-224.79999999999976</v>
      </c>
      <c r="D33" s="416">
        <v>-148.07607340151819</v>
      </c>
      <c r="E33" s="416">
        <v>-67.355897656497035</v>
      </c>
      <c r="F33" s="416">
        <v>26.348166830447468</v>
      </c>
      <c r="G33" s="416">
        <v>116.44704254044441</v>
      </c>
      <c r="H33" s="233">
        <f>IF(D33=0,"nm",IF(G33=0,"nm",(G33/D33)^(1/3)-1))</f>
        <v>-1.9230272539620077</v>
      </c>
      <c r="I33" s="5"/>
      <c r="J33" s="214"/>
      <c r="K33" s="214"/>
      <c r="L33" s="214"/>
      <c r="M33" s="214"/>
      <c r="N33" s="214"/>
      <c r="O33" s="211"/>
      <c r="Q33" s="5"/>
      <c r="S33" s="26"/>
      <c r="T33" s="26"/>
      <c r="U33" s="26"/>
      <c r="V33" s="113" t="s">
        <v>481</v>
      </c>
      <c r="W33" s="242">
        <f t="shared" si="5"/>
        <v>0.85473863449377907</v>
      </c>
      <c r="X33" s="242">
        <v>1</v>
      </c>
    </row>
    <row r="34" spans="2:24">
      <c r="D34" s="5"/>
      <c r="E34" s="5"/>
      <c r="F34" s="5"/>
      <c r="G34" s="5"/>
      <c r="I34" s="33"/>
      <c r="J34" s="214"/>
      <c r="K34" s="214"/>
      <c r="L34" s="214"/>
      <c r="M34" s="214"/>
      <c r="N34" s="214"/>
      <c r="O34" s="211"/>
      <c r="Q34" s="5"/>
      <c r="S34" s="26"/>
      <c r="T34" s="26"/>
      <c r="U34" s="26"/>
      <c r="V34" s="113" t="s">
        <v>482</v>
      </c>
      <c r="W34" s="242">
        <f>D47/L19</f>
        <v>2.2129637156157282</v>
      </c>
      <c r="X34" s="242">
        <v>1</v>
      </c>
    </row>
    <row r="35" spans="2:24" ht="12.6" thickBot="1">
      <c r="B35" s="249" t="s">
        <v>150</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0.68041704356045885</v>
      </c>
      <c r="E37" s="406">
        <f t="shared" ref="E37:G41" si="7">E$18/E23</f>
        <v>0.59784750252435215</v>
      </c>
      <c r="F37" s="406">
        <f t="shared" si="7"/>
        <v>0.49888780517117387</v>
      </c>
      <c r="G37" s="406">
        <f t="shared" si="7"/>
        <v>0.3992209257376414</v>
      </c>
      <c r="H37" s="13">
        <f t="shared" ref="H37:H45" si="8">H23</f>
        <v>1.8107958305597638E-2</v>
      </c>
      <c r="I37" s="5"/>
      <c r="J37" s="217"/>
      <c r="K37" s="217"/>
      <c r="L37" s="217"/>
      <c r="M37" s="217"/>
      <c r="N37" s="217"/>
      <c r="O37" s="14"/>
      <c r="Q37" s="5"/>
      <c r="R37" s="5"/>
      <c r="S37" s="26"/>
      <c r="T37" s="26"/>
      <c r="U37" s="26"/>
      <c r="V37" s="26"/>
      <c r="W37" s="26"/>
      <c r="X37" s="26"/>
    </row>
    <row r="38" spans="2:24">
      <c r="B38" s="5" t="s">
        <v>158</v>
      </c>
      <c r="C38" s="207"/>
      <c r="D38" s="406">
        <f>D$18/D24</f>
        <v>2.9538537693816012</v>
      </c>
      <c r="E38" s="406">
        <f t="shared" si="7"/>
        <v>2.675273226547997</v>
      </c>
      <c r="F38" s="406">
        <f t="shared" si="7"/>
        <v>2.2213113386023089</v>
      </c>
      <c r="G38" s="406">
        <f t="shared" si="7"/>
        <v>1.7659734751233089</v>
      </c>
      <c r="H38" s="13">
        <f t="shared" si="8"/>
        <v>1.1753717224058491E-2</v>
      </c>
      <c r="I38" s="217"/>
      <c r="J38" s="13"/>
      <c r="K38" s="13"/>
      <c r="L38" s="13"/>
      <c r="M38" s="13"/>
      <c r="N38" s="13"/>
      <c r="O38" s="5"/>
      <c r="Q38" s="5"/>
      <c r="R38" s="5"/>
      <c r="S38" s="26"/>
      <c r="T38" s="26"/>
      <c r="U38" s="26"/>
      <c r="V38" s="26"/>
      <c r="W38" s="26"/>
      <c r="X38" s="26"/>
    </row>
    <row r="39" spans="2:24">
      <c r="B39" s="5" t="s">
        <v>159</v>
      </c>
      <c r="C39" s="207"/>
      <c r="D39" s="406">
        <f>D$18/D25</f>
        <v>5.4773824547938741</v>
      </c>
      <c r="E39" s="406">
        <f t="shared" si="7"/>
        <v>5.0559975912239441</v>
      </c>
      <c r="F39" s="406">
        <f t="shared" si="7"/>
        <v>4.1159584185414255</v>
      </c>
      <c r="G39" s="406">
        <f t="shared" si="7"/>
        <v>3.2096885182384813</v>
      </c>
      <c r="H39" s="13">
        <f t="shared" si="8"/>
        <v>1.8536498064697149E-2</v>
      </c>
      <c r="I39" s="13"/>
      <c r="J39" s="5"/>
      <c r="K39" s="5"/>
      <c r="L39" s="5"/>
      <c r="M39" s="5"/>
      <c r="N39" s="5"/>
      <c r="O39" s="5"/>
      <c r="Q39" s="5"/>
      <c r="R39" s="5"/>
      <c r="S39" s="26"/>
      <c r="T39" s="26"/>
      <c r="U39" s="26"/>
      <c r="V39" s="26"/>
      <c r="W39" s="26"/>
      <c r="X39" s="26"/>
    </row>
    <row r="40" spans="2:24">
      <c r="B40" s="5" t="s">
        <v>381</v>
      </c>
      <c r="C40" s="207"/>
      <c r="D40" s="406">
        <f>D$18/D26</f>
        <v>7.5550102824743082</v>
      </c>
      <c r="E40" s="406">
        <f t="shared" si="7"/>
        <v>6.9737897809985432</v>
      </c>
      <c r="F40" s="406">
        <f t="shared" si="7"/>
        <v>5.6771840255743804</v>
      </c>
      <c r="G40" s="406">
        <f t="shared" si="7"/>
        <v>4.4271565768806633</v>
      </c>
      <c r="H40" s="13">
        <f t="shared" si="8"/>
        <v>1.8536498064697149E-2</v>
      </c>
      <c r="I40" s="5"/>
      <c r="J40" s="217"/>
      <c r="K40" s="217"/>
      <c r="L40" s="217"/>
      <c r="M40" s="217"/>
      <c r="N40" s="217"/>
      <c r="O40" s="14"/>
      <c r="Q40" s="5"/>
      <c r="R40" s="5"/>
      <c r="S40" s="26"/>
      <c r="T40" s="26"/>
      <c r="U40" s="26"/>
      <c r="V40" s="26"/>
      <c r="W40" s="242"/>
      <c r="X40" s="242"/>
    </row>
    <row r="41" spans="2:24">
      <c r="B41" s="5" t="s">
        <v>434</v>
      </c>
      <c r="C41" s="207"/>
      <c r="D41" s="406">
        <f>D$18/D27</f>
        <v>0.76953660599235418</v>
      </c>
      <c r="E41" s="406">
        <f t="shared" si="7"/>
        <v>0.68765079916073057</v>
      </c>
      <c r="F41" s="406">
        <f t="shared" si="7"/>
        <v>0.59643252646325362</v>
      </c>
      <c r="G41" s="406">
        <f t="shared" si="7"/>
        <v>0.49457681408602666</v>
      </c>
      <c r="H41" s="13">
        <f t="shared" si="8"/>
        <v>-1.2345499297268914E-2</v>
      </c>
      <c r="I41" s="207"/>
      <c r="J41" s="13"/>
      <c r="K41" s="13"/>
      <c r="L41" s="13"/>
      <c r="M41" s="13"/>
      <c r="N41" s="13"/>
      <c r="O41" s="5"/>
      <c r="Q41" s="5"/>
      <c r="R41" s="5"/>
      <c r="S41" s="26"/>
      <c r="T41" s="26"/>
      <c r="U41" s="26"/>
      <c r="V41" s="26"/>
      <c r="W41" s="242"/>
      <c r="X41" s="242"/>
    </row>
    <row r="42" spans="2:24">
      <c r="B42" s="5" t="s">
        <v>493</v>
      </c>
      <c r="C42" s="207"/>
      <c r="D42" s="406">
        <f>D18/D28</f>
        <v>1.3368879042292787</v>
      </c>
      <c r="E42" s="406">
        <f>E18/E28</f>
        <v>1.2192177610813719</v>
      </c>
      <c r="F42" s="406">
        <f>F18/F28</f>
        <v>1.0801338968878424</v>
      </c>
      <c r="G42" s="406">
        <f>G18/G28</f>
        <v>0.91568008772851095</v>
      </c>
      <c r="H42" s="13">
        <f t="shared" si="8"/>
        <v>-3.308059063786517E-2</v>
      </c>
      <c r="I42" s="208"/>
      <c r="J42" s="5"/>
      <c r="K42" s="5"/>
      <c r="L42" s="5"/>
      <c r="M42" s="5"/>
      <c r="N42" s="5"/>
      <c r="O42" s="5"/>
      <c r="Q42" s="5"/>
      <c r="R42" s="5"/>
      <c r="S42" s="26"/>
      <c r="T42" s="26"/>
      <c r="U42" s="26"/>
      <c r="V42" s="26"/>
      <c r="W42" s="242"/>
      <c r="X42" s="242"/>
    </row>
    <row r="43" spans="2:24">
      <c r="B43" s="5" t="s">
        <v>390</v>
      </c>
      <c r="C43" s="207"/>
      <c r="D43" s="406">
        <f>L26/D29</f>
        <v>7.2704986511125362</v>
      </c>
      <c r="E43" s="406">
        <f>M26/E29</f>
        <v>5.9943698080200409</v>
      </c>
      <c r="F43" s="406">
        <f>N26/F29</f>
        <v>5.4423946299187929</v>
      </c>
      <c r="G43" s="406">
        <f>O26/G29</f>
        <v>4.9592624239738541</v>
      </c>
      <c r="H43" s="13">
        <f t="shared" si="8"/>
        <v>0.11778966875594077</v>
      </c>
      <c r="I43" s="207"/>
      <c r="J43" s="207"/>
      <c r="K43" s="207"/>
      <c r="L43" s="207"/>
      <c r="M43" s="207"/>
      <c r="N43" s="207"/>
      <c r="O43" s="14"/>
      <c r="Q43" s="5"/>
      <c r="R43" s="5"/>
      <c r="S43" s="26"/>
      <c r="T43" s="26"/>
      <c r="U43" s="26"/>
      <c r="V43" s="26"/>
      <c r="W43" s="242"/>
      <c r="X43" s="242"/>
    </row>
    <row r="44" spans="2:24">
      <c r="B44" s="5" t="s">
        <v>437</v>
      </c>
      <c r="C44" s="53"/>
      <c r="D44" s="406">
        <f>D11/D30</f>
        <v>7.8034604290949448</v>
      </c>
      <c r="E44" s="406">
        <f>E11/E30</f>
        <v>7.9323817285875409</v>
      </c>
      <c r="F44" s="406">
        <f>F11/F30</f>
        <v>6.9662863383886426</v>
      </c>
      <c r="G44" s="406">
        <f>G11/G30</f>
        <v>6.1813083382481455</v>
      </c>
      <c r="H44" s="13">
        <f t="shared" si="8"/>
        <v>5.8181564224432991E-2</v>
      </c>
      <c r="I44" s="207"/>
      <c r="J44" s="208"/>
      <c r="K44" s="208"/>
      <c r="L44" s="208"/>
      <c r="M44" s="208"/>
      <c r="N44" s="208"/>
      <c r="O44" s="208"/>
      <c r="Q44" s="5"/>
      <c r="R44" s="5"/>
      <c r="S44" s="26"/>
      <c r="T44" s="26"/>
      <c r="U44" s="26"/>
      <c r="V44" s="26"/>
      <c r="W44" s="255"/>
      <c r="X44" s="255"/>
    </row>
    <row r="45" spans="2:24">
      <c r="B45" s="5" t="s">
        <v>481</v>
      </c>
      <c r="C45" s="207"/>
      <c r="D45" s="208">
        <f>D31/D11</f>
        <v>3.6466774716369534E-2</v>
      </c>
      <c r="E45" s="208">
        <f>E31/E11</f>
        <v>3.8897893030794162E-2</v>
      </c>
      <c r="F45" s="208">
        <f>F31/F11</f>
        <v>4.8622366288492709E-2</v>
      </c>
      <c r="G45" s="208">
        <f>G31/G11</f>
        <v>5.2674230145867106E-2</v>
      </c>
      <c r="H45" s="13">
        <f t="shared" si="8"/>
        <v>0.10677208540873573</v>
      </c>
      <c r="I45" s="208"/>
      <c r="J45" s="207"/>
      <c r="K45" s="207"/>
      <c r="L45" s="207"/>
      <c r="M45" s="207"/>
      <c r="N45" s="207"/>
      <c r="O45" s="208"/>
      <c r="Q45" s="5"/>
      <c r="R45" s="5"/>
      <c r="S45" s="26"/>
      <c r="T45" s="26"/>
      <c r="U45" s="26"/>
      <c r="V45" s="26"/>
      <c r="W45" s="26"/>
      <c r="X45" s="26"/>
    </row>
    <row r="46" spans="2:24">
      <c r="B46" s="5" t="s">
        <v>505</v>
      </c>
      <c r="C46" s="207"/>
      <c r="D46" s="208">
        <f>(D31+D32)/D11</f>
        <v>5.2159539697892651E-2</v>
      </c>
      <c r="E46" s="208">
        <f>(E31+E32)/E11</f>
        <v>6.097638022218984E-2</v>
      </c>
      <c r="F46" s="208">
        <f>(F31+F32)/F11</f>
        <v>7.1354202434249364E-2</v>
      </c>
      <c r="G46" s="208">
        <f>(G31+G32)/G11</f>
        <v>7.5715828993954321E-2</v>
      </c>
      <c r="H46" s="233">
        <f>((G31+G32)/(D31+D32))^(1/3)-1</f>
        <v>0.10860175017998586</v>
      </c>
      <c r="I46" s="207"/>
      <c r="J46" s="207"/>
      <c r="K46" s="207"/>
      <c r="L46" s="207"/>
      <c r="M46" s="207"/>
      <c r="N46" s="207"/>
      <c r="O46" s="14"/>
      <c r="Q46" s="5"/>
      <c r="R46" s="5"/>
      <c r="S46" s="26"/>
      <c r="T46" s="26"/>
      <c r="U46" s="26"/>
      <c r="V46" s="26"/>
      <c r="W46" s="26"/>
      <c r="X46" s="26"/>
    </row>
    <row r="47" spans="2:24">
      <c r="B47" s="5" t="s">
        <v>482</v>
      </c>
      <c r="C47" s="5"/>
      <c r="D47" s="208">
        <f>1/D43</f>
        <v>0.13754214779298246</v>
      </c>
      <c r="E47" s="208">
        <f>1/E43</f>
        <v>0.1668232077810867</v>
      </c>
      <c r="F47" s="208">
        <f>1/F43</f>
        <v>0.18374264785994052</v>
      </c>
      <c r="G47" s="208">
        <f>1/G43</f>
        <v>0.20164288850008075</v>
      </c>
      <c r="H47" s="13">
        <f>H29</f>
        <v>0.11778966875594077</v>
      </c>
      <c r="I47" s="13"/>
      <c r="J47" s="208"/>
      <c r="K47" s="208"/>
      <c r="L47" s="208"/>
      <c r="M47" s="208"/>
      <c r="N47" s="208"/>
      <c r="O47" s="208"/>
      <c r="Q47" s="5"/>
      <c r="R47" s="5"/>
      <c r="S47" s="26"/>
      <c r="T47" s="26"/>
      <c r="U47" s="26"/>
      <c r="V47" s="26"/>
      <c r="W47" s="26"/>
      <c r="X47" s="26"/>
    </row>
    <row r="48" spans="2:24">
      <c r="B48" s="5" t="s">
        <v>518</v>
      </c>
      <c r="C48" s="5"/>
      <c r="D48" s="248">
        <f>D31/D29</f>
        <v>0.28860272097457718</v>
      </c>
      <c r="E48" s="248">
        <f>E31/E29</f>
        <v>0.24930773719194288</v>
      </c>
      <c r="F48" s="248">
        <f>F31/F29</f>
        <v>0.28335730063103398</v>
      </c>
      <c r="G48" s="248">
        <f>G31/G29</f>
        <v>0.28015265228978964</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2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8">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S2" s="64"/>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S3" s="64"/>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187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199</v>
      </c>
      <c r="C9" s="239">
        <f>Prices!C82</f>
        <v>16600</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431.24524765729581</v>
      </c>
      <c r="E10" s="408">
        <v>426.44132308672079</v>
      </c>
      <c r="F10" s="408">
        <v>420.65964975054743</v>
      </c>
      <c r="G10" s="408">
        <v>414.00250268807866</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7158.6711111111099</v>
      </c>
      <c r="E11" s="409">
        <f>$C$9*E10/1000</f>
        <v>7078.9259632395651</v>
      </c>
      <c r="F11" s="409">
        <f>$C$9*F10/1000</f>
        <v>6982.9501858590866</v>
      </c>
      <c r="G11" s="409">
        <f>$C$9*G10/1000</f>
        <v>6872.4415446221055</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4903.0995434016386</v>
      </c>
      <c r="E12" s="410">
        <v>4479.641307253587</v>
      </c>
      <c r="F12" s="410">
        <v>4055.4609294795</v>
      </c>
      <c r="G12" s="410">
        <v>3641.6516800841314</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2064.8704829280287</v>
      </c>
      <c r="E13" s="410">
        <v>2014.1591067887271</v>
      </c>
      <c r="F13" s="410">
        <v>1959.137263677585</v>
      </c>
      <c r="G13" s="410">
        <v>1899.4385639019956</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f t="shared" ref="E14:G15" si="2">D14</f>
        <v>0</v>
      </c>
      <c r="F14" s="410">
        <f t="shared" si="2"/>
        <v>0</v>
      </c>
      <c r="G14" s="410">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f t="shared" si="2"/>
        <v>0</v>
      </c>
      <c r="F15" s="410">
        <f t="shared" si="2"/>
        <v>0</v>
      </c>
      <c r="G15" s="410">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298.50892616070456</v>
      </c>
      <c r="F16" s="410">
        <v>614.00366347361512</v>
      </c>
      <c r="G16" s="410">
        <v>965.905790758482</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14126.641137440776</v>
      </c>
      <c r="E18" s="411">
        <f>E11+E12+E13-E14+E15-E16-E17</f>
        <v>13274.217451121176</v>
      </c>
      <c r="F18" s="411">
        <f>F11+F12+F13-F14+F15-F16-F17</f>
        <v>12383.544715542555</v>
      </c>
      <c r="G18" s="411">
        <f>G11+G12+G13-G14+G15-G16-G17</f>
        <v>11447.625997849751</v>
      </c>
      <c r="H18" s="230">
        <f>IF(D18=0,"nm",IF(G18=0,"nm",(G18/D18)^(1/3)-1))</f>
        <v>-6.7693225851148786E-2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771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14625.190000000002</v>
      </c>
      <c r="D23" s="416">
        <v>15527.768746699301</v>
      </c>
      <c r="E23" s="416">
        <v>15756.215594210295</v>
      </c>
      <c r="F23" s="416">
        <v>15987.266694111582</v>
      </c>
      <c r="G23" s="416">
        <v>16219.825283659076</v>
      </c>
      <c r="H23" s="233">
        <f t="shared" ref="H23:H32" si="4">IF(D23=0,"nm",IF(G23=0,"nm",(G23/D23)^(1/3)-1))</f>
        <v>1.4640918096157085E-2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3526.88</v>
      </c>
      <c r="D24" s="416">
        <v>3667.6005828404705</v>
      </c>
      <c r="E24" s="416">
        <v>3783.3290451828093</v>
      </c>
      <c r="F24" s="416">
        <v>3863.2767064125169</v>
      </c>
      <c r="G24" s="416">
        <v>3944.3357351165232</v>
      </c>
      <c r="H24" s="233">
        <f t="shared" si="4"/>
        <v>2.4543998593794969E-2</v>
      </c>
      <c r="I24" s="209"/>
      <c r="J24" s="13"/>
      <c r="K24" s="13"/>
      <c r="L24" s="13"/>
      <c r="M24" s="13"/>
      <c r="N24" s="13"/>
      <c r="O24" s="208"/>
      <c r="S24" s="26"/>
      <c r="T24" s="26"/>
      <c r="U24" s="26"/>
      <c r="V24" s="26"/>
      <c r="W24" s="26" t="s">
        <v>168</v>
      </c>
      <c r="X24" s="26" t="s">
        <v>209</v>
      </c>
    </row>
    <row r="25" spans="2:24">
      <c r="B25" s="5" t="s">
        <v>157</v>
      </c>
      <c r="C25" s="422">
        <v>1605.68</v>
      </c>
      <c r="D25" s="416">
        <v>1793.2622402222694</v>
      </c>
      <c r="E25" s="416">
        <v>1887.2499902425993</v>
      </c>
      <c r="F25" s="416">
        <v>1945.3612633860173</v>
      </c>
      <c r="G25" s="416">
        <v>2004.6632005800438</v>
      </c>
      <c r="H25" s="233">
        <f t="shared" si="4"/>
        <v>3.7845097303092379E-2</v>
      </c>
      <c r="I25" s="208"/>
      <c r="J25" s="207" t="s">
        <v>8</v>
      </c>
      <c r="K25" s="207"/>
      <c r="L25" s="252">
        <v>0</v>
      </c>
      <c r="M25" s="252">
        <v>0</v>
      </c>
      <c r="N25" s="252">
        <v>0</v>
      </c>
      <c r="O25" s="252">
        <v>0</v>
      </c>
      <c r="P25" s="233" t="str">
        <f>IF(L25=0,"nm",IF(O25=0,"nm",(O25/L25)^(1/3)-1))</f>
        <v>nm</v>
      </c>
      <c r="S25" s="26"/>
      <c r="T25" s="26"/>
      <c r="U25" s="26"/>
      <c r="V25" s="113" t="s">
        <v>225</v>
      </c>
      <c r="W25" s="242">
        <f>D37/L9</f>
        <v>0.43859057898665299</v>
      </c>
      <c r="X25" s="242">
        <v>1</v>
      </c>
    </row>
    <row r="26" spans="2:24">
      <c r="B26" s="5" t="s">
        <v>487</v>
      </c>
      <c r="C26" s="422">
        <v>1159.1050724904405</v>
      </c>
      <c r="D26" s="416">
        <v>1294.5165655343551</v>
      </c>
      <c r="E26" s="416">
        <v>1362.3642548625699</v>
      </c>
      <c r="F26" s="416">
        <v>1404.3135046940515</v>
      </c>
      <c r="G26" s="416">
        <v>1447.1222687130999</v>
      </c>
      <c r="H26" s="233">
        <f t="shared" si="4"/>
        <v>3.7845097303092379E-2</v>
      </c>
      <c r="I26" s="209"/>
      <c r="J26" s="209" t="s">
        <v>9</v>
      </c>
      <c r="K26" s="209"/>
      <c r="L26" s="235">
        <f>D11+L25</f>
        <v>7158.6711111111099</v>
      </c>
      <c r="M26" s="235">
        <f>E11+M25</f>
        <v>7078.9259632395651</v>
      </c>
      <c r="N26" s="235">
        <f>F11+N25</f>
        <v>6982.9501858590866</v>
      </c>
      <c r="O26" s="235">
        <f>G11+O25</f>
        <v>6872.4415446221055</v>
      </c>
      <c r="P26" s="233">
        <f>IF(L26=0,"nm",IF(O26=0,"nm",(O26/L26)^(1/3)-1))</f>
        <v>-1.3509558761849227E-2</v>
      </c>
      <c r="Q26" s="5"/>
      <c r="S26" s="26"/>
      <c r="T26" s="26"/>
      <c r="U26" s="26"/>
      <c r="V26" s="113" t="s">
        <v>158</v>
      </c>
      <c r="W26" s="242">
        <f t="shared" ref="W26:W33" si="6">D38/L10</f>
        <v>0.62008371948016294</v>
      </c>
      <c r="X26" s="242">
        <v>1</v>
      </c>
    </row>
    <row r="27" spans="2:24">
      <c r="B27" s="5" t="s">
        <v>488</v>
      </c>
      <c r="C27" s="423">
        <v>14136.029999999999</v>
      </c>
      <c r="D27" s="416">
        <v>13864.954282160617</v>
      </c>
      <c r="E27" s="416">
        <v>13774.85014445758</v>
      </c>
      <c r="F27" s="416">
        <v>13795.641924261778</v>
      </c>
      <c r="G27" s="416">
        <v>13905.549016676916</v>
      </c>
      <c r="H27" s="233">
        <f t="shared" si="4"/>
        <v>9.7500454154819671E-4</v>
      </c>
      <c r="I27" s="209"/>
      <c r="J27" s="208"/>
      <c r="K27" s="208"/>
      <c r="L27" s="208"/>
      <c r="M27" s="208"/>
      <c r="N27" s="208"/>
      <c r="O27" s="208"/>
      <c r="Q27" s="25"/>
      <c r="S27" s="26"/>
      <c r="T27" s="26"/>
      <c r="U27" s="26"/>
      <c r="V27" s="113" t="s">
        <v>159</v>
      </c>
      <c r="W27" s="242">
        <f t="shared" si="6"/>
        <v>0.76156519162838887</v>
      </c>
      <c r="X27" s="242">
        <v>1</v>
      </c>
    </row>
    <row r="28" spans="2:24" ht="12.6" thickBot="1">
      <c r="B28" s="5" t="s">
        <v>492</v>
      </c>
      <c r="C28" s="422">
        <v>10709.01</v>
      </c>
      <c r="D28" s="416">
        <v>10211.276468356382</v>
      </c>
      <c r="E28" s="416">
        <v>9834.6472182578691</v>
      </c>
      <c r="F28" s="416">
        <v>9554.5030844571138</v>
      </c>
      <c r="G28" s="416">
        <v>9351.0897363106942</v>
      </c>
      <c r="H28" s="233">
        <f t="shared" si="4"/>
        <v>-2.8907209340590212E-2</v>
      </c>
      <c r="I28" s="208"/>
      <c r="J28" s="249" t="s">
        <v>1073</v>
      </c>
      <c r="K28" s="249"/>
      <c r="L28" s="249"/>
      <c r="M28" s="249"/>
      <c r="N28" s="220"/>
      <c r="O28" s="220"/>
      <c r="P28" s="220"/>
      <c r="Q28" s="5"/>
      <c r="S28" s="26"/>
      <c r="T28" s="26"/>
      <c r="U28" s="26"/>
      <c r="V28" s="113" t="s">
        <v>381</v>
      </c>
      <c r="W28" s="242">
        <f t="shared" si="6"/>
        <v>0.80536184906340025</v>
      </c>
      <c r="X28" s="242">
        <v>1</v>
      </c>
    </row>
    <row r="29" spans="2:24" ht="12.6" thickTop="1">
      <c r="B29" s="5" t="s">
        <v>489</v>
      </c>
      <c r="C29" s="422">
        <v>824.94799999999918</v>
      </c>
      <c r="D29" s="416">
        <v>882.62986757560475</v>
      </c>
      <c r="E29" s="416">
        <v>887.9455636613277</v>
      </c>
      <c r="F29" s="416">
        <v>918.77624338699604</v>
      </c>
      <c r="G29" s="416">
        <v>956.5272399066763</v>
      </c>
      <c r="H29" s="233">
        <f t="shared" si="4"/>
        <v>2.716349007086416E-2</v>
      </c>
      <c r="I29" s="212"/>
      <c r="J29" s="209"/>
      <c r="K29" s="209"/>
      <c r="L29" s="209"/>
      <c r="M29" s="209"/>
      <c r="N29" s="209"/>
      <c r="O29" s="211"/>
      <c r="Q29" s="5"/>
      <c r="S29" s="26"/>
      <c r="T29" s="26"/>
      <c r="U29" s="26"/>
      <c r="V29" s="113" t="s">
        <v>434</v>
      </c>
      <c r="W29" s="242">
        <f t="shared" si="6"/>
        <v>0.58981250255319317</v>
      </c>
      <c r="X29" s="242">
        <v>1</v>
      </c>
    </row>
    <row r="30" spans="2:24">
      <c r="B30" s="5" t="s">
        <v>490</v>
      </c>
      <c r="C30" s="423">
        <v>525.9200000000003</v>
      </c>
      <c r="D30" s="416">
        <v>616.55414973622203</v>
      </c>
      <c r="E30" s="416">
        <v>804.73365769010957</v>
      </c>
      <c r="F30" s="416">
        <v>947.94509453362389</v>
      </c>
      <c r="G30" s="416">
        <v>1076.1762462086581</v>
      </c>
      <c r="H30" s="233">
        <f t="shared" si="4"/>
        <v>0.20403023336979231</v>
      </c>
      <c r="I30" s="214"/>
      <c r="J30" s="208"/>
      <c r="K30" s="208"/>
      <c r="L30" s="208"/>
      <c r="M30" s="208"/>
      <c r="N30" s="208"/>
      <c r="O30" s="5"/>
      <c r="Q30" s="5"/>
      <c r="S30" s="26"/>
      <c r="T30" s="26"/>
      <c r="U30" s="26"/>
      <c r="V30" s="113" t="s">
        <v>493</v>
      </c>
      <c r="W30" s="242">
        <f t="shared" si="6"/>
        <v>0.42420557847042872</v>
      </c>
      <c r="X30" s="242">
        <v>1</v>
      </c>
    </row>
    <row r="31" spans="2:24">
      <c r="B31" s="5" t="s">
        <v>491</v>
      </c>
      <c r="C31" s="423">
        <v>283.79000000000002</v>
      </c>
      <c r="D31" s="416">
        <v>280.30941097724229</v>
      </c>
      <c r="E31" s="416">
        <v>298.50892616070456</v>
      </c>
      <c r="F31" s="416">
        <v>315.49473731291056</v>
      </c>
      <c r="G31" s="416">
        <v>351.90212728486688</v>
      </c>
      <c r="H31" s="233">
        <f t="shared" si="4"/>
        <v>7.8768039344816021E-2</v>
      </c>
      <c r="I31" s="214"/>
      <c r="J31" s="212"/>
      <c r="K31" s="212"/>
      <c r="L31" s="212"/>
      <c r="M31" s="212"/>
      <c r="N31" s="212"/>
      <c r="O31" s="5"/>
      <c r="Q31" s="5"/>
      <c r="S31" s="26"/>
      <c r="T31" s="26"/>
      <c r="U31" s="26"/>
      <c r="V31" s="113" t="s">
        <v>390</v>
      </c>
      <c r="W31" s="242">
        <f t="shared" si="6"/>
        <v>0.50409837707714855</v>
      </c>
      <c r="X31" s="242">
        <v>1</v>
      </c>
    </row>
    <row r="32" spans="2:24">
      <c r="B32" s="5" t="s">
        <v>506</v>
      </c>
      <c r="C32" s="424">
        <v>0</v>
      </c>
      <c r="D32" s="416">
        <v>0</v>
      </c>
      <c r="E32" s="416">
        <v>0</v>
      </c>
      <c r="F32" s="416">
        <v>0</v>
      </c>
      <c r="G32" s="416">
        <v>100</v>
      </c>
      <c r="H32" s="233" t="str">
        <f t="shared" si="4"/>
        <v>nm</v>
      </c>
      <c r="I32" s="214"/>
      <c r="J32" s="214"/>
      <c r="K32" s="214"/>
      <c r="L32" s="214"/>
      <c r="M32" s="214"/>
      <c r="N32" s="214"/>
      <c r="O32" s="211"/>
      <c r="Q32" s="5"/>
      <c r="S32" s="26"/>
      <c r="T32" s="26"/>
      <c r="U32" s="26"/>
      <c r="V32" s="113" t="s">
        <v>437</v>
      </c>
      <c r="W32" s="242">
        <f t="shared" si="6"/>
        <v>0.67287724868304954</v>
      </c>
      <c r="X32" s="242">
        <v>1</v>
      </c>
    </row>
    <row r="33" spans="2:24">
      <c r="B33" s="5" t="s">
        <v>3</v>
      </c>
      <c r="C33" s="423">
        <v>201.2</v>
      </c>
      <c r="D33" s="416">
        <v>184.18647506667696</v>
      </c>
      <c r="E33" s="416">
        <v>144.3783245170261</v>
      </c>
      <c r="F33" s="416">
        <v>104.82815991299321</v>
      </c>
      <c r="G33" s="416">
        <v>65.210548704457068</v>
      </c>
      <c r="H33" s="233">
        <f>IF(D33=0,"nm",IF(G33=0,"nm",(G33/D33)^(1/3)-1))</f>
        <v>-0.29256473368390579</v>
      </c>
      <c r="I33" s="5"/>
      <c r="J33" s="214"/>
      <c r="K33" s="214"/>
      <c r="L33" s="214"/>
      <c r="M33" s="214"/>
      <c r="N33" s="214"/>
      <c r="O33" s="211"/>
      <c r="Q33" s="5"/>
      <c r="S33" s="26"/>
      <c r="T33" s="26"/>
      <c r="U33" s="26"/>
      <c r="V33" s="113" t="s">
        <v>481</v>
      </c>
      <c r="W33" s="242">
        <f t="shared" si="6"/>
        <v>0.91778562078642612</v>
      </c>
      <c r="X33" s="242">
        <v>1</v>
      </c>
    </row>
    <row r="34" spans="2:24">
      <c r="D34" s="5"/>
      <c r="E34" s="5"/>
      <c r="F34" s="5"/>
      <c r="G34" s="5"/>
      <c r="I34" s="33"/>
      <c r="J34" s="214"/>
      <c r="K34" s="214"/>
      <c r="L34" s="214"/>
      <c r="M34" s="214"/>
      <c r="N34" s="214"/>
      <c r="O34" s="211"/>
      <c r="Q34" s="5"/>
      <c r="S34" s="26"/>
      <c r="T34" s="26"/>
      <c r="U34" s="26"/>
      <c r="V34" s="113" t="s">
        <v>482</v>
      </c>
      <c r="W34" s="242">
        <f>D47/L19</f>
        <v>1.9837397727764503</v>
      </c>
      <c r="X34" s="242">
        <v>1</v>
      </c>
    </row>
    <row r="35" spans="2:24" ht="12.6" thickBot="1">
      <c r="B35" s="249" t="s">
        <v>543</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0.9097663268873476</v>
      </c>
      <c r="E37" s="406">
        <f t="shared" ref="E37:G41" si="8">E$18/E23</f>
        <v>0.84247498212698091</v>
      </c>
      <c r="F37" s="406">
        <f t="shared" si="8"/>
        <v>0.77458798633187576</v>
      </c>
      <c r="G37" s="406">
        <f t="shared" si="8"/>
        <v>0.70577985876227933</v>
      </c>
      <c r="H37" s="13">
        <f t="shared" ref="H37:H45" si="9">H23</f>
        <v>1.4640918096157085E-2</v>
      </c>
      <c r="I37" s="5"/>
      <c r="J37" s="217"/>
      <c r="K37" s="217"/>
      <c r="L37" s="217"/>
      <c r="M37" s="217"/>
      <c r="N37" s="217"/>
      <c r="O37" s="14"/>
      <c r="Q37" s="5"/>
      <c r="R37" s="5"/>
      <c r="S37" s="26"/>
      <c r="T37" s="26"/>
      <c r="U37" s="26"/>
      <c r="V37" s="26"/>
      <c r="W37" s="26"/>
      <c r="X37" s="26"/>
    </row>
    <row r="38" spans="2:24">
      <c r="B38" s="5" t="s">
        <v>158</v>
      </c>
      <c r="C38" s="207"/>
      <c r="D38" s="406">
        <f>D$18/D24</f>
        <v>3.8517392552326473</v>
      </c>
      <c r="E38" s="406">
        <f t="shared" si="8"/>
        <v>3.5086077083416281</v>
      </c>
      <c r="F38" s="406">
        <f t="shared" si="8"/>
        <v>3.2054511381459023</v>
      </c>
      <c r="G38" s="406">
        <f t="shared" si="8"/>
        <v>2.9022950292824317</v>
      </c>
      <c r="H38" s="13">
        <f t="shared" si="9"/>
        <v>2.4543998593794969E-2</v>
      </c>
      <c r="I38" s="217"/>
      <c r="J38" s="13"/>
      <c r="K38" s="13"/>
      <c r="L38" s="13"/>
      <c r="M38" s="13"/>
      <c r="N38" s="13"/>
      <c r="O38" s="5"/>
      <c r="Q38" s="5"/>
      <c r="R38" s="5"/>
      <c r="S38" s="26"/>
      <c r="T38" s="26"/>
      <c r="U38" s="26"/>
      <c r="V38" s="26"/>
      <c r="W38" s="26"/>
      <c r="X38" s="26"/>
    </row>
    <row r="39" spans="2:24">
      <c r="B39" s="5" t="s">
        <v>159</v>
      </c>
      <c r="C39" s="207"/>
      <c r="D39" s="406">
        <f>D$18/D25</f>
        <v>7.877621476984773</v>
      </c>
      <c r="E39" s="406">
        <f t="shared" si="8"/>
        <v>7.033629630282749</v>
      </c>
      <c r="F39" s="406">
        <f t="shared" si="8"/>
        <v>6.3656786781023165</v>
      </c>
      <c r="G39" s="406">
        <f t="shared" si="8"/>
        <v>5.7104983992011284</v>
      </c>
      <c r="H39" s="13">
        <f t="shared" si="9"/>
        <v>3.7845097303092379E-2</v>
      </c>
      <c r="I39" s="13"/>
      <c r="J39" s="5"/>
      <c r="K39" s="5"/>
      <c r="L39" s="5"/>
      <c r="M39" s="5"/>
      <c r="N39" s="5"/>
      <c r="O39" s="5"/>
      <c r="Q39" s="5"/>
      <c r="R39" s="5"/>
      <c r="S39" s="26"/>
      <c r="T39" s="26"/>
      <c r="U39" s="26"/>
      <c r="V39" s="26"/>
      <c r="W39" s="26"/>
      <c r="X39" s="26"/>
    </row>
    <row r="40" spans="2:24">
      <c r="B40" s="5" t="s">
        <v>381</v>
      </c>
      <c r="C40" s="207"/>
      <c r="D40" s="406">
        <f>D$18/D26</f>
        <v>10.912676989660254</v>
      </c>
      <c r="E40" s="406">
        <f t="shared" si="8"/>
        <v>9.7435156594447125</v>
      </c>
      <c r="F40" s="406">
        <f t="shared" si="8"/>
        <v>8.8182194888458874</v>
      </c>
      <c r="G40" s="406">
        <f t="shared" si="8"/>
        <v>7.91061422061449</v>
      </c>
      <c r="H40" s="13">
        <f t="shared" si="9"/>
        <v>3.7845097303092379E-2</v>
      </c>
      <c r="I40" s="5"/>
      <c r="J40" s="217"/>
      <c r="K40" s="217"/>
      <c r="L40" s="217"/>
      <c r="M40" s="217"/>
      <c r="N40" s="217"/>
      <c r="O40" s="14"/>
      <c r="Q40" s="5"/>
      <c r="R40" s="5"/>
      <c r="S40" s="26"/>
      <c r="T40" s="26"/>
      <c r="U40" s="26"/>
      <c r="V40" s="26"/>
      <c r="W40" s="242"/>
      <c r="X40" s="242"/>
    </row>
    <row r="41" spans="2:24">
      <c r="B41" s="5" t="s">
        <v>434</v>
      </c>
      <c r="C41" s="207"/>
      <c r="D41" s="406">
        <f>D$18/D27</f>
        <v>1.0188739789511501</v>
      </c>
      <c r="E41" s="406">
        <f t="shared" si="8"/>
        <v>0.96365603341697059</v>
      </c>
      <c r="F41" s="406">
        <f t="shared" si="8"/>
        <v>0.89764179032250535</v>
      </c>
      <c r="G41" s="406">
        <f t="shared" si="8"/>
        <v>0.82324156954325356</v>
      </c>
      <c r="H41" s="13">
        <f t="shared" si="9"/>
        <v>9.7500454154819671E-4</v>
      </c>
      <c r="I41" s="207"/>
      <c r="J41" s="13"/>
      <c r="K41" s="13"/>
      <c r="L41" s="13"/>
      <c r="M41" s="13"/>
      <c r="N41" s="13"/>
      <c r="O41" s="5"/>
      <c r="Q41" s="5"/>
      <c r="R41" s="5"/>
      <c r="S41" s="26"/>
      <c r="T41" s="26"/>
      <c r="U41" s="26"/>
      <c r="V41" s="26"/>
      <c r="W41" s="242"/>
      <c r="X41" s="242"/>
    </row>
    <row r="42" spans="2:24">
      <c r="B42" s="5" t="s">
        <v>493</v>
      </c>
      <c r="C42" s="207"/>
      <c r="D42" s="406">
        <f>D18/D28</f>
        <v>1.383435379623466</v>
      </c>
      <c r="E42" s="406">
        <f>E18/E28</f>
        <v>1.3497400726767097</v>
      </c>
      <c r="F42" s="406">
        <f>F18/F28</f>
        <v>1.2960951088798762</v>
      </c>
      <c r="G42" s="406">
        <f>G18/G28</f>
        <v>1.2242023465348764</v>
      </c>
      <c r="H42" s="13">
        <f t="shared" si="9"/>
        <v>-2.8907209340590212E-2</v>
      </c>
      <c r="I42" s="208"/>
      <c r="J42" s="5"/>
      <c r="K42" s="5"/>
      <c r="L42" s="5"/>
      <c r="M42" s="5"/>
      <c r="N42" s="5"/>
      <c r="O42" s="5"/>
      <c r="Q42" s="5"/>
      <c r="R42" s="5"/>
      <c r="S42" s="26"/>
      <c r="T42" s="26"/>
      <c r="U42" s="26"/>
      <c r="V42" s="26"/>
      <c r="W42" s="242"/>
      <c r="X42" s="242"/>
    </row>
    <row r="43" spans="2:24">
      <c r="B43" s="5" t="s">
        <v>390</v>
      </c>
      <c r="C43" s="207"/>
      <c r="D43" s="406">
        <f>L26/D29</f>
        <v>8.1106150767075746</v>
      </c>
      <c r="E43" s="406">
        <f>M26/E29</f>
        <v>7.9722521885807245</v>
      </c>
      <c r="F43" s="406">
        <f>N26/F29</f>
        <v>7.6002729022650746</v>
      </c>
      <c r="G43" s="406">
        <f>O26/G29</f>
        <v>7.1847839328575906</v>
      </c>
      <c r="H43" s="13">
        <f t="shared" si="9"/>
        <v>2.716349007086416E-2</v>
      </c>
      <c r="I43" s="207"/>
      <c r="J43" s="207"/>
      <c r="K43" s="207"/>
      <c r="L43" s="207"/>
      <c r="M43" s="207"/>
      <c r="N43" s="207"/>
      <c r="O43" s="14"/>
      <c r="Q43" s="5"/>
      <c r="R43" s="5"/>
      <c r="S43" s="26"/>
      <c r="T43" s="26"/>
      <c r="U43" s="26"/>
      <c r="V43" s="26"/>
      <c r="W43" s="242"/>
      <c r="X43" s="242"/>
    </row>
    <row r="44" spans="2:24">
      <c r="B44" s="5" t="s">
        <v>437</v>
      </c>
      <c r="C44" s="53"/>
      <c r="D44" s="406">
        <f>D11/D30</f>
        <v>11.610774356435321</v>
      </c>
      <c r="E44" s="406">
        <f>E11/E30</f>
        <v>8.7966072943422855</v>
      </c>
      <c r="F44" s="406">
        <f>F11/F30</f>
        <v>7.366407850124066</v>
      </c>
      <c r="G44" s="406">
        <f>G11/G30</f>
        <v>6.3859814494452412</v>
      </c>
      <c r="H44" s="13">
        <f t="shared" si="9"/>
        <v>0.20403023336979231</v>
      </c>
      <c r="I44" s="207"/>
      <c r="J44" s="208"/>
      <c r="K44" s="208"/>
      <c r="L44" s="208"/>
      <c r="M44" s="208"/>
      <c r="N44" s="208"/>
      <c r="O44" s="208"/>
      <c r="Q44" s="5"/>
      <c r="R44" s="5"/>
      <c r="S44" s="26"/>
      <c r="T44" s="26"/>
      <c r="U44" s="26"/>
      <c r="V44" s="26"/>
      <c r="W44" s="255"/>
      <c r="X44" s="255"/>
    </row>
    <row r="45" spans="2:24">
      <c r="B45" s="5" t="s">
        <v>481</v>
      </c>
      <c r="C45" s="207"/>
      <c r="D45" s="208">
        <f>D31/D11</f>
        <v>3.9156626506024104E-2</v>
      </c>
      <c r="E45" s="208">
        <f>E31/E11</f>
        <v>4.2168674698795185E-2</v>
      </c>
      <c r="F45" s="208">
        <f>F31/F11</f>
        <v>4.5180722891566265E-2</v>
      </c>
      <c r="G45" s="208">
        <f>G31/G11</f>
        <v>5.1204819277108439E-2</v>
      </c>
      <c r="H45" s="13">
        <f t="shared" si="9"/>
        <v>7.8768039344816021E-2</v>
      </c>
      <c r="I45" s="208"/>
      <c r="J45" s="207"/>
      <c r="K45" s="207"/>
      <c r="L45" s="207"/>
      <c r="M45" s="207"/>
      <c r="N45" s="207"/>
      <c r="O45" s="208"/>
      <c r="Q45" s="5"/>
      <c r="R45" s="5"/>
      <c r="S45" s="26"/>
      <c r="T45" s="26"/>
      <c r="U45" s="26"/>
      <c r="V45" s="26"/>
      <c r="W45" s="26"/>
      <c r="X45" s="26"/>
    </row>
    <row r="46" spans="2:24">
      <c r="B46" s="5" t="s">
        <v>505</v>
      </c>
      <c r="C46" s="207"/>
      <c r="D46" s="208">
        <f>(D31+D32)/D11</f>
        <v>3.9156626506024104E-2</v>
      </c>
      <c r="E46" s="208">
        <f>(E31+E32)/E11</f>
        <v>4.2168674698795185E-2</v>
      </c>
      <c r="F46" s="208">
        <f>(F31+F32)/F11</f>
        <v>4.5180722891566265E-2</v>
      </c>
      <c r="G46" s="208">
        <f>(G31+G32)/G11</f>
        <v>6.5755688768061482E-2</v>
      </c>
      <c r="H46" s="233">
        <f>((G31+G32)/(D31+D32))^(1/3)-1</f>
        <v>0.17256133412078922</v>
      </c>
      <c r="I46" s="207"/>
      <c r="J46" s="207"/>
      <c r="K46" s="207"/>
      <c r="L46" s="207"/>
      <c r="M46" s="207"/>
      <c r="N46" s="207"/>
      <c r="O46" s="14"/>
      <c r="Q46" s="5"/>
      <c r="R46" s="5"/>
      <c r="S46" s="26"/>
      <c r="T46" s="26"/>
      <c r="U46" s="26"/>
      <c r="V46" s="26"/>
      <c r="W46" s="26"/>
      <c r="X46" s="26"/>
    </row>
    <row r="47" spans="2:24">
      <c r="B47" s="5" t="s">
        <v>482</v>
      </c>
      <c r="C47" s="5"/>
      <c r="D47" s="208">
        <f>1/D43</f>
        <v>0.12329521134245965</v>
      </c>
      <c r="E47" s="208">
        <f>1/E43</f>
        <v>0.12543506857853515</v>
      </c>
      <c r="F47" s="208">
        <f>1/F43</f>
        <v>0.13157422277586567</v>
      </c>
      <c r="G47" s="208">
        <f>1/G43</f>
        <v>0.13918303032423576</v>
      </c>
      <c r="H47" s="13">
        <f>H29</f>
        <v>2.716349007086416E-2</v>
      </c>
      <c r="I47" s="13"/>
      <c r="J47" s="208"/>
      <c r="K47" s="208"/>
      <c r="L47" s="208"/>
      <c r="M47" s="208"/>
      <c r="N47" s="208"/>
      <c r="O47" s="208"/>
      <c r="Q47" s="5"/>
      <c r="R47" s="5"/>
      <c r="S47" s="26"/>
      <c r="T47" s="26"/>
      <c r="U47" s="26"/>
      <c r="V47" s="26"/>
      <c r="W47" s="26"/>
      <c r="X47" s="26"/>
    </row>
    <row r="48" spans="2:24">
      <c r="B48" s="5" t="s">
        <v>518</v>
      </c>
      <c r="C48" s="5"/>
      <c r="D48" s="248">
        <f>D31/D29</f>
        <v>0.31758432529276653</v>
      </c>
      <c r="E48" s="248">
        <f>E31/E29</f>
        <v>0.33617930915701855</v>
      </c>
      <c r="F48" s="248">
        <f>F31/F29</f>
        <v>0.34338582389751843</v>
      </c>
      <c r="G48" s="248">
        <f>G31/G29</f>
        <v>0.36789556282704533</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2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219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1093</v>
      </c>
      <c r="K7" s="249"/>
      <c r="L7" s="219" t="str">
        <f>L5</f>
        <v>2025E</v>
      </c>
      <c r="M7" s="219" t="str">
        <f t="shared" ref="M7:P7" si="1">M5</f>
        <v>2026E</v>
      </c>
      <c r="N7" s="219" t="str">
        <f t="shared" si="1"/>
        <v>2027E</v>
      </c>
      <c r="O7" s="219" t="str">
        <f t="shared" si="1"/>
        <v>2028E</v>
      </c>
      <c r="P7" s="219" t="str">
        <f t="shared" si="1"/>
        <v>2025-28</v>
      </c>
    </row>
    <row r="8" spans="2:44" ht="12.6" thickTop="1">
      <c r="B8" s="25"/>
      <c r="D8" s="188"/>
      <c r="E8" s="188"/>
      <c r="F8" s="188"/>
      <c r="G8" s="188"/>
      <c r="H8" s="207"/>
      <c r="I8" s="5"/>
      <c r="J8" s="5"/>
      <c r="K8" s="5"/>
      <c r="L8" s="5"/>
      <c r="M8" s="5"/>
      <c r="N8" s="5"/>
    </row>
    <row r="9" spans="2:44">
      <c r="B9" s="25" t="s">
        <v>1142</v>
      </c>
      <c r="C9" s="221">
        <f>Prices!C26</f>
        <v>11.97</v>
      </c>
      <c r="D9" s="410">
        <v>160.30099999999999</v>
      </c>
      <c r="E9" s="410">
        <v>161.97382361998547</v>
      </c>
      <c r="F9" s="410">
        <v>163.64664723997092</v>
      </c>
      <c r="G9" s="410">
        <v>165.3194708599564</v>
      </c>
      <c r="H9" s="207"/>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25" t="s">
        <v>1272</v>
      </c>
      <c r="C10" s="221">
        <f>Prices!C27</f>
        <v>16.84</v>
      </c>
      <c r="D10" s="408">
        <v>174.50200000000001</v>
      </c>
      <c r="E10" s="408">
        <v>176.3230183800145</v>
      </c>
      <c r="F10" s="408">
        <v>178.144036760029</v>
      </c>
      <c r="G10" s="408">
        <v>179.96505514004352</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(D10*$C$10)+($C$9*D9)</f>
        <v>4857.4166500000001</v>
      </c>
      <c r="E11" s="409">
        <f t="shared" ref="E11:G11" si="2">(E10*$C$10)+($C$9*E9)</f>
        <v>4908.1062982506701</v>
      </c>
      <c r="F11" s="409">
        <f t="shared" si="2"/>
        <v>4958.79594650134</v>
      </c>
      <c r="G11" s="409">
        <f t="shared" si="2"/>
        <v>5009.4855947520109</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6597.3</v>
      </c>
      <c r="E12" s="410">
        <v>7555.6251942784438</v>
      </c>
      <c r="F12" s="410">
        <v>15940.479579533408</v>
      </c>
      <c r="G12" s="410">
        <v>15508.30517046965</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0</v>
      </c>
      <c r="E13" s="410">
        <v>0</v>
      </c>
      <c r="F13" s="410">
        <v>0</v>
      </c>
      <c r="G13" s="410">
        <v>0</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20">
        <v>7055.9097084741397</v>
      </c>
      <c r="E14" s="420">
        <v>7055.9097084741397</v>
      </c>
      <c r="F14" s="420">
        <v>7055.9097084741397</v>
      </c>
      <c r="G14" s="420">
        <v>7055.9097084741397</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16"/>
      <c r="D15" s="420">
        <v>0</v>
      </c>
      <c r="E15" s="420">
        <v>0</v>
      </c>
      <c r="F15" s="420">
        <v>0</v>
      </c>
      <c r="G15" s="420">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0</v>
      </c>
      <c r="F16" s="410">
        <v>0</v>
      </c>
      <c r="G16" s="410">
        <v>0</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117.44051200000001</v>
      </c>
      <c r="E17" s="410">
        <v>117.44051200000001</v>
      </c>
      <c r="F17" s="410">
        <v>117.44051200000001</v>
      </c>
      <c r="G17" s="410">
        <v>117.44051200000001</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4281.3664295258604</v>
      </c>
      <c r="E18" s="411">
        <f>E11+E12+E13-E14+E15-E16-E17</f>
        <v>5290.381272054974</v>
      </c>
      <c r="F18" s="411">
        <f>F11+F12+F13-F14+F15-F16-F17</f>
        <v>13725.925305560608</v>
      </c>
      <c r="G18" s="411">
        <f>G11+G12+G13-G14+G15-G16-G17</f>
        <v>13344.44054474752</v>
      </c>
      <c r="H18" s="230">
        <f>IF(D18=0,"nm",IF(G18=0,"nm",(G18/D18)^(1/3)-1))</f>
        <v>0.46073910979991961</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756</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4341.7611025986926</v>
      </c>
      <c r="D23" s="416">
        <v>4878.5</v>
      </c>
      <c r="E23" s="416">
        <v>4943.8838877469043</v>
      </c>
      <c r="F23" s="416">
        <v>9259.1264186170447</v>
      </c>
      <c r="G23" s="416">
        <v>9152.9468277685301</v>
      </c>
      <c r="H23" s="233">
        <f t="shared" ref="H23:H32" si="4">IF(D23=0,"nm",IF(G23=0,"nm",(G23/D23)^(1/3)-1))</f>
        <v>0.23336478233878566</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1159.8007209015643</v>
      </c>
      <c r="D24" s="416">
        <v>1302</v>
      </c>
      <c r="E24" s="416">
        <v>1436.1591524549676</v>
      </c>
      <c r="F24" s="416">
        <v>2790.5735246494401</v>
      </c>
      <c r="G24" s="416">
        <v>2818.1524853425417</v>
      </c>
      <c r="H24" s="233">
        <f t="shared" si="4"/>
        <v>0.29355381567250971</v>
      </c>
      <c r="I24" s="209"/>
      <c r="J24" s="13"/>
      <c r="K24" s="13"/>
      <c r="L24" s="13"/>
      <c r="M24" s="13"/>
      <c r="N24" s="13"/>
      <c r="O24" s="208"/>
      <c r="S24" s="72"/>
      <c r="T24" s="26"/>
      <c r="U24" s="26"/>
      <c r="V24" s="26"/>
      <c r="W24" s="26" t="s">
        <v>65</v>
      </c>
      <c r="X24" s="26" t="s">
        <v>206</v>
      </c>
    </row>
    <row r="25" spans="2:24">
      <c r="B25" s="5" t="s">
        <v>157</v>
      </c>
      <c r="C25" s="422">
        <v>97.761965937175091</v>
      </c>
      <c r="D25" s="416">
        <v>-87.799999999999955</v>
      </c>
      <c r="E25" s="416">
        <v>100.97745489655676</v>
      </c>
      <c r="F25" s="416">
        <v>1167.0820877598258</v>
      </c>
      <c r="G25" s="416">
        <v>1263.9762334702225</v>
      </c>
      <c r="H25" s="233">
        <f t="shared" si="4"/>
        <v>-3.4326602794785916</v>
      </c>
      <c r="I25" s="208"/>
      <c r="J25" s="207" t="s">
        <v>8</v>
      </c>
      <c r="K25" s="207"/>
      <c r="L25" s="252">
        <v>-146.80064000000016</v>
      </c>
      <c r="M25" s="252">
        <v>0</v>
      </c>
      <c r="N25" s="252">
        <v>0</v>
      </c>
      <c r="O25" s="252">
        <v>0</v>
      </c>
      <c r="P25" s="233" t="str">
        <f>IF(L25=0,"nm",IF(O25=0,"nm",(O25/L25)^(1/3)-1))</f>
        <v>nm</v>
      </c>
      <c r="S25" s="72"/>
      <c r="T25" s="26"/>
      <c r="U25" s="26"/>
      <c r="V25" s="113" t="s">
        <v>225</v>
      </c>
      <c r="W25" s="242">
        <f>D37/L9</f>
        <v>0.65174434972422346</v>
      </c>
      <c r="X25" s="242">
        <v>1</v>
      </c>
    </row>
    <row r="26" spans="2:24">
      <c r="B26" s="5" t="s">
        <v>487</v>
      </c>
      <c r="C26" s="422">
        <v>74.299094112253073</v>
      </c>
      <c r="D26" s="416">
        <v>-66.727999999999966</v>
      </c>
      <c r="E26" s="416">
        <v>76.74286572138314</v>
      </c>
      <c r="F26" s="416">
        <v>886.98238669746763</v>
      </c>
      <c r="G26" s="416">
        <v>960.62193743736907</v>
      </c>
      <c r="H26" s="233">
        <f t="shared" si="4"/>
        <v>-3.4326602794785916</v>
      </c>
      <c r="I26" s="209"/>
      <c r="J26" s="209" t="s">
        <v>9</v>
      </c>
      <c r="K26" s="209"/>
      <c r="L26" s="235">
        <f>D11+L25</f>
        <v>4710.6160099999997</v>
      </c>
      <c r="M26" s="235">
        <f>E11+M25</f>
        <v>4908.1062982506701</v>
      </c>
      <c r="N26" s="235">
        <f>F11+N25</f>
        <v>4958.79594650134</v>
      </c>
      <c r="O26" s="235">
        <f>G11+O25</f>
        <v>5009.4855947520109</v>
      </c>
      <c r="P26" s="233">
        <f>IF(L26=0,"nm",IF(O26=0,"nm",(O26/L26)^(1/3)-1))</f>
        <v>2.0716517673653678E-2</v>
      </c>
      <c r="Q26" s="5"/>
      <c r="S26" s="72"/>
      <c r="T26" s="26"/>
      <c r="U26" s="26"/>
      <c r="V26" s="113" t="s">
        <v>158</v>
      </c>
      <c r="W26" s="242">
        <f t="shared" ref="W26:W33" si="6">D38/L10</f>
        <v>0.49319314416068966</v>
      </c>
      <c r="X26" s="242">
        <v>1</v>
      </c>
    </row>
    <row r="27" spans="2:24">
      <c r="B27" s="5" t="s">
        <v>488</v>
      </c>
      <c r="C27" s="422">
        <v>16906.678336031822</v>
      </c>
      <c r="D27" s="416">
        <v>17731.260519879121</v>
      </c>
      <c r="E27" s="416">
        <v>18689.585714157562</v>
      </c>
      <c r="F27" s="416">
        <v>27074.440099412528</v>
      </c>
      <c r="G27" s="416">
        <v>26642.26569034877</v>
      </c>
      <c r="H27" s="233">
        <f t="shared" si="4"/>
        <v>0.14536484236769964</v>
      </c>
      <c r="I27" s="209"/>
      <c r="J27" s="208"/>
      <c r="K27" s="208"/>
      <c r="L27" s="208"/>
      <c r="M27" s="208"/>
      <c r="N27" s="208"/>
      <c r="O27" s="208"/>
      <c r="Q27" s="25"/>
      <c r="S27" s="72"/>
      <c r="T27" s="26"/>
      <c r="U27" s="26"/>
      <c r="V27" s="113" t="s">
        <v>159</v>
      </c>
      <c r="W27" s="242">
        <f t="shared" si="6"/>
        <v>-3.1021409092466063</v>
      </c>
      <c r="X27" s="242">
        <v>1</v>
      </c>
    </row>
    <row r="28" spans="2:24" ht="12.6" thickBot="1">
      <c r="B28" s="5" t="s">
        <v>492</v>
      </c>
      <c r="C28" s="422">
        <v>14459.777523711673</v>
      </c>
      <c r="D28" s="416">
        <v>15101.549300392264</v>
      </c>
      <c r="E28" s="416">
        <v>15101.549300392264</v>
      </c>
      <c r="F28" s="416">
        <v>15101.549300392264</v>
      </c>
      <c r="G28" s="416">
        <v>15101.549300392264</v>
      </c>
      <c r="H28" s="233">
        <f t="shared" si="4"/>
        <v>0</v>
      </c>
      <c r="I28" s="208"/>
      <c r="J28" s="249" t="s">
        <v>1073</v>
      </c>
      <c r="K28" s="249"/>
      <c r="L28" s="249"/>
      <c r="M28" s="249"/>
      <c r="N28" s="220"/>
      <c r="O28" s="220"/>
      <c r="P28" s="220"/>
      <c r="Q28" s="5"/>
      <c r="S28" s="72"/>
      <c r="T28" s="26"/>
      <c r="U28" s="26"/>
      <c r="V28" s="113" t="s">
        <v>381</v>
      </c>
      <c r="W28" s="242">
        <f t="shared" si="6"/>
        <v>-3.0365244363045267</v>
      </c>
      <c r="X28" s="242">
        <v>1</v>
      </c>
    </row>
    <row r="29" spans="2:24" ht="12.6" thickTop="1">
      <c r="B29" s="5" t="s">
        <v>489</v>
      </c>
      <c r="C29" s="422">
        <v>-391.38051657108895</v>
      </c>
      <c r="D29" s="416">
        <v>35.01112877418182</v>
      </c>
      <c r="E29" s="416">
        <v>80.572780015471835</v>
      </c>
      <c r="F29" s="416">
        <v>77.303614811948876</v>
      </c>
      <c r="G29" s="416">
        <v>13.607685423011937</v>
      </c>
      <c r="H29" s="233">
        <f>IF(D29=0,"nm",IF(G29=0,"nm",(G29/D29)^(1/3)-1))</f>
        <v>-0.27021872477910835</v>
      </c>
      <c r="I29" s="212"/>
      <c r="J29" s="209"/>
      <c r="K29" s="209"/>
      <c r="L29" s="209"/>
      <c r="M29" s="209"/>
      <c r="N29" s="209"/>
      <c r="O29" s="211"/>
      <c r="Q29" s="5"/>
      <c r="S29" s="72"/>
      <c r="T29" s="26"/>
      <c r="U29" s="26"/>
      <c r="V29" s="113" t="s">
        <v>434</v>
      </c>
      <c r="W29" s="242">
        <f t="shared" si="6"/>
        <v>0.19921073946077622</v>
      </c>
      <c r="X29" s="242">
        <v>1</v>
      </c>
    </row>
    <row r="30" spans="2:24">
      <c r="B30" s="5" t="s">
        <v>490</v>
      </c>
      <c r="C30" s="422">
        <v>-12.625868891250093</v>
      </c>
      <c r="D30" s="416">
        <v>-1652.0274926122261</v>
      </c>
      <c r="E30" s="416">
        <v>-957.10150058028978</v>
      </c>
      <c r="F30" s="416">
        <v>-999.24324517557682</v>
      </c>
      <c r="G30" s="416">
        <v>-919.36000317867672</v>
      </c>
      <c r="H30" s="233">
        <f t="shared" si="4"/>
        <v>-0.17746173303300705</v>
      </c>
      <c r="I30" s="214"/>
      <c r="J30" s="208"/>
      <c r="K30" s="208"/>
      <c r="L30" s="208"/>
      <c r="M30" s="208"/>
      <c r="N30" s="208"/>
      <c r="O30" s="5"/>
      <c r="Q30" s="5"/>
      <c r="S30" s="72"/>
      <c r="T30" s="26"/>
      <c r="U30" s="26"/>
      <c r="V30" s="113" t="s">
        <v>493</v>
      </c>
      <c r="W30" s="242">
        <f t="shared" si="6"/>
        <v>9.4613243395669247E-2</v>
      </c>
      <c r="X30" s="242">
        <v>1</v>
      </c>
    </row>
    <row r="31" spans="2:24">
      <c r="B31" s="5" t="s">
        <v>491</v>
      </c>
      <c r="C31" s="422">
        <v>0</v>
      </c>
      <c r="D31" s="416">
        <v>0</v>
      </c>
      <c r="E31" s="416">
        <v>0</v>
      </c>
      <c r="F31" s="416">
        <v>0</v>
      </c>
      <c r="G31" s="416">
        <v>0</v>
      </c>
      <c r="H31" s="233" t="str">
        <f t="shared" si="4"/>
        <v>nm</v>
      </c>
      <c r="I31" s="214"/>
      <c r="J31" s="212"/>
      <c r="K31" s="212"/>
      <c r="L31" s="212"/>
      <c r="M31" s="212"/>
      <c r="N31" s="212"/>
      <c r="O31" s="5"/>
      <c r="Q31" s="5"/>
      <c r="S31" s="72"/>
      <c r="T31" s="26"/>
      <c r="U31" s="26"/>
      <c r="V31" s="113" t="s">
        <v>390</v>
      </c>
      <c r="W31" s="242">
        <f t="shared" si="6"/>
        <v>6.5636792643446951</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-0.12463662902378669</v>
      </c>
      <c r="X32" s="242">
        <v>1</v>
      </c>
    </row>
    <row r="33" spans="2:24">
      <c r="B33" s="5" t="s">
        <v>3</v>
      </c>
      <c r="C33" s="422">
        <v>110</v>
      </c>
      <c r="D33" s="416">
        <v>209.35971800089695</v>
      </c>
      <c r="E33" s="416">
        <v>227.33060172866726</v>
      </c>
      <c r="F33" s="416">
        <v>232.74079701391742</v>
      </c>
      <c r="G33" s="416">
        <v>330.24934404722745</v>
      </c>
      <c r="H33" s="233">
        <f>IF(D33=0,"nm",IF(G33=0,"nm",(G33/D33)^(1/3)-1))</f>
        <v>0.16408031798663658</v>
      </c>
      <c r="I33" s="5"/>
      <c r="J33" s="214"/>
      <c r="K33" s="214"/>
      <c r="L33" s="214"/>
      <c r="M33" s="214"/>
      <c r="N33" s="214"/>
      <c r="O33" s="211"/>
      <c r="Q33" s="5"/>
      <c r="S33" s="72"/>
      <c r="T33" s="26"/>
      <c r="U33" s="26"/>
      <c r="V33" s="113" t="s">
        <v>481</v>
      </c>
      <c r="W33" s="242">
        <f t="shared" si="6"/>
        <v>0</v>
      </c>
      <c r="X33" s="242">
        <v>1</v>
      </c>
    </row>
    <row r="34" spans="2:24">
      <c r="B34" s="5"/>
      <c r="C34" s="207"/>
      <c r="D34" s="13"/>
      <c r="E34" s="13"/>
      <c r="F34" s="13"/>
      <c r="G34" s="13"/>
      <c r="H34" s="231"/>
      <c r="I34" s="33"/>
      <c r="J34" s="214"/>
      <c r="K34" s="214"/>
      <c r="L34" s="214"/>
      <c r="M34" s="214"/>
      <c r="N34" s="214"/>
      <c r="O34" s="211"/>
      <c r="Q34" s="5"/>
      <c r="S34" s="72"/>
      <c r="T34" s="26"/>
      <c r="U34" s="26"/>
      <c r="V34" s="113" t="s">
        <v>482</v>
      </c>
      <c r="W34" s="242">
        <f>D47/L19</f>
        <v>0.15235357483602424</v>
      </c>
      <c r="X34" s="242">
        <v>1</v>
      </c>
    </row>
    <row r="35" spans="2:24" ht="12.6" thickBot="1">
      <c r="B35" s="249" t="s">
        <v>220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0.87759894015083739</v>
      </c>
      <c r="E37" s="406">
        <f t="shared" ref="E37:G41" si="8">E$18/E23</f>
        <v>1.0700860683979332</v>
      </c>
      <c r="F37" s="406">
        <f t="shared" si="8"/>
        <v>1.4824212009852578</v>
      </c>
      <c r="G37" s="406">
        <f t="shared" si="8"/>
        <v>1.457939262168845</v>
      </c>
      <c r="H37" s="13">
        <f t="shared" ref="H37:H45" si="9">H23</f>
        <v>0.23336478233878566</v>
      </c>
      <c r="I37" s="5"/>
      <c r="J37" s="217"/>
      <c r="K37" s="217"/>
      <c r="L37" s="217"/>
      <c r="M37" s="217"/>
      <c r="N37" s="217"/>
      <c r="O37" s="14"/>
      <c r="Q37" s="5"/>
      <c r="R37" s="5"/>
      <c r="S37" s="26"/>
      <c r="T37" s="26"/>
      <c r="U37" s="26"/>
      <c r="V37" s="26"/>
      <c r="W37" s="26"/>
      <c r="X37" s="26"/>
    </row>
    <row r="38" spans="2:24">
      <c r="B38" s="5" t="s">
        <v>158</v>
      </c>
      <c r="C38" s="207"/>
      <c r="D38" s="406">
        <f>D$18/D24</f>
        <v>3.288299869067481</v>
      </c>
      <c r="E38" s="406">
        <f>E$18/E24</f>
        <v>3.6837012548446366</v>
      </c>
      <c r="F38" s="406">
        <f>F$18/F24</f>
        <v>4.9186753849407703</v>
      </c>
      <c r="G38" s="406">
        <f>G$18/G24</f>
        <v>4.735173349970637</v>
      </c>
      <c r="H38" s="13">
        <f t="shared" si="9"/>
        <v>0.29355381567250971</v>
      </c>
      <c r="I38" s="217"/>
      <c r="J38" s="13"/>
      <c r="K38" s="13"/>
      <c r="L38" s="13"/>
      <c r="M38" s="13"/>
      <c r="N38" s="13"/>
      <c r="O38" s="5"/>
      <c r="Q38" s="5"/>
      <c r="R38" s="5"/>
      <c r="S38" s="26"/>
      <c r="T38" s="26"/>
      <c r="U38" s="26"/>
      <c r="V38" s="26"/>
      <c r="W38" s="26"/>
      <c r="X38" s="26"/>
    </row>
    <row r="39" spans="2:24">
      <c r="B39" s="5" t="s">
        <v>159</v>
      </c>
      <c r="C39" s="207"/>
      <c r="D39" s="406">
        <f>D$18/D25</f>
        <v>-48.762715598244448</v>
      </c>
      <c r="E39" s="406">
        <f t="shared" si="8"/>
        <v>52.391707411070541</v>
      </c>
      <c r="F39" s="406">
        <f t="shared" si="8"/>
        <v>11.760891071430162</v>
      </c>
      <c r="G39" s="406">
        <f t="shared" si="8"/>
        <v>10.557509066535701</v>
      </c>
      <c r="H39" s="13">
        <f t="shared" si="9"/>
        <v>-3.4326602794785916</v>
      </c>
      <c r="I39" s="13"/>
      <c r="J39" s="5"/>
      <c r="K39" s="5"/>
      <c r="L39" s="5"/>
      <c r="M39" s="5"/>
      <c r="N39" s="5"/>
      <c r="O39" s="5"/>
      <c r="Q39" s="5"/>
      <c r="R39" s="5"/>
      <c r="S39" s="26"/>
      <c r="T39" s="26"/>
      <c r="U39" s="26"/>
      <c r="V39" s="26"/>
      <c r="W39" s="26"/>
      <c r="X39" s="26"/>
    </row>
    <row r="40" spans="2:24">
      <c r="B40" s="5" t="s">
        <v>381</v>
      </c>
      <c r="C40" s="207"/>
      <c r="D40" s="406">
        <f>D$18/D26</f>
        <v>-64.161467892426913</v>
      </c>
      <c r="E40" s="406">
        <f t="shared" si="8"/>
        <v>68.936457119829655</v>
      </c>
      <c r="F40" s="406">
        <f t="shared" si="8"/>
        <v>15.474856672934424</v>
      </c>
      <c r="G40" s="406">
        <f t="shared" si="8"/>
        <v>13.891459298073292</v>
      </c>
      <c r="H40" s="13">
        <f t="shared" si="9"/>
        <v>-3.4326602794785916</v>
      </c>
      <c r="I40" s="5"/>
      <c r="J40" s="217"/>
      <c r="K40" s="217"/>
      <c r="L40" s="217"/>
      <c r="M40" s="217"/>
      <c r="N40" s="217"/>
      <c r="O40" s="14"/>
      <c r="Q40" s="5"/>
      <c r="R40" s="5"/>
      <c r="S40" s="26"/>
      <c r="T40" s="26"/>
      <c r="U40" s="26"/>
      <c r="V40" s="26"/>
      <c r="W40" s="242"/>
      <c r="X40" s="242"/>
    </row>
    <row r="41" spans="2:24">
      <c r="B41" s="5" t="s">
        <v>434</v>
      </c>
      <c r="C41" s="207"/>
      <c r="D41" s="406">
        <f>D$18/D27</f>
        <v>0.24145866136961186</v>
      </c>
      <c r="E41" s="406">
        <f t="shared" si="8"/>
        <v>0.28306573259392548</v>
      </c>
      <c r="F41" s="406">
        <f t="shared" si="8"/>
        <v>0.50696986734209282</v>
      </c>
      <c r="G41" s="406">
        <f t="shared" si="8"/>
        <v>0.50087483924393028</v>
      </c>
      <c r="H41" s="13">
        <f t="shared" si="9"/>
        <v>0.14536484236769964</v>
      </c>
      <c r="I41" s="207"/>
      <c r="J41" s="13"/>
      <c r="K41" s="13"/>
      <c r="L41" s="13"/>
      <c r="M41" s="13"/>
      <c r="N41" s="13"/>
      <c r="O41" s="5"/>
      <c r="Q41" s="5"/>
      <c r="R41" s="5"/>
      <c r="S41" s="26"/>
      <c r="T41" s="26"/>
      <c r="U41" s="26"/>
      <c r="V41" s="26"/>
      <c r="W41" s="242"/>
      <c r="X41" s="242"/>
    </row>
    <row r="42" spans="2:24">
      <c r="B42" s="5" t="s">
        <v>493</v>
      </c>
      <c r="C42" s="207"/>
      <c r="D42" s="406">
        <f>D18/D28</f>
        <v>0.28350511224796332</v>
      </c>
      <c r="E42" s="406">
        <f>E18/E28</f>
        <v>0.35032043181937339</v>
      </c>
      <c r="F42" s="406">
        <f>F18/F28</f>
        <v>0.90890841942979161</v>
      </c>
      <c r="G42" s="406">
        <f>G18/G28</f>
        <v>0.88364711986212552</v>
      </c>
      <c r="H42" s="13">
        <f t="shared" si="9"/>
        <v>0</v>
      </c>
      <c r="I42" s="208"/>
      <c r="J42" s="5"/>
      <c r="K42" s="5"/>
      <c r="L42" s="5"/>
      <c r="M42" s="5"/>
      <c r="N42" s="5"/>
      <c r="O42" s="5"/>
      <c r="Q42" s="5"/>
      <c r="R42" s="5"/>
      <c r="S42" s="26"/>
      <c r="T42" s="26"/>
      <c r="U42" s="26"/>
      <c r="V42" s="26"/>
      <c r="W42" s="242"/>
      <c r="X42" s="242"/>
    </row>
    <row r="43" spans="2:24">
      <c r="B43" s="5" t="s">
        <v>390</v>
      </c>
      <c r="C43" s="207"/>
      <c r="D43" s="406">
        <f>L26/D29</f>
        <v>134.54624786258645</v>
      </c>
      <c r="E43" s="406">
        <f>M26/E29</f>
        <v>60.915191176327788</v>
      </c>
      <c r="F43" s="406">
        <f>N26/F29</f>
        <v>64.147012511177621</v>
      </c>
      <c r="G43" s="406">
        <f>O26/G29</f>
        <v>368.1364933878084</v>
      </c>
      <c r="H43" s="13">
        <f t="shared" si="9"/>
        <v>-0.27021872477910835</v>
      </c>
      <c r="I43" s="207"/>
      <c r="J43" s="207"/>
      <c r="K43" s="207"/>
      <c r="L43" s="207"/>
      <c r="M43" s="207"/>
      <c r="N43" s="207"/>
      <c r="O43" s="14"/>
      <c r="Q43" s="5"/>
      <c r="R43" s="5"/>
      <c r="S43" s="26"/>
      <c r="T43" s="26"/>
      <c r="U43" s="26"/>
      <c r="V43" s="26"/>
      <c r="W43" s="242"/>
      <c r="X43" s="242"/>
    </row>
    <row r="44" spans="2:24">
      <c r="B44" s="5" t="s">
        <v>437</v>
      </c>
      <c r="C44" s="53"/>
      <c r="D44" s="406">
        <f>D11/D30</f>
        <v>-2.9402759165462404</v>
      </c>
      <c r="E44" s="406">
        <f>E11/E30</f>
        <v>-5.1280938283712745</v>
      </c>
      <c r="F44" s="406">
        <f>F11/F30</f>
        <v>-4.9625513812005115</v>
      </c>
      <c r="G44" s="406">
        <f>G11/G30</f>
        <v>-5.4488835466321914</v>
      </c>
      <c r="H44" s="13">
        <f t="shared" si="9"/>
        <v>-0.17746173303300705</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9"/>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0</v>
      </c>
      <c r="H46" s="233" t="e">
        <f>((G31+G32)/(D31+D32))^(1/3)-1</f>
        <v>#DIV/0!</v>
      </c>
      <c r="I46" s="207"/>
      <c r="J46" s="207"/>
      <c r="K46" s="207"/>
      <c r="L46" s="207"/>
      <c r="M46" s="207"/>
      <c r="N46" s="207"/>
      <c r="O46" s="14"/>
      <c r="Q46" s="5"/>
      <c r="R46" s="5"/>
      <c r="S46" s="26"/>
      <c r="T46" s="26"/>
      <c r="U46" s="26"/>
      <c r="V46" s="26"/>
      <c r="W46" s="26"/>
      <c r="X46" s="26"/>
    </row>
    <row r="47" spans="2:24">
      <c r="B47" s="5" t="s">
        <v>482</v>
      </c>
      <c r="C47" s="5"/>
      <c r="D47" s="208">
        <f>1/D43</f>
        <v>7.4323886090179999E-3</v>
      </c>
      <c r="E47" s="208">
        <f>1/E43</f>
        <v>1.6416266298916408E-2</v>
      </c>
      <c r="F47" s="208">
        <f>1/F43</f>
        <v>1.5589190530513794E-2</v>
      </c>
      <c r="G47" s="208">
        <f>1/G43</f>
        <v>2.7163837814540258E-3</v>
      </c>
      <c r="H47" s="13">
        <f>H29</f>
        <v>-0.27021872477910835</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LIBSOP!A1" display="Jump to LibertySOP" xr:uid="{00000000-0004-0000-3500-000001000000}"/>
  </hyperlinks>
  <pageMargins left="0.75" right="0.75" top="1" bottom="1" header="0.5" footer="0.5"/>
  <pageSetup scale="71"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pageSetUpPr fitToPage="1"/>
  </sheetPr>
  <dimension ref="B1:CE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83" width="9.109375" style="5"/>
    <col min="84" max="16384" width="9.109375" style="23"/>
  </cols>
  <sheetData>
    <row r="1" spans="2:83"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row>
    <row r="2" spans="2:83" s="115" customFormat="1">
      <c r="H2" s="119"/>
      <c r="P2" s="119"/>
    </row>
    <row r="3" spans="2:83" s="115" customFormat="1">
      <c r="C3" s="116"/>
      <c r="H3" s="119"/>
      <c r="P3" s="119"/>
    </row>
    <row r="4" spans="2:83" s="122" customFormat="1" ht="21">
      <c r="B4" s="100" t="s">
        <v>675</v>
      </c>
      <c r="H4" s="182"/>
      <c r="P4" s="182"/>
    </row>
    <row r="5" spans="2:8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83">
      <c r="B6" s="25"/>
      <c r="C6" s="33"/>
      <c r="D6" s="33"/>
      <c r="E6" s="33"/>
      <c r="F6" s="33"/>
      <c r="G6" s="33"/>
      <c r="H6" s="33"/>
      <c r="I6" s="33"/>
      <c r="J6" s="25"/>
      <c r="K6" s="25"/>
      <c r="L6" s="25"/>
      <c r="M6" s="25"/>
      <c r="N6" s="5"/>
      <c r="O6" s="5"/>
      <c r="P6" s="5"/>
    </row>
    <row r="7" spans="2:83"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305</v>
      </c>
      <c r="K7" s="249"/>
      <c r="L7" s="219" t="str">
        <f>L5</f>
        <v>2025E</v>
      </c>
      <c r="M7" s="219" t="str">
        <f t="shared" ref="M7:P7" si="1">M5</f>
        <v>2026E</v>
      </c>
      <c r="N7" s="219" t="str">
        <f t="shared" si="1"/>
        <v>2027E</v>
      </c>
      <c r="O7" s="219" t="str">
        <f t="shared" si="1"/>
        <v>2028E</v>
      </c>
      <c r="P7" s="219" t="str">
        <f t="shared" si="1"/>
        <v>2025-28</v>
      </c>
    </row>
    <row r="8" spans="2:83" ht="12.6" thickTop="1">
      <c r="B8" s="5"/>
      <c r="C8" s="188"/>
      <c r="D8" s="188"/>
      <c r="E8" s="188"/>
      <c r="F8" s="188"/>
      <c r="G8" s="188"/>
      <c r="H8" s="207"/>
      <c r="I8" s="5"/>
      <c r="J8" s="5"/>
      <c r="K8" s="5"/>
      <c r="L8" s="5"/>
      <c r="M8" s="5"/>
      <c r="N8" s="5"/>
    </row>
    <row r="9" spans="2:83">
      <c r="B9" s="25" t="s">
        <v>1143</v>
      </c>
      <c r="C9" s="221">
        <f>Prices!C118</f>
        <v>8.5250000000000004</v>
      </c>
      <c r="D9" s="418"/>
      <c r="E9" s="419"/>
      <c r="F9" s="419"/>
      <c r="G9" s="419"/>
      <c r="H9" s="209"/>
      <c r="I9" s="209"/>
      <c r="J9" s="5" t="s">
        <v>225</v>
      </c>
      <c r="L9" s="406" t="e">
        <f>#REF!</f>
        <v>#REF!</v>
      </c>
      <c r="M9" s="406" t="e">
        <f>#REF!</f>
        <v>#REF!</v>
      </c>
      <c r="N9" s="406" t="e">
        <f>#REF!</f>
        <v>#REF!</v>
      </c>
      <c r="O9" s="406" t="e">
        <f>#REF!</f>
        <v>#REF!</v>
      </c>
      <c r="P9" s="240" t="e">
        <f>#REF!</f>
        <v>#REF!</v>
      </c>
    </row>
    <row r="10" spans="2:83">
      <c r="B10" s="5" t="s">
        <v>226</v>
      </c>
      <c r="D10" s="408">
        <v>200</v>
      </c>
      <c r="E10" s="408">
        <v>195</v>
      </c>
      <c r="F10" s="408">
        <v>190</v>
      </c>
      <c r="G10" s="408">
        <v>185</v>
      </c>
      <c r="I10" s="207"/>
      <c r="J10" s="5" t="s">
        <v>158</v>
      </c>
      <c r="L10" s="406" t="e">
        <f>#REF!</f>
        <v>#REF!</v>
      </c>
      <c r="M10" s="406" t="e">
        <f>#REF!</f>
        <v>#REF!</v>
      </c>
      <c r="N10" s="406" t="e">
        <f>#REF!</f>
        <v>#REF!</v>
      </c>
      <c r="O10" s="406" t="e">
        <f>#REF!</f>
        <v>#REF!</v>
      </c>
      <c r="P10" s="240" t="e">
        <f>#REF!</f>
        <v>#REF!</v>
      </c>
    </row>
    <row r="11" spans="2:83">
      <c r="B11" s="25" t="s">
        <v>227</v>
      </c>
      <c r="C11" s="5"/>
      <c r="D11" s="409">
        <f>D10*$C9</f>
        <v>1705</v>
      </c>
      <c r="E11" s="409">
        <f>E10*$C9</f>
        <v>1662.375</v>
      </c>
      <c r="F11" s="409">
        <f>F10*$C9</f>
        <v>1619.75</v>
      </c>
      <c r="G11" s="409">
        <f>G10*$C9</f>
        <v>1577.125</v>
      </c>
      <c r="H11" s="209"/>
      <c r="I11" s="209"/>
      <c r="J11" s="5" t="s">
        <v>159</v>
      </c>
      <c r="L11" s="406" t="e">
        <f>#REF!</f>
        <v>#REF!</v>
      </c>
      <c r="M11" s="406" t="e">
        <f>#REF!</f>
        <v>#REF!</v>
      </c>
      <c r="N11" s="406" t="e">
        <f>#REF!</f>
        <v>#REF!</v>
      </c>
      <c r="O11" s="406" t="e">
        <f>#REF!</f>
        <v>#REF!</v>
      </c>
      <c r="P11" s="240" t="e">
        <f>#REF!</f>
        <v>#REF!</v>
      </c>
    </row>
    <row r="12" spans="2:83">
      <c r="B12" s="5" t="s">
        <v>22</v>
      </c>
      <c r="C12" s="209"/>
      <c r="D12" s="410">
        <v>7574.6</v>
      </c>
      <c r="E12" s="410">
        <v>7492.9570649629286</v>
      </c>
      <c r="F12" s="410">
        <v>7312.5281748811722</v>
      </c>
      <c r="G12" s="410">
        <v>7019.0683809148759</v>
      </c>
      <c r="H12" s="207"/>
      <c r="I12" s="207"/>
      <c r="J12" s="5" t="s">
        <v>381</v>
      </c>
      <c r="L12" s="406" t="e">
        <f>#REF!</f>
        <v>#REF!</v>
      </c>
      <c r="M12" s="406" t="e">
        <f>#REF!</f>
        <v>#REF!</v>
      </c>
      <c r="N12" s="406" t="e">
        <f>#REF!</f>
        <v>#REF!</v>
      </c>
      <c r="O12" s="406" t="e">
        <f>#REF!</f>
        <v>#REF!</v>
      </c>
      <c r="P12" s="240" t="e">
        <f>#REF!</f>
        <v>#REF!</v>
      </c>
    </row>
    <row r="13" spans="2:83">
      <c r="B13" s="5" t="s">
        <v>433</v>
      </c>
      <c r="C13" s="216"/>
      <c r="D13" s="410">
        <v>0</v>
      </c>
      <c r="E13" s="410">
        <v>0</v>
      </c>
      <c r="F13" s="410">
        <v>0</v>
      </c>
      <c r="G13" s="410">
        <v>0</v>
      </c>
      <c r="H13" s="207"/>
      <c r="I13" s="207"/>
      <c r="J13" s="5" t="s">
        <v>434</v>
      </c>
      <c r="L13" s="406" t="e">
        <f>#REF!</f>
        <v>#REF!</v>
      </c>
      <c r="M13" s="406" t="e">
        <f>#REF!</f>
        <v>#REF!</v>
      </c>
      <c r="N13" s="406" t="e">
        <f>#REF!</f>
        <v>#REF!</v>
      </c>
      <c r="O13" s="406" t="e">
        <f>#REF!</f>
        <v>#REF!</v>
      </c>
      <c r="P13" s="240" t="e">
        <f>#REF!</f>
        <v>#REF!</v>
      </c>
    </row>
    <row r="14" spans="2:83">
      <c r="B14" s="5" t="s">
        <v>435</v>
      </c>
      <c r="C14" s="216"/>
      <c r="D14" s="410">
        <v>1754.2801029205389</v>
      </c>
      <c r="E14" s="410">
        <v>1754.2801029205389</v>
      </c>
      <c r="F14" s="410">
        <v>1754.2801029205389</v>
      </c>
      <c r="G14" s="410">
        <v>1754.2801029205389</v>
      </c>
      <c r="H14" s="207"/>
      <c r="I14" s="207"/>
      <c r="J14" s="5"/>
      <c r="L14" s="406"/>
      <c r="M14" s="406"/>
      <c r="N14" s="406"/>
      <c r="O14" s="406"/>
      <c r="P14" s="240"/>
    </row>
    <row r="15" spans="2:83">
      <c r="B15" s="5" t="s">
        <v>726</v>
      </c>
      <c r="C15" s="228"/>
      <c r="D15" s="410">
        <v>0</v>
      </c>
      <c r="E15" s="410">
        <f>D15</f>
        <v>0</v>
      </c>
      <c r="F15" s="410">
        <f t="shared" ref="F15:G15" si="2">E15</f>
        <v>0</v>
      </c>
      <c r="G15" s="410">
        <f t="shared" si="2"/>
        <v>0</v>
      </c>
      <c r="H15" s="207"/>
      <c r="I15" s="207"/>
      <c r="J15" s="5" t="s">
        <v>493</v>
      </c>
      <c r="L15" s="406" t="e">
        <f>#REF!</f>
        <v>#REF!</v>
      </c>
      <c r="M15" s="406" t="e">
        <f>#REF!</f>
        <v>#REF!</v>
      </c>
      <c r="N15" s="406" t="e">
        <f>#REF!</f>
        <v>#REF!</v>
      </c>
      <c r="O15" s="406" t="e">
        <f>#REF!</f>
        <v>#REF!</v>
      </c>
      <c r="P15" s="240" t="e">
        <f>#REF!</f>
        <v>#REF!</v>
      </c>
    </row>
    <row r="16" spans="2:83">
      <c r="B16" s="5" t="s">
        <v>438</v>
      </c>
      <c r="C16" s="216"/>
      <c r="D16" s="410">
        <v>0</v>
      </c>
      <c r="E16" s="410">
        <v>0</v>
      </c>
      <c r="F16" s="410">
        <v>0</v>
      </c>
      <c r="G16" s="410">
        <v>0</v>
      </c>
      <c r="H16" s="207"/>
      <c r="I16" s="207"/>
      <c r="J16" s="5" t="s">
        <v>390</v>
      </c>
      <c r="L16" s="406" t="e">
        <f>#REF!</f>
        <v>#REF!</v>
      </c>
      <c r="M16" s="406" t="e">
        <f>#REF!</f>
        <v>#REF!</v>
      </c>
      <c r="N16" s="406" t="e">
        <f>#REF!</f>
        <v>#REF!</v>
      </c>
      <c r="O16" s="406" t="e">
        <f>#REF!</f>
        <v>#REF!</v>
      </c>
      <c r="P16" s="240" t="e">
        <f>#REF!</f>
        <v>#REF!</v>
      </c>
    </row>
    <row r="17" spans="2:24">
      <c r="B17" s="5" t="s">
        <v>4</v>
      </c>
      <c r="C17" s="216"/>
      <c r="D17" s="410">
        <v>0</v>
      </c>
      <c r="E17" s="410">
        <v>0</v>
      </c>
      <c r="F17" s="410">
        <v>0</v>
      </c>
      <c r="G17" s="410">
        <v>0</v>
      </c>
      <c r="H17" s="207"/>
      <c r="I17" s="207"/>
      <c r="J17" s="5" t="s">
        <v>437</v>
      </c>
      <c r="L17" s="406" t="e">
        <f>#REF!</f>
        <v>#REF!</v>
      </c>
      <c r="M17" s="406" t="e">
        <f>#REF!</f>
        <v>#REF!</v>
      </c>
      <c r="N17" s="406" t="e">
        <f>#REF!</f>
        <v>#REF!</v>
      </c>
      <c r="O17" s="406" t="e">
        <f>#REF!</f>
        <v>#REF!</v>
      </c>
      <c r="P17" s="240" t="e">
        <f>#REF!</f>
        <v>#REF!</v>
      </c>
      <c r="S17" s="26"/>
      <c r="T17" s="26"/>
      <c r="U17" s="26"/>
      <c r="V17" s="26"/>
      <c r="W17" s="26"/>
      <c r="X17" s="26"/>
    </row>
    <row r="18" spans="2:24" ht="12.6" thickBot="1">
      <c r="B18" s="25" t="s">
        <v>484</v>
      </c>
      <c r="C18" s="209"/>
      <c r="D18" s="411">
        <f>D11+D12+D13+D14-D15-D16-D17</f>
        <v>11033.880102920539</v>
      </c>
      <c r="E18" s="411">
        <f>E11+E12+E13+E14-E15-E16-E17</f>
        <v>10909.612167883466</v>
      </c>
      <c r="F18" s="411">
        <f>F11+F12+F13+F14-F15-F16-F17</f>
        <v>10686.558277801711</v>
      </c>
      <c r="G18" s="411">
        <f>G11+G12+G13+G14-G15-G16-G17</f>
        <v>10350.473483835414</v>
      </c>
      <c r="H18" s="259"/>
      <c r="I18" s="207"/>
      <c r="J18" s="5" t="s">
        <v>481</v>
      </c>
      <c r="L18" s="208" t="e">
        <f>#REF!</f>
        <v>#REF!</v>
      </c>
      <c r="M18" s="208" t="e">
        <f>#REF!</f>
        <v>#REF!</v>
      </c>
      <c r="N18" s="208" t="e">
        <f>#REF!</f>
        <v>#REF!</v>
      </c>
      <c r="O18" s="208" t="e">
        <f>#REF!</f>
        <v>#REF!</v>
      </c>
      <c r="P18" s="240" t="e">
        <f>#REF!</f>
        <v>#REF!</v>
      </c>
      <c r="S18" s="26"/>
      <c r="T18" s="26"/>
      <c r="U18" s="26"/>
      <c r="V18" s="26"/>
      <c r="W18" s="26"/>
      <c r="X18" s="26"/>
    </row>
    <row r="19" spans="2:24" ht="12.6" thickTop="1">
      <c r="I19" s="214"/>
      <c r="J19" s="5" t="s">
        <v>33</v>
      </c>
      <c r="L19" s="208" t="e">
        <f>#REF!</f>
        <v>#REF!</v>
      </c>
      <c r="M19" s="208" t="e">
        <f>#REF!</f>
        <v>#REF!</v>
      </c>
      <c r="N19" s="208" t="e">
        <f>#REF!</f>
        <v>#REF!</v>
      </c>
      <c r="O19" s="208" t="e">
        <f>#REF!</f>
        <v>#REF!</v>
      </c>
      <c r="P19" s="240" t="e">
        <f>#REF!</f>
        <v>#REF!</v>
      </c>
      <c r="S19" s="26"/>
      <c r="T19" s="26"/>
      <c r="U19" s="26"/>
      <c r="V19" s="26"/>
      <c r="W19" s="26"/>
      <c r="X19" s="26"/>
    </row>
    <row r="20" spans="2:24">
      <c r="I20" s="214"/>
      <c r="J20" s="5" t="s">
        <v>482</v>
      </c>
      <c r="L20" s="208" t="e">
        <f>#REF!</f>
        <v>#REF!</v>
      </c>
      <c r="M20" s="208" t="e">
        <f>#REF!</f>
        <v>#REF!</v>
      </c>
      <c r="N20" s="208" t="e">
        <f>#REF!</f>
        <v>#REF!</v>
      </c>
      <c r="O20" s="208" t="e">
        <f>#REF!</f>
        <v>#REF!</v>
      </c>
      <c r="P20" s="240" t="e">
        <f>#REF!</f>
        <v>#REF!</v>
      </c>
      <c r="S20" s="26"/>
      <c r="T20" s="26"/>
      <c r="U20" s="26"/>
      <c r="V20" s="26"/>
      <c r="W20" s="26"/>
      <c r="X20" s="26"/>
    </row>
    <row r="21" spans="2:24" ht="12.6" thickBot="1">
      <c r="B21" s="249" t="s">
        <v>758</v>
      </c>
      <c r="C21" s="260"/>
      <c r="D21" s="219" t="str">
        <f>D5</f>
        <v>2025E</v>
      </c>
      <c r="E21" s="219" t="str">
        <f>E5</f>
        <v>2026E</v>
      </c>
      <c r="F21" s="219" t="str">
        <f>F5</f>
        <v>2027E</v>
      </c>
      <c r="G21" s="219" t="str">
        <f>G5</f>
        <v>2028E</v>
      </c>
      <c r="H21" s="219" t="str">
        <f>H5</f>
        <v>2025-28</v>
      </c>
      <c r="I21" s="13"/>
      <c r="J21" s="25" t="s">
        <v>504</v>
      </c>
      <c r="L21" s="238" t="e">
        <f>#REF!</f>
        <v>#REF!</v>
      </c>
      <c r="M21" s="238" t="e">
        <f>#REF!</f>
        <v>#REF!</v>
      </c>
      <c r="N21" s="238" t="e">
        <f>#REF!</f>
        <v>#REF!</v>
      </c>
      <c r="O21" s="238" t="e">
        <f>#REF!</f>
        <v>#REF!</v>
      </c>
      <c r="P21" s="240" t="e">
        <f>#REF!</f>
        <v>#REF!</v>
      </c>
      <c r="S21" s="26"/>
      <c r="T21" s="26"/>
      <c r="U21" s="26"/>
      <c r="V21" s="26"/>
      <c r="W21" s="26"/>
      <c r="X21" s="26"/>
    </row>
    <row r="22" spans="2:24" ht="12.6" thickTop="1">
      <c r="B22" s="5"/>
      <c r="C22" s="254"/>
      <c r="D22" s="13"/>
      <c r="E22" s="13"/>
      <c r="F22" s="13"/>
      <c r="G22" s="13"/>
      <c r="H22" s="13"/>
      <c r="I22" s="33"/>
      <c r="J22" s="25"/>
      <c r="L22" s="210"/>
      <c r="M22" s="210"/>
      <c r="N22" s="210"/>
      <c r="O22" s="210"/>
      <c r="P22" s="240"/>
      <c r="S22" s="26"/>
      <c r="T22" s="26"/>
      <c r="U22" s="26"/>
      <c r="V22" s="26"/>
      <c r="W22" s="26"/>
      <c r="X22" s="26"/>
    </row>
    <row r="23" spans="2:24" ht="12.6" thickBot="1">
      <c r="B23" s="5" t="s">
        <v>485</v>
      </c>
      <c r="C23" s="422">
        <v>4446.8</v>
      </c>
      <c r="D23" s="416">
        <v>4442.2</v>
      </c>
      <c r="E23" s="416">
        <v>4478.8522387857474</v>
      </c>
      <c r="F23" s="416">
        <v>4606.6443823949439</v>
      </c>
      <c r="G23" s="416">
        <v>4742.9049527232128</v>
      </c>
      <c r="H23" s="240">
        <f t="shared" ref="H23:H31" si="3">IF(D23=0,"nm",IF(G23=0,"nm",(G23/D23)^(1/3)-1))</f>
        <v>2.2073444459229208E-2</v>
      </c>
      <c r="I23" s="13"/>
      <c r="J23" s="249" t="s">
        <v>7</v>
      </c>
      <c r="K23" s="249"/>
      <c r="L23" s="219" t="str">
        <f>D21</f>
        <v>2025E</v>
      </c>
      <c r="M23" s="219" t="str">
        <f>E21</f>
        <v>2026E</v>
      </c>
      <c r="N23" s="219" t="str">
        <f>F21</f>
        <v>2027E</v>
      </c>
      <c r="O23" s="219" t="str">
        <f>G21</f>
        <v>2028E</v>
      </c>
      <c r="P23" s="219" t="str">
        <f>H21</f>
        <v>2025-28</v>
      </c>
      <c r="S23" s="26"/>
      <c r="T23" s="26"/>
      <c r="U23" s="26"/>
      <c r="V23" s="26"/>
      <c r="W23" s="26"/>
      <c r="X23" s="26"/>
    </row>
    <row r="24" spans="2:24" ht="12.6" thickTop="1">
      <c r="B24" s="5" t="s">
        <v>397</v>
      </c>
      <c r="C24" s="423">
        <v>1565.2</v>
      </c>
      <c r="D24" s="416">
        <v>1706.3</v>
      </c>
      <c r="E24" s="416">
        <v>1741.3570630556385</v>
      </c>
      <c r="F24" s="416">
        <v>1808.1310753834664</v>
      </c>
      <c r="G24" s="416">
        <v>1872.3289002521503</v>
      </c>
      <c r="H24" s="240">
        <f>IF(D24=0,"nm",IF(G24=0,"nm",(G24/D24)^(1/3)-1))</f>
        <v>3.143591594908024E-2</v>
      </c>
      <c r="I24" s="207"/>
      <c r="J24" s="13"/>
      <c r="K24" s="13"/>
      <c r="L24" s="13"/>
      <c r="M24" s="13"/>
      <c r="N24" s="13"/>
      <c r="O24" s="208"/>
      <c r="S24" s="26"/>
      <c r="T24" s="26"/>
      <c r="U24" s="26"/>
      <c r="V24" s="26"/>
      <c r="W24" s="26"/>
      <c r="X24" s="26"/>
    </row>
    <row r="25" spans="2:24">
      <c r="B25" s="5" t="s">
        <v>157</v>
      </c>
      <c r="C25" s="422">
        <v>839.90000000000009</v>
      </c>
      <c r="D25" s="416">
        <v>1066.1999999999998</v>
      </c>
      <c r="E25" s="416">
        <v>1068.3905983228324</v>
      </c>
      <c r="F25" s="416">
        <v>1165.3007574602439</v>
      </c>
      <c r="G25" s="416">
        <v>1226.4347686016908</v>
      </c>
      <c r="H25" s="240">
        <f t="shared" si="3"/>
        <v>4.7776351044717114E-2</v>
      </c>
      <c r="I25" s="209"/>
      <c r="J25" s="207" t="s">
        <v>8</v>
      </c>
      <c r="K25" s="207"/>
      <c r="L25" s="261">
        <v>56.74929360000575</v>
      </c>
      <c r="M25" s="261">
        <v>56.74929360000575</v>
      </c>
      <c r="N25" s="261">
        <v>79.014318649080607</v>
      </c>
      <c r="O25" s="261">
        <v>106.11300770823959</v>
      </c>
      <c r="P25" s="240">
        <f>IF(L25=0,"nm",IF(O25=0,"nm",(O25/L25)^(1/3)-1))</f>
        <v>0.23197734480998533</v>
      </c>
      <c r="S25" s="26"/>
      <c r="T25" s="26"/>
      <c r="U25" s="26"/>
      <c r="V25" s="26"/>
      <c r="W25" s="26" t="s">
        <v>675</v>
      </c>
      <c r="X25" s="26" t="s">
        <v>82</v>
      </c>
    </row>
    <row r="26" spans="2:24">
      <c r="B26" s="5" t="s">
        <v>487</v>
      </c>
      <c r="C26" s="422">
        <v>604.72800000000007</v>
      </c>
      <c r="D26" s="416">
        <v>767.66399999999987</v>
      </c>
      <c r="E26" s="416">
        <v>769.2412307924393</v>
      </c>
      <c r="F26" s="416">
        <v>839.01654537137551</v>
      </c>
      <c r="G26" s="416">
        <v>883.03303339321735</v>
      </c>
      <c r="H26" s="240">
        <f t="shared" si="3"/>
        <v>4.7776351044717114E-2</v>
      </c>
      <c r="I26" s="208"/>
      <c r="J26" s="209" t="s">
        <v>9</v>
      </c>
      <c r="K26" s="209"/>
      <c r="L26" s="235">
        <f>D11+L25</f>
        <v>1761.7492936000058</v>
      </c>
      <c r="M26" s="235">
        <f>E11+M25</f>
        <v>1719.1242936000058</v>
      </c>
      <c r="N26" s="235">
        <f>F11+N25</f>
        <v>1698.7643186490807</v>
      </c>
      <c r="O26" s="235">
        <f>G11+O25</f>
        <v>1683.2380077082396</v>
      </c>
      <c r="P26" s="240">
        <f>IF(L26=0,"nm",IF(O26=0,"nm",(O26/L26)^(1/3)-1))</f>
        <v>-1.5081093319978311E-2</v>
      </c>
      <c r="S26" s="26"/>
      <c r="T26" s="26"/>
      <c r="U26" s="26"/>
      <c r="V26" s="113" t="s">
        <v>225</v>
      </c>
      <c r="W26" s="242" t="e">
        <f>D37/L9</f>
        <v>#REF!</v>
      </c>
      <c r="X26" s="242">
        <v>1</v>
      </c>
    </row>
    <row r="27" spans="2:24">
      <c r="B27" s="5" t="s">
        <v>488</v>
      </c>
      <c r="C27" s="423">
        <v>7505.8</v>
      </c>
      <c r="D27" s="416">
        <v>7631.5</v>
      </c>
      <c r="E27" s="416">
        <v>7566.9384063736152</v>
      </c>
      <c r="F27" s="416">
        <v>7404.7963035749299</v>
      </c>
      <c r="G27" s="416">
        <v>7129.5007443426157</v>
      </c>
      <c r="H27" s="240">
        <f t="shared" si="3"/>
        <v>-2.2425787618873705E-2</v>
      </c>
      <c r="I27" s="209"/>
      <c r="Q27" s="5"/>
      <c r="S27" s="26"/>
      <c r="T27" s="26"/>
      <c r="U27" s="26"/>
      <c r="V27" s="113" t="s">
        <v>158</v>
      </c>
      <c r="W27" s="242" t="e">
        <f>D38/L10</f>
        <v>#REF!</v>
      </c>
      <c r="X27" s="242">
        <v>1</v>
      </c>
    </row>
    <row r="28" spans="2:24" ht="12.6" thickBot="1">
      <c r="B28" s="5" t="s">
        <v>492</v>
      </c>
      <c r="C28" s="422">
        <v>4062.4</v>
      </c>
      <c r="D28" s="416">
        <v>3847.8</v>
      </c>
      <c r="E28" s="416">
        <v>3546.0331094854591</v>
      </c>
      <c r="F28" s="416">
        <v>3246.3510420646562</v>
      </c>
      <c r="G28" s="416">
        <v>3021.7929958232853</v>
      </c>
      <c r="H28" s="240">
        <f t="shared" si="3"/>
        <v>-7.73915951946893E-2</v>
      </c>
      <c r="I28" s="209"/>
      <c r="J28" s="249" t="s">
        <v>1073</v>
      </c>
      <c r="K28" s="249"/>
      <c r="L28" s="249"/>
      <c r="M28" s="249"/>
      <c r="N28" s="220"/>
      <c r="O28" s="220"/>
      <c r="P28" s="220"/>
      <c r="Q28" s="25"/>
      <c r="S28" s="26"/>
      <c r="T28" s="26"/>
      <c r="U28" s="26"/>
      <c r="V28" s="113" t="s">
        <v>159</v>
      </c>
      <c r="W28" s="242" t="e">
        <f>D39/L11</f>
        <v>#REF!</v>
      </c>
      <c r="X28" s="242">
        <v>1</v>
      </c>
    </row>
    <row r="29" spans="2:24" ht="12.6" thickTop="1">
      <c r="B29" s="5" t="s">
        <v>489</v>
      </c>
      <c r="C29" s="422">
        <v>-22.800000000000068</v>
      </c>
      <c r="D29" s="416">
        <v>1.3999999999999773</v>
      </c>
      <c r="E29" s="416">
        <v>73.391067539824576</v>
      </c>
      <c r="F29" s="416">
        <v>150.17951534789239</v>
      </c>
      <c r="G29" s="416">
        <v>213.65756312043129</v>
      </c>
      <c r="H29" s="240">
        <f t="shared" si="3"/>
        <v>4.3439626201333299</v>
      </c>
      <c r="I29" s="208"/>
      <c r="J29" s="25"/>
      <c r="K29" s="25"/>
      <c r="L29" s="25"/>
      <c r="M29" s="25"/>
      <c r="N29" s="5"/>
      <c r="O29" s="5"/>
      <c r="P29" s="5"/>
      <c r="Q29" s="5"/>
      <c r="S29" s="26"/>
      <c r="T29" s="26"/>
      <c r="U29" s="26"/>
      <c r="V29" s="113" t="s">
        <v>381</v>
      </c>
      <c r="W29" s="242" t="e">
        <f>D40/L12</f>
        <v>#REF!</v>
      </c>
      <c r="X29" s="242">
        <v>1</v>
      </c>
    </row>
    <row r="30" spans="2:24">
      <c r="B30" s="5" t="s">
        <v>490</v>
      </c>
      <c r="C30" s="422">
        <v>-60.299999999999955</v>
      </c>
      <c r="D30" s="416">
        <v>186.6</v>
      </c>
      <c r="E30" s="416">
        <v>50.620289621968659</v>
      </c>
      <c r="F30" s="416">
        <v>110.77901246189376</v>
      </c>
      <c r="G30" s="416">
        <v>190.48720735647029</v>
      </c>
      <c r="H30" s="240">
        <f t="shared" si="3"/>
        <v>6.8962540355370638E-3</v>
      </c>
      <c r="I30" s="212"/>
      <c r="J30" s="209"/>
      <c r="K30" s="209"/>
      <c r="L30" s="209"/>
      <c r="M30" s="209"/>
      <c r="N30" s="209"/>
      <c r="O30" s="211"/>
      <c r="Q30" s="5"/>
      <c r="S30" s="26"/>
      <c r="T30" s="26"/>
      <c r="U30" s="26"/>
      <c r="V30" s="113" t="s">
        <v>434</v>
      </c>
      <c r="W30" s="242" t="e">
        <f>D41/L13</f>
        <v>#REF!</v>
      </c>
      <c r="X30" s="242">
        <v>1</v>
      </c>
    </row>
    <row r="31" spans="2:24">
      <c r="B31" s="5" t="s">
        <v>491</v>
      </c>
      <c r="C31" s="422">
        <v>0</v>
      </c>
      <c r="D31" s="416">
        <v>0</v>
      </c>
      <c r="E31" s="416">
        <v>0</v>
      </c>
      <c r="F31" s="416">
        <v>0</v>
      </c>
      <c r="G31" s="416">
        <v>0</v>
      </c>
      <c r="H31" s="240" t="str">
        <f t="shared" si="3"/>
        <v>nm</v>
      </c>
      <c r="I31" s="214"/>
      <c r="J31" s="208"/>
      <c r="K31" s="208"/>
      <c r="L31" s="208"/>
      <c r="M31" s="208"/>
      <c r="N31" s="208"/>
      <c r="O31" s="5"/>
      <c r="Q31" s="5"/>
      <c r="S31" s="26"/>
      <c r="T31" s="26"/>
      <c r="U31" s="26"/>
      <c r="V31" s="113" t="s">
        <v>493</v>
      </c>
      <c r="W31" s="242" t="e">
        <f>D42/L15</f>
        <v>#REF!</v>
      </c>
      <c r="X31" s="242">
        <v>1</v>
      </c>
    </row>
    <row r="32" spans="2:24">
      <c r="B32" s="5" t="s">
        <v>506</v>
      </c>
      <c r="C32" s="422">
        <v>82.9</v>
      </c>
      <c r="D32" s="416">
        <v>0</v>
      </c>
      <c r="E32" s="416">
        <v>50</v>
      </c>
      <c r="F32" s="416">
        <v>50</v>
      </c>
      <c r="G32" s="416">
        <v>50</v>
      </c>
      <c r="H32" s="240"/>
      <c r="I32" s="214"/>
      <c r="J32" s="212"/>
      <c r="K32" s="212"/>
      <c r="L32" s="212"/>
      <c r="M32" s="212"/>
      <c r="N32" s="212"/>
      <c r="O32" s="5"/>
      <c r="Q32" s="5"/>
      <c r="S32" s="26"/>
      <c r="T32" s="26"/>
      <c r="U32" s="26"/>
      <c r="V32" s="113" t="s">
        <v>390</v>
      </c>
      <c r="W32" s="242" t="e">
        <f>D43/L16</f>
        <v>#REF!</v>
      </c>
      <c r="X32" s="242">
        <v>1</v>
      </c>
    </row>
    <row r="33" spans="2:24">
      <c r="B33" s="5" t="s">
        <v>3</v>
      </c>
      <c r="C33" s="422">
        <v>627.70000000000005</v>
      </c>
      <c r="D33" s="416">
        <v>656.4</v>
      </c>
      <c r="E33" s="416">
        <v>659.03025000000014</v>
      </c>
      <c r="F33" s="416">
        <v>659.50822828681305</v>
      </c>
      <c r="G33" s="416">
        <v>636.04935214299735</v>
      </c>
      <c r="H33" s="257"/>
      <c r="I33" s="214"/>
      <c r="J33" s="214"/>
      <c r="K33" s="214"/>
      <c r="L33" s="214"/>
      <c r="M33" s="214"/>
      <c r="N33" s="214"/>
      <c r="O33" s="211"/>
      <c r="Q33" s="5"/>
      <c r="S33" s="26"/>
      <c r="T33" s="26"/>
      <c r="U33" s="26"/>
      <c r="V33" s="113" t="s">
        <v>437</v>
      </c>
      <c r="W33" s="242" t="e">
        <f>D44/L17</f>
        <v>#REF!</v>
      </c>
      <c r="X33" s="242">
        <v>1</v>
      </c>
    </row>
    <row r="34" spans="2:24">
      <c r="H34" s="231"/>
      <c r="I34" s="5"/>
      <c r="J34" s="214"/>
      <c r="K34" s="214"/>
      <c r="L34" s="214"/>
      <c r="M34" s="214"/>
      <c r="N34" s="214"/>
      <c r="O34" s="211"/>
      <c r="Q34" s="5"/>
      <c r="S34" s="26"/>
      <c r="T34" s="26"/>
      <c r="U34" s="26"/>
      <c r="V34" s="113" t="s">
        <v>481</v>
      </c>
      <c r="W34" s="242" t="e">
        <f>D45/L18</f>
        <v>#REF!</v>
      </c>
      <c r="X34" s="242">
        <v>1</v>
      </c>
    </row>
    <row r="35" spans="2:24" ht="12.6" thickBot="1">
      <c r="B35" s="249" t="s">
        <v>699</v>
      </c>
      <c r="C35" s="219"/>
      <c r="D35" s="219" t="str">
        <f>D5</f>
        <v>2025E</v>
      </c>
      <c r="E35" s="219" t="str">
        <f>E5</f>
        <v>2026E</v>
      </c>
      <c r="F35" s="219" t="str">
        <f>F5</f>
        <v>2027E</v>
      </c>
      <c r="G35" s="219" t="str">
        <f>G5</f>
        <v>2028E</v>
      </c>
      <c r="H35" s="219" t="str">
        <f>H5</f>
        <v>2025-28</v>
      </c>
      <c r="I35" s="33"/>
      <c r="J35" s="214"/>
      <c r="K35" s="214"/>
      <c r="L35" s="214"/>
      <c r="M35" s="214"/>
      <c r="N35" s="214"/>
      <c r="O35" s="211"/>
      <c r="Q35" s="5"/>
      <c r="S35" s="26"/>
      <c r="T35" s="26"/>
      <c r="U35" s="26"/>
      <c r="V35" s="113" t="s">
        <v>482</v>
      </c>
      <c r="W35" s="242" t="e">
        <f>D47/L20</f>
        <v>#REF!</v>
      </c>
      <c r="X35" s="242">
        <v>1</v>
      </c>
    </row>
    <row r="36" spans="2:24" ht="12.6" thickTop="1">
      <c r="B36" s="25"/>
      <c r="C36" s="209"/>
      <c r="D36" s="214"/>
      <c r="E36" s="214"/>
      <c r="F36" s="214"/>
      <c r="G36" s="214"/>
      <c r="H36" s="214"/>
      <c r="I36" s="214"/>
      <c r="J36" s="5"/>
      <c r="K36" s="5"/>
      <c r="L36" s="5"/>
      <c r="M36" s="5"/>
      <c r="N36" s="5"/>
      <c r="O36" s="5"/>
      <c r="Q36" s="5"/>
      <c r="S36" s="26"/>
      <c r="T36" s="26"/>
      <c r="U36" s="26"/>
      <c r="V36" s="26"/>
      <c r="W36" s="26"/>
      <c r="X36" s="26"/>
    </row>
    <row r="37" spans="2:24">
      <c r="B37" s="5" t="s">
        <v>225</v>
      </c>
      <c r="C37" s="207"/>
      <c r="D37" s="406">
        <f t="shared" ref="D37:G41" si="4">D$18/D23</f>
        <v>2.4838773812346449</v>
      </c>
      <c r="E37" s="406">
        <f t="shared" si="4"/>
        <v>2.4358053327611335</v>
      </c>
      <c r="F37" s="406">
        <f t="shared" si="4"/>
        <v>2.3198140318020135</v>
      </c>
      <c r="G37" s="406">
        <f t="shared" si="4"/>
        <v>2.1823067480811584</v>
      </c>
      <c r="H37" s="13">
        <f t="shared" ref="H37:H45" si="5">H23</f>
        <v>2.2073444459229208E-2</v>
      </c>
      <c r="I37" s="13"/>
      <c r="J37" s="53"/>
      <c r="K37" s="53"/>
      <c r="L37" s="53"/>
      <c r="M37" s="53"/>
      <c r="N37" s="53"/>
      <c r="O37" s="53"/>
      <c r="Q37" s="5"/>
      <c r="S37" s="26"/>
      <c r="T37" s="26"/>
      <c r="U37" s="26"/>
      <c r="V37" s="26"/>
      <c r="W37" s="26"/>
      <c r="X37" s="26"/>
    </row>
    <row r="38" spans="2:24">
      <c r="B38" s="5" t="s">
        <v>158</v>
      </c>
      <c r="C38" s="207"/>
      <c r="D38" s="406">
        <f t="shared" si="4"/>
        <v>6.4665534213916303</v>
      </c>
      <c r="E38" s="406">
        <f t="shared" si="4"/>
        <v>6.2650058390321588</v>
      </c>
      <c r="F38" s="406">
        <f t="shared" si="4"/>
        <v>5.9102785319561626</v>
      </c>
      <c r="G38" s="406">
        <f t="shared" si="4"/>
        <v>5.5281278211544427</v>
      </c>
      <c r="H38" s="13">
        <f t="shared" si="5"/>
        <v>3.143591594908024E-2</v>
      </c>
      <c r="I38" s="5"/>
      <c r="J38" s="217"/>
      <c r="K38" s="217"/>
      <c r="L38" s="217"/>
      <c r="M38" s="217"/>
      <c r="N38" s="217"/>
      <c r="O38" s="14"/>
      <c r="Q38" s="5"/>
      <c r="R38" s="5"/>
      <c r="S38" s="26"/>
      <c r="T38" s="26"/>
      <c r="U38" s="26"/>
      <c r="V38" s="26"/>
      <c r="W38" s="26"/>
      <c r="X38" s="26"/>
    </row>
    <row r="39" spans="2:24">
      <c r="B39" s="5" t="s">
        <v>159</v>
      </c>
      <c r="C39" s="207"/>
      <c r="D39" s="406">
        <f t="shared" si="4"/>
        <v>10.348790192197093</v>
      </c>
      <c r="E39" s="406">
        <f t="shared" si="4"/>
        <v>10.211258115720465</v>
      </c>
      <c r="F39" s="406">
        <f t="shared" si="4"/>
        <v>9.1706438954806053</v>
      </c>
      <c r="G39" s="406">
        <f t="shared" si="4"/>
        <v>8.4394814537396208</v>
      </c>
      <c r="H39" s="13">
        <f t="shared" si="5"/>
        <v>4.7776351044717114E-2</v>
      </c>
      <c r="I39" s="217"/>
      <c r="J39" s="13"/>
      <c r="K39" s="13"/>
      <c r="L39" s="13"/>
      <c r="M39" s="13"/>
      <c r="N39" s="13"/>
      <c r="O39" s="5"/>
      <c r="Q39" s="5"/>
      <c r="R39" s="5"/>
      <c r="S39" s="26"/>
      <c r="T39" s="26"/>
      <c r="U39" s="26"/>
      <c r="V39" s="26"/>
      <c r="W39" s="26"/>
      <c r="X39" s="26"/>
    </row>
    <row r="40" spans="2:24">
      <c r="B40" s="5" t="s">
        <v>381</v>
      </c>
      <c r="C40" s="207"/>
      <c r="D40" s="406">
        <f t="shared" si="4"/>
        <v>14.373319711384852</v>
      </c>
      <c r="E40" s="406">
        <f t="shared" si="4"/>
        <v>14.182302938500646</v>
      </c>
      <c r="F40" s="406">
        <f t="shared" si="4"/>
        <v>12.737005410389731</v>
      </c>
      <c r="G40" s="406">
        <f t="shared" si="4"/>
        <v>11.721502019082809</v>
      </c>
      <c r="H40" s="13">
        <f t="shared" si="5"/>
        <v>4.7776351044717114E-2</v>
      </c>
      <c r="I40" s="13"/>
      <c r="J40" s="5"/>
      <c r="K40" s="5"/>
      <c r="L40" s="5"/>
      <c r="M40" s="5"/>
      <c r="N40" s="5"/>
      <c r="O40" s="5"/>
      <c r="Q40" s="5"/>
      <c r="R40" s="5"/>
      <c r="S40" s="26"/>
      <c r="T40" s="26"/>
      <c r="U40" s="26"/>
      <c r="V40" s="26"/>
      <c r="W40" s="26"/>
      <c r="X40" s="26"/>
    </row>
    <row r="41" spans="2:24">
      <c r="B41" s="5" t="s">
        <v>434</v>
      </c>
      <c r="C41" s="207"/>
      <c r="D41" s="406">
        <f t="shared" si="4"/>
        <v>1.4458337290074741</v>
      </c>
      <c r="E41" s="406">
        <f t="shared" si="4"/>
        <v>1.4417471878315178</v>
      </c>
      <c r="F41" s="406">
        <f t="shared" si="4"/>
        <v>1.443194092002557</v>
      </c>
      <c r="G41" s="406">
        <f t="shared" si="4"/>
        <v>1.4517809668578403</v>
      </c>
      <c r="H41" s="13">
        <f t="shared" si="5"/>
        <v>-2.2425787618873705E-2</v>
      </c>
      <c r="I41" s="5"/>
      <c r="J41" s="217"/>
      <c r="K41" s="217"/>
      <c r="L41" s="217"/>
      <c r="M41" s="217"/>
      <c r="N41" s="217"/>
      <c r="O41" s="14"/>
      <c r="Q41" s="5"/>
      <c r="R41" s="5"/>
      <c r="S41" s="26"/>
      <c r="T41" s="26"/>
      <c r="U41" s="26"/>
      <c r="V41" s="26"/>
      <c r="W41" s="242"/>
      <c r="X41" s="242"/>
    </row>
    <row r="42" spans="2:24">
      <c r="B42" s="5" t="s">
        <v>493</v>
      </c>
      <c r="C42" s="207"/>
      <c r="D42" s="406">
        <f>D18/D28</f>
        <v>2.8675815018765367</v>
      </c>
      <c r="E42" s="406">
        <f>E18/E28</f>
        <v>3.0765680497175296</v>
      </c>
      <c r="F42" s="406">
        <f>F18/F28</f>
        <v>3.2918677429921859</v>
      </c>
      <c r="G42" s="406">
        <f>G18/G28</f>
        <v>3.4252754897975515</v>
      </c>
      <c r="H42" s="13">
        <f t="shared" si="5"/>
        <v>-7.73915951946893E-2</v>
      </c>
      <c r="I42" s="207"/>
      <c r="J42" s="13"/>
      <c r="K42" s="13"/>
      <c r="L42" s="13"/>
      <c r="M42" s="13"/>
      <c r="N42" s="13"/>
      <c r="O42" s="5"/>
      <c r="Q42" s="5"/>
      <c r="R42" s="5"/>
      <c r="S42" s="26"/>
      <c r="T42" s="26"/>
      <c r="U42" s="26"/>
      <c r="V42" s="26"/>
      <c r="W42" s="242"/>
      <c r="X42" s="242"/>
    </row>
    <row r="43" spans="2:24">
      <c r="B43" s="5" t="s">
        <v>390</v>
      </c>
      <c r="C43" s="207"/>
      <c r="D43" s="406">
        <f>L26/D29</f>
        <v>1258.3923525714531</v>
      </c>
      <c r="E43" s="406">
        <f>M26/E29</f>
        <v>23.424162520420463</v>
      </c>
      <c r="F43" s="406">
        <f>N26/F29</f>
        <v>11.311558135700968</v>
      </c>
      <c r="G43" s="406">
        <f>O26/G29</f>
        <v>7.8782046519900506</v>
      </c>
      <c r="H43" s="13">
        <f t="shared" si="5"/>
        <v>4.3439626201333299</v>
      </c>
      <c r="I43" s="208"/>
      <c r="J43" s="5"/>
      <c r="K43" s="5"/>
      <c r="L43" s="5"/>
      <c r="M43" s="5"/>
      <c r="N43" s="5"/>
      <c r="O43" s="5"/>
      <c r="Q43" s="5"/>
      <c r="R43" s="5"/>
      <c r="S43" s="26"/>
      <c r="T43" s="26"/>
      <c r="U43" s="26"/>
      <c r="V43" s="26"/>
      <c r="W43" s="242"/>
      <c r="X43" s="242"/>
    </row>
    <row r="44" spans="2:24">
      <c r="B44" s="5" t="s">
        <v>437</v>
      </c>
      <c r="C44" s="53"/>
      <c r="D44" s="406">
        <f>D11/D30</f>
        <v>9.1371918542336559</v>
      </c>
      <c r="E44" s="406">
        <f>E11/E30</f>
        <v>32.840092627177448</v>
      </c>
      <c r="F44" s="406">
        <f>F11/F30</f>
        <v>14.621451879769813</v>
      </c>
      <c r="G44" s="406">
        <f>G11/G30</f>
        <v>8.2794273793338267</v>
      </c>
      <c r="H44" s="13">
        <f t="shared" si="5"/>
        <v>6.8962540355370638E-3</v>
      </c>
      <c r="I44" s="207"/>
      <c r="J44" s="207"/>
      <c r="K44" s="207"/>
      <c r="L44" s="207"/>
      <c r="M44" s="207"/>
      <c r="N44" s="207"/>
      <c r="O44" s="14"/>
      <c r="Q44" s="5"/>
      <c r="R44" s="5"/>
      <c r="S44" s="26"/>
      <c r="T44" s="26"/>
      <c r="U44" s="26"/>
      <c r="V44" s="26"/>
      <c r="W44" s="242"/>
      <c r="X44" s="242"/>
    </row>
    <row r="45" spans="2:24">
      <c r="B45" s="5" t="s">
        <v>481</v>
      </c>
      <c r="C45" s="207"/>
      <c r="D45" s="208">
        <f>D31/D11</f>
        <v>0</v>
      </c>
      <c r="E45" s="208">
        <f>E31/E11</f>
        <v>0</v>
      </c>
      <c r="F45" s="208">
        <f>F31/F11</f>
        <v>0</v>
      </c>
      <c r="G45" s="208">
        <f>G31/G11</f>
        <v>0</v>
      </c>
      <c r="H45" s="13" t="str">
        <f t="shared" si="5"/>
        <v>nm</v>
      </c>
      <c r="I45" s="207"/>
      <c r="J45" s="208"/>
      <c r="K45" s="208"/>
      <c r="L45" s="208"/>
      <c r="M45" s="208"/>
      <c r="N45" s="208"/>
      <c r="O45" s="208"/>
      <c r="Q45" s="5"/>
      <c r="R45" s="5"/>
      <c r="S45" s="26"/>
      <c r="T45" s="26"/>
      <c r="U45" s="26"/>
      <c r="V45" s="26"/>
      <c r="W45" s="255"/>
      <c r="X45" s="255"/>
    </row>
    <row r="46" spans="2:24">
      <c r="B46" s="5" t="s">
        <v>505</v>
      </c>
      <c r="C46" s="207"/>
      <c r="D46" s="208">
        <f>(D31+D32)/D11</f>
        <v>0</v>
      </c>
      <c r="E46" s="208">
        <f>(E31+E32)/E11</f>
        <v>3.0077449432288142E-2</v>
      </c>
      <c r="F46" s="208">
        <f>(F31+F32)/F11</f>
        <v>3.0868961259453619E-2</v>
      </c>
      <c r="G46" s="208">
        <f>(G31+G32)/G11</f>
        <v>3.1703257509709121E-2</v>
      </c>
      <c r="H46" s="233" t="e">
        <f>((G31+G32)/(D31+D32))^(1/3)-1</f>
        <v>#DIV/0!</v>
      </c>
      <c r="I46" s="208"/>
      <c r="J46" s="207"/>
      <c r="K46" s="207"/>
      <c r="L46" s="207"/>
      <c r="M46" s="207"/>
      <c r="N46" s="207"/>
      <c r="O46" s="208"/>
      <c r="Q46" s="5"/>
      <c r="R46" s="5"/>
      <c r="S46" s="26"/>
      <c r="T46" s="26"/>
      <c r="U46" s="26"/>
      <c r="V46" s="26"/>
      <c r="W46" s="26"/>
      <c r="X46" s="26"/>
    </row>
    <row r="47" spans="2:24">
      <c r="B47" s="5" t="s">
        <v>482</v>
      </c>
      <c r="C47" s="5"/>
      <c r="D47" s="208">
        <f>1/D43</f>
        <v>7.9466471482964507E-4</v>
      </c>
      <c r="E47" s="208">
        <f>1/E43</f>
        <v>4.2690960632134907E-2</v>
      </c>
      <c r="F47" s="208">
        <f>1/F43</f>
        <v>8.8405150555152121E-2</v>
      </c>
      <c r="G47" s="208">
        <f>1/G43</f>
        <v>0.1269324730917466</v>
      </c>
      <c r="H47" s="13">
        <f>H29</f>
        <v>4.3439626201333299</v>
      </c>
      <c r="I47" s="207"/>
      <c r="J47" s="207"/>
      <c r="K47" s="207"/>
      <c r="L47" s="207"/>
      <c r="M47" s="207"/>
      <c r="N47" s="207"/>
      <c r="O47" s="14"/>
      <c r="Q47" s="5"/>
      <c r="R47" s="5"/>
      <c r="S47" s="26"/>
      <c r="T47" s="26"/>
      <c r="U47" s="26"/>
      <c r="V47" s="26"/>
      <c r="W47" s="26"/>
      <c r="X47" s="26"/>
    </row>
    <row r="48" spans="2:24">
      <c r="B48" s="5" t="s">
        <v>518</v>
      </c>
      <c r="C48" s="5"/>
      <c r="D48" s="248">
        <f>D31/D29</f>
        <v>0</v>
      </c>
      <c r="E48" s="248">
        <f>E31/E29</f>
        <v>0</v>
      </c>
      <c r="F48" s="248">
        <f>F31/F29</f>
        <v>0</v>
      </c>
      <c r="G48" s="248">
        <f>G31/G29</f>
        <v>0</v>
      </c>
      <c r="H48" s="233" t="s">
        <v>507</v>
      </c>
      <c r="I48" s="13"/>
      <c r="J48" s="208"/>
      <c r="K48" s="208"/>
      <c r="L48" s="208"/>
      <c r="M48" s="208"/>
      <c r="N48" s="208"/>
      <c r="O48" s="208"/>
      <c r="Q48" s="5"/>
      <c r="R48" s="5"/>
      <c r="S48" s="26"/>
      <c r="T48" s="26"/>
      <c r="U48" s="26"/>
      <c r="V48" s="26"/>
      <c r="W48" s="26"/>
      <c r="X48" s="26"/>
    </row>
  </sheetData>
  <hyperlinks>
    <hyperlink ref="C2" location="LiLACSOP!A1" display="Jump to LiLAC SOP" xr:uid="{00000000-0004-0000-3700-000001000000}"/>
  </hyperlinks>
  <pageMargins left="0.75" right="0.75" top="1" bottom="1" header="0.5" footer="0.5"/>
  <pageSetup scale="7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2">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143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12</v>
      </c>
      <c r="C9" s="221">
        <f>Prices!C83</f>
        <v>3.5</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7832</v>
      </c>
      <c r="E10" s="408">
        <v>7835</v>
      </c>
      <c r="F10" s="408">
        <v>7835</v>
      </c>
      <c r="G10" s="408">
        <v>7835</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227</v>
      </c>
      <c r="C11" s="5"/>
      <c r="D11" s="409">
        <f>$C$9*D10</f>
        <v>27412</v>
      </c>
      <c r="E11" s="409">
        <f>$C$9*E10</f>
        <v>27422.5</v>
      </c>
      <c r="F11" s="409">
        <f>$C$9*F10</f>
        <v>27422.5</v>
      </c>
      <c r="G11" s="409">
        <f>$C$9*G10</f>
        <v>27422.5</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8390.611316766357</v>
      </c>
      <c r="E12" s="410">
        <v>7982.1981203741525</v>
      </c>
      <c r="F12" s="410">
        <v>7640.8805858180012</v>
      </c>
      <c r="G12" s="410">
        <v>7338.7657846038082</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f t="shared" ref="E14:G15" si="2">D14</f>
        <v>0</v>
      </c>
      <c r="F14" s="410">
        <f t="shared" si="2"/>
        <v>0</v>
      </c>
      <c r="G14" s="410">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f t="shared" si="2"/>
        <v>0</v>
      </c>
      <c r="F15" s="410">
        <f t="shared" si="2"/>
        <v>0</v>
      </c>
      <c r="G15" s="410">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1592.6893047244673</v>
      </c>
      <c r="F16" s="410">
        <v>3322.4333142448713</v>
      </c>
      <c r="G16" s="410">
        <v>5175.1257113993397</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35802.611316766357</v>
      </c>
      <c r="E18" s="411">
        <f>E11+E12+E13-E14+E15-E16-E17</f>
        <v>33812.008815649686</v>
      </c>
      <c r="F18" s="411">
        <f>F11+F12+F13-F14+F15-F16-F17</f>
        <v>31740.947271573128</v>
      </c>
      <c r="G18" s="411">
        <f>G11+G12+G13-G14+G15-G16-G17</f>
        <v>29586.140073204464</v>
      </c>
      <c r="H18" s="230">
        <f>IF(D18=0,"nm",IF(G18=0,"nm",(G18/D18)^(1/3)-1))</f>
        <v>-6.1593079814401319E-2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759</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10536</v>
      </c>
      <c r="D23" s="416">
        <v>10579.664790374949</v>
      </c>
      <c r="E23" s="416">
        <v>10963.587430945923</v>
      </c>
      <c r="F23" s="416">
        <v>11282.144730288772</v>
      </c>
      <c r="G23" s="416">
        <v>11600.198001071834</v>
      </c>
      <c r="H23" s="233">
        <f t="shared" ref="H23:H32" si="4">IF(D23=0,"nm",IF(G23=0,"nm",(G23/D23)^(1/3)-1))</f>
        <v>3.1172125836712583E-2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4122</v>
      </c>
      <c r="D24" s="416">
        <v>4248.2703840871091</v>
      </c>
      <c r="E24" s="416">
        <v>4419.7261791929968</v>
      </c>
      <c r="F24" s="416">
        <v>4565.4199285480145</v>
      </c>
      <c r="G24" s="416">
        <v>4711.7539906137044</v>
      </c>
      <c r="H24" s="233">
        <f t="shared" si="4"/>
        <v>3.5118695106065356E-2</v>
      </c>
      <c r="I24" s="209"/>
      <c r="J24" s="13"/>
      <c r="K24" s="13"/>
      <c r="L24" s="13"/>
      <c r="M24" s="13"/>
      <c r="N24" s="13"/>
      <c r="O24" s="208"/>
      <c r="S24" s="26"/>
      <c r="T24" s="26"/>
      <c r="U24" s="26"/>
      <c r="V24" s="26"/>
      <c r="W24" s="26" t="s">
        <v>293</v>
      </c>
      <c r="X24" s="26" t="s">
        <v>308</v>
      </c>
    </row>
    <row r="25" spans="2:24">
      <c r="B25" s="5" t="s">
        <v>157</v>
      </c>
      <c r="C25" s="422">
        <v>3448</v>
      </c>
      <c r="D25" s="416">
        <v>3084.507257145865</v>
      </c>
      <c r="E25" s="416">
        <v>3213.7315617889453</v>
      </c>
      <c r="F25" s="416">
        <v>3324.3840082162496</v>
      </c>
      <c r="G25" s="416">
        <v>3435.732210495803</v>
      </c>
      <c r="H25" s="233">
        <f t="shared" si="4"/>
        <v>3.6599917732347942E-2</v>
      </c>
      <c r="I25" s="208"/>
      <c r="J25" s="207" t="s">
        <v>8</v>
      </c>
      <c r="K25" s="207"/>
      <c r="L25" s="252">
        <v>0</v>
      </c>
      <c r="M25" s="252">
        <v>0</v>
      </c>
      <c r="N25" s="252">
        <v>0</v>
      </c>
      <c r="O25" s="252">
        <v>0</v>
      </c>
      <c r="P25" s="233" t="str">
        <f>IF(L25=0,"nm",IF(O25=0,"nm",(O25/L25)^(1/3)-1))</f>
        <v>nm</v>
      </c>
      <c r="S25" s="26"/>
      <c r="T25" s="26"/>
      <c r="U25" s="26"/>
      <c r="V25" s="113" t="s">
        <v>225</v>
      </c>
      <c r="W25" s="242">
        <f>D37/L9</f>
        <v>1.6314442461108751</v>
      </c>
      <c r="X25" s="242">
        <v>1</v>
      </c>
    </row>
    <row r="26" spans="2:24">
      <c r="B26" s="5" t="s">
        <v>487</v>
      </c>
      <c r="C26" s="422">
        <v>2586</v>
      </c>
      <c r="D26" s="416">
        <v>2313.3804428593985</v>
      </c>
      <c r="E26" s="416">
        <v>2410.298671341709</v>
      </c>
      <c r="F26" s="416">
        <v>2493.2880061621872</v>
      </c>
      <c r="G26" s="416">
        <v>2576.799157871852</v>
      </c>
      <c r="H26" s="233">
        <f t="shared" si="4"/>
        <v>3.6599917732347942E-2</v>
      </c>
      <c r="I26" s="209"/>
      <c r="J26" s="209" t="s">
        <v>9</v>
      </c>
      <c r="K26" s="209"/>
      <c r="L26" s="235">
        <f>D11+L25</f>
        <v>27412</v>
      </c>
      <c r="M26" s="235">
        <f>E11+M25</f>
        <v>27422.5</v>
      </c>
      <c r="N26" s="235">
        <f>F11+N25</f>
        <v>27422.5</v>
      </c>
      <c r="O26" s="235">
        <f>G11+O25</f>
        <v>27422.5</v>
      </c>
      <c r="P26" s="233">
        <f>IF(L26=0,"nm",IF(O26=0,"nm",(O26/L26)^(1/3)-1))</f>
        <v>1.2766500840855066E-4</v>
      </c>
      <c r="Q26" s="5"/>
      <c r="S26" s="26"/>
      <c r="T26" s="26"/>
      <c r="U26" s="26"/>
      <c r="V26" s="113" t="s">
        <v>158</v>
      </c>
      <c r="W26" s="242">
        <f t="shared" ref="W26:W33" si="6">D38/L10</f>
        <v>1.3567380435680558</v>
      </c>
      <c r="X26" s="242">
        <v>1</v>
      </c>
    </row>
    <row r="27" spans="2:24">
      <c r="B27" s="5" t="s">
        <v>488</v>
      </c>
      <c r="C27" s="423">
        <v>14731.188125934623</v>
      </c>
      <c r="D27" s="416">
        <v>14454.239427398954</v>
      </c>
      <c r="E27" s="416">
        <v>14222.791709309469</v>
      </c>
      <c r="F27" s="416">
        <v>14073.667953588918</v>
      </c>
      <c r="G27" s="416">
        <v>13977.407863169665</v>
      </c>
      <c r="H27" s="233">
        <f t="shared" si="4"/>
        <v>-1.1119534303281831E-2</v>
      </c>
      <c r="I27" s="209"/>
      <c r="J27" s="208"/>
      <c r="K27" s="208"/>
      <c r="L27" s="208"/>
      <c r="M27" s="208"/>
      <c r="N27" s="208"/>
      <c r="O27" s="208"/>
      <c r="Q27" s="25"/>
      <c r="S27" s="26"/>
      <c r="T27" s="26"/>
      <c r="U27" s="26"/>
      <c r="V27" s="113" t="s">
        <v>159</v>
      </c>
      <c r="W27" s="242">
        <f t="shared" si="6"/>
        <v>1.122124085372866</v>
      </c>
      <c r="X27" s="242">
        <v>1</v>
      </c>
    </row>
    <row r="28" spans="2:24" ht="12.6" thickBot="1">
      <c r="B28" s="5" t="s">
        <v>492</v>
      </c>
      <c r="C28" s="422">
        <v>5091</v>
      </c>
      <c r="D28" s="416">
        <v>4871.3803260497134</v>
      </c>
      <c r="E28" s="416">
        <v>4753.6696282586072</v>
      </c>
      <c r="F28" s="416">
        <v>4702.9858854881541</v>
      </c>
      <c r="G28" s="416">
        <v>4701.0603493970721</v>
      </c>
      <c r="H28" s="233">
        <f t="shared" si="4"/>
        <v>-1.1792991728192814E-2</v>
      </c>
      <c r="I28" s="208"/>
      <c r="J28" s="249" t="s">
        <v>1073</v>
      </c>
      <c r="K28" s="249"/>
      <c r="L28" s="249"/>
      <c r="M28" s="249"/>
      <c r="N28" s="220"/>
      <c r="O28" s="220"/>
      <c r="P28" s="220"/>
      <c r="Q28" s="5"/>
      <c r="S28" s="26"/>
      <c r="T28" s="26"/>
      <c r="U28" s="26"/>
      <c r="V28" s="113" t="s">
        <v>381</v>
      </c>
      <c r="W28" s="242">
        <f t="shared" si="6"/>
        <v>1.1421611826273128</v>
      </c>
      <c r="X28" s="242">
        <v>1</v>
      </c>
    </row>
    <row r="29" spans="2:24" ht="12.6" thickTop="1">
      <c r="B29" s="5" t="s">
        <v>489</v>
      </c>
      <c r="C29" s="422">
        <v>2313</v>
      </c>
      <c r="D29" s="416">
        <v>1729.3886515185807</v>
      </c>
      <c r="E29" s="416">
        <v>1863.2873374723106</v>
      </c>
      <c r="F29" s="416">
        <v>1921.2096275063632</v>
      </c>
      <c r="G29" s="416">
        <v>1992.9497876085236</v>
      </c>
      <c r="H29" s="233">
        <f t="shared" si="4"/>
        <v>4.8418278560756534E-2</v>
      </c>
      <c r="I29" s="212"/>
      <c r="J29" s="209"/>
      <c r="K29" s="209"/>
      <c r="L29" s="209"/>
      <c r="M29" s="209"/>
      <c r="N29" s="209"/>
      <c r="O29" s="211"/>
      <c r="Q29" s="5"/>
      <c r="S29" s="26"/>
      <c r="T29" s="26"/>
      <c r="U29" s="26"/>
      <c r="V29" s="113" t="s">
        <v>434</v>
      </c>
      <c r="W29" s="242">
        <f t="shared" si="6"/>
        <v>1.4338805136296677</v>
      </c>
      <c r="X29" s="242">
        <v>1</v>
      </c>
    </row>
    <row r="30" spans="2:24">
      <c r="B30" s="5" t="s">
        <v>490</v>
      </c>
      <c r="C30" s="423">
        <v>1398.1421994884911</v>
      </c>
      <c r="D30" s="416">
        <v>1575.6775526158269</v>
      </c>
      <c r="E30" s="416">
        <v>1769.6547830271861</v>
      </c>
      <c r="F30" s="416">
        <v>1921.9377883560046</v>
      </c>
      <c r="G30" s="416">
        <v>2058.5471079494091</v>
      </c>
      <c r="H30" s="233">
        <f t="shared" si="4"/>
        <v>9.3195463026179759E-2</v>
      </c>
      <c r="I30" s="214"/>
      <c r="J30" s="208"/>
      <c r="K30" s="208"/>
      <c r="L30" s="208"/>
      <c r="M30" s="208"/>
      <c r="N30" s="208"/>
      <c r="O30" s="5"/>
      <c r="Q30" s="5"/>
      <c r="S30" s="26"/>
      <c r="T30" s="26"/>
      <c r="U30" s="26"/>
      <c r="V30" s="113" t="s">
        <v>493</v>
      </c>
      <c r="W30" s="242">
        <f t="shared" si="6"/>
        <v>2.2536172759530531</v>
      </c>
      <c r="X30" s="242">
        <v>1</v>
      </c>
    </row>
    <row r="31" spans="2:24">
      <c r="B31" s="5" t="s">
        <v>491</v>
      </c>
      <c r="C31" s="423">
        <v>1331.4399999999998</v>
      </c>
      <c r="D31" s="416">
        <v>1418.1097973542442</v>
      </c>
      <c r="E31" s="416">
        <v>1592.6893047244673</v>
      </c>
      <c r="F31" s="416">
        <v>1729.744009520404</v>
      </c>
      <c r="G31" s="416">
        <v>1852.6923971544682</v>
      </c>
      <c r="H31" s="233">
        <f t="shared" si="4"/>
        <v>9.3195463026179759E-2</v>
      </c>
      <c r="I31" s="214"/>
      <c r="J31" s="212"/>
      <c r="K31" s="212"/>
      <c r="L31" s="212"/>
      <c r="M31" s="212"/>
      <c r="N31" s="212"/>
      <c r="O31" s="5"/>
      <c r="Q31" s="5"/>
      <c r="S31" s="26"/>
      <c r="T31" s="26"/>
      <c r="U31" s="26"/>
      <c r="V31" s="113" t="s">
        <v>390</v>
      </c>
      <c r="W31" s="242">
        <f t="shared" si="6"/>
        <v>0.9851664807832794</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26"/>
      <c r="T32" s="26"/>
      <c r="U32" s="26"/>
      <c r="V32" s="113" t="s">
        <v>437</v>
      </c>
      <c r="W32" s="242">
        <f t="shared" si="6"/>
        <v>1.0082031134193141</v>
      </c>
      <c r="X32" s="242">
        <v>1</v>
      </c>
    </row>
    <row r="33" spans="2:24">
      <c r="B33" s="5" t="s">
        <v>3</v>
      </c>
      <c r="C33" s="423">
        <v>-447</v>
      </c>
      <c r="D33" s="416">
        <v>-450.45595353339786</v>
      </c>
      <c r="E33" s="416">
        <v>-427.93556881412638</v>
      </c>
      <c r="F33" s="416">
        <v>-406.54976201420317</v>
      </c>
      <c r="G33" s="416">
        <v>-388.67871474717901</v>
      </c>
      <c r="H33" s="233">
        <f>IF(D33=0,"nm",IF(G33=0,"nm",(G33/D33)^(1/3)-1))</f>
        <v>-4.797984627714269E-2</v>
      </c>
      <c r="I33" s="5"/>
      <c r="J33" s="214"/>
      <c r="K33" s="214"/>
      <c r="L33" s="214"/>
      <c r="M33" s="214"/>
      <c r="N33" s="214"/>
      <c r="O33" s="211"/>
      <c r="Q33" s="5"/>
      <c r="S33" s="26"/>
      <c r="T33" s="26"/>
      <c r="U33" s="26"/>
      <c r="V33" s="113" t="s">
        <v>481</v>
      </c>
      <c r="W33" s="242">
        <f t="shared" si="6"/>
        <v>1.2125652414862715</v>
      </c>
      <c r="X33" s="242">
        <v>1</v>
      </c>
    </row>
    <row r="34" spans="2:24">
      <c r="D34" s="5"/>
      <c r="E34" s="5"/>
      <c r="F34" s="5"/>
      <c r="G34" s="5"/>
      <c r="I34" s="33"/>
      <c r="J34" s="214"/>
      <c r="K34" s="214"/>
      <c r="L34" s="214"/>
      <c r="M34" s="214"/>
      <c r="N34" s="214"/>
      <c r="O34" s="211"/>
      <c r="Q34" s="5"/>
      <c r="S34" s="26"/>
      <c r="T34" s="26"/>
      <c r="U34" s="26"/>
      <c r="V34" s="113" t="s">
        <v>482</v>
      </c>
      <c r="W34" s="242">
        <f>D47/L19</f>
        <v>1.0150568655207666</v>
      </c>
      <c r="X34" s="242">
        <v>1</v>
      </c>
    </row>
    <row r="35" spans="2:24" ht="12.6" thickBot="1">
      <c r="B35" s="249" t="s">
        <v>151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3.3840969469409337</v>
      </c>
      <c r="E37" s="406">
        <f t="shared" ref="E37:G41" si="8">E$18/E23</f>
        <v>3.0840278356527353</v>
      </c>
      <c r="F37" s="406">
        <f t="shared" si="8"/>
        <v>2.8133788415565473</v>
      </c>
      <c r="G37" s="406">
        <f t="shared" si="8"/>
        <v>2.5504857822660241</v>
      </c>
      <c r="H37" s="13">
        <f t="shared" ref="H37:H45" si="9">H23</f>
        <v>3.1172125836712583E-2</v>
      </c>
      <c r="I37" s="5"/>
      <c r="J37" s="217"/>
      <c r="K37" s="217"/>
      <c r="L37" s="217"/>
      <c r="M37" s="217"/>
      <c r="N37" s="217"/>
      <c r="O37" s="14"/>
      <c r="Q37" s="5"/>
      <c r="R37" s="5"/>
      <c r="S37" s="26"/>
      <c r="T37" s="26"/>
      <c r="U37" s="26"/>
      <c r="V37" s="26"/>
      <c r="W37" s="26"/>
      <c r="X37" s="26"/>
    </row>
    <row r="38" spans="2:24">
      <c r="B38" s="5" t="s">
        <v>158</v>
      </c>
      <c r="C38" s="207"/>
      <c r="D38" s="406">
        <f>D$18/D24</f>
        <v>8.4275735958034623</v>
      </c>
      <c r="E38" s="406">
        <f t="shared" si="8"/>
        <v>7.6502496862426579</v>
      </c>
      <c r="F38" s="406">
        <f t="shared" si="8"/>
        <v>6.9524704777087205</v>
      </c>
      <c r="G38" s="406">
        <f t="shared" si="8"/>
        <v>6.2792200382581687</v>
      </c>
      <c r="H38" s="13">
        <f t="shared" si="9"/>
        <v>3.5118695106065356E-2</v>
      </c>
      <c r="I38" s="217"/>
      <c r="J38" s="13"/>
      <c r="K38" s="13"/>
      <c r="L38" s="13"/>
      <c r="M38" s="13"/>
      <c r="N38" s="13"/>
      <c r="O38" s="5"/>
      <c r="Q38" s="5"/>
      <c r="R38" s="5"/>
      <c r="S38" s="26"/>
      <c r="T38" s="26"/>
      <c r="U38" s="26"/>
      <c r="V38" s="26"/>
      <c r="W38" s="26"/>
      <c r="X38" s="26"/>
    </row>
    <row r="39" spans="2:24">
      <c r="B39" s="5" t="s">
        <v>159</v>
      </c>
      <c r="C39" s="207"/>
      <c r="D39" s="406">
        <f>D$18/D25</f>
        <v>11.60723847668784</v>
      </c>
      <c r="E39" s="406">
        <f t="shared" si="8"/>
        <v>10.521105501676688</v>
      </c>
      <c r="F39" s="406">
        <f t="shared" si="8"/>
        <v>9.5479184092827563</v>
      </c>
      <c r="G39" s="406">
        <f t="shared" si="8"/>
        <v>8.6113056142215907</v>
      </c>
      <c r="H39" s="13">
        <f t="shared" si="9"/>
        <v>3.6599917732347942E-2</v>
      </c>
      <c r="I39" s="13"/>
      <c r="J39" s="5"/>
      <c r="K39" s="5"/>
      <c r="L39" s="5"/>
      <c r="M39" s="5"/>
      <c r="N39" s="5"/>
      <c r="O39" s="5"/>
      <c r="Q39" s="5"/>
      <c r="R39" s="5"/>
      <c r="S39" s="26"/>
      <c r="T39" s="26"/>
      <c r="U39" s="26"/>
      <c r="V39" s="26"/>
      <c r="W39" s="26"/>
      <c r="X39" s="26"/>
    </row>
    <row r="40" spans="2:24">
      <c r="B40" s="5" t="s">
        <v>381</v>
      </c>
      <c r="C40" s="207"/>
      <c r="D40" s="406">
        <f>D$18/D26</f>
        <v>15.476317968917121</v>
      </c>
      <c r="E40" s="406">
        <f t="shared" si="8"/>
        <v>14.02814066890225</v>
      </c>
      <c r="F40" s="406">
        <f t="shared" si="8"/>
        <v>12.730557879043674</v>
      </c>
      <c r="G40" s="406">
        <f t="shared" si="8"/>
        <v>11.481740818962122</v>
      </c>
      <c r="H40" s="13">
        <f t="shared" si="9"/>
        <v>3.6599917732347942E-2</v>
      </c>
      <c r="I40" s="5"/>
      <c r="J40" s="217"/>
      <c r="K40" s="217"/>
      <c r="L40" s="217"/>
      <c r="M40" s="217"/>
      <c r="N40" s="217"/>
      <c r="O40" s="14"/>
      <c r="Q40" s="5"/>
      <c r="R40" s="5"/>
      <c r="S40" s="26"/>
      <c r="T40" s="26"/>
      <c r="U40" s="26"/>
      <c r="V40" s="26"/>
      <c r="W40" s="242"/>
      <c r="X40" s="242"/>
    </row>
    <row r="41" spans="2:24">
      <c r="B41" s="5" t="s">
        <v>434</v>
      </c>
      <c r="C41" s="207"/>
      <c r="D41" s="406">
        <f>D$18/D27</f>
        <v>2.4769626583672171</v>
      </c>
      <c r="E41" s="406">
        <f t="shared" si="8"/>
        <v>2.3773116773915892</v>
      </c>
      <c r="F41" s="406">
        <f t="shared" si="8"/>
        <v>2.255342912469303</v>
      </c>
      <c r="G41" s="406">
        <f t="shared" si="8"/>
        <v>2.1167115078013614</v>
      </c>
      <c r="H41" s="13">
        <f t="shared" si="9"/>
        <v>-1.1119534303281831E-2</v>
      </c>
      <c r="I41" s="207"/>
      <c r="J41" s="13"/>
      <c r="K41" s="13"/>
      <c r="L41" s="13"/>
      <c r="M41" s="13"/>
      <c r="N41" s="13"/>
      <c r="O41" s="5"/>
      <c r="Q41" s="5"/>
      <c r="R41" s="5"/>
      <c r="S41" s="26"/>
      <c r="T41" s="26"/>
      <c r="U41" s="26"/>
      <c r="V41" s="26"/>
      <c r="W41" s="242"/>
      <c r="X41" s="242"/>
    </row>
    <row r="42" spans="2:24">
      <c r="B42" s="5" t="s">
        <v>493</v>
      </c>
      <c r="C42" s="207"/>
      <c r="D42" s="406">
        <f>D18/D28</f>
        <v>7.3495824428472236</v>
      </c>
      <c r="E42" s="406">
        <f>E18/E28</f>
        <v>7.1128226106945309</v>
      </c>
      <c r="F42" s="406">
        <f>F18/F28</f>
        <v>6.7491053650650121</v>
      </c>
      <c r="G42" s="406">
        <f>G18/G28</f>
        <v>6.2935035660622809</v>
      </c>
      <c r="H42" s="13">
        <f t="shared" si="9"/>
        <v>-1.1792991728192814E-2</v>
      </c>
      <c r="I42" s="208"/>
      <c r="J42" s="5"/>
      <c r="K42" s="5"/>
      <c r="L42" s="5"/>
      <c r="M42" s="5"/>
      <c r="N42" s="5"/>
      <c r="O42" s="5"/>
      <c r="Q42" s="5"/>
      <c r="R42" s="5"/>
      <c r="S42" s="26"/>
      <c r="T42" s="26"/>
      <c r="U42" s="26"/>
      <c r="V42" s="26"/>
      <c r="W42" s="242"/>
      <c r="X42" s="242"/>
    </row>
    <row r="43" spans="2:24">
      <c r="B43" s="5" t="s">
        <v>390</v>
      </c>
      <c r="C43" s="207"/>
      <c r="D43" s="406">
        <f>L26/D29</f>
        <v>15.850688031247026</v>
      </c>
      <c r="E43" s="406">
        <f>M26/E29</f>
        <v>14.717268479482442</v>
      </c>
      <c r="F43" s="406">
        <f>N26/F29</f>
        <v>14.273559536339132</v>
      </c>
      <c r="G43" s="406">
        <f>O26/G29</f>
        <v>13.759754596178826</v>
      </c>
      <c r="H43" s="13">
        <f t="shared" si="9"/>
        <v>4.8418278560756534E-2</v>
      </c>
      <c r="I43" s="207"/>
      <c r="J43" s="207"/>
      <c r="K43" s="207"/>
      <c r="L43" s="207"/>
      <c r="M43" s="207"/>
      <c r="N43" s="207"/>
      <c r="O43" s="14"/>
      <c r="Q43" s="5"/>
      <c r="R43" s="5"/>
      <c r="S43" s="26"/>
      <c r="T43" s="26"/>
      <c r="U43" s="26"/>
      <c r="V43" s="26"/>
      <c r="W43" s="242"/>
      <c r="X43" s="242"/>
    </row>
    <row r="44" spans="2:24">
      <c r="B44" s="5" t="s">
        <v>437</v>
      </c>
      <c r="C44" s="53"/>
      <c r="D44" s="406">
        <f>D11/D30</f>
        <v>17.396960408868274</v>
      </c>
      <c r="E44" s="406">
        <f>E11/E30</f>
        <v>15.495960151669154</v>
      </c>
      <c r="F44" s="406">
        <f>F11/F30</f>
        <v>14.268151740466468</v>
      </c>
      <c r="G44" s="406">
        <f>G11/G30</f>
        <v>13.321288540885767</v>
      </c>
      <c r="H44" s="13">
        <f t="shared" si="9"/>
        <v>9.3195463026179759E-2</v>
      </c>
      <c r="I44" s="207"/>
      <c r="J44" s="208"/>
      <c r="K44" s="208"/>
      <c r="L44" s="208"/>
      <c r="M44" s="208"/>
      <c r="N44" s="208"/>
      <c r="O44" s="208"/>
      <c r="Q44" s="5"/>
      <c r="R44" s="5"/>
      <c r="S44" s="26"/>
      <c r="T44" s="26"/>
      <c r="U44" s="26"/>
      <c r="V44" s="26"/>
      <c r="W44" s="255"/>
      <c r="X44" s="255"/>
    </row>
    <row r="45" spans="2:24">
      <c r="B45" s="5" t="s">
        <v>481</v>
      </c>
      <c r="C45" s="207"/>
      <c r="D45" s="208">
        <f>D31/D11</f>
        <v>5.1733175155196418E-2</v>
      </c>
      <c r="E45" s="208">
        <f>E31/E11</f>
        <v>5.8079653741433764E-2</v>
      </c>
      <c r="F45" s="208">
        <f>F31/F11</f>
        <v>6.3077546158096603E-2</v>
      </c>
      <c r="G45" s="208">
        <f>G31/G11</f>
        <v>6.7561031895504359E-2</v>
      </c>
      <c r="H45" s="13">
        <f t="shared" si="9"/>
        <v>9.3195463026179759E-2</v>
      </c>
      <c r="I45" s="208"/>
      <c r="J45" s="207"/>
      <c r="K45" s="207"/>
      <c r="L45" s="207"/>
      <c r="M45" s="207"/>
      <c r="N45" s="207"/>
      <c r="O45" s="208"/>
      <c r="Q45" s="5"/>
      <c r="R45" s="5"/>
      <c r="S45" s="26"/>
      <c r="T45" s="26"/>
      <c r="U45" s="26"/>
      <c r="V45" s="26"/>
      <c r="W45" s="26"/>
      <c r="X45" s="26"/>
    </row>
    <row r="46" spans="2:24">
      <c r="B46" s="5" t="s">
        <v>505</v>
      </c>
      <c r="C46" s="207"/>
      <c r="D46" s="208">
        <f>(D31+D32)/D11</f>
        <v>5.1733175155196418E-2</v>
      </c>
      <c r="E46" s="208">
        <f>(E31+E32)/E11</f>
        <v>5.8079653741433764E-2</v>
      </c>
      <c r="F46" s="208">
        <f>(F31+F32)/F11</f>
        <v>6.3077546158096603E-2</v>
      </c>
      <c r="G46" s="208">
        <f>(G31+G32)/G11</f>
        <v>6.7561031895504359E-2</v>
      </c>
      <c r="H46" s="233">
        <f>((G31+G32)/(D31+D32))^(1/3)-1</f>
        <v>9.3195463026179759E-2</v>
      </c>
      <c r="I46" s="207"/>
      <c r="J46" s="207"/>
      <c r="K46" s="207"/>
      <c r="L46" s="207"/>
      <c r="M46" s="207"/>
      <c r="N46" s="207"/>
      <c r="O46" s="14"/>
      <c r="Q46" s="5"/>
      <c r="R46" s="5"/>
      <c r="S46" s="26"/>
      <c r="T46" s="26"/>
      <c r="U46" s="26"/>
      <c r="V46" s="26"/>
      <c r="W46" s="26"/>
      <c r="X46" s="26"/>
    </row>
    <row r="47" spans="2:24">
      <c r="B47" s="5" t="s">
        <v>482</v>
      </c>
      <c r="C47" s="5"/>
      <c r="D47" s="208">
        <f>1/D43</f>
        <v>6.3088744036136749E-2</v>
      </c>
      <c r="E47" s="208">
        <f>1/E43</f>
        <v>6.7947391283519398E-2</v>
      </c>
      <c r="F47" s="208">
        <f>1/F43</f>
        <v>7.0059608989200953E-2</v>
      </c>
      <c r="G47" s="208">
        <f>1/G43</f>
        <v>7.2675714745501815E-2</v>
      </c>
      <c r="H47" s="13">
        <f>H29</f>
        <v>4.8418278560756534E-2</v>
      </c>
      <c r="I47" s="13"/>
      <c r="J47" s="208"/>
      <c r="K47" s="208"/>
      <c r="L47" s="208"/>
      <c r="M47" s="208"/>
      <c r="N47" s="208"/>
      <c r="O47" s="208"/>
      <c r="Q47" s="5"/>
      <c r="R47" s="5"/>
      <c r="S47" s="26"/>
      <c r="T47" s="26"/>
      <c r="U47" s="26"/>
      <c r="V47" s="26"/>
      <c r="W47" s="26"/>
      <c r="X47" s="26"/>
    </row>
    <row r="48" spans="2:24">
      <c r="B48" s="5" t="s">
        <v>518</v>
      </c>
      <c r="C48" s="5"/>
      <c r="D48" s="248">
        <f>D31/D29</f>
        <v>0.82000642025087778</v>
      </c>
      <c r="E48" s="248">
        <f>E31/E29</f>
        <v>0.85477385730805755</v>
      </c>
      <c r="F48" s="248">
        <f>F31/F29</f>
        <v>0.90034111049377141</v>
      </c>
      <c r="G48" s="248">
        <f>G31/G29</f>
        <v>0.92962321914675039</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5">
    <pageSetUpPr fitToPage="1"/>
  </sheetPr>
  <dimension ref="B1:CE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83" width="9.109375" style="5"/>
    <col min="84" max="16384" width="9.109375" style="23"/>
  </cols>
  <sheetData>
    <row r="1" spans="2:83"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row>
    <row r="2" spans="2:83" s="115" customFormat="1"/>
    <row r="3" spans="2:83" s="115" customFormat="1">
      <c r="H3" s="119"/>
      <c r="P3" s="119"/>
    </row>
    <row r="4" spans="2:83" s="122" customFormat="1" ht="21">
      <c r="B4" s="100" t="s">
        <v>687</v>
      </c>
      <c r="H4" s="182"/>
      <c r="P4" s="182"/>
    </row>
    <row r="5" spans="2:8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83">
      <c r="I6" s="5"/>
      <c r="J6" s="5"/>
      <c r="K6" s="5"/>
      <c r="L6" s="5"/>
      <c r="M6" s="5"/>
      <c r="N6" s="5"/>
      <c r="O6" s="33"/>
    </row>
    <row r="7" spans="2:83" ht="12.6" thickBot="1">
      <c r="B7" s="249" t="s">
        <v>223</v>
      </c>
      <c r="C7" s="219"/>
      <c r="D7" s="219" t="str">
        <f>D5</f>
        <v>2025E</v>
      </c>
      <c r="E7" s="219" t="str">
        <f t="shared" ref="E7:H7" si="0">E5</f>
        <v>2026E</v>
      </c>
      <c r="F7" s="219" t="str">
        <f t="shared" si="0"/>
        <v>2027E</v>
      </c>
      <c r="G7" s="219" t="str">
        <f t="shared" si="0"/>
        <v>2028E</v>
      </c>
      <c r="H7" s="219" t="str">
        <f t="shared" si="0"/>
        <v>2025-28</v>
      </c>
      <c r="I7" s="33"/>
      <c r="J7" s="249" t="s">
        <v>693</v>
      </c>
      <c r="K7" s="249"/>
      <c r="L7" s="219" t="str">
        <f>L5</f>
        <v>2025E</v>
      </c>
      <c r="M7" s="219" t="str">
        <f t="shared" ref="M7:P7" si="1">M5</f>
        <v>2026E</v>
      </c>
      <c r="N7" s="219" t="str">
        <f t="shared" si="1"/>
        <v>2027E</v>
      </c>
      <c r="O7" s="219" t="str">
        <f t="shared" si="1"/>
        <v>2028E</v>
      </c>
      <c r="P7" s="219" t="str">
        <f t="shared" si="1"/>
        <v>2025-28</v>
      </c>
    </row>
    <row r="8" spans="2:83" ht="12.6" thickTop="1">
      <c r="B8" s="5"/>
      <c r="C8" s="5"/>
      <c r="D8" s="5"/>
      <c r="E8" s="5"/>
      <c r="F8" s="5"/>
      <c r="G8" s="5"/>
      <c r="H8" s="5"/>
      <c r="I8" s="5"/>
      <c r="J8" s="5"/>
      <c r="K8" s="5"/>
      <c r="L8" s="5"/>
      <c r="M8" s="5"/>
      <c r="N8" s="5"/>
    </row>
    <row r="9" spans="2:83">
      <c r="B9" s="25" t="s">
        <v>697</v>
      </c>
      <c r="C9" s="241">
        <f>Prices!$C$115</f>
        <v>59.4</v>
      </c>
      <c r="D9" s="412">
        <v>0</v>
      </c>
      <c r="E9" s="413">
        <v>0</v>
      </c>
      <c r="F9" s="413">
        <v>0</v>
      </c>
      <c r="G9" s="413">
        <v>0</v>
      </c>
      <c r="H9" s="209"/>
      <c r="I9" s="209"/>
      <c r="J9" s="5" t="s">
        <v>225</v>
      </c>
      <c r="L9" s="406" t="e">
        <f>#REF!</f>
        <v>#REF!</v>
      </c>
      <c r="M9" s="406" t="e">
        <f>#REF!</f>
        <v>#REF!</v>
      </c>
      <c r="N9" s="406" t="e">
        <f>#REF!</f>
        <v>#REF!</v>
      </c>
      <c r="O9" s="406" t="e">
        <f>#REF!</f>
        <v>#REF!</v>
      </c>
      <c r="P9" s="240" t="e">
        <f>#REF!</f>
        <v>#REF!</v>
      </c>
    </row>
    <row r="10" spans="2:83">
      <c r="B10" s="5" t="s">
        <v>226</v>
      </c>
      <c r="C10" s="5"/>
      <c r="D10" s="408">
        <v>858.50049999999999</v>
      </c>
      <c r="E10" s="408">
        <v>858.50049999999999</v>
      </c>
      <c r="F10" s="408">
        <v>858.50049999999999</v>
      </c>
      <c r="G10" s="408">
        <v>858.50049999999999</v>
      </c>
      <c r="H10" s="207"/>
      <c r="I10" s="207"/>
      <c r="J10" s="5" t="s">
        <v>158</v>
      </c>
      <c r="L10" s="406" t="e">
        <f>#REF!</f>
        <v>#REF!</v>
      </c>
      <c r="M10" s="406" t="e">
        <f>#REF!</f>
        <v>#REF!</v>
      </c>
      <c r="N10" s="406" t="e">
        <f>#REF!</f>
        <v>#REF!</v>
      </c>
      <c r="O10" s="406" t="e">
        <f>#REF!</f>
        <v>#REF!</v>
      </c>
      <c r="P10" s="240" t="e">
        <f>#REF!</f>
        <v>#REF!</v>
      </c>
    </row>
    <row r="11" spans="2:83">
      <c r="B11" s="25" t="s">
        <v>698</v>
      </c>
      <c r="C11" s="5"/>
      <c r="D11" s="409">
        <f>$C$9*D10</f>
        <v>50994.929700000001</v>
      </c>
      <c r="E11" s="409">
        <f>$C$9*E10</f>
        <v>50994.929700000001</v>
      </c>
      <c r="F11" s="409">
        <f>$C$9*F10</f>
        <v>50994.929700000001</v>
      </c>
      <c r="G11" s="409">
        <f>$C$9*G10</f>
        <v>50994.929700000001</v>
      </c>
      <c r="H11" s="209"/>
      <c r="I11" s="209"/>
      <c r="J11" s="5" t="s">
        <v>159</v>
      </c>
      <c r="L11" s="406" t="e">
        <f>#REF!</f>
        <v>#REF!</v>
      </c>
      <c r="M11" s="406" t="e">
        <f>#REF!</f>
        <v>#REF!</v>
      </c>
      <c r="N11" s="406" t="e">
        <f>#REF!</f>
        <v>#REF!</v>
      </c>
      <c r="O11" s="406" t="e">
        <f>#REF!</f>
        <v>#REF!</v>
      </c>
      <c r="P11" s="240" t="e">
        <f>#REF!</f>
        <v>#REF!</v>
      </c>
    </row>
    <row r="12" spans="2:83">
      <c r="B12" s="5" t="s">
        <v>22</v>
      </c>
      <c r="C12" s="209"/>
      <c r="D12" s="410">
        <v>22134.174799557739</v>
      </c>
      <c r="E12" s="410">
        <v>21619.700802942123</v>
      </c>
      <c r="F12" s="410">
        <v>19985.620271249009</v>
      </c>
      <c r="G12" s="410">
        <v>17373.068081224759</v>
      </c>
      <c r="H12" s="207"/>
      <c r="I12" s="207"/>
      <c r="J12" s="5" t="s">
        <v>381</v>
      </c>
      <c r="L12" s="406" t="e">
        <f>#REF!</f>
        <v>#REF!</v>
      </c>
      <c r="M12" s="406" t="e">
        <f>#REF!</f>
        <v>#REF!</v>
      </c>
      <c r="N12" s="406" t="e">
        <f>#REF!</f>
        <v>#REF!</v>
      </c>
      <c r="O12" s="406" t="e">
        <f>#REF!</f>
        <v>#REF!</v>
      </c>
      <c r="P12" s="240" t="e">
        <f>#REF!</f>
        <v>#REF!</v>
      </c>
    </row>
    <row r="13" spans="2:83">
      <c r="B13" s="5" t="s">
        <v>433</v>
      </c>
      <c r="C13" s="216"/>
      <c r="D13" s="410">
        <v>0</v>
      </c>
      <c r="E13" s="410">
        <v>0</v>
      </c>
      <c r="F13" s="410">
        <v>0</v>
      </c>
      <c r="G13" s="410">
        <v>0</v>
      </c>
      <c r="H13" s="207"/>
      <c r="I13" s="207"/>
      <c r="J13" s="5" t="s">
        <v>434</v>
      </c>
      <c r="L13" s="406" t="e">
        <f>#REF!</f>
        <v>#REF!</v>
      </c>
      <c r="M13" s="406" t="e">
        <f>#REF!</f>
        <v>#REF!</v>
      </c>
      <c r="N13" s="406" t="e">
        <f>#REF!</f>
        <v>#REF!</v>
      </c>
      <c r="O13" s="406" t="e">
        <f>#REF!</f>
        <v>#REF!</v>
      </c>
      <c r="P13" s="240" t="e">
        <f>#REF!</f>
        <v>#REF!</v>
      </c>
    </row>
    <row r="14" spans="2:83">
      <c r="B14" s="5" t="s">
        <v>436</v>
      </c>
      <c r="C14" s="216"/>
      <c r="D14" s="410">
        <v>0</v>
      </c>
      <c r="E14" s="410">
        <v>0</v>
      </c>
      <c r="F14" s="410">
        <v>0</v>
      </c>
      <c r="G14" s="410">
        <v>0</v>
      </c>
      <c r="H14" s="207"/>
      <c r="I14" s="207"/>
      <c r="J14" s="5" t="s">
        <v>493</v>
      </c>
      <c r="L14" s="406" t="e">
        <f>#REF!</f>
        <v>#REF!</v>
      </c>
      <c r="M14" s="406" t="e">
        <f>#REF!</f>
        <v>#REF!</v>
      </c>
      <c r="N14" s="406" t="e">
        <f>#REF!</f>
        <v>#REF!</v>
      </c>
      <c r="O14" s="406" t="e">
        <f>#REF!</f>
        <v>#REF!</v>
      </c>
      <c r="P14" s="240" t="e">
        <f>#REF!</f>
        <v>#REF!</v>
      </c>
    </row>
    <row r="15" spans="2:83">
      <c r="B15" s="5" t="s">
        <v>435</v>
      </c>
      <c r="C15" s="228"/>
      <c r="D15" s="410">
        <v>4304.7561459904755</v>
      </c>
      <c r="E15" s="410">
        <v>4304.7561459904755</v>
      </c>
      <c r="F15" s="410">
        <v>4304.7561459904755</v>
      </c>
      <c r="G15" s="410">
        <v>4304.7561459904755</v>
      </c>
      <c r="H15" s="207"/>
      <c r="I15" s="207"/>
      <c r="J15" s="5" t="s">
        <v>390</v>
      </c>
      <c r="L15" s="406" t="e">
        <f>#REF!</f>
        <v>#REF!</v>
      </c>
      <c r="M15" s="406" t="e">
        <f>#REF!</f>
        <v>#REF!</v>
      </c>
      <c r="N15" s="406" t="e">
        <f>#REF!</f>
        <v>#REF!</v>
      </c>
      <c r="O15" s="406" t="e">
        <f>#REF!</f>
        <v>#REF!</v>
      </c>
      <c r="P15" s="240" t="e">
        <f>#REF!</f>
        <v>#REF!</v>
      </c>
    </row>
    <row r="16" spans="2:83">
      <c r="B16" s="5" t="s">
        <v>438</v>
      </c>
      <c r="C16" s="216"/>
      <c r="D16" s="410">
        <v>0</v>
      </c>
      <c r="E16" s="410">
        <v>3154.1308369999997</v>
      </c>
      <c r="F16" s="410">
        <v>6623.6747577000006</v>
      </c>
      <c r="G16" s="410">
        <v>10440.173070470002</v>
      </c>
      <c r="H16" s="207"/>
      <c r="I16" s="207"/>
      <c r="J16" s="5" t="s">
        <v>437</v>
      </c>
      <c r="L16" s="406" t="e">
        <f>#REF!</f>
        <v>#REF!</v>
      </c>
      <c r="M16" s="406" t="e">
        <f>#REF!</f>
        <v>#REF!</v>
      </c>
      <c r="N16" s="406" t="e">
        <f>#REF!</f>
        <v>#REF!</v>
      </c>
      <c r="O16" s="406" t="e">
        <f>#REF!</f>
        <v>#REF!</v>
      </c>
      <c r="P16" s="240" t="e">
        <f>#REF!</f>
        <v>#REF!</v>
      </c>
    </row>
    <row r="17" spans="2:24">
      <c r="B17" s="5" t="s">
        <v>4</v>
      </c>
      <c r="C17" s="216"/>
      <c r="D17" s="410">
        <v>0</v>
      </c>
      <c r="E17" s="410">
        <v>0</v>
      </c>
      <c r="F17" s="410">
        <v>0</v>
      </c>
      <c r="G17" s="410">
        <v>0</v>
      </c>
      <c r="H17" s="207"/>
      <c r="I17" s="207"/>
      <c r="J17" s="5" t="s">
        <v>481</v>
      </c>
      <c r="L17" s="208" t="e">
        <f>#REF!</f>
        <v>#REF!</v>
      </c>
      <c r="M17" s="208" t="e">
        <f>#REF!</f>
        <v>#REF!</v>
      </c>
      <c r="N17" s="208" t="e">
        <f>#REF!</f>
        <v>#REF!</v>
      </c>
      <c r="O17" s="208" t="e">
        <f>#REF!</f>
        <v>#REF!</v>
      </c>
      <c r="P17" s="240" t="e">
        <f>#REF!</f>
        <v>#REF!</v>
      </c>
      <c r="S17" s="26"/>
      <c r="T17" s="26"/>
      <c r="U17" s="26"/>
      <c r="V17" s="26"/>
      <c r="W17" s="26"/>
      <c r="X17" s="26"/>
    </row>
    <row r="18" spans="2:24" ht="12.6" thickBot="1">
      <c r="B18" s="25" t="s">
        <v>484</v>
      </c>
      <c r="C18" s="209"/>
      <c r="D18" s="411">
        <f>D11+D12+D13-D14+D15-D16-D17</f>
        <v>77433.860645548208</v>
      </c>
      <c r="E18" s="411">
        <f>E11+E12+E13-E14+E15-E16-E17</f>
        <v>73765.255811932584</v>
      </c>
      <c r="F18" s="411">
        <f>F11+F12+F13-F14+F15-F16-F17</f>
        <v>68661.631359539489</v>
      </c>
      <c r="G18" s="411">
        <f>G11+G12+G13-G14+G15-G16-G17</f>
        <v>62232.580856745233</v>
      </c>
      <c r="H18" s="230">
        <f>IF(D18=0,"nm",IF(G18=0,"nm",(G18/D18)^(1/3)-1))</f>
        <v>-7.0258321798250978E-2</v>
      </c>
      <c r="I18" s="214"/>
      <c r="J18" s="5" t="s">
        <v>33</v>
      </c>
      <c r="L18" s="208" t="e">
        <f>#REF!</f>
        <v>#REF!</v>
      </c>
      <c r="M18" s="208" t="e">
        <f>#REF!</f>
        <v>#REF!</v>
      </c>
      <c r="N18" s="208" t="e">
        <f>#REF!</f>
        <v>#REF!</v>
      </c>
      <c r="O18" s="208" t="e">
        <f>#REF!</f>
        <v>#REF!</v>
      </c>
      <c r="P18" s="240" t="e">
        <f>#REF!</f>
        <v>#REF!</v>
      </c>
      <c r="S18" s="26"/>
      <c r="T18" s="26"/>
      <c r="U18" s="26"/>
      <c r="V18" s="26"/>
      <c r="W18" s="26"/>
      <c r="X18" s="26"/>
    </row>
    <row r="19" spans="2:24" ht="12.6" thickTop="1">
      <c r="B19" s="25"/>
      <c r="C19" s="209"/>
      <c r="D19" s="189"/>
      <c r="E19" s="189"/>
      <c r="F19" s="189"/>
      <c r="G19" s="189"/>
      <c r="H19" s="230"/>
      <c r="I19" s="214"/>
      <c r="J19" s="5" t="s">
        <v>482</v>
      </c>
      <c r="L19" s="208" t="e">
        <f>#REF!</f>
        <v>#REF!</v>
      </c>
      <c r="M19" s="208" t="e">
        <f>#REF!</f>
        <v>#REF!</v>
      </c>
      <c r="N19" s="208" t="e">
        <f>#REF!</f>
        <v>#REF!</v>
      </c>
      <c r="O19" s="208" t="e">
        <f>#REF!</f>
        <v>#REF!</v>
      </c>
      <c r="P19" s="240" t="e">
        <f>#REF!</f>
        <v>#REF!</v>
      </c>
      <c r="S19" s="26"/>
      <c r="T19" s="26"/>
      <c r="U19" s="26"/>
      <c r="V19" s="26"/>
      <c r="W19" s="26"/>
      <c r="X19" s="26"/>
    </row>
    <row r="20" spans="2:24">
      <c r="H20" s="231"/>
      <c r="I20" s="13"/>
      <c r="J20" s="5" t="s">
        <v>504</v>
      </c>
      <c r="L20" s="248" t="e">
        <f>#REF!</f>
        <v>#REF!</v>
      </c>
      <c r="M20" s="248" t="e">
        <f>#REF!</f>
        <v>#REF!</v>
      </c>
      <c r="N20" s="248" t="e">
        <f>#REF!</f>
        <v>#REF!</v>
      </c>
      <c r="O20" s="248" t="e">
        <f>#REF!</f>
        <v>#REF!</v>
      </c>
      <c r="P20" s="240" t="e">
        <f>#REF!</f>
        <v>#REF!</v>
      </c>
      <c r="S20" s="26"/>
      <c r="T20" s="26"/>
      <c r="U20" s="26"/>
      <c r="V20" s="26"/>
      <c r="W20" s="26"/>
      <c r="X20" s="26"/>
    </row>
    <row r="21" spans="2:24" ht="12.6" thickBot="1">
      <c r="B21" s="249" t="s">
        <v>772</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32840.847999999998</v>
      </c>
      <c r="D23" s="416">
        <v>35478.740188000003</v>
      </c>
      <c r="E23" s="416">
        <v>38319.789675190012</v>
      </c>
      <c r="F23" s="416">
        <v>40891.147857692311</v>
      </c>
      <c r="G23" s="416">
        <v>43286.327504404318</v>
      </c>
      <c r="H23" s="233">
        <f t="shared" ref="H23:H32" si="3">IF(D23=0,"nm",IF(G23=0,"nm",(G23/D23)^(1/3)-1))</f>
        <v>6.8548363771691267E-2</v>
      </c>
      <c r="I23" s="207"/>
      <c r="J23" s="249" t="s">
        <v>7</v>
      </c>
      <c r="K23" s="249"/>
      <c r="L23" s="219" t="str">
        <f>D21</f>
        <v>2025E</v>
      </c>
      <c r="M23" s="219" t="str">
        <f t="shared" ref="M23:P23" si="4">E21</f>
        <v>2026E</v>
      </c>
      <c r="N23" s="219" t="str">
        <f t="shared" si="4"/>
        <v>2027E</v>
      </c>
      <c r="O23" s="219" t="str">
        <f t="shared" si="4"/>
        <v>2028E</v>
      </c>
      <c r="P23" s="219" t="str">
        <f t="shared" si="4"/>
        <v>2025-28</v>
      </c>
      <c r="S23" s="26"/>
      <c r="T23" s="26"/>
      <c r="U23" s="26"/>
      <c r="V23" s="26"/>
      <c r="W23" s="26"/>
      <c r="X23" s="26"/>
    </row>
    <row r="24" spans="2:24" ht="12.6" thickTop="1">
      <c r="B24" s="5" t="s">
        <v>397</v>
      </c>
      <c r="C24" s="423">
        <v>14629.852999999999</v>
      </c>
      <c r="D24" s="416">
        <v>16144.260472825004</v>
      </c>
      <c r="E24" s="416">
        <v>17841.277793256955</v>
      </c>
      <c r="F24" s="416">
        <v>19304.411949184352</v>
      </c>
      <c r="G24" s="416">
        <v>20964.287442920591</v>
      </c>
      <c r="H24" s="233">
        <f t="shared" si="3"/>
        <v>9.0989698729420976E-2</v>
      </c>
      <c r="I24" s="209"/>
      <c r="J24" s="13"/>
      <c r="K24" s="13"/>
      <c r="L24" s="13"/>
      <c r="M24" s="13"/>
      <c r="N24" s="13"/>
      <c r="O24" s="208"/>
      <c r="S24" s="26"/>
      <c r="T24" s="26"/>
      <c r="U24" s="26"/>
      <c r="V24" s="26"/>
      <c r="W24" s="26" t="s">
        <v>692</v>
      </c>
      <c r="X24" s="26" t="s">
        <v>82</v>
      </c>
    </row>
    <row r="25" spans="2:24">
      <c r="B25" s="5" t="s">
        <v>157</v>
      </c>
      <c r="C25" s="422">
        <v>4289.8529999999992</v>
      </c>
      <c r="D25" s="416">
        <v>6210.2132201850018</v>
      </c>
      <c r="E25" s="416">
        <v>7878.1324777075515</v>
      </c>
      <c r="F25" s="416">
        <v>9490.5364633381978</v>
      </c>
      <c r="G25" s="416">
        <v>11008.432116907597</v>
      </c>
      <c r="H25" s="233">
        <f t="shared" si="3"/>
        <v>0.21024413247389551</v>
      </c>
      <c r="I25" s="208"/>
      <c r="J25" s="207" t="s">
        <v>8</v>
      </c>
      <c r="K25" s="207"/>
      <c r="L25" s="252">
        <v>0</v>
      </c>
      <c r="M25" s="252">
        <v>0</v>
      </c>
      <c r="N25" s="252">
        <v>0</v>
      </c>
      <c r="O25" s="252">
        <v>0</v>
      </c>
      <c r="P25" s="233" t="str">
        <f>IF(L25=0,"nm",IF(O25=0,"nm",(O25/L25)^(1/3)-1))</f>
        <v>nm</v>
      </c>
      <c r="S25" s="26"/>
      <c r="T25" s="26"/>
      <c r="U25" s="26"/>
      <c r="V25" s="113" t="s">
        <v>225</v>
      </c>
      <c r="W25" s="242" t="e">
        <f>D37/L9</f>
        <v>#REF!</v>
      </c>
      <c r="X25" s="242">
        <v>1</v>
      </c>
    </row>
    <row r="26" spans="2:24">
      <c r="B26" s="5" t="s">
        <v>487</v>
      </c>
      <c r="C26" s="422">
        <v>3088.6941599999991</v>
      </c>
      <c r="D26" s="416">
        <v>4471.3535185332012</v>
      </c>
      <c r="E26" s="416">
        <v>5672.2553839494367</v>
      </c>
      <c r="F26" s="416">
        <v>6833.1862536035023</v>
      </c>
      <c r="G26" s="416">
        <v>7926.0711241734698</v>
      </c>
      <c r="H26" s="233">
        <f t="shared" si="3"/>
        <v>0.21024413247389551</v>
      </c>
      <c r="I26" s="209"/>
      <c r="J26" s="209" t="s">
        <v>9</v>
      </c>
      <c r="K26" s="209"/>
      <c r="L26" s="235">
        <f>D11+L25</f>
        <v>50994.929700000001</v>
      </c>
      <c r="M26" s="235">
        <f>E11+M25</f>
        <v>50994.929700000001</v>
      </c>
      <c r="N26" s="235">
        <f>F11+N25</f>
        <v>50994.929700000001</v>
      </c>
      <c r="O26" s="235">
        <f>G11+O25</f>
        <v>50994.929700000001</v>
      </c>
      <c r="P26" s="233">
        <f>IF(L26=0,"nm",IF(O26=0,"nm",(O26/L26)^(1/3)-1))</f>
        <v>0</v>
      </c>
      <c r="Q26" s="5"/>
      <c r="S26" s="26"/>
      <c r="T26" s="26"/>
      <c r="U26" s="26"/>
      <c r="V26" s="113" t="s">
        <v>158</v>
      </c>
      <c r="W26" s="242" t="e">
        <f t="shared" ref="W26:W33" si="5">D38/L10</f>
        <v>#REF!</v>
      </c>
      <c r="X26" s="242">
        <v>1</v>
      </c>
    </row>
    <row r="27" spans="2:24">
      <c r="B27" s="5" t="s">
        <v>488</v>
      </c>
      <c r="C27" s="423">
        <v>56704.328999999998</v>
      </c>
      <c r="D27" s="416">
        <v>54410.866272673979</v>
      </c>
      <c r="E27" s="416">
        <v>55452.309374813267</v>
      </c>
      <c r="F27" s="416">
        <v>56009.86008252771</v>
      </c>
      <c r="G27" s="416">
        <v>56425.89484868804</v>
      </c>
      <c r="H27" s="233">
        <f t="shared" si="3"/>
        <v>1.2195195668761594E-2</v>
      </c>
      <c r="I27" s="209"/>
      <c r="Q27" s="25"/>
      <c r="S27" s="26"/>
      <c r="T27" s="26"/>
      <c r="U27" s="26"/>
      <c r="V27" s="113" t="s">
        <v>159</v>
      </c>
      <c r="W27" s="242" t="e">
        <f t="shared" si="5"/>
        <v>#REF!</v>
      </c>
      <c r="X27" s="242">
        <v>1</v>
      </c>
    </row>
    <row r="28" spans="2:24" ht="12.6" thickBot="1">
      <c r="B28" s="5" t="s">
        <v>492</v>
      </c>
      <c r="C28" s="422">
        <v>55563.957999999999</v>
      </c>
      <c r="D28" s="416">
        <v>54175.388714659915</v>
      </c>
      <c r="E28" s="416">
        <v>55854.490149744597</v>
      </c>
      <c r="F28" s="416">
        <v>57126.30487163295</v>
      </c>
      <c r="G28" s="416">
        <v>58345.270923107135</v>
      </c>
      <c r="H28" s="233">
        <f t="shared" si="3"/>
        <v>2.502519767293121E-2</v>
      </c>
      <c r="I28" s="208"/>
      <c r="J28" s="249" t="s">
        <v>1073</v>
      </c>
      <c r="K28" s="249"/>
      <c r="L28" s="249"/>
      <c r="M28" s="249"/>
      <c r="N28" s="220"/>
      <c r="O28" s="220"/>
      <c r="P28" s="220"/>
      <c r="Q28" s="5"/>
      <c r="S28" s="26"/>
      <c r="T28" s="26"/>
      <c r="U28" s="26"/>
      <c r="V28" s="113" t="s">
        <v>381</v>
      </c>
      <c r="W28" s="242" t="e">
        <f t="shared" si="5"/>
        <v>#REF!</v>
      </c>
      <c r="X28" s="242">
        <v>1</v>
      </c>
    </row>
    <row r="29" spans="2:24" ht="12.6" thickTop="1">
      <c r="B29" s="5" t="s">
        <v>489</v>
      </c>
      <c r="C29" s="422">
        <v>-292.35100000000091</v>
      </c>
      <c r="D29" s="416">
        <v>1878.4596307027236</v>
      </c>
      <c r="E29" s="416">
        <v>3019.1188133551505</v>
      </c>
      <c r="F29" s="416">
        <v>4390.7161068090354</v>
      </c>
      <c r="G29" s="416">
        <v>5626.180931683858</v>
      </c>
      <c r="H29" s="233">
        <f t="shared" si="3"/>
        <v>0.44146447205298056</v>
      </c>
      <c r="I29" s="212"/>
      <c r="J29" s="209"/>
      <c r="K29" s="209"/>
      <c r="L29" s="209"/>
      <c r="M29" s="209"/>
      <c r="N29" s="209"/>
      <c r="O29" s="211"/>
      <c r="Q29" s="5"/>
      <c r="S29" s="26"/>
      <c r="T29" s="26"/>
      <c r="U29" s="26"/>
      <c r="V29" s="113" t="s">
        <v>434</v>
      </c>
      <c r="W29" s="242" t="e">
        <f t="shared" si="5"/>
        <v>#REF!</v>
      </c>
      <c r="X29" s="242">
        <v>1</v>
      </c>
    </row>
    <row r="30" spans="2:24">
      <c r="B30" s="5" t="s">
        <v>490</v>
      </c>
      <c r="C30" s="423">
        <v>7499.1022726119272</v>
      </c>
      <c r="D30" s="416">
        <v>6943.4053422668767</v>
      </c>
      <c r="E30" s="416">
        <v>8075.7500052412161</v>
      </c>
      <c r="F30" s="416">
        <v>8546.890433073695</v>
      </c>
      <c r="G30" s="416">
        <v>9124.2037257267039</v>
      </c>
      <c r="H30" s="233">
        <f t="shared" si="3"/>
        <v>9.5319496581938612E-2</v>
      </c>
      <c r="I30" s="214"/>
      <c r="J30" s="208"/>
      <c r="K30" s="208"/>
      <c r="L30" s="208"/>
      <c r="M30" s="208"/>
      <c r="N30" s="208"/>
      <c r="O30" s="5"/>
      <c r="Q30" s="5"/>
      <c r="S30" s="26"/>
      <c r="T30" s="26"/>
      <c r="U30" s="26"/>
      <c r="V30" s="113" t="s">
        <v>493</v>
      </c>
      <c r="W30" s="242" t="e">
        <f t="shared" si="5"/>
        <v>#REF!</v>
      </c>
      <c r="X30" s="242">
        <v>1</v>
      </c>
    </row>
    <row r="31" spans="2:24">
      <c r="B31" s="5" t="s">
        <v>491</v>
      </c>
      <c r="C31" s="423">
        <v>2867.39167</v>
      </c>
      <c r="D31" s="416">
        <v>3154.1308369999997</v>
      </c>
      <c r="E31" s="416">
        <v>3469.5439207000004</v>
      </c>
      <c r="F31" s="416">
        <v>3816.4983127700011</v>
      </c>
      <c r="G31" s="416">
        <v>4198.1481440470006</v>
      </c>
      <c r="H31" s="233">
        <f t="shared" si="3"/>
        <v>0.10000000000000009</v>
      </c>
      <c r="I31" s="214"/>
      <c r="J31" s="212"/>
      <c r="K31" s="212"/>
      <c r="L31" s="212"/>
      <c r="M31" s="212"/>
      <c r="N31" s="212"/>
      <c r="O31" s="5"/>
      <c r="Q31" s="5"/>
      <c r="S31" s="26"/>
      <c r="T31" s="26"/>
      <c r="U31" s="26"/>
      <c r="V31" s="113" t="s">
        <v>390</v>
      </c>
      <c r="W31" s="242" t="e">
        <f t="shared" si="5"/>
        <v>#REF!</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26"/>
      <c r="T32" s="26"/>
      <c r="U32" s="26"/>
      <c r="V32" s="113" t="s">
        <v>437</v>
      </c>
      <c r="W32" s="242" t="e">
        <f t="shared" si="5"/>
        <v>#REF!</v>
      </c>
      <c r="X32" s="242">
        <v>1</v>
      </c>
    </row>
    <row r="33" spans="2:24">
      <c r="B33" s="5" t="s">
        <v>3</v>
      </c>
      <c r="C33" s="423">
        <v>-2493.4780000000001</v>
      </c>
      <c r="D33" s="416">
        <v>-1524.8730995753185</v>
      </c>
      <c r="E33" s="416">
        <v>-1320.3510347431588</v>
      </c>
      <c r="F33" s="416">
        <v>-1059.3576364830633</v>
      </c>
      <c r="G33" s="416">
        <v>-733.55922838606375</v>
      </c>
      <c r="H33" s="233">
        <f>IF(D33=0,"nm",IF(G33=0,"nm",(G33/D33)^(1/3)-1))</f>
        <v>-0.21644919586696465</v>
      </c>
      <c r="I33" s="5"/>
      <c r="J33" s="214"/>
      <c r="K33" s="214"/>
      <c r="L33" s="214"/>
      <c r="M33" s="214"/>
      <c r="N33" s="214"/>
      <c r="O33" s="211"/>
      <c r="Q33" s="5"/>
      <c r="S33" s="26"/>
      <c r="T33" s="26"/>
      <c r="U33" s="26"/>
      <c r="V33" s="113" t="s">
        <v>481</v>
      </c>
      <c r="W33" s="242" t="e">
        <f t="shared" si="5"/>
        <v>#REF!</v>
      </c>
      <c r="X33" s="242">
        <v>1</v>
      </c>
    </row>
    <row r="34" spans="2:24">
      <c r="H34" s="231"/>
      <c r="I34" s="33"/>
      <c r="J34" s="214"/>
      <c r="K34" s="214"/>
      <c r="L34" s="214"/>
      <c r="M34" s="214"/>
      <c r="N34" s="214"/>
      <c r="O34" s="211"/>
      <c r="Q34" s="5"/>
      <c r="S34" s="26"/>
      <c r="T34" s="26"/>
      <c r="U34" s="26"/>
      <c r="V34" s="113" t="s">
        <v>482</v>
      </c>
      <c r="W34" s="242" t="e">
        <f>D47/L19</f>
        <v>#REF!</v>
      </c>
      <c r="X34" s="242">
        <v>1</v>
      </c>
    </row>
    <row r="35" spans="2:24" ht="12.6" thickBot="1">
      <c r="B35" s="249" t="s">
        <v>691</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2.1825425659206106</v>
      </c>
      <c r="E37" s="406">
        <f t="shared" ref="E37:G41" si="7">E$18/E23</f>
        <v>1.9249911452330228</v>
      </c>
      <c r="F37" s="406">
        <f t="shared" si="7"/>
        <v>1.6791319137944689</v>
      </c>
      <c r="G37" s="406">
        <f t="shared" si="7"/>
        <v>1.4376960219231618</v>
      </c>
      <c r="H37" s="13">
        <f t="shared" ref="H37:H45" si="8">H23</f>
        <v>6.8548363771691267E-2</v>
      </c>
      <c r="I37" s="5"/>
      <c r="J37" s="217"/>
      <c r="K37" s="217"/>
      <c r="L37" s="217"/>
      <c r="M37" s="217"/>
      <c r="N37" s="217"/>
      <c r="O37" s="14"/>
      <c r="Q37" s="5"/>
      <c r="R37" s="5"/>
      <c r="S37" s="26"/>
      <c r="T37" s="26"/>
      <c r="U37" s="26"/>
      <c r="V37" s="26"/>
      <c r="W37" s="26"/>
      <c r="X37" s="26"/>
    </row>
    <row r="38" spans="2:24">
      <c r="B38" s="5" t="s">
        <v>158</v>
      </c>
      <c r="C38" s="207"/>
      <c r="D38" s="406">
        <f>D$18/D24</f>
        <v>4.7963708697521055</v>
      </c>
      <c r="E38" s="406">
        <f t="shared" si="7"/>
        <v>4.1345276199786483</v>
      </c>
      <c r="F38" s="406">
        <f t="shared" si="7"/>
        <v>3.5567844045330048</v>
      </c>
      <c r="G38" s="406">
        <f t="shared" si="7"/>
        <v>2.9685044638977458</v>
      </c>
      <c r="H38" s="13">
        <f t="shared" si="8"/>
        <v>9.0989698729420976E-2</v>
      </c>
      <c r="I38" s="217"/>
      <c r="J38" s="13"/>
      <c r="K38" s="13"/>
      <c r="L38" s="13"/>
      <c r="M38" s="13"/>
      <c r="N38" s="13"/>
      <c r="O38" s="5"/>
      <c r="Q38" s="5"/>
      <c r="R38" s="5"/>
      <c r="S38" s="26"/>
      <c r="T38" s="26"/>
      <c r="U38" s="26"/>
      <c r="V38" s="26"/>
      <c r="W38" s="26"/>
      <c r="X38" s="26"/>
    </row>
    <row r="39" spans="2:24">
      <c r="B39" s="5" t="s">
        <v>159</v>
      </c>
      <c r="C39" s="207"/>
      <c r="D39" s="406">
        <f>D$18/D25</f>
        <v>12.46879260020664</v>
      </c>
      <c r="E39" s="406">
        <f t="shared" si="7"/>
        <v>9.3632921280091814</v>
      </c>
      <c r="F39" s="406">
        <f t="shared" si="7"/>
        <v>7.2347471214907983</v>
      </c>
      <c r="G39" s="406">
        <f t="shared" si="7"/>
        <v>5.6531738757932333</v>
      </c>
      <c r="H39" s="13">
        <f t="shared" si="8"/>
        <v>0.21024413247389551</v>
      </c>
      <c r="I39" s="13"/>
      <c r="J39" s="5"/>
      <c r="K39" s="5"/>
      <c r="L39" s="5"/>
      <c r="M39" s="5"/>
      <c r="N39" s="5"/>
      <c r="O39" s="5"/>
      <c r="Q39" s="5"/>
      <c r="R39" s="5"/>
      <c r="S39" s="26"/>
      <c r="T39" s="26"/>
      <c r="U39" s="26"/>
      <c r="V39" s="26"/>
      <c r="W39" s="26"/>
      <c r="X39" s="26"/>
    </row>
    <row r="40" spans="2:24">
      <c r="B40" s="5" t="s">
        <v>381</v>
      </c>
      <c r="C40" s="207"/>
      <c r="D40" s="406">
        <f>D$18/D26</f>
        <v>17.317767500287001</v>
      </c>
      <c r="E40" s="406">
        <f t="shared" si="7"/>
        <v>13.004572400012753</v>
      </c>
      <c r="F40" s="406">
        <f t="shared" si="7"/>
        <v>10.048259890959443</v>
      </c>
      <c r="G40" s="406">
        <f t="shared" si="7"/>
        <v>7.8516303830461585</v>
      </c>
      <c r="H40" s="13">
        <f t="shared" si="8"/>
        <v>0.21024413247389551</v>
      </c>
      <c r="I40" s="5"/>
      <c r="J40" s="217"/>
      <c r="K40" s="217"/>
      <c r="L40" s="217"/>
      <c r="M40" s="217"/>
      <c r="N40" s="217"/>
      <c r="O40" s="14"/>
      <c r="Q40" s="5"/>
      <c r="R40" s="5"/>
      <c r="S40" s="26"/>
      <c r="T40" s="26"/>
      <c r="U40" s="26"/>
      <c r="V40" s="26"/>
      <c r="W40" s="242"/>
      <c r="X40" s="242"/>
    </row>
    <row r="41" spans="2:24">
      <c r="B41" s="5" t="s">
        <v>434</v>
      </c>
      <c r="C41" s="207"/>
      <c r="D41" s="406">
        <f>D$18/D27</f>
        <v>1.423132288640601</v>
      </c>
      <c r="E41" s="406">
        <f t="shared" si="7"/>
        <v>1.3302467767994737</v>
      </c>
      <c r="F41" s="406">
        <f t="shared" si="7"/>
        <v>1.2258847149121608</v>
      </c>
      <c r="G41" s="406">
        <f t="shared" si="7"/>
        <v>1.1029081775952057</v>
      </c>
      <c r="H41" s="13">
        <f t="shared" si="8"/>
        <v>1.2195195668761594E-2</v>
      </c>
      <c r="I41" s="207"/>
      <c r="J41" s="13"/>
      <c r="K41" s="13"/>
      <c r="L41" s="13"/>
      <c r="M41" s="13"/>
      <c r="N41" s="13"/>
      <c r="O41" s="5"/>
      <c r="Q41" s="5"/>
      <c r="R41" s="5"/>
      <c r="S41" s="26"/>
      <c r="T41" s="26"/>
      <c r="U41" s="26"/>
      <c r="V41" s="26"/>
      <c r="W41" s="242"/>
      <c r="X41" s="242"/>
    </row>
    <row r="42" spans="2:24">
      <c r="B42" s="5" t="s">
        <v>493</v>
      </c>
      <c r="C42" s="207"/>
      <c r="D42" s="406">
        <f>D18/D28</f>
        <v>1.42931804427634</v>
      </c>
      <c r="E42" s="406">
        <f>E18/E28</f>
        <v>1.3206683225318079</v>
      </c>
      <c r="F42" s="406">
        <f>F18/F28</f>
        <v>1.2019267045860444</v>
      </c>
      <c r="G42" s="406">
        <f>G18/G28</f>
        <v>1.0666259642321509</v>
      </c>
      <c r="H42" s="13">
        <f t="shared" si="8"/>
        <v>2.502519767293121E-2</v>
      </c>
      <c r="I42" s="208"/>
      <c r="J42" s="5"/>
      <c r="K42" s="5"/>
      <c r="L42" s="5"/>
      <c r="M42" s="5"/>
      <c r="N42" s="5"/>
      <c r="O42" s="5"/>
      <c r="Q42" s="5"/>
      <c r="R42" s="5"/>
      <c r="S42" s="26"/>
      <c r="T42" s="26"/>
      <c r="U42" s="26"/>
      <c r="V42" s="26"/>
      <c r="W42" s="242"/>
      <c r="X42" s="242"/>
    </row>
    <row r="43" spans="2:24">
      <c r="B43" s="5" t="s">
        <v>390</v>
      </c>
      <c r="C43" s="207"/>
      <c r="D43" s="406">
        <f>L26/D29</f>
        <v>27.147205543577755</v>
      </c>
      <c r="E43" s="406">
        <f>M26/E29</f>
        <v>16.890666731770413</v>
      </c>
      <c r="F43" s="406">
        <f>N26/F29</f>
        <v>11.614262562072295</v>
      </c>
      <c r="G43" s="406">
        <f>O26/G29</f>
        <v>9.0638623818195878</v>
      </c>
      <c r="H43" s="13">
        <f t="shared" si="8"/>
        <v>0.44146447205298056</v>
      </c>
      <c r="I43" s="207"/>
      <c r="J43" s="207"/>
      <c r="K43" s="207"/>
      <c r="L43" s="207"/>
      <c r="M43" s="207"/>
      <c r="N43" s="207"/>
      <c r="O43" s="14"/>
      <c r="Q43" s="5"/>
      <c r="R43" s="5"/>
      <c r="S43" s="26"/>
      <c r="T43" s="26"/>
      <c r="U43" s="26"/>
      <c r="V43" s="26"/>
      <c r="W43" s="242"/>
      <c r="X43" s="242"/>
    </row>
    <row r="44" spans="2:24">
      <c r="B44" s="5" t="s">
        <v>437</v>
      </c>
      <c r="C44" s="53"/>
      <c r="D44" s="406">
        <f>D11/D30</f>
        <v>7.3443688199472481</v>
      </c>
      <c r="E44" s="406">
        <f>E11/E30</f>
        <v>6.3145750756157568</v>
      </c>
      <c r="F44" s="406">
        <f>F11/F30</f>
        <v>5.9664892277858339</v>
      </c>
      <c r="G44" s="406">
        <f>G11/G30</f>
        <v>5.5889731567713845</v>
      </c>
      <c r="H44" s="13">
        <f t="shared" si="8"/>
        <v>9.5319496581938612E-2</v>
      </c>
      <c r="I44" s="207"/>
      <c r="J44" s="208"/>
      <c r="K44" s="208"/>
      <c r="L44" s="208"/>
      <c r="M44" s="208"/>
      <c r="N44" s="208"/>
      <c r="O44" s="208"/>
      <c r="Q44" s="5"/>
      <c r="R44" s="5"/>
      <c r="S44" s="26"/>
      <c r="T44" s="26"/>
      <c r="U44" s="26"/>
      <c r="V44" s="26"/>
      <c r="W44" s="255"/>
      <c r="X44" s="255"/>
    </row>
    <row r="45" spans="2:24">
      <c r="B45" s="5" t="s">
        <v>481</v>
      </c>
      <c r="C45" s="207"/>
      <c r="D45" s="208">
        <f>D31/D11</f>
        <v>6.1851851851851845E-2</v>
      </c>
      <c r="E45" s="208">
        <f>E31/E11</f>
        <v>6.8037037037037049E-2</v>
      </c>
      <c r="F45" s="208">
        <f>F31/F11</f>
        <v>7.4840740740740763E-2</v>
      </c>
      <c r="G45" s="208">
        <f>G31/G11</f>
        <v>8.2324814814814823E-2</v>
      </c>
      <c r="H45" s="13">
        <f t="shared" si="8"/>
        <v>0.10000000000000009</v>
      </c>
      <c r="I45" s="208"/>
      <c r="J45" s="207"/>
      <c r="K45" s="207"/>
      <c r="L45" s="207"/>
      <c r="M45" s="207"/>
      <c r="N45" s="207"/>
      <c r="O45" s="208"/>
      <c r="Q45" s="5"/>
      <c r="R45" s="5"/>
      <c r="S45" s="26"/>
      <c r="T45" s="26"/>
      <c r="U45" s="26"/>
      <c r="V45" s="26"/>
      <c r="W45" s="26"/>
      <c r="X45" s="26"/>
    </row>
    <row r="46" spans="2:24">
      <c r="B46" s="5" t="s">
        <v>505</v>
      </c>
      <c r="C46" s="207"/>
      <c r="D46" s="208">
        <f>(D31+D32)/D11</f>
        <v>6.1851851851851845E-2</v>
      </c>
      <c r="E46" s="208">
        <f>(E31+E32)/E11</f>
        <v>6.8037037037037049E-2</v>
      </c>
      <c r="F46" s="208">
        <f>(F31+F32)/F11</f>
        <v>7.4840740740740763E-2</v>
      </c>
      <c r="G46" s="208">
        <f>(G31+G32)/G11</f>
        <v>8.2324814814814823E-2</v>
      </c>
      <c r="H46" s="233">
        <f>((G31+G32)/(D31+D32))^(1/3)-1</f>
        <v>0.10000000000000009</v>
      </c>
      <c r="I46" s="207"/>
      <c r="J46" s="207"/>
      <c r="K46" s="207"/>
      <c r="L46" s="207"/>
      <c r="M46" s="207"/>
      <c r="N46" s="207"/>
      <c r="O46" s="14"/>
      <c r="Q46" s="5"/>
      <c r="R46" s="5"/>
      <c r="S46" s="26"/>
      <c r="T46" s="26"/>
      <c r="U46" s="26"/>
      <c r="V46" s="26"/>
      <c r="W46" s="26"/>
      <c r="X46" s="26"/>
    </row>
    <row r="47" spans="2:24">
      <c r="B47" s="5" t="s">
        <v>482</v>
      </c>
      <c r="C47" s="5"/>
      <c r="D47" s="208">
        <f>1/D43</f>
        <v>3.6836203947207789E-2</v>
      </c>
      <c r="E47" s="208">
        <f>1/E43</f>
        <v>5.9204294056613829E-2</v>
      </c>
      <c r="F47" s="208">
        <f>1/F43</f>
        <v>8.6101032644604975E-2</v>
      </c>
      <c r="G47" s="208">
        <f>1/G43</f>
        <v>0.11032824174447009</v>
      </c>
      <c r="H47" s="13">
        <f>H29</f>
        <v>0.44146447205298056</v>
      </c>
      <c r="I47" s="13"/>
      <c r="J47" s="208"/>
      <c r="K47" s="208"/>
      <c r="L47" s="208"/>
      <c r="M47" s="208"/>
      <c r="N47" s="208"/>
      <c r="O47" s="208"/>
      <c r="Q47" s="5"/>
      <c r="R47" s="5"/>
      <c r="S47" s="26"/>
      <c r="T47" s="26"/>
      <c r="U47" s="26"/>
      <c r="V47" s="26"/>
      <c r="W47" s="26"/>
      <c r="X47" s="26"/>
    </row>
    <row r="48" spans="2:24">
      <c r="B48" s="5" t="s">
        <v>518</v>
      </c>
      <c r="C48" s="5"/>
      <c r="D48" s="248">
        <f>D31/D29</f>
        <v>1.6791049354731424</v>
      </c>
      <c r="E48" s="248">
        <f>E31/E29</f>
        <v>1.1491909180097128</v>
      </c>
      <c r="F48" s="248">
        <f>F31/F29</f>
        <v>0.86922001330294418</v>
      </c>
      <c r="G48" s="248">
        <f>G31/G29</f>
        <v>0.746180792090264</v>
      </c>
      <c r="H48" s="233" t="s">
        <v>507</v>
      </c>
      <c r="I48" s="207"/>
      <c r="J48" s="207"/>
      <c r="K48" s="207"/>
      <c r="L48" s="207"/>
      <c r="M48" s="207"/>
      <c r="N48" s="207"/>
      <c r="O48" s="208"/>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1">
    <pageSetUpPr fitToPage="1"/>
  </sheetPr>
  <dimension ref="B1:AR48"/>
  <sheetViews>
    <sheetView showGridLines="0" zoomScale="80" zoomScaleNormal="80" workbookViewId="0">
      <selection activeCell="D31" sqref="D31"/>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342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360</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v>
      </c>
      <c r="C9" s="241">
        <f>Prices!C113</f>
        <v>83.625</v>
      </c>
      <c r="D9" s="412">
        <v>0</v>
      </c>
      <c r="E9" s="413">
        <v>0</v>
      </c>
      <c r="F9" s="413">
        <v>0</v>
      </c>
      <c r="G9" s="413">
        <v>0</v>
      </c>
      <c r="H9" s="209"/>
      <c r="I9" s="209"/>
      <c r="J9" s="5" t="s">
        <v>225</v>
      </c>
      <c r="L9" s="406">
        <f>'LATAM OTHER'!D37</f>
        <v>2.4119768823205523</v>
      </c>
      <c r="M9" s="406">
        <f>'LATAM OTHER'!E37</f>
        <v>2.1154894928642065</v>
      </c>
      <c r="N9" s="406">
        <f>'LATAM OTHER'!F37</f>
        <v>1.9103568365427492</v>
      </c>
      <c r="O9" s="406">
        <f>'LATAM OTHER'!G37</f>
        <v>1.724209646645674</v>
      </c>
      <c r="P9" s="240">
        <f>'LATAM OTHER'!H37</f>
        <v>6.4432021722839572E-2</v>
      </c>
    </row>
    <row r="10" spans="2:44">
      <c r="B10" s="5" t="s">
        <v>226</v>
      </c>
      <c r="C10" s="5"/>
      <c r="D10" s="408">
        <v>168.27828788193722</v>
      </c>
      <c r="E10" s="408">
        <v>165.20200436499687</v>
      </c>
      <c r="F10" s="408">
        <v>162.12572084805652</v>
      </c>
      <c r="G10" s="408">
        <v>159.04943733111617</v>
      </c>
      <c r="H10" s="207"/>
      <c r="I10" s="207"/>
      <c r="J10" s="5" t="s">
        <v>158</v>
      </c>
      <c r="L10" s="406">
        <f>'LATAM OTHER'!D38</f>
        <v>5.8512530000817966</v>
      </c>
      <c r="M10" s="406">
        <f>'LATAM OTHER'!E38</f>
        <v>5.2022628550395567</v>
      </c>
      <c r="N10" s="406">
        <f>'LATAM OTHER'!F38</f>
        <v>4.5887025166021536</v>
      </c>
      <c r="O10" s="406">
        <f>'LATAM OTHER'!G38</f>
        <v>4.0686320357957708</v>
      </c>
      <c r="P10" s="240">
        <f>'LATAM OTHER'!H38</f>
        <v>7.4295430516063243E-2</v>
      </c>
    </row>
    <row r="11" spans="2:44">
      <c r="B11" s="25" t="s">
        <v>357</v>
      </c>
      <c r="C11" s="5"/>
      <c r="D11" s="409">
        <f>($C$9*D10)</f>
        <v>14072.271824126999</v>
      </c>
      <c r="E11" s="409">
        <f t="shared" ref="E11:G11" si="2">($C$9*E10)</f>
        <v>13815.017615022864</v>
      </c>
      <c r="F11" s="409">
        <f t="shared" si="2"/>
        <v>13557.763405918726</v>
      </c>
      <c r="G11" s="409">
        <f t="shared" si="2"/>
        <v>13300.50919681459</v>
      </c>
      <c r="H11" s="209"/>
      <c r="I11" s="209"/>
      <c r="J11" s="5" t="s">
        <v>159</v>
      </c>
      <c r="L11" s="406">
        <f>'LATAM OTHER'!D39</f>
        <v>9.7743985443172523</v>
      </c>
      <c r="M11" s="406">
        <f>'LATAM OTHER'!E39</f>
        <v>8.5016802869832357</v>
      </c>
      <c r="N11" s="406">
        <f>'LATAM OTHER'!F39</f>
        <v>7.1652573287893704</v>
      </c>
      <c r="O11" s="406">
        <f>'LATAM OTHER'!G39</f>
        <v>6.1497254932409238</v>
      </c>
      <c r="P11" s="240">
        <f>'LATAM OTHER'!H39</f>
        <v>0.11071254875259684</v>
      </c>
    </row>
    <row r="12" spans="2:44">
      <c r="B12" s="5" t="s">
        <v>22</v>
      </c>
      <c r="C12" s="209"/>
      <c r="D12" s="410">
        <v>6686.9079679528741</v>
      </c>
      <c r="E12" s="410">
        <v>8131.9189039930206</v>
      </c>
      <c r="F12" s="410">
        <v>8073.9882783664498</v>
      </c>
      <c r="G12" s="410">
        <v>8013.9778345215782</v>
      </c>
      <c r="H12" s="207"/>
      <c r="I12" s="207"/>
      <c r="J12" s="5" t="s">
        <v>381</v>
      </c>
      <c r="L12" s="406">
        <f>'LATAM OTHER'!D40</f>
        <v>12.943748486442482</v>
      </c>
      <c r="M12" s="406">
        <f>'LATAM OTHER'!E40</f>
        <v>11.262139134791388</v>
      </c>
      <c r="N12" s="406">
        <f>'LATAM OTHER'!F40</f>
        <v>9.8509660228840694</v>
      </c>
      <c r="O12" s="406">
        <f>'LATAM OTHER'!G40</f>
        <v>8.4548305272648268</v>
      </c>
      <c r="P12" s="240">
        <f>'LATAM OTHER'!H40</f>
        <v>9.692085592490618E-2</v>
      </c>
    </row>
    <row r="13" spans="2:44">
      <c r="B13" s="5" t="s">
        <v>433</v>
      </c>
      <c r="C13" s="216"/>
      <c r="D13" s="410">
        <v>1876.1644276161112</v>
      </c>
      <c r="E13" s="410">
        <v>1876.1644276161112</v>
      </c>
      <c r="F13" s="410">
        <v>1876.1644276161112</v>
      </c>
      <c r="G13" s="410">
        <v>1876.1644276161112</v>
      </c>
      <c r="H13" s="207"/>
      <c r="I13" s="207"/>
      <c r="J13" s="5" t="s">
        <v>434</v>
      </c>
      <c r="L13" s="406">
        <f>'LATAM OTHER'!D41</f>
        <v>1.5759145073957344</v>
      </c>
      <c r="M13" s="406">
        <f>'LATAM OTHER'!E41</f>
        <v>1.4883300559129049</v>
      </c>
      <c r="N13" s="406">
        <f>'LATAM OTHER'!F41</f>
        <v>1.4090724335425369</v>
      </c>
      <c r="O13" s="406">
        <f>'LATAM OTHER'!G41</f>
        <v>1.3214292867714388</v>
      </c>
      <c r="P13" s="240">
        <f>'LATAM OTHER'!H41</f>
        <v>9.2989378591046279E-3</v>
      </c>
    </row>
    <row r="14" spans="2:44">
      <c r="B14" s="5" t="s">
        <v>436</v>
      </c>
      <c r="C14" s="216"/>
      <c r="D14" s="410">
        <v>1031.4261490703261</v>
      </c>
      <c r="E14" s="410">
        <f t="shared" ref="E14:G14" si="3">D14</f>
        <v>1031.4261490703261</v>
      </c>
      <c r="F14" s="410">
        <f t="shared" si="3"/>
        <v>1031.4261490703261</v>
      </c>
      <c r="G14" s="410">
        <f t="shared" si="3"/>
        <v>1031.4261490703261</v>
      </c>
      <c r="H14" s="207"/>
      <c r="I14" s="207"/>
      <c r="J14" s="5" t="s">
        <v>493</v>
      </c>
      <c r="L14" s="406">
        <f>'LATAM OTHER'!D42</f>
        <v>2.0003709392007782</v>
      </c>
      <c r="M14" s="406">
        <f>'LATAM OTHER'!E42</f>
        <v>1.8758750356023162</v>
      </c>
      <c r="N14" s="406">
        <f>'LATAM OTHER'!F42</f>
        <v>1.771442878106624</v>
      </c>
      <c r="O14" s="406">
        <f>'LATAM OTHER'!G42</f>
        <v>1.6500606174643018</v>
      </c>
      <c r="P14" s="240">
        <f>'LATAM OTHER'!H42</f>
        <v>1.4831144278901309E-2</v>
      </c>
    </row>
    <row r="15" spans="2:44">
      <c r="B15" s="5" t="s">
        <v>435</v>
      </c>
      <c r="C15" s="228"/>
      <c r="D15" s="410">
        <v>1604.9925441179271</v>
      </c>
      <c r="E15" s="410">
        <f>D15</f>
        <v>1604.9925441179271</v>
      </c>
      <c r="F15" s="410">
        <f>E15</f>
        <v>1604.9925441179271</v>
      </c>
      <c r="G15" s="410">
        <f>F15</f>
        <v>1604.9925441179271</v>
      </c>
      <c r="H15" s="207"/>
      <c r="I15" s="207"/>
      <c r="J15" s="5" t="s">
        <v>390</v>
      </c>
      <c r="L15" s="406">
        <f>'LATAM OTHER'!D43</f>
        <v>11.60541157029073</v>
      </c>
      <c r="M15" s="406">
        <f>'LATAM OTHER'!E43</f>
        <v>9.6347374591270096</v>
      </c>
      <c r="N15" s="406">
        <f>'LATAM OTHER'!F43</f>
        <v>7.5273490959335732</v>
      </c>
      <c r="O15" s="406">
        <f>'LATAM OTHER'!G43</f>
        <v>6.5286296232591763</v>
      </c>
      <c r="P15" s="240">
        <f>'LATAM OTHER'!H43</f>
        <v>0.18323846876090721</v>
      </c>
    </row>
    <row r="16" spans="2:44">
      <c r="B16" s="5" t="s">
        <v>438</v>
      </c>
      <c r="C16" s="216"/>
      <c r="D16" s="410">
        <v>0</v>
      </c>
      <c r="E16" s="410">
        <v>715.18272349823314</v>
      </c>
      <c r="F16" s="410">
        <v>1309.9099392122218</v>
      </c>
      <c r="G16" s="410">
        <v>1958.4128226044479</v>
      </c>
      <c r="H16" s="207"/>
      <c r="I16" s="207"/>
      <c r="J16" s="5" t="s">
        <v>437</v>
      </c>
      <c r="L16" s="406">
        <f>'LATAM OTHER'!D44</f>
        <v>12.587422154239039</v>
      </c>
      <c r="M16" s="406">
        <f>'LATAM OTHER'!E44</f>
        <v>10.558225413184802</v>
      </c>
      <c r="N16" s="406">
        <f>'LATAM OTHER'!F44</f>
        <v>8.851083192314551</v>
      </c>
      <c r="O16" s="406">
        <f>'LATAM OTHER'!G44</f>
        <v>7.7346026411363038</v>
      </c>
      <c r="P16" s="240">
        <f>'LATAM OTHER'!H44</f>
        <v>0.15515708992416144</v>
      </c>
    </row>
    <row r="17" spans="2:24">
      <c r="B17" s="5" t="s">
        <v>4</v>
      </c>
      <c r="C17" s="216"/>
      <c r="D17" s="410">
        <v>0</v>
      </c>
      <c r="E17" s="410">
        <v>0</v>
      </c>
      <c r="F17" s="410">
        <v>0</v>
      </c>
      <c r="G17" s="410">
        <v>0</v>
      </c>
      <c r="H17" s="207"/>
      <c r="I17" s="207"/>
      <c r="J17" s="5" t="s">
        <v>481</v>
      </c>
      <c r="L17" s="208">
        <f>'LATAM OTHER'!D45</f>
        <v>6.6798352381774173E-2</v>
      </c>
      <c r="M17" s="208">
        <f>'LATAM OTHER'!E45</f>
        <v>6.8747335864796422E-2</v>
      </c>
      <c r="N17" s="208">
        <f>'LATAM OTHER'!F45</f>
        <v>7.8197938134596134E-2</v>
      </c>
      <c r="O17" s="208">
        <f>'LATAM OTHER'!G45</f>
        <v>8.4412656483087073E-2</v>
      </c>
      <c r="P17" s="240">
        <f>'LATAM OTHER'!H45</f>
        <v>6.1749479822025055E-2</v>
      </c>
      <c r="S17" s="72"/>
      <c r="T17" s="26"/>
      <c r="U17" s="26"/>
      <c r="V17" s="26"/>
      <c r="W17" s="26"/>
      <c r="X17" s="26"/>
    </row>
    <row r="18" spans="2:24" ht="12.6" thickBot="1">
      <c r="B18" s="25" t="s">
        <v>101</v>
      </c>
      <c r="C18" s="209"/>
      <c r="D18" s="411">
        <f>D11+D12+D13-D14+D15-D16-D17</f>
        <v>23208.910614743585</v>
      </c>
      <c r="E18" s="411">
        <f>E11+E12+E13-E14+E15-E16-E17</f>
        <v>23681.484618181363</v>
      </c>
      <c r="F18" s="411">
        <f>F11+F12+F13-F14+F15-F16-F17</f>
        <v>22771.572567736664</v>
      </c>
      <c r="G18" s="411">
        <f>G11+G12+G13-G14+G15-G16-G17</f>
        <v>21805.80503139543</v>
      </c>
      <c r="H18" s="230">
        <f>IF(D18=0,"nm",IF(G18=0,"nm",(G18/D18)^(1/3)-1))</f>
        <v>-2.0572133656651226E-2</v>
      </c>
      <c r="I18" s="214"/>
      <c r="J18" s="5" t="s">
        <v>33</v>
      </c>
      <c r="L18" s="208">
        <f>'LATAM OTHER'!D46</f>
        <v>8.0378510362212871E-2</v>
      </c>
      <c r="M18" s="208">
        <f>'LATAM OTHER'!E46</f>
        <v>8.4592966994935445E-2</v>
      </c>
      <c r="N18" s="208">
        <f>'LATAM OTHER'!F46</f>
        <v>9.433284175985629E-2</v>
      </c>
      <c r="O18" s="208">
        <f>'LATAM OTHER'!G46</f>
        <v>0.10084759072217683</v>
      </c>
      <c r="P18" s="240">
        <f>'LATAM OTHER'!H46</f>
        <v>5.9213016537436713E-2</v>
      </c>
      <c r="S18" s="72"/>
      <c r="T18" s="26"/>
      <c r="U18" s="26"/>
      <c r="V18" s="26"/>
      <c r="W18" s="26"/>
      <c r="X18" s="26"/>
    </row>
    <row r="19" spans="2:24" ht="12.6" thickTop="1">
      <c r="B19" s="25"/>
      <c r="C19" s="209"/>
      <c r="D19" s="189"/>
      <c r="E19" s="189"/>
      <c r="F19" s="189"/>
      <c r="G19" s="189"/>
      <c r="H19" s="230"/>
      <c r="I19" s="214"/>
      <c r="J19" s="5" t="s">
        <v>482</v>
      </c>
      <c r="L19" s="208">
        <f>'LATAM OTHER'!D47</f>
        <v>8.6166698521916246E-2</v>
      </c>
      <c r="M19" s="208">
        <f>'LATAM OTHER'!E47</f>
        <v>0.10379110009403501</v>
      </c>
      <c r="N19" s="208">
        <f>'LATAM OTHER'!F47</f>
        <v>0.13284889371481659</v>
      </c>
      <c r="O19" s="208">
        <f>'LATAM OTHER'!G47</f>
        <v>0.15317150117344031</v>
      </c>
      <c r="P19" s="240">
        <f>'LATAM OTHER'!H47</f>
        <v>0.18323846876090721</v>
      </c>
      <c r="S19" s="72"/>
      <c r="T19" s="26"/>
      <c r="U19" s="26"/>
      <c r="V19" s="26"/>
      <c r="W19" s="26"/>
      <c r="X19" s="26"/>
    </row>
    <row r="20" spans="2:24">
      <c r="H20" s="231"/>
      <c r="I20" s="13"/>
      <c r="J20" s="5" t="s">
        <v>504</v>
      </c>
      <c r="L20" s="248">
        <f>'LATAM OTHER'!D48</f>
        <v>0.93126857380042938</v>
      </c>
      <c r="M20" s="248">
        <f>'LATAM OTHER'!E48</f>
        <v>0.79549299406012719</v>
      </c>
      <c r="N20" s="248">
        <f>'LATAM OTHER'!F48</f>
        <v>0.71725477353181899</v>
      </c>
      <c r="O20" s="248">
        <f>'LATAM OTHER'!G48</f>
        <v>0.67285932583422448</v>
      </c>
      <c r="P20" s="240" t="str">
        <f>'LATAM OTHER'!H48</f>
        <v>nm</v>
      </c>
      <c r="S20" s="72"/>
      <c r="T20" s="26"/>
      <c r="U20" s="26"/>
      <c r="V20" s="26"/>
      <c r="W20" s="26"/>
      <c r="X20" s="26"/>
    </row>
    <row r="21" spans="2:24" ht="12.6" thickBot="1">
      <c r="B21" s="249" t="s">
        <v>756</v>
      </c>
      <c r="C21" s="219"/>
      <c r="D21" s="219" t="str">
        <f>D5</f>
        <v>2025E</v>
      </c>
      <c r="E21" s="219" t="str">
        <f t="shared" ref="E21:H21" si="4">E5</f>
        <v>2026E</v>
      </c>
      <c r="F21" s="219" t="str">
        <f t="shared" si="4"/>
        <v>2027E</v>
      </c>
      <c r="G21" s="219" t="str">
        <f t="shared" si="4"/>
        <v>2028E</v>
      </c>
      <c r="H21" s="219" t="str">
        <f t="shared" si="4"/>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5804.2592000000004</v>
      </c>
      <c r="D23" s="416">
        <v>5815.6886409444833</v>
      </c>
      <c r="E23" s="416">
        <v>7707.6414344488039</v>
      </c>
      <c r="F23" s="416">
        <v>8146.19816458474</v>
      </c>
      <c r="G23" s="416">
        <v>8291.4757429590736</v>
      </c>
      <c r="H23" s="233">
        <f t="shared" ref="H23:H32" si="5">IF(D23=0,"nm",IF(G23=0,"nm",(G23/D23)^(1/3)-1))</f>
        <v>0.12549498034039352</v>
      </c>
      <c r="I23" s="207"/>
      <c r="J23" s="249" t="s">
        <v>7</v>
      </c>
      <c r="K23" s="249"/>
      <c r="L23" s="219" t="str">
        <f>D21</f>
        <v>2025E</v>
      </c>
      <c r="M23" s="219" t="str">
        <f t="shared" ref="M23:P23" si="6">E21</f>
        <v>2026E</v>
      </c>
      <c r="N23" s="219" t="str">
        <f t="shared" si="6"/>
        <v>2027E</v>
      </c>
      <c r="O23" s="219" t="str">
        <f t="shared" si="6"/>
        <v>2028E</v>
      </c>
      <c r="P23" s="219" t="str">
        <f t="shared" si="6"/>
        <v>2025-28</v>
      </c>
      <c r="S23" s="72"/>
      <c r="T23" s="26"/>
      <c r="U23" s="26"/>
      <c r="V23" s="26"/>
      <c r="W23" s="26"/>
      <c r="X23" s="26"/>
    </row>
    <row r="24" spans="2:24" ht="12.6" thickTop="1">
      <c r="B24" s="5" t="s">
        <v>397</v>
      </c>
      <c r="C24" s="423">
        <v>2468.6458000000002</v>
      </c>
      <c r="D24" s="416">
        <v>2547.3037072237839</v>
      </c>
      <c r="E24" s="416">
        <v>3058.035560924649</v>
      </c>
      <c r="F24" s="416">
        <v>3329.1912387163939</v>
      </c>
      <c r="G24" s="416">
        <v>3442.0732208009204</v>
      </c>
      <c r="H24" s="233">
        <f t="shared" si="5"/>
        <v>0.10555357247238728</v>
      </c>
      <c r="I24" s="209"/>
      <c r="J24" s="13"/>
      <c r="K24" s="13"/>
      <c r="L24" s="13"/>
      <c r="M24" s="13"/>
      <c r="N24" s="13"/>
      <c r="O24" s="208"/>
      <c r="S24" s="72"/>
      <c r="T24" s="26"/>
      <c r="U24" s="26"/>
      <c r="V24" s="26"/>
      <c r="W24" s="26" t="s">
        <v>326</v>
      </c>
      <c r="X24" s="26" t="s">
        <v>419</v>
      </c>
    </row>
    <row r="25" spans="2:24">
      <c r="B25" s="5" t="s">
        <v>157</v>
      </c>
      <c r="C25" s="422">
        <v>1791.6458000000002</v>
      </c>
      <c r="D25" s="416">
        <v>1827.9244146765536</v>
      </c>
      <c r="E25" s="416">
        <v>2124.3294360141053</v>
      </c>
      <c r="F25" s="416">
        <v>2373.9815839752018</v>
      </c>
      <c r="G25" s="416">
        <v>2510.4709824399961</v>
      </c>
      <c r="H25" s="233">
        <f t="shared" si="5"/>
        <v>0.11155850021021685</v>
      </c>
      <c r="I25" s="208"/>
      <c r="J25" s="207" t="s">
        <v>8</v>
      </c>
      <c r="K25" s="207"/>
      <c r="L25" s="252">
        <v>0</v>
      </c>
      <c r="M25" s="252">
        <v>0</v>
      </c>
      <c r="N25" s="252">
        <v>0</v>
      </c>
      <c r="O25" s="252">
        <v>0</v>
      </c>
      <c r="P25" s="233" t="str">
        <f>IF(L25=0,"nm",IF(O25=0,"nm",(O25/L25)^(1/3)-1))</f>
        <v>nm</v>
      </c>
      <c r="S25" s="72"/>
      <c r="T25" s="26"/>
      <c r="U25" s="26"/>
      <c r="V25" s="113" t="s">
        <v>225</v>
      </c>
      <c r="W25" s="242">
        <f>D37/L9</f>
        <v>1.6545521779877694</v>
      </c>
      <c r="X25" s="242">
        <v>1</v>
      </c>
    </row>
    <row r="26" spans="2:24">
      <c r="B26" s="5" t="s">
        <v>487</v>
      </c>
      <c r="C26" s="422">
        <v>1307.9014340000001</v>
      </c>
      <c r="D26" s="416">
        <v>1334.3848227138842</v>
      </c>
      <c r="E26" s="416">
        <v>1550.760488290297</v>
      </c>
      <c r="F26" s="416">
        <v>1733.0065563018973</v>
      </c>
      <c r="G26" s="416">
        <v>1832.6438171811972</v>
      </c>
      <c r="H26" s="233">
        <f t="shared" si="5"/>
        <v>0.11155850021021685</v>
      </c>
      <c r="I26" s="209"/>
      <c r="J26" s="209" t="s">
        <v>9</v>
      </c>
      <c r="K26" s="209"/>
      <c r="L26" s="235">
        <f>D11+L25</f>
        <v>14072.271824126999</v>
      </c>
      <c r="M26" s="235">
        <f>E11+M25</f>
        <v>13815.017615022864</v>
      </c>
      <c r="N26" s="235">
        <f>F11+N25</f>
        <v>13557.763405918726</v>
      </c>
      <c r="O26" s="235">
        <f>G11+O25</f>
        <v>13300.50919681459</v>
      </c>
      <c r="P26" s="233">
        <f>IF(L26=0,"nm",IF(O26=0,"nm",(O26/L26)^(1/3)-1))</f>
        <v>-1.862569205040332E-2</v>
      </c>
      <c r="Q26" s="5"/>
      <c r="S26" s="72"/>
      <c r="T26" s="26"/>
      <c r="U26" s="26"/>
      <c r="V26" s="113" t="s">
        <v>158</v>
      </c>
      <c r="W26" s="242">
        <f t="shared" ref="W26:W33" si="7">D38/L10</f>
        <v>1.5571310019954998</v>
      </c>
      <c r="X26" s="242">
        <v>1</v>
      </c>
    </row>
    <row r="27" spans="2:24">
      <c r="B27" s="5" t="s">
        <v>488</v>
      </c>
      <c r="C27" s="423">
        <v>9703</v>
      </c>
      <c r="D27" s="416">
        <v>10463.318227807504</v>
      </c>
      <c r="E27" s="416">
        <v>11729.893244454994</v>
      </c>
      <c r="F27" s="416">
        <v>11802.39082197013</v>
      </c>
      <c r="G27" s="416">
        <v>11880.341404956514</v>
      </c>
      <c r="H27" s="233">
        <f t="shared" si="5"/>
        <v>4.324544146722431E-2</v>
      </c>
      <c r="I27" s="209"/>
      <c r="J27" s="208"/>
      <c r="K27" s="208"/>
      <c r="L27" s="208"/>
      <c r="M27" s="208"/>
      <c r="N27" s="208"/>
      <c r="O27" s="208"/>
      <c r="Q27" s="25"/>
      <c r="S27" s="72"/>
      <c r="T27" s="26"/>
      <c r="U27" s="26"/>
      <c r="V27" s="113" t="s">
        <v>159</v>
      </c>
      <c r="W27" s="242">
        <f t="shared" si="7"/>
        <v>1.2989920085106168</v>
      </c>
      <c r="X27" s="242">
        <v>1</v>
      </c>
    </row>
    <row r="28" spans="2:24" ht="12.6" thickBot="1">
      <c r="B28" s="5" t="s">
        <v>492</v>
      </c>
      <c r="C28" s="422">
        <v>11357</v>
      </c>
      <c r="D28" s="416">
        <v>11081.143254459985</v>
      </c>
      <c r="E28" s="416">
        <v>12335.118749924532</v>
      </c>
      <c r="F28" s="416">
        <v>12444.849733681429</v>
      </c>
      <c r="G28" s="416">
        <v>12506.443263064641</v>
      </c>
      <c r="H28" s="233">
        <f t="shared" si="5"/>
        <v>4.1157461715429111E-2</v>
      </c>
      <c r="I28" s="208"/>
      <c r="J28" s="249" t="s">
        <v>1073</v>
      </c>
      <c r="K28" s="249"/>
      <c r="L28" s="249"/>
      <c r="M28" s="249"/>
      <c r="N28" s="220"/>
      <c r="O28" s="220"/>
      <c r="P28" s="220"/>
      <c r="Q28" s="5"/>
      <c r="S28" s="72"/>
      <c r="T28" s="26"/>
      <c r="U28" s="26"/>
      <c r="V28" s="113" t="s">
        <v>381</v>
      </c>
      <c r="W28" s="242">
        <f t="shared" si="7"/>
        <v>1.3437348994799212</v>
      </c>
      <c r="X28" s="242">
        <v>1</v>
      </c>
    </row>
    <row r="29" spans="2:24" ht="12.6" thickTop="1">
      <c r="B29" s="5" t="s">
        <v>489</v>
      </c>
      <c r="C29" s="422">
        <v>778.64580000000024</v>
      </c>
      <c r="D29" s="416">
        <v>829.55128607390566</v>
      </c>
      <c r="E29" s="416">
        <v>867.97530814998618</v>
      </c>
      <c r="F29" s="416">
        <v>1078.9115592193259</v>
      </c>
      <c r="G29" s="416">
        <v>1134.1498522935603</v>
      </c>
      <c r="H29" s="233">
        <f t="shared" si="5"/>
        <v>0.10987925301608126</v>
      </c>
      <c r="I29" s="212"/>
      <c r="J29" s="209"/>
      <c r="K29" s="209"/>
      <c r="L29" s="209"/>
      <c r="M29" s="209"/>
      <c r="N29" s="209"/>
      <c r="O29" s="211"/>
      <c r="Q29" s="5"/>
      <c r="S29" s="72"/>
      <c r="T29" s="26"/>
      <c r="U29" s="26"/>
      <c r="V29" s="113" t="s">
        <v>434</v>
      </c>
      <c r="W29" s="242">
        <f t="shared" si="7"/>
        <v>1.4075138220180647</v>
      </c>
      <c r="X29" s="242">
        <v>1</v>
      </c>
    </row>
    <row r="30" spans="2:24">
      <c r="B30" s="5" t="s">
        <v>490</v>
      </c>
      <c r="C30" s="423">
        <v>442.03240000000028</v>
      </c>
      <c r="D30" s="416">
        <v>505.74480020188275</v>
      </c>
      <c r="E30" s="416">
        <v>815.10797754728594</v>
      </c>
      <c r="F30" s="416">
        <v>935.04111642378609</v>
      </c>
      <c r="G30" s="416">
        <v>997.21211902214634</v>
      </c>
      <c r="H30" s="233">
        <f t="shared" si="5"/>
        <v>0.25396488153608887</v>
      </c>
      <c r="I30" s="214"/>
      <c r="J30" s="208"/>
      <c r="K30" s="208"/>
      <c r="L30" s="208"/>
      <c r="M30" s="208"/>
      <c r="N30" s="208"/>
      <c r="O30" s="5"/>
      <c r="Q30" s="5"/>
      <c r="S30" s="72"/>
      <c r="T30" s="26"/>
      <c r="U30" s="26"/>
      <c r="V30" s="113" t="s">
        <v>493</v>
      </c>
      <c r="W30" s="242">
        <f t="shared" si="7"/>
        <v>1.047031264406836</v>
      </c>
      <c r="X30" s="242">
        <v>1</v>
      </c>
    </row>
    <row r="31" spans="2:24">
      <c r="B31" s="5" t="s">
        <v>491</v>
      </c>
      <c r="C31" s="423">
        <v>770.9085</v>
      </c>
      <c r="D31" s="416">
        <v>715.18272349823314</v>
      </c>
      <c r="E31" s="416">
        <v>594.7272157139887</v>
      </c>
      <c r="F31" s="416">
        <v>648.50288339222607</v>
      </c>
      <c r="G31" s="416">
        <v>715.72246799002278</v>
      </c>
      <c r="H31" s="233">
        <f t="shared" si="5"/>
        <v>2.5150158610842688E-4</v>
      </c>
      <c r="I31" s="214"/>
      <c r="J31" s="212"/>
      <c r="K31" s="212"/>
      <c r="L31" s="212"/>
      <c r="M31" s="212"/>
      <c r="N31" s="212"/>
      <c r="O31" s="5"/>
      <c r="Q31" s="5"/>
      <c r="S31" s="72"/>
      <c r="T31" s="26"/>
      <c r="U31" s="26"/>
      <c r="V31" s="113" t="s">
        <v>390</v>
      </c>
      <c r="W31" s="242">
        <f t="shared" si="7"/>
        <v>1.4617073400329577</v>
      </c>
      <c r="X31" s="242">
        <v>1</v>
      </c>
    </row>
    <row r="32" spans="2:24">
      <c r="B32" s="5" t="s">
        <v>506</v>
      </c>
      <c r="C32" s="424">
        <v>0</v>
      </c>
      <c r="D32" s="416">
        <v>157.28912907919351</v>
      </c>
      <c r="E32" s="416">
        <v>159.44377468301809</v>
      </c>
      <c r="F32" s="416">
        <v>159.44377468301809</v>
      </c>
      <c r="G32" s="416">
        <v>159.44377468301809</v>
      </c>
      <c r="H32" s="233">
        <f t="shared" si="5"/>
        <v>4.5455170146575519E-3</v>
      </c>
      <c r="I32" s="214"/>
      <c r="J32" s="214"/>
      <c r="K32" s="214"/>
      <c r="L32" s="214"/>
      <c r="M32" s="214"/>
      <c r="N32" s="214"/>
      <c r="O32" s="211"/>
      <c r="Q32" s="5"/>
      <c r="S32" s="72"/>
      <c r="T32" s="26"/>
      <c r="U32" s="26"/>
      <c r="V32" s="113" t="s">
        <v>437</v>
      </c>
      <c r="W32" s="242">
        <f t="shared" si="7"/>
        <v>2.2105278531899115</v>
      </c>
      <c r="X32" s="242">
        <v>1</v>
      </c>
    </row>
    <row r="33" spans="2:24">
      <c r="B33" s="5" t="s">
        <v>3</v>
      </c>
      <c r="C33" s="423">
        <v>670</v>
      </c>
      <c r="D33" s="416">
        <v>701.23309678642454</v>
      </c>
      <c r="E33" s="416">
        <v>748.12554906322703</v>
      </c>
      <c r="F33" s="416">
        <v>775.95669920274497</v>
      </c>
      <c r="G33" s="416">
        <v>770.84624907623493</v>
      </c>
      <c r="H33" s="233">
        <f>IF(D33=0,"nm",IF(G33=0,"nm",(G33/D33)^(1/3)-1))</f>
        <v>3.2052489823650276E-2</v>
      </c>
      <c r="I33" s="5"/>
      <c r="J33" s="214"/>
      <c r="K33" s="214"/>
      <c r="L33" s="214"/>
      <c r="M33" s="214"/>
      <c r="N33" s="214"/>
      <c r="O33" s="211"/>
      <c r="Q33" s="5"/>
      <c r="S33" s="72"/>
      <c r="T33" s="26"/>
      <c r="U33" s="26"/>
      <c r="V33" s="113" t="s">
        <v>481</v>
      </c>
      <c r="W33" s="242">
        <f t="shared" si="7"/>
        <v>0.76082898393266707</v>
      </c>
      <c r="X33" s="242">
        <v>1</v>
      </c>
    </row>
    <row r="34" spans="2:24">
      <c r="D34" s="5"/>
      <c r="E34" s="5"/>
      <c r="F34" s="5"/>
      <c r="G34" s="5"/>
      <c r="I34" s="33"/>
      <c r="J34" s="214"/>
      <c r="K34" s="214"/>
      <c r="L34" s="214"/>
      <c r="M34" s="214"/>
      <c r="N34" s="214"/>
      <c r="O34" s="211"/>
      <c r="Q34" s="5"/>
      <c r="S34" s="72"/>
      <c r="T34" s="26"/>
      <c r="U34" s="26"/>
      <c r="V34" s="113" t="s">
        <v>482</v>
      </c>
      <c r="W34" s="242">
        <f>D47/L19</f>
        <v>0.68413147598851953</v>
      </c>
      <c r="X34" s="242">
        <v>1</v>
      </c>
    </row>
    <row r="35" spans="2:24" ht="12.6" thickBot="1">
      <c r="B35" s="249" t="s">
        <v>343</v>
      </c>
      <c r="C35" s="219"/>
      <c r="D35" s="219" t="str">
        <f>D5</f>
        <v>2025E</v>
      </c>
      <c r="E35" s="219" t="str">
        <f t="shared" ref="E35:H35" si="8">E5</f>
        <v>2026E</v>
      </c>
      <c r="F35" s="219" t="str">
        <f t="shared" si="8"/>
        <v>2027E</v>
      </c>
      <c r="G35" s="219" t="str">
        <f t="shared" si="8"/>
        <v>2028E</v>
      </c>
      <c r="H35" s="219" t="str">
        <f t="shared" si="8"/>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3.9907416038996195</v>
      </c>
      <c r="E37" s="406">
        <f t="shared" ref="E37:G41" si="9">E$18/E23</f>
        <v>3.0724683834329012</v>
      </c>
      <c r="F37" s="406">
        <f t="shared" si="9"/>
        <v>2.7953619722553689</v>
      </c>
      <c r="G37" s="406">
        <f t="shared" si="9"/>
        <v>2.6299063890903147</v>
      </c>
      <c r="H37" s="13">
        <f t="shared" ref="H37:H45" si="10">H23</f>
        <v>0.12549498034039352</v>
      </c>
      <c r="I37" s="5"/>
      <c r="J37" s="217"/>
      <c r="K37" s="217"/>
      <c r="L37" s="217"/>
      <c r="M37" s="217"/>
      <c r="N37" s="217"/>
      <c r="O37" s="14"/>
      <c r="Q37" s="5"/>
      <c r="R37" s="5"/>
      <c r="S37" s="26"/>
      <c r="T37" s="26"/>
      <c r="U37" s="26"/>
      <c r="V37" s="26"/>
      <c r="W37" s="26"/>
      <c r="X37" s="26"/>
    </row>
    <row r="38" spans="2:24">
      <c r="B38" s="5" t="s">
        <v>158</v>
      </c>
      <c r="C38" s="207"/>
      <c r="D38" s="406">
        <f>D$18/D24</f>
        <v>9.111167446946542</v>
      </c>
      <c r="E38" s="406">
        <f t="shared" si="9"/>
        <v>7.7440187160612561</v>
      </c>
      <c r="F38" s="406">
        <f t="shared" si="9"/>
        <v>6.8399713128274646</v>
      </c>
      <c r="G38" s="406">
        <f t="shared" si="9"/>
        <v>6.3350787832228441</v>
      </c>
      <c r="H38" s="13">
        <f t="shared" si="10"/>
        <v>0.10555357247238728</v>
      </c>
      <c r="I38" s="217"/>
      <c r="J38" s="13"/>
      <c r="K38" s="13"/>
      <c r="L38" s="13"/>
      <c r="M38" s="13"/>
      <c r="N38" s="13"/>
      <c r="O38" s="5"/>
      <c r="Q38" s="5"/>
      <c r="R38" s="5"/>
      <c r="S38" s="26"/>
      <c r="T38" s="26"/>
      <c r="U38" s="26"/>
      <c r="V38" s="26"/>
      <c r="W38" s="26"/>
      <c r="X38" s="26"/>
    </row>
    <row r="39" spans="2:24">
      <c r="B39" s="5" t="s">
        <v>159</v>
      </c>
      <c r="C39" s="207"/>
      <c r="D39" s="406">
        <f>D$18/D25</f>
        <v>12.696865597065916</v>
      </c>
      <c r="E39" s="406">
        <f t="shared" si="9"/>
        <v>11.147745832969816</v>
      </c>
      <c r="F39" s="406">
        <f t="shared" si="9"/>
        <v>9.5921437307891644</v>
      </c>
      <c r="G39" s="406">
        <f t="shared" si="9"/>
        <v>8.6859418746205801</v>
      </c>
      <c r="H39" s="13">
        <f t="shared" si="10"/>
        <v>0.11155850021021685</v>
      </c>
      <c r="I39" s="13"/>
      <c r="J39" s="5"/>
      <c r="K39" s="5"/>
      <c r="L39" s="5"/>
      <c r="M39" s="5"/>
      <c r="N39" s="5"/>
      <c r="O39" s="5"/>
      <c r="Q39" s="5"/>
      <c r="R39" s="5"/>
      <c r="S39" s="26"/>
      <c r="T39" s="26"/>
      <c r="U39" s="26"/>
      <c r="V39" s="26"/>
      <c r="W39" s="26"/>
      <c r="X39" s="26"/>
    </row>
    <row r="40" spans="2:24">
      <c r="B40" s="5" t="s">
        <v>381</v>
      </c>
      <c r="C40" s="207"/>
      <c r="D40" s="406">
        <f>D$18/D26</f>
        <v>17.392966571323171</v>
      </c>
      <c r="E40" s="406">
        <f t="shared" si="9"/>
        <v>15.270884702698378</v>
      </c>
      <c r="F40" s="406">
        <f t="shared" si="9"/>
        <v>13.139922918889267</v>
      </c>
      <c r="G40" s="406">
        <f t="shared" si="9"/>
        <v>11.898550513178877</v>
      </c>
      <c r="H40" s="13">
        <f t="shared" si="10"/>
        <v>0.11155850021021685</v>
      </c>
      <c r="I40" s="5"/>
      <c r="J40" s="217"/>
      <c r="K40" s="217"/>
      <c r="L40" s="217"/>
      <c r="M40" s="217"/>
      <c r="N40" s="217"/>
      <c r="O40" s="14"/>
      <c r="Q40" s="5"/>
      <c r="R40" s="5"/>
      <c r="S40" s="26"/>
      <c r="T40" s="26"/>
      <c r="U40" s="26"/>
      <c r="V40" s="26"/>
      <c r="W40" s="242"/>
      <c r="X40" s="242"/>
    </row>
    <row r="41" spans="2:24">
      <c r="B41" s="5" t="s">
        <v>434</v>
      </c>
      <c r="C41" s="207"/>
      <c r="D41" s="406">
        <f>D$18/D27</f>
        <v>2.2181214514782859</v>
      </c>
      <c r="E41" s="406">
        <f t="shared" si="9"/>
        <v>2.0189002682847246</v>
      </c>
      <c r="F41" s="406">
        <f t="shared" si="9"/>
        <v>1.9294033650662901</v>
      </c>
      <c r="G41" s="406">
        <f t="shared" si="9"/>
        <v>1.8354527271664081</v>
      </c>
      <c r="H41" s="13">
        <f t="shared" si="10"/>
        <v>4.324544146722431E-2</v>
      </c>
      <c r="I41" s="207"/>
      <c r="J41" s="13"/>
      <c r="K41" s="13"/>
      <c r="L41" s="13"/>
      <c r="M41" s="13"/>
      <c r="N41" s="13"/>
      <c r="O41" s="5"/>
      <c r="Q41" s="5"/>
      <c r="R41" s="5"/>
      <c r="S41" s="26"/>
      <c r="T41" s="26"/>
      <c r="U41" s="26"/>
      <c r="V41" s="26"/>
      <c r="W41" s="242"/>
      <c r="X41" s="242"/>
    </row>
    <row r="42" spans="2:24">
      <c r="B42" s="5" t="s">
        <v>493</v>
      </c>
      <c r="C42" s="207"/>
      <c r="D42" s="406">
        <f>D18/D28</f>
        <v>2.094450913754081</v>
      </c>
      <c r="E42" s="406">
        <f>E18/E28</f>
        <v>1.9198424513202397</v>
      </c>
      <c r="F42" s="406">
        <f>F18/F28</f>
        <v>1.829798917226491</v>
      </c>
      <c r="G42" s="406">
        <f>G18/G28</f>
        <v>1.7435656623330036</v>
      </c>
      <c r="H42" s="13">
        <f t="shared" si="10"/>
        <v>4.1157461715429111E-2</v>
      </c>
      <c r="I42" s="208"/>
      <c r="J42" s="5"/>
      <c r="K42" s="5"/>
      <c r="L42" s="5"/>
      <c r="M42" s="5"/>
      <c r="N42" s="5"/>
      <c r="O42" s="5"/>
      <c r="Q42" s="5"/>
      <c r="R42" s="5"/>
      <c r="S42" s="26"/>
      <c r="T42" s="26"/>
      <c r="U42" s="26"/>
      <c r="V42" s="26"/>
      <c r="W42" s="242"/>
      <c r="X42" s="242"/>
    </row>
    <row r="43" spans="2:24">
      <c r="B43" s="5" t="s">
        <v>390</v>
      </c>
      <c r="C43" s="207"/>
      <c r="D43" s="406">
        <f>L26/D29</f>
        <v>16.963715276397373</v>
      </c>
      <c r="E43" s="406">
        <f>M26/E29</f>
        <v>15.916371681664968</v>
      </c>
      <c r="F43" s="406">
        <f>N26/F29</f>
        <v>12.566148995315976</v>
      </c>
      <c r="G43" s="406">
        <f>O26/G29</f>
        <v>11.727294386995981</v>
      </c>
      <c r="H43" s="13">
        <f t="shared" si="10"/>
        <v>0.10987925301608126</v>
      </c>
      <c r="I43" s="207"/>
      <c r="J43" s="207"/>
      <c r="K43" s="207"/>
      <c r="L43" s="207"/>
      <c r="M43" s="207"/>
      <c r="N43" s="207"/>
      <c r="O43" s="14"/>
      <c r="Q43" s="5"/>
      <c r="R43" s="5"/>
      <c r="S43" s="26"/>
      <c r="T43" s="26"/>
      <c r="U43" s="26"/>
      <c r="V43" s="26"/>
      <c r="W43" s="242"/>
      <c r="X43" s="242"/>
    </row>
    <row r="44" spans="2:24">
      <c r="B44" s="5" t="s">
        <v>437</v>
      </c>
      <c r="C44" s="53"/>
      <c r="D44" s="406">
        <f>D11/D30</f>
        <v>27.824847271805154</v>
      </c>
      <c r="E44" s="406">
        <f>E11/E30</f>
        <v>16.948696363631687</v>
      </c>
      <c r="F44" s="406">
        <f>F11/F30</f>
        <v>14.499644098831242</v>
      </c>
      <c r="G44" s="406">
        <f>G11/G30</f>
        <v>13.33769309769009</v>
      </c>
      <c r="H44" s="13">
        <f t="shared" si="10"/>
        <v>0.25396488153608887</v>
      </c>
      <c r="I44" s="207"/>
      <c r="J44" s="208"/>
      <c r="K44" s="208"/>
      <c r="L44" s="208"/>
      <c r="M44" s="208"/>
      <c r="N44" s="208"/>
      <c r="O44" s="208"/>
      <c r="Q44" s="5"/>
      <c r="R44" s="5"/>
      <c r="S44" s="26"/>
      <c r="T44" s="26"/>
      <c r="U44" s="26"/>
      <c r="V44" s="26"/>
      <c r="W44" s="255"/>
      <c r="X44" s="255"/>
    </row>
    <row r="45" spans="2:24">
      <c r="B45" s="5" t="s">
        <v>481</v>
      </c>
      <c r="C45" s="207"/>
      <c r="D45" s="208">
        <f>D31/D11</f>
        <v>5.0822122571001493E-2</v>
      </c>
      <c r="E45" s="208">
        <f>E31/E11</f>
        <v>4.3049327354260085E-2</v>
      </c>
      <c r="F45" s="208">
        <f>F31/F11</f>
        <v>4.7832585949177879E-2</v>
      </c>
      <c r="G45" s="208">
        <f>G31/G11</f>
        <v>5.3811659192825115E-2</v>
      </c>
      <c r="H45" s="13">
        <f t="shared" si="10"/>
        <v>2.5150158610842688E-4</v>
      </c>
      <c r="I45" s="208"/>
      <c r="J45" s="207"/>
      <c r="K45" s="207"/>
      <c r="L45" s="207"/>
      <c r="M45" s="207"/>
      <c r="N45" s="207"/>
      <c r="O45" s="208"/>
      <c r="Q45" s="5"/>
      <c r="R45" s="5"/>
      <c r="S45" s="26"/>
      <c r="T45" s="26"/>
      <c r="U45" s="26"/>
      <c r="V45" s="26"/>
      <c r="W45" s="26"/>
      <c r="X45" s="26"/>
    </row>
    <row r="46" spans="2:24">
      <c r="B46" s="5" t="s">
        <v>505</v>
      </c>
      <c r="C46" s="207"/>
      <c r="D46" s="208">
        <f>(D31+D32)/D11</f>
        <v>6.1999360407575997E-2</v>
      </c>
      <c r="E46" s="208">
        <f>(E31+E32)/E11</f>
        <v>5.4590664406891434E-2</v>
      </c>
      <c r="F46" s="208">
        <f>(F31+F32)/F11</f>
        <v>5.959291616805542E-2</v>
      </c>
      <c r="G46" s="208">
        <f>(G31+G32)/G11</f>
        <v>6.579945396997576E-2</v>
      </c>
      <c r="H46" s="233">
        <f>((G31+G32)/(D31+D32))^(1/3)-1</f>
        <v>1.0283507363597622E-3</v>
      </c>
      <c r="I46" s="207"/>
      <c r="J46" s="207"/>
      <c r="K46" s="207"/>
      <c r="L46" s="207"/>
      <c r="M46" s="207"/>
      <c r="N46" s="207"/>
      <c r="O46" s="14"/>
      <c r="Q46" s="5"/>
      <c r="R46" s="5"/>
      <c r="S46" s="26"/>
      <c r="T46" s="26"/>
      <c r="U46" s="26"/>
      <c r="V46" s="26"/>
      <c r="W46" s="26"/>
      <c r="X46" s="26"/>
    </row>
    <row r="47" spans="2:24">
      <c r="B47" s="5" t="s">
        <v>482</v>
      </c>
      <c r="C47" s="5"/>
      <c r="D47" s="208">
        <f>1/D43</f>
        <v>5.8949350640856345E-2</v>
      </c>
      <c r="E47" s="208">
        <f>1/E43</f>
        <v>6.2828389535032073E-2</v>
      </c>
      <c r="F47" s="208">
        <f>1/F43</f>
        <v>7.9578874989684537E-2</v>
      </c>
      <c r="G47" s="208">
        <f>1/G43</f>
        <v>8.5271160337619542E-2</v>
      </c>
      <c r="H47" s="13">
        <f>H29</f>
        <v>0.10987925301608126</v>
      </c>
      <c r="I47" s="13"/>
      <c r="J47" s="208"/>
      <c r="K47" s="208"/>
      <c r="L47" s="208"/>
      <c r="M47" s="208"/>
      <c r="N47" s="208"/>
      <c r="O47" s="208"/>
      <c r="Q47" s="5"/>
      <c r="R47" s="5"/>
      <c r="S47" s="26"/>
      <c r="T47" s="26"/>
      <c r="U47" s="26"/>
      <c r="V47" s="26"/>
      <c r="W47" s="26"/>
      <c r="X47" s="26"/>
    </row>
    <row r="48" spans="2:24">
      <c r="B48" s="5" t="s">
        <v>518</v>
      </c>
      <c r="C48" s="5"/>
      <c r="D48" s="248">
        <f>D31/D29</f>
        <v>0.86213201703663767</v>
      </c>
      <c r="E48" s="248">
        <f>E31/E29</f>
        <v>0.68518909481607027</v>
      </c>
      <c r="F48" s="248">
        <f>F31/F29</f>
        <v>0.60107140186862673</v>
      </c>
      <c r="G48" s="248">
        <f>G31/G29</f>
        <v>0.63106516880695851</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MILLISOP!A1" display="Jump to Milli SOP" xr:uid="{00000000-0004-0000-3D00-000001000000}"/>
  </hyperlinks>
  <pageMargins left="0.75" right="0.75" top="1" bottom="1" header="0.5" footer="0.5"/>
  <pageSetup scale="71"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05D-F92A-4C64-8A4C-7F796C37C695}">
  <sheetPr codeName="Sheet159">
    <pageSetUpPr fitToPage="1"/>
  </sheetPr>
  <dimension ref="B1:AA48"/>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1112</v>
      </c>
      <c r="H4" s="182"/>
      <c r="P4" s="182"/>
    </row>
    <row r="5" spans="2:27"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126</v>
      </c>
      <c r="C9" s="239">
        <f>Prices!C93</f>
        <v>530</v>
      </c>
      <c r="D9" s="412"/>
      <c r="E9" s="413"/>
      <c r="F9" s="413"/>
      <c r="G9" s="413"/>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27">
      <c r="B10" s="5" t="s">
        <v>226</v>
      </c>
      <c r="C10" s="5"/>
      <c r="D10" s="408">
        <v>82.682443361543861</v>
      </c>
      <c r="E10" s="408">
        <v>81.805250379087724</v>
      </c>
      <c r="F10" s="408">
        <v>80.928057396631587</v>
      </c>
      <c r="G10" s="408">
        <v>80.05086441417545</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27">
      <c r="B11" s="25" t="s">
        <v>227</v>
      </c>
      <c r="C11" s="5"/>
      <c r="D11" s="409">
        <f>$C$9*D10</f>
        <v>43821.694981618246</v>
      </c>
      <c r="E11" s="409">
        <f t="shared" ref="E11:G11" si="2">$C$9*E10</f>
        <v>43356.78270091649</v>
      </c>
      <c r="F11" s="409">
        <f t="shared" si="2"/>
        <v>42891.870420214742</v>
      </c>
      <c r="G11" s="409">
        <f t="shared" si="2"/>
        <v>42426.958139512986</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27">
      <c r="B12" s="5" t="s">
        <v>22</v>
      </c>
      <c r="C12" s="209"/>
      <c r="D12" s="410">
        <v>21150.528073442365</v>
      </c>
      <c r="E12" s="410">
        <v>19797.616933270197</v>
      </c>
      <c r="F12" s="410">
        <v>18352.670791467492</v>
      </c>
      <c r="G12" s="410">
        <v>16488.393704288606</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27">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27">
      <c r="B14" s="5" t="s">
        <v>436</v>
      </c>
      <c r="C14" s="216"/>
      <c r="D14" s="410"/>
      <c r="E14" s="410"/>
      <c r="F14" s="410"/>
      <c r="G14" s="410"/>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27">
      <c r="B15" s="5" t="s">
        <v>435</v>
      </c>
      <c r="C15" s="228"/>
      <c r="D15" s="410"/>
      <c r="E15" s="410"/>
      <c r="F15" s="410"/>
      <c r="G15" s="410"/>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27">
      <c r="B16" s="5" t="s">
        <v>438</v>
      </c>
      <c r="C16" s="216"/>
      <c r="D16" s="410">
        <v>0</v>
      </c>
      <c r="E16" s="410">
        <v>1744.5073985458969</v>
      </c>
      <c r="F16" s="410">
        <v>3648.466495812474</v>
      </c>
      <c r="G16" s="410">
        <v>5779.6726528298987</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64972.223055060611</v>
      </c>
      <c r="E18" s="411">
        <f>E11+E12+E13-E14+E15-E16-E17</f>
        <v>61409.892235640793</v>
      </c>
      <c r="F18" s="411">
        <f>F11+F12+F13-F14+F15-F16-F17</f>
        <v>57596.074715869763</v>
      </c>
      <c r="G18" s="411">
        <f>G11+G12+G13-G14+G15-G16-G17</f>
        <v>53135.679190971692</v>
      </c>
      <c r="H18" s="230">
        <f>IF(D18=0,"nm",IF(G18=0,"nm",(G18/D18)^(1/3)-1))</f>
        <v>-6.4839466903267695E-2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769</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9308</v>
      </c>
      <c r="D23" s="416">
        <v>9659.2529181015725</v>
      </c>
      <c r="E23" s="416">
        <v>10063.234597425107</v>
      </c>
      <c r="F23" s="416">
        <v>10501.743353193822</v>
      </c>
      <c r="G23" s="416">
        <v>10969.146678916633</v>
      </c>
      <c r="H23" s="233">
        <f t="shared" ref="H23:H32" si="4">IF(D23=0,"nm",IF(G23=0,"nm",(G23/D23)^(1/3)-1))</f>
        <v>4.3301348442969623E-2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7696</v>
      </c>
      <c r="D24" s="416">
        <v>8013.4025605479528</v>
      </c>
      <c r="E24" s="416">
        <v>8348.549372724181</v>
      </c>
      <c r="F24" s="416">
        <v>8712.3401561412447</v>
      </c>
      <c r="G24" s="416">
        <v>9100.1021330677104</v>
      </c>
      <c r="H24" s="233">
        <f t="shared" si="4"/>
        <v>4.3301348442969623E-2</v>
      </c>
      <c r="I24" s="209"/>
      <c r="J24" s="13"/>
      <c r="K24" s="13"/>
      <c r="L24" s="13"/>
      <c r="M24" s="13"/>
      <c r="N24" s="13"/>
      <c r="O24" s="208"/>
      <c r="S24" s="72"/>
      <c r="T24" s="26"/>
      <c r="U24" s="26"/>
      <c r="V24" s="26"/>
      <c r="W24" s="26" t="s">
        <v>1111</v>
      </c>
      <c r="X24" s="26" t="s">
        <v>209</v>
      </c>
    </row>
    <row r="25" spans="2:24">
      <c r="B25" s="5" t="s">
        <v>157</v>
      </c>
      <c r="C25" s="422">
        <v>-7220.8588069999996</v>
      </c>
      <c r="D25" s="416">
        <v>-4339.4624430000003</v>
      </c>
      <c r="E25" s="416">
        <v>644.45799999999963</v>
      </c>
      <c r="F25" s="416">
        <v>4816.8950000000004</v>
      </c>
      <c r="G25" s="416">
        <v>2691.7106834301167</v>
      </c>
      <c r="H25" s="233">
        <f t="shared" si="4"/>
        <v>-1.8528332969794215</v>
      </c>
      <c r="I25" s="208"/>
      <c r="J25" s="207" t="s">
        <v>8</v>
      </c>
      <c r="K25" s="207"/>
      <c r="L25" s="252"/>
      <c r="M25" s="252"/>
      <c r="N25" s="252"/>
      <c r="O25" s="252"/>
      <c r="P25" s="233" t="str">
        <f>IF(L25=0,"nm",IF(O25=0,"nm",(O25/L25)^(1/3)-1))</f>
        <v>nm</v>
      </c>
      <c r="S25" s="72"/>
      <c r="T25" s="26"/>
      <c r="U25" s="26"/>
      <c r="V25" s="113" t="s">
        <v>225</v>
      </c>
      <c r="W25" s="242">
        <f>D37/L9</f>
        <v>3.2427512039138908</v>
      </c>
      <c r="X25" s="242">
        <v>1</v>
      </c>
    </row>
    <row r="26" spans="2:24">
      <c r="B26" s="5" t="s">
        <v>487</v>
      </c>
      <c r="C26" s="422">
        <v>-5415.6441052499995</v>
      </c>
      <c r="D26" s="416">
        <v>-3254.5968322500003</v>
      </c>
      <c r="E26" s="416">
        <v>483.34349999999972</v>
      </c>
      <c r="F26" s="416">
        <v>3612.6712500000003</v>
      </c>
      <c r="G26" s="416">
        <v>2018.7830125725875</v>
      </c>
      <c r="H26" s="233">
        <f t="shared" si="4"/>
        <v>-1.8528332969794215</v>
      </c>
      <c r="I26" s="209"/>
      <c r="J26" s="209" t="s">
        <v>9</v>
      </c>
      <c r="K26" s="209"/>
      <c r="L26" s="235">
        <f>D11+L25</f>
        <v>43821.694981618246</v>
      </c>
      <c r="M26" s="235">
        <f>E11+M25</f>
        <v>43356.78270091649</v>
      </c>
      <c r="N26" s="235">
        <f>F11+N25</f>
        <v>42891.870420214742</v>
      </c>
      <c r="O26" s="235">
        <f>G11+O25</f>
        <v>42426.958139512986</v>
      </c>
      <c r="P26" s="233">
        <f>IF(L26=0,"nm",IF(O26=0,"nm",(O26/L26)^(1/3)-1))</f>
        <v>-1.0723768844624781E-2</v>
      </c>
      <c r="Q26" s="5"/>
      <c r="S26" s="72"/>
      <c r="T26" s="26"/>
      <c r="U26" s="26"/>
      <c r="V26" s="113" t="s">
        <v>158</v>
      </c>
      <c r="W26" s="242">
        <f t="shared" ref="W26:W33" si="6">D38/L10</f>
        <v>1.3052815980550616</v>
      </c>
      <c r="X26" s="242">
        <v>1</v>
      </c>
    </row>
    <row r="27" spans="2:24">
      <c r="B27" s="5" t="s">
        <v>488</v>
      </c>
      <c r="C27" s="423">
        <v>51715.873999999996</v>
      </c>
      <c r="D27" s="416">
        <v>53414.263073442366</v>
      </c>
      <c r="E27" s="416">
        <v>52061.351933270198</v>
      </c>
      <c r="F27" s="416">
        <v>50616.405791467492</v>
      </c>
      <c r="G27" s="416">
        <v>48752.128704288611</v>
      </c>
      <c r="H27" s="233">
        <f t="shared" si="4"/>
        <v>-2.9984261422360881E-2</v>
      </c>
      <c r="I27" s="209"/>
      <c r="J27" s="208"/>
      <c r="K27" s="208"/>
      <c r="L27" s="208"/>
      <c r="M27" s="208"/>
      <c r="N27" s="208"/>
      <c r="O27" s="208"/>
      <c r="Q27" s="25"/>
      <c r="S27" s="72"/>
      <c r="T27" s="26"/>
      <c r="U27" s="26"/>
      <c r="V27" s="113" t="s">
        <v>159</v>
      </c>
      <c r="W27" s="242">
        <f t="shared" si="6"/>
        <v>-1.4474506628000963</v>
      </c>
      <c r="X27" s="242">
        <v>1</v>
      </c>
    </row>
    <row r="28" spans="2:24">
      <c r="B28" s="5" t="s">
        <v>492</v>
      </c>
      <c r="C28" s="422">
        <v>0</v>
      </c>
      <c r="D28" s="416">
        <v>39328.413</v>
      </c>
      <c r="E28" s="416">
        <v>43772.084000000003</v>
      </c>
      <c r="F28" s="416">
        <v>44584.841</v>
      </c>
      <c r="G28" s="416">
        <v>47496.624062707233</v>
      </c>
      <c r="H28" s="233">
        <f t="shared" si="4"/>
        <v>6.4924389073713007E-2</v>
      </c>
      <c r="I28" s="208"/>
      <c r="Q28" s="5"/>
      <c r="S28" s="72"/>
      <c r="T28" s="26"/>
      <c r="U28" s="26"/>
      <c r="V28" s="113" t="s">
        <v>381</v>
      </c>
      <c r="W28" s="242">
        <f t="shared" si="6"/>
        <v>-1.4732969217652105</v>
      </c>
      <c r="X28" s="242">
        <v>1</v>
      </c>
    </row>
    <row r="29" spans="2:24" ht="12.6" thickBot="1">
      <c r="B29" s="5" t="s">
        <v>489</v>
      </c>
      <c r="C29" s="422">
        <v>1631.9799999999998</v>
      </c>
      <c r="D29" s="416">
        <v>1648.3874426731152</v>
      </c>
      <c r="E29" s="416">
        <v>1685.4039652072943</v>
      </c>
      <c r="F29" s="416">
        <v>1853.574001962457</v>
      </c>
      <c r="G29" s="416">
        <v>2411.3453752021487</v>
      </c>
      <c r="H29" s="233">
        <f t="shared" si="4"/>
        <v>0.13518516513536971</v>
      </c>
      <c r="I29" s="212"/>
      <c r="J29" s="249" t="s">
        <v>1074</v>
      </c>
      <c r="K29" s="249"/>
      <c r="L29" s="219" t="str">
        <f>L$5</f>
        <v>2025E</v>
      </c>
      <c r="M29" s="219" t="str">
        <f t="shared" ref="M29:P29" si="7">M$5</f>
        <v>2026E</v>
      </c>
      <c r="N29" s="219" t="str">
        <f t="shared" si="7"/>
        <v>2027E</v>
      </c>
      <c r="O29" s="219" t="str">
        <f t="shared" si="7"/>
        <v>2028E</v>
      </c>
      <c r="P29" s="219" t="str">
        <f t="shared" si="7"/>
        <v>2025-28</v>
      </c>
      <c r="Q29" s="5"/>
      <c r="S29" s="72"/>
      <c r="T29" s="26"/>
      <c r="U29" s="26"/>
      <c r="V29" s="113" t="s">
        <v>434</v>
      </c>
      <c r="W29" s="242">
        <f t="shared" si="6"/>
        <v>0.70414806292764776</v>
      </c>
      <c r="X29" s="242">
        <v>1</v>
      </c>
    </row>
    <row r="30" spans="2:24" ht="12.6" thickTop="1">
      <c r="B30" s="5" t="s">
        <v>490</v>
      </c>
      <c r="C30" s="423">
        <v>2107.6709999999994</v>
      </c>
      <c r="D30" s="416">
        <v>2196.0481492302506</v>
      </c>
      <c r="E30" s="416">
        <v>2277.7409411221574</v>
      </c>
      <c r="F30" s="416">
        <v>2486.0750202013078</v>
      </c>
      <c r="G30" s="416">
        <v>2782.9649053462945</v>
      </c>
      <c r="H30" s="233">
        <f t="shared" si="4"/>
        <v>8.2152890742244855E-2</v>
      </c>
      <c r="I30" s="214"/>
      <c r="J30" s="208"/>
      <c r="K30" s="208"/>
      <c r="L30" s="208"/>
      <c r="M30" s="208"/>
      <c r="N30" s="208"/>
      <c r="O30" s="5"/>
      <c r="Q30" s="5"/>
      <c r="S30" s="72"/>
      <c r="T30" s="26"/>
      <c r="U30" s="26"/>
      <c r="V30" s="113" t="s">
        <v>493</v>
      </c>
      <c r="W30" s="242">
        <f t="shared" si="6"/>
        <v>0.50656922497523216</v>
      </c>
      <c r="X30" s="242">
        <v>1</v>
      </c>
    </row>
    <row r="31" spans="2:24">
      <c r="B31" s="5" t="s">
        <v>491</v>
      </c>
      <c r="C31" s="423">
        <v>1511.59382146296</v>
      </c>
      <c r="D31" s="416">
        <v>1682.0345705547818</v>
      </c>
      <c r="E31" s="416">
        <v>1744.5073985458969</v>
      </c>
      <c r="F31" s="416">
        <v>1903.9590972665771</v>
      </c>
      <c r="G31" s="416">
        <v>2131.2061570174251</v>
      </c>
      <c r="H31" s="233">
        <f t="shared" si="4"/>
        <v>8.2090327144730857E-2</v>
      </c>
      <c r="I31" s="214"/>
      <c r="J31" s="5" t="s">
        <v>613</v>
      </c>
      <c r="K31" s="207"/>
      <c r="L31" s="253">
        <v>38014</v>
      </c>
      <c r="M31" s="253">
        <v>39404</v>
      </c>
      <c r="N31" s="253">
        <v>40404</v>
      </c>
      <c r="O31" s="253">
        <v>41404</v>
      </c>
      <c r="Q31" s="5"/>
      <c r="S31" s="72"/>
      <c r="T31" s="26"/>
      <c r="U31" s="26"/>
      <c r="V31" s="113" t="s">
        <v>390</v>
      </c>
      <c r="W31" s="242">
        <f t="shared" si="6"/>
        <v>1.6523094352656389</v>
      </c>
      <c r="X31" s="242">
        <v>1</v>
      </c>
    </row>
    <row r="32" spans="2:24">
      <c r="B32" s="5" t="s">
        <v>506</v>
      </c>
      <c r="C32" s="424">
        <v>0</v>
      </c>
      <c r="D32" s="416">
        <v>500</v>
      </c>
      <c r="E32" s="416">
        <v>500</v>
      </c>
      <c r="F32" s="416">
        <v>500</v>
      </c>
      <c r="G32" s="416">
        <v>500</v>
      </c>
      <c r="H32" s="233">
        <f t="shared" si="4"/>
        <v>0</v>
      </c>
      <c r="I32" s="214"/>
      <c r="J32" s="5" t="s">
        <v>1072</v>
      </c>
      <c r="K32" s="214"/>
      <c r="L32" s="253">
        <v>57409</v>
      </c>
      <c r="M32" s="253">
        <v>59868</v>
      </c>
      <c r="N32" s="253">
        <v>62308.148210333966</v>
      </c>
      <c r="O32" s="253">
        <v>64488.77918487462</v>
      </c>
      <c r="Q32" s="5"/>
      <c r="S32" s="72"/>
      <c r="T32" s="26"/>
      <c r="U32" s="26"/>
      <c r="V32" s="113" t="s">
        <v>437</v>
      </c>
      <c r="W32" s="242">
        <f t="shared" si="6"/>
        <v>1.156436985113837</v>
      </c>
      <c r="X32" s="242">
        <v>1</v>
      </c>
    </row>
    <row r="33" spans="2:24">
      <c r="B33" s="5" t="s">
        <v>3</v>
      </c>
      <c r="C33" s="423">
        <v>-837.6</v>
      </c>
      <c r="D33" s="416">
        <v>-724.81952700000011</v>
      </c>
      <c r="E33" s="416">
        <v>-1201.1130000000001</v>
      </c>
      <c r="F33" s="416">
        <v>-1320.8980000000001</v>
      </c>
      <c r="G33" s="416">
        <v>-1296.7338600000003</v>
      </c>
      <c r="H33" s="233">
        <f>IF(D33=0,"nm",IF(G33=0,"nm",(G33/D33)^(1/3)-1))</f>
        <v>0.21396730060185387</v>
      </c>
      <c r="I33" s="5"/>
      <c r="Q33" s="5"/>
      <c r="S33" s="72"/>
      <c r="T33" s="26"/>
      <c r="U33" s="26"/>
      <c r="V33" s="113" t="s">
        <v>481</v>
      </c>
      <c r="W33" s="242">
        <f t="shared" si="6"/>
        <v>0.89966686685478681</v>
      </c>
      <c r="X33" s="242">
        <v>1</v>
      </c>
    </row>
    <row r="34" spans="2:24">
      <c r="H34" s="231"/>
      <c r="I34" s="33"/>
      <c r="Q34" s="5"/>
      <c r="S34" s="72"/>
      <c r="T34" s="26"/>
      <c r="U34" s="26"/>
      <c r="V34" s="113" t="s">
        <v>482</v>
      </c>
      <c r="W34" s="242">
        <f>D47/L19</f>
        <v>0.60521351428295378</v>
      </c>
      <c r="X34" s="242">
        <v>1</v>
      </c>
    </row>
    <row r="35" spans="2:24" ht="12.6" thickBot="1">
      <c r="B35" s="249" t="s">
        <v>639</v>
      </c>
      <c r="C35" s="219"/>
      <c r="D35" s="219" t="str">
        <f>D5</f>
        <v>2025E</v>
      </c>
      <c r="E35" s="219" t="str">
        <f t="shared" ref="E35:H35" si="8">E5</f>
        <v>2026E</v>
      </c>
      <c r="F35" s="219" t="str">
        <f t="shared" si="8"/>
        <v>2027E</v>
      </c>
      <c r="G35" s="219" t="str">
        <f t="shared" si="8"/>
        <v>2028E</v>
      </c>
      <c r="H35" s="219" t="str">
        <f t="shared" si="8"/>
        <v>2025-28</v>
      </c>
      <c r="I35" s="214"/>
      <c r="J35" s="249" t="s">
        <v>1073</v>
      </c>
      <c r="K35" s="249"/>
      <c r="L35" s="249"/>
      <c r="M35" s="249"/>
      <c r="N35" s="220"/>
      <c r="O35" s="220"/>
      <c r="P35" s="220"/>
      <c r="Q35" s="5"/>
      <c r="S35" s="72"/>
      <c r="T35" s="26"/>
      <c r="U35" s="26"/>
      <c r="V35" s="26"/>
      <c r="W35" s="242"/>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6.7264232136733657</v>
      </c>
      <c r="E37" s="406">
        <f t="shared" ref="E37:G41" si="9">E$18/E23</f>
        <v>6.1024009369068883</v>
      </c>
      <c r="F37" s="406">
        <f t="shared" si="9"/>
        <v>5.4844298492929244</v>
      </c>
      <c r="G37" s="406">
        <f t="shared" si="9"/>
        <v>4.8441032603841192</v>
      </c>
      <c r="H37" s="13">
        <f t="shared" ref="H37:H45" si="10">H23</f>
        <v>4.3301348442969623E-2</v>
      </c>
      <c r="I37" s="5"/>
      <c r="J37" s="208"/>
      <c r="K37" s="208"/>
      <c r="L37" s="208"/>
      <c r="M37" s="208"/>
      <c r="N37" s="208"/>
      <c r="O37" s="5"/>
      <c r="Q37" s="5"/>
      <c r="R37" s="5"/>
      <c r="S37" s="26"/>
      <c r="T37" s="26"/>
      <c r="U37" s="26"/>
      <c r="V37" s="26"/>
      <c r="W37" s="26"/>
      <c r="X37" s="26"/>
    </row>
    <row r="38" spans="2:24">
      <c r="B38" s="5" t="s">
        <v>158</v>
      </c>
      <c r="C38" s="207"/>
      <c r="D38" s="406">
        <f>D$18/D24</f>
        <v>8.1079444797813629</v>
      </c>
      <c r="E38" s="406">
        <f>E$18/E24</f>
        <v>7.3557560114904588</v>
      </c>
      <c r="F38" s="406">
        <f t="shared" si="9"/>
        <v>6.6108615691813695</v>
      </c>
      <c r="G38" s="406">
        <f t="shared" si="9"/>
        <v>5.839020091641463</v>
      </c>
      <c r="H38" s="13">
        <f t="shared" si="10"/>
        <v>4.3301348442969623E-2</v>
      </c>
      <c r="I38" s="217"/>
      <c r="J38" s="212"/>
      <c r="K38" s="212"/>
      <c r="L38" s="212"/>
      <c r="M38" s="212"/>
      <c r="N38" s="212"/>
      <c r="O38" s="5"/>
      <c r="Q38" s="5"/>
      <c r="R38" s="5"/>
      <c r="S38" s="26"/>
      <c r="T38" s="26"/>
      <c r="U38" s="26"/>
      <c r="V38" s="26"/>
      <c r="W38" s="26"/>
      <c r="X38" s="26"/>
    </row>
    <row r="39" spans="2:24">
      <c r="B39" s="5" t="s">
        <v>159</v>
      </c>
      <c r="C39" s="207"/>
      <c r="D39" s="406">
        <f>D$18/D25</f>
        <v>-14.972412806537246</v>
      </c>
      <c r="E39" s="406">
        <f t="shared" si="9"/>
        <v>95.289207730590405</v>
      </c>
      <c r="F39" s="406">
        <f t="shared" si="9"/>
        <v>11.957095746506777</v>
      </c>
      <c r="G39" s="406">
        <f t="shared" si="9"/>
        <v>19.740486790823862</v>
      </c>
      <c r="H39" s="13">
        <f t="shared" si="10"/>
        <v>-1.8528332969794215</v>
      </c>
      <c r="I39" s="13"/>
      <c r="J39" s="217"/>
      <c r="K39" s="217"/>
      <c r="L39" s="217"/>
      <c r="M39" s="217"/>
      <c r="N39" s="217"/>
      <c r="O39" s="14"/>
      <c r="Q39" s="5"/>
      <c r="R39" s="5"/>
      <c r="S39" s="26"/>
      <c r="T39" s="26"/>
      <c r="U39" s="26"/>
      <c r="V39" s="26"/>
      <c r="W39" s="26"/>
      <c r="X39" s="26"/>
    </row>
    <row r="40" spans="2:24">
      <c r="B40" s="5" t="s">
        <v>381</v>
      </c>
      <c r="C40" s="207"/>
      <c r="D40" s="406">
        <f>D$18/D26</f>
        <v>-19.963217075382996</v>
      </c>
      <c r="E40" s="406">
        <f t="shared" si="9"/>
        <v>127.05227697412053</v>
      </c>
      <c r="F40" s="406">
        <f t="shared" si="9"/>
        <v>15.942794328675701</v>
      </c>
      <c r="G40" s="406">
        <f t="shared" si="9"/>
        <v>26.320649054431819</v>
      </c>
      <c r="H40" s="13">
        <f t="shared" si="10"/>
        <v>-1.8528332969794215</v>
      </c>
      <c r="I40" s="5"/>
      <c r="J40" s="217"/>
      <c r="K40" s="217"/>
      <c r="L40" s="217"/>
      <c r="M40" s="217"/>
      <c r="N40" s="217"/>
      <c r="O40" s="14"/>
      <c r="Q40" s="5"/>
      <c r="R40" s="5"/>
      <c r="S40" s="26"/>
      <c r="T40" s="26"/>
      <c r="U40" s="26"/>
      <c r="V40" s="26"/>
      <c r="W40" s="242"/>
      <c r="X40" s="242"/>
    </row>
    <row r="41" spans="2:24">
      <c r="B41" s="5" t="s">
        <v>434</v>
      </c>
      <c r="C41" s="207"/>
      <c r="D41" s="406">
        <f>D$18/D27</f>
        <v>1.2163834024205582</v>
      </c>
      <c r="E41" s="406">
        <f t="shared" si="9"/>
        <v>1.1795677590999387</v>
      </c>
      <c r="F41" s="406">
        <f t="shared" si="9"/>
        <v>1.1378934125263167</v>
      </c>
      <c r="G41" s="406">
        <f t="shared" si="9"/>
        <v>1.0899150581356558</v>
      </c>
      <c r="H41" s="13">
        <f t="shared" si="10"/>
        <v>-2.9984261422360881E-2</v>
      </c>
      <c r="I41" s="207"/>
      <c r="J41" s="217"/>
      <c r="K41" s="217"/>
      <c r="L41" s="217"/>
      <c r="M41" s="217"/>
      <c r="N41" s="217"/>
      <c r="O41" s="14"/>
      <c r="Q41" s="5"/>
      <c r="R41" s="5"/>
      <c r="S41" s="26"/>
      <c r="T41" s="26"/>
      <c r="U41" s="26"/>
      <c r="V41" s="26"/>
      <c r="W41" s="242"/>
      <c r="X41" s="242"/>
    </row>
    <row r="42" spans="2:24">
      <c r="B42" s="5" t="s">
        <v>493</v>
      </c>
      <c r="C42" s="207"/>
      <c r="D42" s="406">
        <f>D18/D28</f>
        <v>1.6520428387247819</v>
      </c>
      <c r="E42" s="406">
        <f>E18/E28</f>
        <v>1.4029465043437455</v>
      </c>
      <c r="F42" s="406">
        <f>F18/F28</f>
        <v>1.2918308874505073</v>
      </c>
      <c r="G42" s="406">
        <f>G18/G28</f>
        <v>1.1187253881627359</v>
      </c>
      <c r="H42" s="13">
        <f t="shared" si="10"/>
        <v>6.4924389073713007E-2</v>
      </c>
      <c r="I42" s="208"/>
      <c r="J42" s="5"/>
      <c r="K42" s="5"/>
      <c r="L42" s="5"/>
      <c r="M42" s="5"/>
      <c r="N42" s="5"/>
      <c r="O42" s="5"/>
      <c r="Q42" s="5"/>
      <c r="R42" s="5"/>
      <c r="S42" s="26"/>
      <c r="T42" s="26"/>
      <c r="U42" s="26"/>
      <c r="V42" s="26"/>
      <c r="W42" s="242"/>
      <c r="X42" s="242"/>
    </row>
    <row r="43" spans="2:24">
      <c r="B43" s="5" t="s">
        <v>390</v>
      </c>
      <c r="C43" s="207"/>
      <c r="D43" s="406">
        <f>L26/D29</f>
        <v>26.584584332039434</v>
      </c>
      <c r="E43" s="406">
        <f>M26/E29</f>
        <v>25.724860980485396</v>
      </c>
      <c r="F43" s="406">
        <f>N26/F29</f>
        <v>23.140090643698773</v>
      </c>
      <c r="G43" s="406">
        <f>O26/G29</f>
        <v>17.594724744047184</v>
      </c>
      <c r="H43" s="13">
        <f t="shared" si="10"/>
        <v>0.13518516513536971</v>
      </c>
      <c r="I43" s="207"/>
      <c r="J43" s="53"/>
      <c r="K43" s="53"/>
      <c r="L43" s="53"/>
      <c r="M43" s="53"/>
      <c r="N43" s="53"/>
      <c r="O43" s="53"/>
      <c r="Q43" s="5"/>
      <c r="R43" s="5"/>
      <c r="S43" s="26"/>
      <c r="T43" s="26"/>
      <c r="U43" s="26"/>
      <c r="V43" s="26"/>
      <c r="W43" s="242"/>
      <c r="X43" s="242"/>
    </row>
    <row r="44" spans="2:24">
      <c r="B44" s="5" t="s">
        <v>437</v>
      </c>
      <c r="C44" s="53"/>
      <c r="D44" s="406">
        <f>D11/D30</f>
        <v>19.954796982469823</v>
      </c>
      <c r="E44" s="406">
        <f>E11/E30</f>
        <v>19.034992925734667</v>
      </c>
      <c r="F44" s="406">
        <f>F11/F30</f>
        <v>17.252846383027336</v>
      </c>
      <c r="G44" s="406">
        <f>G11/G30</f>
        <v>15.245236495080288</v>
      </c>
      <c r="H44" s="13">
        <f t="shared" si="10"/>
        <v>8.2152890742244855E-2</v>
      </c>
      <c r="I44" s="207"/>
      <c r="J44" s="217"/>
      <c r="K44" s="217"/>
      <c r="L44" s="217"/>
      <c r="M44" s="217"/>
      <c r="N44" s="217"/>
      <c r="O44" s="14"/>
      <c r="Q44" s="5"/>
      <c r="R44" s="5"/>
      <c r="S44" s="26"/>
      <c r="T44" s="26"/>
      <c r="U44" s="26"/>
      <c r="V44" s="26"/>
      <c r="W44" s="255"/>
      <c r="X44" s="255"/>
    </row>
    <row r="45" spans="2:24">
      <c r="B45" s="5" t="s">
        <v>481</v>
      </c>
      <c r="C45" s="207"/>
      <c r="D45" s="208">
        <f>D31/D11</f>
        <v>3.8383603629671095E-2</v>
      </c>
      <c r="E45" s="208">
        <f>E31/E11</f>
        <v>4.0236089715877853E-2</v>
      </c>
      <c r="F45" s="208">
        <f>F31/F11</f>
        <v>4.43897428256999E-2</v>
      </c>
      <c r="G45" s="208">
        <f>G31/G11</f>
        <v>5.0232358162688895E-2</v>
      </c>
      <c r="H45" s="13">
        <f t="shared" si="10"/>
        <v>8.2090327144730857E-2</v>
      </c>
      <c r="I45" s="208"/>
      <c r="J45" s="13"/>
      <c r="K45" s="13"/>
      <c r="L45" s="13"/>
      <c r="M45" s="13"/>
      <c r="N45" s="13"/>
      <c r="O45" s="5"/>
      <c r="Q45" s="5"/>
      <c r="R45" s="5"/>
      <c r="S45" s="26"/>
      <c r="T45" s="26"/>
      <c r="U45" s="26"/>
      <c r="V45" s="26"/>
      <c r="W45" s="26"/>
      <c r="X45" s="26"/>
    </row>
    <row r="46" spans="2:24">
      <c r="B46" s="5" t="s">
        <v>505</v>
      </c>
      <c r="C46" s="207"/>
      <c r="D46" s="208">
        <f>(D31+D32)/D11</f>
        <v>4.9793477214198884E-2</v>
      </c>
      <c r="E46" s="208">
        <f>(E31+E32)/E11</f>
        <v>5.1768310716893931E-2</v>
      </c>
      <c r="F46" s="208">
        <f>(F31+F32)/F11</f>
        <v>5.6046963532128978E-2</v>
      </c>
      <c r="G46" s="208">
        <f>(G31+G32)/G11</f>
        <v>6.2017318054365431E-2</v>
      </c>
      <c r="H46" s="233">
        <f>((G31+G32)/(D31+D32))^(1/3)-1</f>
        <v>6.4382559851904331E-2</v>
      </c>
      <c r="I46" s="207"/>
      <c r="J46" s="5"/>
      <c r="K46" s="5"/>
      <c r="L46" s="5"/>
      <c r="M46" s="5"/>
      <c r="N46" s="5"/>
      <c r="O46" s="5"/>
      <c r="Q46" s="5"/>
      <c r="R46" s="5"/>
      <c r="S46" s="26"/>
      <c r="T46" s="26"/>
      <c r="U46" s="26"/>
      <c r="V46" s="26"/>
      <c r="W46" s="26"/>
      <c r="X46" s="26"/>
    </row>
    <row r="47" spans="2:24">
      <c r="B47" s="5" t="s">
        <v>482</v>
      </c>
      <c r="C47" s="5"/>
      <c r="D47" s="208">
        <f>1/D43</f>
        <v>3.7615784678446583E-2</v>
      </c>
      <c r="E47" s="208">
        <f>1/E43</f>
        <v>3.8872902005518684E-2</v>
      </c>
      <c r="F47" s="208">
        <f>1/F43</f>
        <v>4.3215042473150715E-2</v>
      </c>
      <c r="G47" s="208">
        <f>1/G43</f>
        <v>5.6835217063474074E-2</v>
      </c>
      <c r="H47" s="13">
        <f>H29</f>
        <v>0.13518516513536971</v>
      </c>
      <c r="I47" s="13"/>
      <c r="J47" s="217"/>
      <c r="K47" s="217"/>
      <c r="L47" s="217"/>
      <c r="M47" s="217"/>
      <c r="N47" s="217"/>
      <c r="O47" s="14"/>
      <c r="Q47" s="5"/>
      <c r="R47" s="5"/>
      <c r="S47" s="26"/>
      <c r="T47" s="26"/>
      <c r="U47" s="26"/>
      <c r="V47" s="26"/>
      <c r="W47" s="26"/>
      <c r="X47" s="26"/>
    </row>
    <row r="48" spans="2:24">
      <c r="B48" s="5" t="s">
        <v>518</v>
      </c>
      <c r="C48" s="5"/>
      <c r="D48" s="248">
        <f>D31/D29</f>
        <v>1.0204121476605661</v>
      </c>
      <c r="E48" s="248">
        <f>E31/E29</f>
        <v>1.035067814339296</v>
      </c>
      <c r="F48" s="248">
        <f>F31/F29</f>
        <v>1.0271826726371729</v>
      </c>
      <c r="G48" s="248">
        <f>G31/G29</f>
        <v>0.88382451511690274</v>
      </c>
      <c r="H48" s="233" t="s">
        <v>507</v>
      </c>
      <c r="I48" s="207"/>
      <c r="J48" s="13"/>
      <c r="K48" s="13"/>
      <c r="L48" s="13"/>
      <c r="M48" s="13"/>
      <c r="N48" s="13"/>
      <c r="O48" s="5"/>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327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306</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274</v>
      </c>
      <c r="C9" s="241">
        <f>Prices!C97/100</f>
        <v>206.35</v>
      </c>
      <c r="D9" s="412">
        <v>0</v>
      </c>
      <c r="E9" s="413">
        <v>0</v>
      </c>
      <c r="F9" s="413">
        <v>0</v>
      </c>
      <c r="G9" s="413">
        <v>0</v>
      </c>
      <c r="H9" s="209"/>
      <c r="I9" s="209"/>
      <c r="J9" s="5" t="s">
        <v>225</v>
      </c>
      <c r="L9" s="406">
        <f>'EMEA CELLULAR'!D37</f>
        <v>2.6199275856048252</v>
      </c>
      <c r="M9" s="406">
        <f>'EMEA CELLULAR'!E37</f>
        <v>2.1019432698335514</v>
      </c>
      <c r="N9" s="406">
        <f>'EMEA CELLULAR'!F37</f>
        <v>1.7673158441321424</v>
      </c>
      <c r="O9" s="406">
        <f>'EMEA CELLULAR'!G37</f>
        <v>1.490977100486143</v>
      </c>
      <c r="P9" s="240">
        <f>'EMEA CELLULAR'!H37</f>
        <v>0.13657312279124967</v>
      </c>
    </row>
    <row r="10" spans="2:44">
      <c r="B10" s="5" t="s">
        <v>226</v>
      </c>
      <c r="C10" s="5"/>
      <c r="D10" s="408">
        <v>1810.8558554216868</v>
      </c>
      <c r="E10" s="408">
        <v>1810.7835662650602</v>
      </c>
      <c r="F10" s="408">
        <v>1810.7112771084337</v>
      </c>
      <c r="G10" s="408">
        <v>1810.6389879518072</v>
      </c>
      <c r="H10" s="207"/>
      <c r="I10" s="207"/>
      <c r="J10" s="5" t="s">
        <v>158</v>
      </c>
      <c r="L10" s="406">
        <f>'EMEA CELLULAR'!D38</f>
        <v>7.4049431236829459</v>
      </c>
      <c r="M10" s="406">
        <f>'EMEA CELLULAR'!E38</f>
        <v>6.1564377862490218</v>
      </c>
      <c r="N10" s="406">
        <f>'EMEA CELLULAR'!F38</f>
        <v>4.4837178583666226</v>
      </c>
      <c r="O10" s="406">
        <f>'EMEA CELLULAR'!G38</f>
        <v>3.6958642793873961</v>
      </c>
      <c r="P10" s="240">
        <f>'EMEA CELLULAR'!H38</f>
        <v>0.18738943723674595</v>
      </c>
    </row>
    <row r="11" spans="2:44">
      <c r="B11" s="25" t="s">
        <v>227</v>
      </c>
      <c r="C11" s="5"/>
      <c r="D11" s="409">
        <f>$C$9*D10</f>
        <v>373670.10576626507</v>
      </c>
      <c r="E11" s="409">
        <f>$C$9*E10</f>
        <v>373655.18889879517</v>
      </c>
      <c r="F11" s="409">
        <f>$C$9*F10</f>
        <v>373640.27203132526</v>
      </c>
      <c r="G11" s="409">
        <f>$C$9*G10</f>
        <v>373625.35516385542</v>
      </c>
      <c r="H11" s="209"/>
      <c r="I11" s="209"/>
      <c r="J11" s="5" t="s">
        <v>159</v>
      </c>
      <c r="L11" s="406">
        <f>'EMEA CELLULAR'!D39</f>
        <v>13.77606277730415</v>
      </c>
      <c r="M11" s="406">
        <f>'EMEA CELLULAR'!E39</f>
        <v>11.672285536375483</v>
      </c>
      <c r="N11" s="406">
        <f>'EMEA CELLULAR'!F39</f>
        <v>7.4496586865144394</v>
      </c>
      <c r="O11" s="406">
        <f>'EMEA CELLULAR'!G39</f>
        <v>5.9832990727504578</v>
      </c>
      <c r="P11" s="240">
        <f>'EMEA CELLULAR'!H39</f>
        <v>0.24371081525857741</v>
      </c>
    </row>
    <row r="12" spans="2:44">
      <c r="B12" s="5" t="s">
        <v>22</v>
      </c>
      <c r="C12" s="209"/>
      <c r="D12" s="410">
        <v>37746.094858036711</v>
      </c>
      <c r="E12" s="410">
        <v>20214.904746748158</v>
      </c>
      <c r="F12" s="410">
        <v>-1086.1695699452539</v>
      </c>
      <c r="G12" s="410">
        <v>-22279.364931310469</v>
      </c>
      <c r="H12" s="207"/>
      <c r="I12" s="207"/>
      <c r="J12" s="5" t="s">
        <v>381</v>
      </c>
      <c r="L12" s="406">
        <f>'EMEA CELLULAR'!D40</f>
        <v>19.591583567499963</v>
      </c>
      <c r="M12" s="406">
        <f>'EMEA CELLULAR'!E40</f>
        <v>16.863939410662088</v>
      </c>
      <c r="N12" s="406">
        <f>'EMEA CELLULAR'!F40</f>
        <v>10.664588793239982</v>
      </c>
      <c r="O12" s="406">
        <f>'EMEA CELLULAR'!G40</f>
        <v>8.5573074542660397</v>
      </c>
      <c r="P12" s="240">
        <f>'EMEA CELLULAR'!H40</f>
        <v>0.24137238116561188</v>
      </c>
    </row>
    <row r="13" spans="2:44">
      <c r="B13" s="5" t="s">
        <v>433</v>
      </c>
      <c r="C13" s="216"/>
      <c r="D13" s="410">
        <v>18281.249999999996</v>
      </c>
      <c r="E13" s="410">
        <v>18281.249999999996</v>
      </c>
      <c r="F13" s="410">
        <v>18281.249999999996</v>
      </c>
      <c r="G13" s="410">
        <v>18281.249999999996</v>
      </c>
      <c r="H13" s="207"/>
      <c r="I13" s="207"/>
      <c r="J13" s="5" t="s">
        <v>434</v>
      </c>
      <c r="L13" s="406">
        <f>'EMEA CELLULAR'!D41</f>
        <v>2.4931198659149474</v>
      </c>
      <c r="M13" s="406">
        <f>'EMEA CELLULAR'!E41</f>
        <v>2.1495302617941814</v>
      </c>
      <c r="N13" s="406">
        <f>'EMEA CELLULAR'!F41</f>
        <v>2.0138651536880712</v>
      </c>
      <c r="O13" s="406">
        <f>'EMEA CELLULAR'!G41</f>
        <v>1.7818698478870838</v>
      </c>
      <c r="P13" s="240">
        <f>'EMEA CELLULAR'!H41</f>
        <v>5.3449376644030044E-2</v>
      </c>
    </row>
    <row r="14" spans="2:44">
      <c r="B14" s="5" t="s">
        <v>436</v>
      </c>
      <c r="C14" s="216"/>
      <c r="D14" s="410">
        <v>10475.609104191999</v>
      </c>
      <c r="E14" s="410">
        <v>10475.609104191999</v>
      </c>
      <c r="F14" s="410">
        <v>10475.609104191999</v>
      </c>
      <c r="G14" s="410">
        <v>10475.609104191999</v>
      </c>
      <c r="H14" s="207"/>
      <c r="I14" s="207"/>
      <c r="J14" s="5" t="s">
        <v>493</v>
      </c>
      <c r="L14" s="406">
        <f>'EMEA CELLULAR'!D42</f>
        <v>3.2594845164113617</v>
      </c>
      <c r="M14" s="406">
        <f>'EMEA CELLULAR'!E42</f>
        <v>2.7593129191981953</v>
      </c>
      <c r="N14" s="406">
        <f>'EMEA CELLULAR'!F42</f>
        <v>2.4319311799132723</v>
      </c>
      <c r="O14" s="406">
        <f>'EMEA CELLULAR'!G42</f>
        <v>2.1027645091274914</v>
      </c>
      <c r="P14" s="240">
        <f>'EMEA CELLULAR'!H42</f>
        <v>9.004402418470403E-2</v>
      </c>
    </row>
    <row r="15" spans="2:44">
      <c r="B15" s="5" t="s">
        <v>435</v>
      </c>
      <c r="C15" s="228"/>
      <c r="D15" s="410">
        <v>96928.848231629105</v>
      </c>
      <c r="E15" s="410">
        <v>96928.848231629105</v>
      </c>
      <c r="F15" s="410">
        <v>96928.848231629105</v>
      </c>
      <c r="G15" s="410">
        <v>96928.848231629105</v>
      </c>
      <c r="H15" s="207"/>
      <c r="I15" s="207"/>
      <c r="J15" s="5" t="s">
        <v>390</v>
      </c>
      <c r="L15" s="406">
        <f>'EMEA CELLULAR'!D43</f>
        <v>23.450165248936997</v>
      </c>
      <c r="M15" s="406">
        <f>'EMEA CELLULAR'!E43</f>
        <v>15.410353469940693</v>
      </c>
      <c r="N15" s="406">
        <f>'EMEA CELLULAR'!F43</f>
        <v>12.326327706891529</v>
      </c>
      <c r="O15" s="406">
        <f>'EMEA CELLULAR'!G43</f>
        <v>10.503745422567203</v>
      </c>
      <c r="P15" s="240">
        <f>'EMEA CELLULAR'!H43</f>
        <v>0.29920862771021017</v>
      </c>
    </row>
    <row r="16" spans="2:44">
      <c r="B16" s="5" t="s">
        <v>438</v>
      </c>
      <c r="C16" s="216"/>
      <c r="D16" s="410">
        <v>0</v>
      </c>
      <c r="E16" s="410">
        <v>7266.480728853714</v>
      </c>
      <c r="F16" s="410">
        <v>16449.796789630462</v>
      </c>
      <c r="G16" s="410">
        <v>28868.097365678514</v>
      </c>
      <c r="H16" s="207"/>
      <c r="I16" s="207"/>
      <c r="J16" s="5" t="s">
        <v>437</v>
      </c>
      <c r="L16" s="406">
        <f>'EMEA CELLULAR'!D44</f>
        <v>13.987504843658609</v>
      </c>
      <c r="M16" s="406">
        <f>'EMEA CELLULAR'!E44</f>
        <v>10.43067037532062</v>
      </c>
      <c r="N16" s="406">
        <f>'EMEA CELLULAR'!F44</f>
        <v>8.2767848489788651</v>
      </c>
      <c r="O16" s="406">
        <f>'EMEA CELLULAR'!G44</f>
        <v>7.004852314981683</v>
      </c>
      <c r="P16" s="240">
        <f>'EMEA CELLULAR'!H44</f>
        <v>0.25177251450443627</v>
      </c>
    </row>
    <row r="17" spans="2:24">
      <c r="B17" s="5" t="s">
        <v>4</v>
      </c>
      <c r="C17" s="216"/>
      <c r="D17" s="410">
        <v>0</v>
      </c>
      <c r="E17" s="410">
        <v>0</v>
      </c>
      <c r="F17" s="410">
        <v>0</v>
      </c>
      <c r="G17" s="410">
        <v>0</v>
      </c>
      <c r="H17" s="207"/>
      <c r="I17" s="207"/>
      <c r="J17" s="5" t="s">
        <v>481</v>
      </c>
      <c r="L17" s="208">
        <f>'EMEA CELLULAR'!D45</f>
        <v>3.0544287380878801E-2</v>
      </c>
      <c r="M17" s="208">
        <f>'EMEA CELLULAR'!E45</f>
        <v>4.395508539543818E-2</v>
      </c>
      <c r="N17" s="208">
        <f>'EMEA CELLULAR'!F45</f>
        <v>5.3871956178551617E-2</v>
      </c>
      <c r="O17" s="208">
        <f>'EMEA CELLULAR'!G45</f>
        <v>6.3557237996527752E-2</v>
      </c>
      <c r="P17" s="240">
        <f>'EMEA CELLULAR'!H45</f>
        <v>0.26908290905415133</v>
      </c>
      <c r="S17" s="72"/>
      <c r="T17" s="26"/>
      <c r="U17" s="26"/>
      <c r="V17" s="26"/>
      <c r="W17" s="26"/>
      <c r="X17" s="26"/>
    </row>
    <row r="18" spans="2:24" ht="12.6" thickBot="1">
      <c r="B18" s="25" t="s">
        <v>484</v>
      </c>
      <c r="C18" s="209"/>
      <c r="D18" s="411">
        <f>D11+D12+D13-D14+D15-D16-D17</f>
        <v>516150.68975173892</v>
      </c>
      <c r="E18" s="411">
        <f>E11+E12+E13-E14+E15-E16-E17</f>
        <v>491338.10204412672</v>
      </c>
      <c r="F18" s="411">
        <f>F11+F12+F13-F14+F15-F16-F17</f>
        <v>460838.79479918664</v>
      </c>
      <c r="G18" s="411">
        <f>G11+G12+G13-G14+G15-G16-G17</f>
        <v>427212.38199430355</v>
      </c>
      <c r="H18" s="230">
        <f>IF(D18=0,"nm",IF(G18=0,"nm",(G18/D18)^(1/3)-1))</f>
        <v>-6.1093296481221415E-2</v>
      </c>
      <c r="I18" s="214"/>
      <c r="J18" s="5" t="s">
        <v>33</v>
      </c>
      <c r="L18" s="208">
        <f>'EMEA CELLULAR'!D46</f>
        <v>2.6498586982557595E-2</v>
      </c>
      <c r="M18" s="208">
        <f>'EMEA CELLULAR'!E46</f>
        <v>1.0808246113551016E-2</v>
      </c>
      <c r="N18" s="208">
        <f>'EMEA CELLULAR'!F46</f>
        <v>5.7520239450434246E-2</v>
      </c>
      <c r="O18" s="208">
        <f>'EMEA CELLULAR'!G46</f>
        <v>6.7155888346752513E-2</v>
      </c>
      <c r="P18" s="240">
        <f>'EMEA CELLULAR'!H46</f>
        <v>0.35528963407723091</v>
      </c>
      <c r="S18" s="72"/>
      <c r="T18" s="26"/>
      <c r="U18" s="26"/>
      <c r="V18" s="26"/>
      <c r="W18" s="26"/>
      <c r="X18" s="26"/>
    </row>
    <row r="19" spans="2:24" ht="12.6" thickTop="1">
      <c r="B19" s="25"/>
      <c r="C19" s="209"/>
      <c r="D19" s="189"/>
      <c r="E19" s="189"/>
      <c r="F19" s="189"/>
      <c r="G19" s="189"/>
      <c r="H19" s="230"/>
      <c r="I19" s="214"/>
      <c r="J19" s="5" t="s">
        <v>482</v>
      </c>
      <c r="L19" s="208">
        <f>'EMEA CELLULAR'!D47</f>
        <v>4.2643622737171552E-2</v>
      </c>
      <c r="M19" s="208">
        <f>'EMEA CELLULAR'!E47</f>
        <v>6.4891438210719285E-2</v>
      </c>
      <c r="N19" s="208">
        <f>'EMEA CELLULAR'!F47</f>
        <v>8.1127163237831965E-2</v>
      </c>
      <c r="O19" s="208">
        <f>'EMEA CELLULAR'!G47</f>
        <v>9.5204135265074971E-2</v>
      </c>
      <c r="P19" s="240">
        <f>'EMEA CELLULAR'!H47</f>
        <v>0.29920862771021017</v>
      </c>
      <c r="S19" s="72"/>
      <c r="T19" s="26"/>
      <c r="U19" s="26"/>
      <c r="V19" s="26"/>
      <c r="W19" s="26"/>
      <c r="X19" s="26"/>
    </row>
    <row r="20" spans="2:24">
      <c r="H20" s="231"/>
      <c r="I20" s="13"/>
      <c r="J20" s="5" t="s">
        <v>504</v>
      </c>
      <c r="L20" s="248">
        <f>'EMEA CELLULAR'!D48</f>
        <v>0.71626858649262892</v>
      </c>
      <c r="M20" s="248">
        <f>'EMEA CELLULAR'!E48</f>
        <v>0.67736340274513018</v>
      </c>
      <c r="N20" s="248">
        <f>'EMEA CELLULAR'!F48</f>
        <v>0.66404338606812718</v>
      </c>
      <c r="O20" s="248">
        <f>'EMEA CELLULAR'!G48</f>
        <v>0.66758904767704264</v>
      </c>
      <c r="P20" s="240" t="str">
        <f>'EMEA CELLULAR'!H48</f>
        <v>nm</v>
      </c>
      <c r="S20" s="72"/>
      <c r="T20" s="26"/>
      <c r="U20" s="26"/>
      <c r="V20" s="26"/>
      <c r="W20" s="26"/>
      <c r="X20" s="26"/>
    </row>
    <row r="21" spans="2:24" ht="12.6" thickBot="1">
      <c r="B21" s="249" t="s">
        <v>773</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188001</v>
      </c>
      <c r="D23" s="416">
        <v>222544.35942793626</v>
      </c>
      <c r="E23" s="416">
        <v>246850.56637101265</v>
      </c>
      <c r="F23" s="416">
        <v>285936.83841666748</v>
      </c>
      <c r="G23" s="416">
        <v>319576.45687769714</v>
      </c>
      <c r="H23" s="233">
        <f t="shared" ref="H23:H32" si="3">IF(D23=0,"nm",IF(G23=0,"nm",(G23/D23)^(1/3)-1))</f>
        <v>0.12819991347435811</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2">
        <v>42067</v>
      </c>
      <c r="D24" s="416">
        <v>73960.23275480984</v>
      </c>
      <c r="E24" s="416">
        <v>89400.945142428493</v>
      </c>
      <c r="F24" s="416">
        <v>108391.19915296262</v>
      </c>
      <c r="G24" s="416">
        <v>124140.71950515494</v>
      </c>
      <c r="H24" s="233">
        <f t="shared" si="3"/>
        <v>0.18842559425876937</v>
      </c>
      <c r="I24" s="209"/>
      <c r="J24" s="13"/>
      <c r="K24" s="13"/>
      <c r="L24" s="13"/>
      <c r="M24" s="13"/>
      <c r="N24" s="13"/>
      <c r="O24" s="208"/>
      <c r="S24" s="72"/>
      <c r="T24" s="26"/>
      <c r="U24" s="26"/>
      <c r="V24" s="26"/>
      <c r="W24" s="26" t="s">
        <v>327</v>
      </c>
      <c r="X24" s="26" t="s">
        <v>418</v>
      </c>
    </row>
    <row r="25" spans="2:24">
      <c r="B25" s="5" t="s">
        <v>157</v>
      </c>
      <c r="C25" s="422">
        <v>12196</v>
      </c>
      <c r="D25" s="416">
        <v>36127.691652060676</v>
      </c>
      <c r="E25" s="416">
        <v>48053.475275283869</v>
      </c>
      <c r="F25" s="416">
        <v>61211.620814212489</v>
      </c>
      <c r="G25" s="416">
        <v>72209.545262529151</v>
      </c>
      <c r="H25" s="233">
        <f t="shared" si="3"/>
        <v>0.25965456672718101</v>
      </c>
      <c r="I25" s="208"/>
      <c r="J25" s="207" t="s">
        <v>8</v>
      </c>
      <c r="K25" s="207"/>
      <c r="L25" s="252">
        <v>0</v>
      </c>
      <c r="M25" s="252">
        <v>0</v>
      </c>
      <c r="N25" s="252">
        <v>0</v>
      </c>
      <c r="O25" s="252">
        <v>0</v>
      </c>
      <c r="P25" s="233" t="str">
        <f>IF(L25=0,"nm",IF(O25=0,"nm",(O25/L25)^(1/3)-1))</f>
        <v>nm</v>
      </c>
      <c r="S25" s="72"/>
      <c r="T25" s="26"/>
      <c r="U25" s="26"/>
      <c r="V25" s="113" t="s">
        <v>225</v>
      </c>
      <c r="W25" s="242">
        <f>D37/L9</f>
        <v>0.8852595757842977</v>
      </c>
      <c r="X25" s="242">
        <v>1</v>
      </c>
    </row>
    <row r="26" spans="2:24">
      <c r="B26" s="5" t="s">
        <v>487</v>
      </c>
      <c r="C26" s="422">
        <v>8781.119999999999</v>
      </c>
      <c r="D26" s="416">
        <v>26011.937989483686</v>
      </c>
      <c r="E26" s="416">
        <v>34598.502198204384</v>
      </c>
      <c r="F26" s="416">
        <v>44072.366986232992</v>
      </c>
      <c r="G26" s="416">
        <v>51990.87258902099</v>
      </c>
      <c r="H26" s="233">
        <f t="shared" si="3"/>
        <v>0.25965456672718101</v>
      </c>
      <c r="I26" s="209"/>
      <c r="J26" s="209" t="s">
        <v>9</v>
      </c>
      <c r="K26" s="209"/>
      <c r="L26" s="235">
        <f>D11+L25</f>
        <v>373670.10576626507</v>
      </c>
      <c r="M26" s="235">
        <f>E11+M25</f>
        <v>373655.18889879517</v>
      </c>
      <c r="N26" s="235">
        <f>F11+N25</f>
        <v>373640.27203132526</v>
      </c>
      <c r="O26" s="235">
        <f>G11+O25</f>
        <v>373625.35516385542</v>
      </c>
      <c r="P26" s="233">
        <f>IF(L26=0,"nm",IF(O26=0,"nm",(O26/L26)^(1/3)-1))</f>
        <v>-3.9921478220850126E-5</v>
      </c>
      <c r="Q26" s="5"/>
      <c r="S26" s="72"/>
      <c r="T26" s="26"/>
      <c r="U26" s="26"/>
      <c r="V26" s="113" t="s">
        <v>158</v>
      </c>
      <c r="W26" s="242">
        <f t="shared" ref="W26:W33" si="5">D38/L10</f>
        <v>0.94244608721389644</v>
      </c>
      <c r="X26" s="242">
        <v>1</v>
      </c>
    </row>
    <row r="27" spans="2:24">
      <c r="B27" s="5" t="s">
        <v>488</v>
      </c>
      <c r="C27" s="422">
        <v>261861</v>
      </c>
      <c r="D27" s="416">
        <v>256497.97422471794</v>
      </c>
      <c r="E27" s="416">
        <v>247096.84288568504</v>
      </c>
      <c r="F27" s="416">
        <v>239542.83481755172</v>
      </c>
      <c r="G27" s="416">
        <v>234195.44369298051</v>
      </c>
      <c r="H27" s="233">
        <f t="shared" si="3"/>
        <v>-2.9866502053208399E-2</v>
      </c>
      <c r="I27" s="209"/>
      <c r="J27" s="208"/>
      <c r="K27" s="208"/>
      <c r="L27" s="208"/>
      <c r="M27" s="208"/>
      <c r="N27" s="208"/>
      <c r="O27" s="208"/>
      <c r="Q27" s="25"/>
      <c r="S27" s="72"/>
      <c r="T27" s="26"/>
      <c r="U27" s="26"/>
      <c r="V27" s="113" t="s">
        <v>159</v>
      </c>
      <c r="W27" s="242">
        <f t="shared" si="5"/>
        <v>1.0370774359571779</v>
      </c>
      <c r="X27" s="242">
        <v>1</v>
      </c>
    </row>
    <row r="28" spans="2:24" ht="12.6" thickBot="1">
      <c r="B28" s="5" t="s">
        <v>492</v>
      </c>
      <c r="C28" s="422">
        <v>168995</v>
      </c>
      <c r="D28" s="416">
        <v>223313.47017478402</v>
      </c>
      <c r="E28" s="416">
        <v>240354.15696733957</v>
      </c>
      <c r="F28" s="416">
        <v>260340.90011243441</v>
      </c>
      <c r="G28" s="416">
        <v>282541.67621011188</v>
      </c>
      <c r="H28" s="233">
        <f t="shared" si="3"/>
        <v>8.1573071000105468E-2</v>
      </c>
      <c r="I28" s="208"/>
      <c r="J28" s="249" t="s">
        <v>1073</v>
      </c>
      <c r="K28" s="249"/>
      <c r="L28" s="249"/>
      <c r="M28" s="249"/>
      <c r="N28" s="220"/>
      <c r="O28" s="220"/>
      <c r="P28" s="220"/>
      <c r="Q28" s="5"/>
      <c r="S28" s="72"/>
      <c r="T28" s="26"/>
      <c r="U28" s="26"/>
      <c r="V28" s="113" t="s">
        <v>381</v>
      </c>
      <c r="W28" s="242">
        <f t="shared" si="5"/>
        <v>1.0128246463482404</v>
      </c>
      <c r="X28" s="242">
        <v>1</v>
      </c>
    </row>
    <row r="29" spans="2:24" ht="12.6" thickTop="1">
      <c r="B29" s="5" t="s">
        <v>489</v>
      </c>
      <c r="C29" s="422">
        <v>-21111.9</v>
      </c>
      <c r="D29" s="416">
        <v>10009.560280044054</v>
      </c>
      <c r="E29" s="416">
        <v>10363.870070781268</v>
      </c>
      <c r="F29" s="416">
        <v>17461.013249221491</v>
      </c>
      <c r="G29" s="416">
        <v>21206.406207692009</v>
      </c>
      <c r="H29" s="233">
        <f t="shared" si="3"/>
        <v>0.28435187941889972</v>
      </c>
      <c r="I29" s="212"/>
      <c r="J29" s="209"/>
      <c r="K29" s="209"/>
      <c r="L29" s="209"/>
      <c r="M29" s="209"/>
      <c r="N29" s="209"/>
      <c r="O29" s="211"/>
      <c r="Q29" s="5"/>
      <c r="S29" s="72"/>
      <c r="T29" s="26"/>
      <c r="U29" s="26"/>
      <c r="V29" s="113" t="s">
        <v>434</v>
      </c>
      <c r="W29" s="242">
        <f t="shared" si="5"/>
        <v>0.80714100874650285</v>
      </c>
      <c r="X29" s="242">
        <v>1</v>
      </c>
    </row>
    <row r="30" spans="2:24">
      <c r="B30" s="5" t="s">
        <v>490</v>
      </c>
      <c r="C30" s="422">
        <v>16444.099999999999</v>
      </c>
      <c r="D30" s="416">
        <v>26322.073519426656</v>
      </c>
      <c r="E30" s="416">
        <v>34701.214666297943</v>
      </c>
      <c r="F30" s="416">
        <v>45551.480004424062</v>
      </c>
      <c r="G30" s="416">
        <v>54138.833960650241</v>
      </c>
      <c r="H30" s="233">
        <f t="shared" si="3"/>
        <v>0.27173395393183419</v>
      </c>
      <c r="I30" s="214"/>
      <c r="J30" s="208"/>
      <c r="K30" s="208"/>
      <c r="L30" s="208"/>
      <c r="M30" s="208"/>
      <c r="N30" s="208"/>
      <c r="O30" s="5"/>
      <c r="Q30" s="5"/>
      <c r="S30" s="72"/>
      <c r="T30" s="26"/>
      <c r="U30" s="26"/>
      <c r="V30" s="113" t="s">
        <v>493</v>
      </c>
      <c r="W30" s="242">
        <f t="shared" si="5"/>
        <v>0.70910846429457497</v>
      </c>
      <c r="X30" s="242">
        <v>1</v>
      </c>
    </row>
    <row r="31" spans="2:24">
      <c r="B31" s="5" t="s">
        <v>491</v>
      </c>
      <c r="C31" s="422">
        <v>6247.5774000000001</v>
      </c>
      <c r="D31" s="416">
        <v>7266.770817505565</v>
      </c>
      <c r="E31" s="416">
        <v>9183.6826869647339</v>
      </c>
      <c r="F31" s="416">
        <v>12418.796372549374</v>
      </c>
      <c r="G31" s="416">
        <v>14979.201447549087</v>
      </c>
      <c r="H31" s="233">
        <f t="shared" si="3"/>
        <v>0.27266978264467112</v>
      </c>
      <c r="I31" s="214"/>
      <c r="J31" s="212"/>
      <c r="K31" s="212"/>
      <c r="L31" s="212"/>
      <c r="M31" s="212"/>
      <c r="N31" s="212"/>
      <c r="O31" s="5"/>
      <c r="Q31" s="5"/>
      <c r="S31" s="72"/>
      <c r="T31" s="26"/>
      <c r="U31" s="26"/>
      <c r="V31" s="113" t="s">
        <v>390</v>
      </c>
      <c r="W31" s="242">
        <f t="shared" si="5"/>
        <v>1.5919427599856035</v>
      </c>
      <c r="X31" s="242">
        <v>1</v>
      </c>
    </row>
    <row r="32" spans="2:24">
      <c r="B32" s="5" t="s">
        <v>506</v>
      </c>
      <c r="C32" s="424">
        <v>1237</v>
      </c>
      <c r="D32" s="416">
        <v>1200</v>
      </c>
      <c r="E32" s="416">
        <v>1200</v>
      </c>
      <c r="F32" s="416">
        <v>1200</v>
      </c>
      <c r="G32" s="416">
        <v>1200</v>
      </c>
      <c r="H32" s="233">
        <f t="shared" si="3"/>
        <v>0</v>
      </c>
      <c r="I32" s="214"/>
      <c r="J32" s="214"/>
      <c r="K32" s="214"/>
      <c r="L32" s="214"/>
      <c r="M32" s="214"/>
      <c r="N32" s="214"/>
      <c r="O32" s="211"/>
      <c r="Q32" s="5"/>
      <c r="S32" s="72"/>
      <c r="T32" s="26"/>
      <c r="U32" s="26"/>
      <c r="V32" s="113" t="s">
        <v>437</v>
      </c>
      <c r="W32" s="242">
        <f t="shared" si="5"/>
        <v>1.0149111113234175</v>
      </c>
      <c r="X32" s="242">
        <v>1</v>
      </c>
    </row>
    <row r="33" spans="2:24">
      <c r="B33" s="5" t="s">
        <v>3</v>
      </c>
      <c r="C33" s="422">
        <v>-15933</v>
      </c>
      <c r="D33" s="416">
        <v>-17045.722875325475</v>
      </c>
      <c r="E33" s="416">
        <v>-18535.873202327362</v>
      </c>
      <c r="F33" s="416">
        <v>-18702.221225846373</v>
      </c>
      <c r="G33" s="416">
        <v>-18705.736261831717</v>
      </c>
      <c r="H33" s="233">
        <f>IF(D33=0,"nm",IF(G33=0,"nm",(G33/D33)^(1/3)-1))</f>
        <v>3.1461750521867948E-2</v>
      </c>
      <c r="I33" s="5"/>
      <c r="J33" s="214"/>
      <c r="K33" s="214"/>
      <c r="L33" s="214"/>
      <c r="M33" s="214"/>
      <c r="N33" s="214"/>
      <c r="O33" s="211"/>
      <c r="Q33" s="5"/>
      <c r="S33" s="72"/>
      <c r="T33" s="26"/>
      <c r="U33" s="26"/>
      <c r="V33" s="113" t="s">
        <v>481</v>
      </c>
      <c r="W33" s="242">
        <f t="shared" si="5"/>
        <v>0.63668279083131574</v>
      </c>
      <c r="X33" s="242">
        <v>1</v>
      </c>
    </row>
    <row r="34" spans="2:24">
      <c r="H34" s="231"/>
      <c r="I34" s="33"/>
      <c r="J34" s="214"/>
      <c r="K34" s="214"/>
      <c r="L34" s="214"/>
      <c r="M34" s="214"/>
      <c r="N34" s="214"/>
      <c r="O34" s="211"/>
      <c r="Q34" s="5"/>
      <c r="S34" s="72"/>
      <c r="T34" s="26"/>
      <c r="U34" s="26"/>
      <c r="V34" s="113" t="s">
        <v>482</v>
      </c>
      <c r="W34" s="242">
        <f>D47/L19</f>
        <v>0.62816328899227725</v>
      </c>
      <c r="X34" s="242">
        <v>1</v>
      </c>
    </row>
    <row r="35" spans="2:24" ht="12.6" thickBot="1">
      <c r="B35" s="249" t="s">
        <v>470</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2.3193159830181069</v>
      </c>
      <c r="E37" s="406">
        <f t="shared" ref="E37:G41" si="7">E$18/E23</f>
        <v>1.9904272826567189</v>
      </c>
      <c r="F37" s="406">
        <f t="shared" si="7"/>
        <v>1.6116803884067985</v>
      </c>
      <c r="G37" s="406">
        <f t="shared" si="7"/>
        <v>1.3368080557880364</v>
      </c>
      <c r="H37" s="13">
        <f t="shared" ref="H37:H45" si="8">H23</f>
        <v>0.12819991347435811</v>
      </c>
      <c r="I37" s="5"/>
      <c r="J37" s="217"/>
      <c r="K37" s="217"/>
      <c r="L37" s="217"/>
      <c r="M37" s="217"/>
      <c r="N37" s="217"/>
      <c r="O37" s="14"/>
      <c r="Q37" s="5"/>
      <c r="R37" s="5"/>
      <c r="S37" s="26"/>
      <c r="T37" s="26"/>
      <c r="U37" s="26"/>
      <c r="V37" s="26"/>
      <c r="W37" s="26"/>
      <c r="X37" s="26"/>
    </row>
    <row r="38" spans="2:24">
      <c r="B38" s="5" t="s">
        <v>158</v>
      </c>
      <c r="C38" s="207"/>
      <c r="D38" s="406">
        <f>D$18/D24</f>
        <v>6.9787596729564401</v>
      </c>
      <c r="E38" s="406">
        <f t="shared" si="7"/>
        <v>5.4958938214954536</v>
      </c>
      <c r="F38" s="406">
        <f t="shared" si="7"/>
        <v>4.2516255784646022</v>
      </c>
      <c r="G38" s="406">
        <f t="shared" si="7"/>
        <v>3.4413557751013646</v>
      </c>
      <c r="H38" s="13">
        <f t="shared" si="8"/>
        <v>0.18842559425876937</v>
      </c>
      <c r="I38" s="217"/>
      <c r="J38" s="13"/>
      <c r="K38" s="13"/>
      <c r="L38" s="13"/>
      <c r="M38" s="13"/>
      <c r="N38" s="13"/>
      <c r="O38" s="5"/>
      <c r="Q38" s="5"/>
      <c r="R38" s="5"/>
      <c r="S38" s="26"/>
      <c r="T38" s="26"/>
      <c r="U38" s="26"/>
      <c r="V38" s="26"/>
      <c r="W38" s="26"/>
      <c r="X38" s="26"/>
    </row>
    <row r="39" spans="2:24">
      <c r="B39" s="5" t="s">
        <v>159</v>
      </c>
      <c r="C39" s="207"/>
      <c r="D39" s="406">
        <f>D$18/D25</f>
        <v>14.286843862671708</v>
      </c>
      <c r="E39" s="406">
        <f t="shared" si="7"/>
        <v>10.224819312846758</v>
      </c>
      <c r="F39" s="406">
        <f t="shared" si="7"/>
        <v>7.5286161135629701</v>
      </c>
      <c r="G39" s="406">
        <f t="shared" si="7"/>
        <v>5.9162868349482851</v>
      </c>
      <c r="H39" s="13">
        <f t="shared" si="8"/>
        <v>0.25965456672718101</v>
      </c>
      <c r="I39" s="13"/>
      <c r="J39" s="5"/>
      <c r="K39" s="5"/>
      <c r="L39" s="5"/>
      <c r="M39" s="5"/>
      <c r="N39" s="5"/>
      <c r="O39" s="5"/>
      <c r="Q39" s="5"/>
      <c r="R39" s="5"/>
      <c r="S39" s="26"/>
      <c r="T39" s="26"/>
      <c r="U39" s="26"/>
      <c r="V39" s="26"/>
      <c r="W39" s="26"/>
      <c r="X39" s="26"/>
    </row>
    <row r="40" spans="2:24">
      <c r="B40" s="5" t="s">
        <v>381</v>
      </c>
      <c r="C40" s="207"/>
      <c r="D40" s="406">
        <f>D$18/D26</f>
        <v>19.842838698155148</v>
      </c>
      <c r="E40" s="406">
        <f t="shared" si="7"/>
        <v>14.201137934509388</v>
      </c>
      <c r="F40" s="406">
        <f t="shared" si="7"/>
        <v>10.456411268837458</v>
      </c>
      <c r="G40" s="406">
        <f t="shared" si="7"/>
        <v>8.2170650485392844</v>
      </c>
      <c r="H40" s="13">
        <f t="shared" si="8"/>
        <v>0.25965456672718101</v>
      </c>
      <c r="I40" s="5"/>
      <c r="J40" s="217"/>
      <c r="K40" s="217"/>
      <c r="L40" s="217"/>
      <c r="M40" s="217"/>
      <c r="N40" s="217"/>
      <c r="O40" s="14"/>
      <c r="Q40" s="5"/>
      <c r="R40" s="5"/>
      <c r="S40" s="26"/>
      <c r="T40" s="26"/>
      <c r="U40" s="26"/>
      <c r="V40" s="26"/>
      <c r="W40" s="242"/>
      <c r="X40" s="242"/>
    </row>
    <row r="41" spans="2:24">
      <c r="B41" s="5" t="s">
        <v>434</v>
      </c>
      <c r="C41" s="207"/>
      <c r="D41" s="406">
        <f>D$18/D27</f>
        <v>2.0122992835005364</v>
      </c>
      <c r="E41" s="406">
        <f t="shared" si="7"/>
        <v>1.9884434633243597</v>
      </c>
      <c r="F41" s="406">
        <f t="shared" si="7"/>
        <v>1.9238262549167269</v>
      </c>
      <c r="G41" s="406">
        <f t="shared" si="7"/>
        <v>1.824170339344259</v>
      </c>
      <c r="H41" s="13">
        <f t="shared" si="8"/>
        <v>-2.9866502053208399E-2</v>
      </c>
      <c r="I41" s="207"/>
      <c r="J41" s="13"/>
      <c r="K41" s="13"/>
      <c r="L41" s="13"/>
      <c r="M41" s="13"/>
      <c r="N41" s="13"/>
      <c r="O41" s="5"/>
      <c r="Q41" s="5"/>
      <c r="R41" s="5"/>
      <c r="S41" s="26"/>
      <c r="T41" s="26"/>
      <c r="U41" s="26"/>
      <c r="V41" s="26"/>
      <c r="W41" s="242"/>
      <c r="X41" s="242"/>
    </row>
    <row r="42" spans="2:24">
      <c r="B42" s="5" t="s">
        <v>493</v>
      </c>
      <c r="C42" s="207"/>
      <c r="D42" s="406">
        <f>D18/D28</f>
        <v>2.3113280598244059</v>
      </c>
      <c r="E42" s="406">
        <f>E18/E28</f>
        <v>2.0442255222192474</v>
      </c>
      <c r="F42" s="406">
        <f>F18/F28</f>
        <v>1.7701359817076858</v>
      </c>
      <c r="G42" s="406">
        <f>G18/G28</f>
        <v>1.5120331546295755</v>
      </c>
      <c r="H42" s="13">
        <f t="shared" si="8"/>
        <v>8.1573071000105468E-2</v>
      </c>
      <c r="I42" s="208"/>
      <c r="J42" s="5"/>
      <c r="K42" s="5"/>
      <c r="L42" s="5"/>
      <c r="M42" s="5"/>
      <c r="N42" s="5"/>
      <c r="O42" s="5"/>
      <c r="Q42" s="5"/>
      <c r="R42" s="5"/>
      <c r="S42" s="26"/>
      <c r="T42" s="26"/>
      <c r="U42" s="26"/>
      <c r="V42" s="26"/>
      <c r="W42" s="242"/>
      <c r="X42" s="242"/>
    </row>
    <row r="43" spans="2:24">
      <c r="B43" s="5" t="s">
        <v>390</v>
      </c>
      <c r="C43" s="207"/>
      <c r="D43" s="406">
        <f>L26/D29</f>
        <v>37.331320788511249</v>
      </c>
      <c r="E43" s="406">
        <f>M26/E29</f>
        <v>36.053635017312374</v>
      </c>
      <c r="F43" s="406">
        <f>N26/F29</f>
        <v>21.398544671969951</v>
      </c>
      <c r="G43" s="406">
        <f>O26/G29</f>
        <v>17.618513552208277</v>
      </c>
      <c r="H43" s="13">
        <f t="shared" si="8"/>
        <v>0.28435187941889972</v>
      </c>
      <c r="I43" s="207"/>
      <c r="J43" s="207"/>
      <c r="K43" s="207"/>
      <c r="L43" s="207"/>
      <c r="M43" s="207"/>
      <c r="N43" s="207"/>
      <c r="O43" s="14"/>
      <c r="Q43" s="5"/>
      <c r="R43" s="5"/>
      <c r="S43" s="26"/>
      <c r="T43" s="26"/>
      <c r="U43" s="26"/>
      <c r="V43" s="26"/>
      <c r="W43" s="242"/>
      <c r="X43" s="242"/>
    </row>
    <row r="44" spans="2:24">
      <c r="B44" s="5" t="s">
        <v>437</v>
      </c>
      <c r="C44" s="53"/>
      <c r="D44" s="406">
        <f>D11/D30</f>
        <v>14.196074085519244</v>
      </c>
      <c r="E44" s="406">
        <f>E11/E30</f>
        <v>10.767784139316934</v>
      </c>
      <c r="F44" s="406">
        <f>F11/F30</f>
        <v>8.2025934611792302</v>
      </c>
      <c r="G44" s="406">
        <f>G11/G30</f>
        <v>6.9012449628194386</v>
      </c>
      <c r="H44" s="13">
        <f t="shared" si="8"/>
        <v>0.27173395393183419</v>
      </c>
      <c r="I44" s="207"/>
      <c r="J44" s="208"/>
      <c r="K44" s="208"/>
      <c r="L44" s="208"/>
      <c r="M44" s="208"/>
      <c r="N44" s="208"/>
      <c r="O44" s="208"/>
      <c r="Q44" s="5"/>
      <c r="R44" s="5"/>
      <c r="S44" s="26"/>
      <c r="T44" s="26"/>
      <c r="U44" s="26"/>
      <c r="V44" s="26"/>
      <c r="W44" s="255"/>
      <c r="X44" s="255"/>
    </row>
    <row r="45" spans="2:24">
      <c r="B45" s="5" t="s">
        <v>481</v>
      </c>
      <c r="C45" s="207"/>
      <c r="D45" s="208">
        <f>D31/D11</f>
        <v>1.9447022133611654E-2</v>
      </c>
      <c r="E45" s="208">
        <f>E31/E11</f>
        <v>2.4577961071623557E-2</v>
      </c>
      <c r="F45" s="208">
        <f>F31/F11</f>
        <v>3.323730684873339E-2</v>
      </c>
      <c r="G45" s="208">
        <f>G31/G11</f>
        <v>4.0091501394437956E-2</v>
      </c>
      <c r="H45" s="13">
        <f t="shared" si="8"/>
        <v>0.27266978264467112</v>
      </c>
      <c r="I45" s="208"/>
      <c r="J45" s="207"/>
      <c r="K45" s="207"/>
      <c r="L45" s="207"/>
      <c r="M45" s="207"/>
      <c r="N45" s="207"/>
      <c r="O45" s="208"/>
      <c r="Q45" s="5"/>
      <c r="R45" s="5"/>
      <c r="S45" s="26"/>
      <c r="T45" s="26"/>
      <c r="U45" s="26"/>
      <c r="V45" s="26"/>
      <c r="W45" s="26"/>
      <c r="X45" s="26"/>
    </row>
    <row r="46" spans="2:24">
      <c r="B46" s="5" t="s">
        <v>505</v>
      </c>
      <c r="C46" s="207"/>
      <c r="D46" s="208">
        <f>(D31+D32)/D11</f>
        <v>2.2658410953542072E-2</v>
      </c>
      <c r="E46" s="208">
        <f>(E31+E32)/E11</f>
        <v>2.7789478094942671E-2</v>
      </c>
      <c r="F46" s="208">
        <f>(F31+F32)/F11</f>
        <v>3.6448952085677749E-2</v>
      </c>
      <c r="G46" s="208">
        <f>(G31+G32)/G11</f>
        <v>4.3303274855245329E-2</v>
      </c>
      <c r="H46" s="233">
        <f>((G31+G32)/(D31+D32))^(1/3)-1</f>
        <v>0.24092754876717093</v>
      </c>
      <c r="I46" s="207"/>
      <c r="J46" s="207"/>
      <c r="K46" s="207"/>
      <c r="L46" s="207"/>
      <c r="M46" s="207"/>
      <c r="N46" s="207"/>
      <c r="O46" s="14"/>
      <c r="Q46" s="5"/>
      <c r="R46" s="5"/>
      <c r="S46" s="26"/>
      <c r="T46" s="26"/>
      <c r="U46" s="26"/>
      <c r="V46" s="26"/>
      <c r="W46" s="26"/>
      <c r="X46" s="26"/>
    </row>
    <row r="47" spans="2:24">
      <c r="B47" s="5" t="s">
        <v>482</v>
      </c>
      <c r="C47" s="5"/>
      <c r="D47" s="208">
        <f>1/D43</f>
        <v>2.678715831312754E-2</v>
      </c>
      <c r="E47" s="208">
        <f>1/E43</f>
        <v>2.7736454299817928E-2</v>
      </c>
      <c r="F47" s="208">
        <f>1/F43</f>
        <v>4.6732150028403772E-2</v>
      </c>
      <c r="G47" s="208">
        <f>1/G43</f>
        <v>5.6758477214138278E-2</v>
      </c>
      <c r="H47" s="13">
        <f>H29</f>
        <v>0.28435187941889972</v>
      </c>
      <c r="I47" s="13"/>
      <c r="J47" s="208"/>
      <c r="K47" s="208"/>
      <c r="L47" s="208"/>
      <c r="M47" s="208"/>
      <c r="N47" s="208"/>
      <c r="O47" s="208"/>
      <c r="Q47" s="5"/>
      <c r="R47" s="5"/>
      <c r="S47" s="26"/>
      <c r="T47" s="26"/>
      <c r="U47" s="26"/>
      <c r="V47" s="26"/>
      <c r="W47" s="26"/>
      <c r="X47" s="26"/>
    </row>
    <row r="48" spans="2:24">
      <c r="B48" s="5" t="s">
        <v>518</v>
      </c>
      <c r="C48" s="5"/>
      <c r="D48" s="248">
        <f>D31/D29</f>
        <v>0.72598302165113515</v>
      </c>
      <c r="E48" s="248">
        <f>E31/E29</f>
        <v>0.88612483794602737</v>
      </c>
      <c r="F48" s="248">
        <f>F31/F29</f>
        <v>0.71122999537859422</v>
      </c>
      <c r="G48" s="248">
        <f>G31/G29</f>
        <v>0.70635266064628222</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MTNSOP!A1" display="Jump to MTN SOP" xr:uid="{00000000-0004-0000-3E00-000001000000}"/>
  </hyperlinks>
  <pageMargins left="0.75" right="0.75" top="1" bottom="1" header="0.5" footer="0.5"/>
  <pageSetup scale="7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4">
    <tabColor theme="3" tint="0.79998168889431442"/>
    <pageSetUpPr autoPageBreaks="0"/>
  </sheetPr>
  <dimension ref="A1:DI669"/>
  <sheetViews>
    <sheetView showGridLines="0" zoomScale="80" zoomScaleNormal="80" zoomScaleSheetLayoutView="72" workbookViewId="0">
      <pane ySplit="5" topLeftCell="A6" activePane="bottomLeft" state="frozen"/>
      <selection pane="bottomLeft"/>
    </sheetView>
  </sheetViews>
  <sheetFormatPr defaultColWidth="8.88671875" defaultRowHeight="12"/>
  <cols>
    <col min="1" max="1" width="20" style="23" customWidth="1"/>
    <col min="2" max="2" width="2.33203125" style="26" customWidth="1"/>
    <col min="3" max="3" width="26.5546875" style="23" customWidth="1"/>
    <col min="4" max="4" width="11.109375" style="23" customWidth="1"/>
    <col min="5" max="7" width="11.109375" style="5" customWidth="1"/>
    <col min="8" max="8" width="2.33203125" style="23" customWidth="1"/>
    <col min="9" max="12" width="11.109375" style="23" customWidth="1"/>
    <col min="13" max="13" width="11.109375" style="53" customWidth="1"/>
    <col min="14" max="14" width="2.33203125" style="23" customWidth="1"/>
    <col min="15" max="18" width="11.109375" style="23" customWidth="1"/>
    <col min="19" max="19" width="11.109375" style="53" customWidth="1"/>
    <col min="20" max="20" width="2.33203125" style="23" customWidth="1"/>
    <col min="21" max="21" width="11.109375" style="23" customWidth="1"/>
    <col min="22" max="22" width="26.5546875" style="23" customWidth="1"/>
    <col min="23" max="24" width="9.44140625" style="5" bestFit="1" customWidth="1"/>
    <col min="25" max="25" width="10.33203125" style="5" customWidth="1"/>
    <col min="26" max="26" width="3.6640625" style="5" customWidth="1"/>
    <col min="27" max="27" width="10.5546875" style="5" customWidth="1"/>
    <col min="28" max="28" width="8.6640625" style="47"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18" width="9.109375" style="23" customWidth="1"/>
    <col min="119" max="16384" width="8.88671875" style="23"/>
  </cols>
  <sheetData>
    <row r="1" spans="1:69" s="115" customFormat="1">
      <c r="A1" s="102"/>
      <c r="B1" s="114"/>
      <c r="F1" s="116"/>
      <c r="M1" s="117"/>
      <c r="S1" s="117"/>
      <c r="AB1" s="118"/>
      <c r="AC1" s="118"/>
    </row>
    <row r="2" spans="1:69" s="115" customFormat="1">
      <c r="A2" s="102"/>
      <c r="B2" s="114"/>
      <c r="M2" s="117"/>
      <c r="S2" s="117"/>
      <c r="AB2" s="118"/>
      <c r="AC2" s="118"/>
    </row>
    <row r="3" spans="1:69" s="115" customFormat="1">
      <c r="A3" s="102"/>
      <c r="B3" s="114"/>
      <c r="U3" s="119"/>
      <c r="AB3" s="118"/>
      <c r="AC3" s="118"/>
    </row>
    <row r="4" spans="1:69" s="122" customFormat="1" ht="21">
      <c r="A4" s="99"/>
      <c r="B4" s="120"/>
      <c r="C4" s="121" t="s">
        <v>171</v>
      </c>
      <c r="AB4" s="123"/>
      <c r="AC4" s="123"/>
    </row>
    <row r="5" spans="1:69" s="102" customFormat="1">
      <c r="B5" s="124"/>
      <c r="D5" s="119"/>
      <c r="E5" s="119"/>
      <c r="F5" s="119"/>
      <c r="G5" s="119"/>
      <c r="H5" s="119"/>
      <c r="I5" s="119" t="str" cm="1">
        <f t="array" ref="I5:M5">headings</f>
        <v>2025E</v>
      </c>
      <c r="J5" s="119" t="str">
        <v>2026E</v>
      </c>
      <c r="K5" s="119" t="str">
        <v>2027E</v>
      </c>
      <c r="L5" s="119" t="str">
        <v>2028E</v>
      </c>
      <c r="M5" s="119" t="str">
        <v>2025-28</v>
      </c>
      <c r="O5" s="119" t="str" cm="1">
        <f t="array" ref="O5:S5">headings</f>
        <v>2025E</v>
      </c>
      <c r="P5" s="119" t="str">
        <v>2026E</v>
      </c>
      <c r="Q5" s="119" t="str">
        <v>2027E</v>
      </c>
      <c r="R5" s="119" t="str">
        <v>2028E</v>
      </c>
      <c r="S5" s="119" t="str">
        <v>2025-28</v>
      </c>
      <c r="T5" s="119"/>
      <c r="U5" s="126"/>
      <c r="V5" s="127"/>
      <c r="Z5" s="119"/>
      <c r="AC5" s="127"/>
      <c r="AD5" s="128"/>
      <c r="AE5" s="128"/>
      <c r="AF5" s="128"/>
      <c r="AG5" s="128"/>
      <c r="AH5" s="128"/>
      <c r="AI5" s="128"/>
      <c r="AJ5" s="128"/>
      <c r="AK5" s="128"/>
      <c r="AL5" s="128"/>
      <c r="AM5" s="128"/>
      <c r="AN5" s="128"/>
      <c r="AO5" s="128"/>
      <c r="AP5" s="128"/>
      <c r="AQ5" s="128"/>
      <c r="AR5" s="128"/>
      <c r="AS5" s="128"/>
      <c r="AT5" s="128"/>
      <c r="AU5" s="128"/>
      <c r="AV5" s="128"/>
      <c r="AW5" s="128"/>
      <c r="BC5" s="129"/>
      <c r="BD5" s="129"/>
      <c r="BE5" s="129"/>
      <c r="BG5" s="129"/>
      <c r="BH5" s="129"/>
      <c r="BI5" s="129"/>
      <c r="BK5" s="129"/>
      <c r="BL5" s="129"/>
      <c r="BM5" s="129"/>
      <c r="BO5" s="129"/>
      <c r="BP5" s="129"/>
      <c r="BQ5" s="129"/>
    </row>
    <row r="6" spans="1:69" s="5" customFormat="1">
      <c r="B6" s="26"/>
      <c r="D6" s="33"/>
      <c r="E6" s="53"/>
      <c r="F6" s="53"/>
      <c r="G6" s="53"/>
      <c r="H6" s="105"/>
      <c r="I6" s="34"/>
      <c r="J6" s="34"/>
      <c r="K6" s="34"/>
      <c r="L6" s="34"/>
      <c r="M6" s="34"/>
      <c r="N6" s="40"/>
      <c r="O6" s="34"/>
      <c r="P6" s="34"/>
      <c r="Q6" s="34"/>
      <c r="R6" s="34"/>
      <c r="S6" s="34"/>
      <c r="T6" s="30"/>
      <c r="U6" s="105"/>
      <c r="V6" s="47"/>
      <c r="Z6" s="33"/>
      <c r="AT6" s="53"/>
      <c r="AU6" s="53"/>
      <c r="AV6" s="53"/>
      <c r="AW6" s="53"/>
      <c r="BC6" s="49"/>
      <c r="BD6" s="49"/>
      <c r="BE6" s="49"/>
      <c r="BG6" s="49"/>
      <c r="BH6" s="49"/>
      <c r="BI6" s="49"/>
      <c r="BK6" s="49"/>
      <c r="BL6" s="49"/>
      <c r="BM6" s="49"/>
      <c r="BO6" s="49"/>
      <c r="BP6" s="49"/>
      <c r="BQ6" s="49"/>
    </row>
    <row r="7" spans="1:69" s="25" customFormat="1">
      <c r="B7" s="113"/>
      <c r="C7" s="130"/>
      <c r="D7" s="131" t="s">
        <v>379</v>
      </c>
      <c r="E7" s="131" t="s">
        <v>50</v>
      </c>
      <c r="F7" s="131" t="s">
        <v>52</v>
      </c>
      <c r="G7" s="131" t="s">
        <v>49</v>
      </c>
      <c r="H7" s="105"/>
      <c r="I7" s="132" t="s">
        <v>158</v>
      </c>
      <c r="J7" s="132"/>
      <c r="K7" s="132"/>
      <c r="L7" s="132"/>
      <c r="M7" s="132"/>
      <c r="N7" s="30"/>
      <c r="O7" s="132" t="s">
        <v>159</v>
      </c>
      <c r="P7" s="132"/>
      <c r="Q7" s="132"/>
      <c r="R7" s="132"/>
      <c r="S7" s="132"/>
      <c r="T7" s="30"/>
      <c r="U7" s="133" t="s">
        <v>379</v>
      </c>
      <c r="V7" s="131"/>
      <c r="Z7" s="33"/>
      <c r="AC7" s="106"/>
      <c r="AD7" s="107"/>
      <c r="AE7" s="107"/>
      <c r="AF7" s="107"/>
      <c r="AG7" s="107"/>
      <c r="AH7" s="107"/>
      <c r="AI7" s="107"/>
      <c r="AJ7" s="107"/>
      <c r="AK7" s="107"/>
      <c r="AL7" s="107"/>
      <c r="AM7" s="107"/>
      <c r="AN7" s="107"/>
      <c r="AO7" s="107"/>
      <c r="AP7" s="107"/>
      <c r="AQ7" s="107"/>
      <c r="AR7" s="107"/>
      <c r="AS7" s="107"/>
      <c r="AT7" s="107"/>
      <c r="AU7" s="107"/>
      <c r="AV7" s="107"/>
      <c r="AW7" s="107"/>
      <c r="BC7" s="108"/>
      <c r="BD7" s="108"/>
      <c r="BE7" s="108"/>
      <c r="BG7" s="108"/>
      <c r="BH7" s="108"/>
      <c r="BI7" s="108"/>
      <c r="BK7" s="108"/>
      <c r="BL7" s="108"/>
      <c r="BM7" s="108"/>
      <c r="BO7" s="108"/>
      <c r="BP7" s="108"/>
      <c r="BQ7" s="108"/>
    </row>
    <row r="8" spans="1:69" s="5" customFormat="1">
      <c r="A8" s="25" t="s">
        <v>415</v>
      </c>
      <c r="B8" s="26" t="s">
        <v>1118</v>
      </c>
      <c r="C8" s="32" t="s">
        <v>282</v>
      </c>
      <c r="D8" s="28" t="str">
        <f>'EM Multiples'!B8&amp;TEXT(Prices!C107,"0.0")</f>
        <v>USD 22.8</v>
      </c>
      <c r="E8" s="28" t="str">
        <f>'EM Multiples'!B8&amp;TEXT(Prices!E107,"0.0")</f>
        <v>USD 24.0</v>
      </c>
      <c r="F8" s="29">
        <f>Prices!F107</f>
        <v>5.2631578947368363E-2</v>
      </c>
      <c r="G8" s="28" t="str">
        <f>Prices!D107</f>
        <v>Buy</v>
      </c>
      <c r="H8" s="30"/>
      <c r="I8" s="31">
        <f>AMX!$D$38</f>
        <v>5.3860601063395874</v>
      </c>
      <c r="J8" s="31">
        <f>AMX!$E$38</f>
        <v>4.5321022684608119</v>
      </c>
      <c r="K8" s="31">
        <f>AMX!$F$38</f>
        <v>4.1247343721442133</v>
      </c>
      <c r="L8" s="31">
        <f>AMX!$G$38</f>
        <v>3.7303406362200309</v>
      </c>
      <c r="M8" s="29">
        <f>AMX!$H$38</f>
        <v>5.6913601792575985E-2</v>
      </c>
      <c r="N8" s="30"/>
      <c r="O8" s="31">
        <f>AMX!$D$39</f>
        <v>8.1358318927764177</v>
      </c>
      <c r="P8" s="31">
        <f>AMX!$E$39</f>
        <v>6.9816991974375311</v>
      </c>
      <c r="Q8" s="31">
        <f>AMX!$F$39</f>
        <v>6.3415391792306126</v>
      </c>
      <c r="R8" s="31">
        <f>AMX!$G$39</f>
        <v>5.5523211766004419</v>
      </c>
      <c r="S8" s="29">
        <f>AMX!$H$39</f>
        <v>6.2121942226958327E-2</v>
      </c>
      <c r="T8" s="30"/>
      <c r="U8" s="32" t="str">
        <f>D8</f>
        <v>USD 22.8</v>
      </c>
      <c r="V8" s="28" t="s">
        <v>282</v>
      </c>
      <c r="Z8" s="30"/>
      <c r="AE8" s="25"/>
      <c r="AF8" s="19"/>
      <c r="AG8" s="19"/>
      <c r="AI8" s="25"/>
      <c r="AJ8" s="48"/>
      <c r="AK8" s="48"/>
      <c r="AM8" s="25"/>
      <c r="AN8" s="48"/>
      <c r="AO8" s="48"/>
      <c r="AQ8" s="25"/>
      <c r="AR8" s="48"/>
      <c r="AS8" s="48"/>
      <c r="BC8" s="49"/>
      <c r="BD8" s="49"/>
      <c r="BE8" s="49"/>
      <c r="BG8" s="49"/>
      <c r="BH8" s="49"/>
      <c r="BI8" s="49"/>
      <c r="BK8" s="49"/>
      <c r="BL8" s="49"/>
      <c r="BM8" s="49"/>
      <c r="BO8" s="49"/>
      <c r="BP8" s="49"/>
      <c r="BQ8" s="49"/>
    </row>
    <row r="9" spans="1:69" s="5" customFormat="1">
      <c r="B9" s="26" t="s">
        <v>122</v>
      </c>
      <c r="C9" s="32" t="s">
        <v>1342</v>
      </c>
      <c r="D9" s="28" t="str">
        <f>'EM Multiples'!B9&amp;TEXT(Prices!C109,"0.00")</f>
        <v>BRL 39.88</v>
      </c>
      <c r="E9" s="28" t="str">
        <f>'EM Multiples'!B9&amp;TEXT(Prices!E109,"0.00")</f>
        <v>BRL 43.00</v>
      </c>
      <c r="F9" s="29">
        <f>Prices!F109</f>
        <v>7.8234704112337017E-2</v>
      </c>
      <c r="G9" s="28" t="str">
        <f>Prices!D109</f>
        <v>Buy</v>
      </c>
      <c r="H9" s="30"/>
      <c r="I9" s="31">
        <f>VIVO!$D$38</f>
        <v>5.7213927637035589</v>
      </c>
      <c r="J9" s="31">
        <f>VIVO!$E$38</f>
        <v>4.5668352423190983</v>
      </c>
      <c r="K9" s="31">
        <f>VIVO!$F$38</f>
        <v>3.8490996803721478</v>
      </c>
      <c r="L9" s="31">
        <f>VIVO!$G$38</f>
        <v>3.2575190318131866</v>
      </c>
      <c r="M9" s="29">
        <f>VIVO!$H$38</f>
        <v>8.8465794746057869E-2</v>
      </c>
      <c r="N9" s="30"/>
      <c r="O9" s="31">
        <f>VIVO!$D$39</f>
        <v>9.216045014540871</v>
      </c>
      <c r="P9" s="31">
        <f>VIVO!$E$39</f>
        <v>6.8874092363473132</v>
      </c>
      <c r="Q9" s="31">
        <f>VIVO!$F$39</f>
        <v>5.6386647955512332</v>
      </c>
      <c r="R9" s="31">
        <f>VIVO!$G$39</f>
        <v>4.6879983603011457</v>
      </c>
      <c r="S9" s="29">
        <f>VIVO!$H$39</f>
        <v>0.13013128543653152</v>
      </c>
      <c r="T9" s="30"/>
      <c r="U9" s="32" t="str">
        <f>D9</f>
        <v>BRL 39.88</v>
      </c>
      <c r="V9" s="28" t="s">
        <v>519</v>
      </c>
      <c r="Z9" s="30"/>
      <c r="AE9" s="25"/>
      <c r="AF9" s="19"/>
      <c r="AG9" s="19"/>
      <c r="AI9" s="25"/>
      <c r="AJ9" s="48"/>
      <c r="AK9" s="48"/>
      <c r="AM9" s="25"/>
      <c r="AN9" s="48"/>
      <c r="AO9" s="48"/>
      <c r="AQ9" s="25"/>
      <c r="AR9" s="48"/>
      <c r="AS9" s="48"/>
      <c r="BC9" s="49"/>
      <c r="BD9" s="49"/>
      <c r="BE9" s="49"/>
      <c r="BG9" s="49"/>
      <c r="BH9" s="49"/>
      <c r="BI9" s="49"/>
      <c r="BK9" s="49"/>
      <c r="BL9" s="49"/>
      <c r="BM9" s="49"/>
      <c r="BO9" s="49"/>
      <c r="BP9" s="49"/>
      <c r="BQ9" s="49"/>
    </row>
    <row r="10" spans="1:69" s="5" customFormat="1">
      <c r="B10" s="26" t="s">
        <v>1118</v>
      </c>
      <c r="C10" s="32" t="s">
        <v>561</v>
      </c>
      <c r="D10" s="28" t="str">
        <f>'EM Multiples'!B10&amp;TEXT(Prices!C108,"0.0")</f>
        <v>USD 3.1</v>
      </c>
      <c r="E10" s="28" t="str">
        <f>'EM Multiples'!B10&amp;TEXT(Prices!E108,"0.0")</f>
        <v>USD 3.7</v>
      </c>
      <c r="F10" s="29">
        <f>Prices!F108</f>
        <v>0.21311475409836089</v>
      </c>
      <c r="G10" s="28" t="str">
        <f>Prices!D108</f>
        <v>Neutral</v>
      </c>
      <c r="H10" s="30"/>
      <c r="I10" s="31">
        <f>TVIS!$D$38</f>
        <v>2.3278280534107814</v>
      </c>
      <c r="J10" s="31">
        <f>TVIS!$E$38</f>
        <v>2.2045247837018196</v>
      </c>
      <c r="K10" s="31">
        <f>TVIS!$F$38</f>
        <v>1.9997321542150779</v>
      </c>
      <c r="L10" s="31">
        <f>TVIS!$G$38</f>
        <v>1.6883741623869275</v>
      </c>
      <c r="M10" s="29">
        <f>TVIS!$H$38</f>
        <v>-3.6129511168252471E-3</v>
      </c>
      <c r="N10" s="30"/>
      <c r="O10" s="31">
        <f>TVIS!$D$39</f>
        <v>5.2547271485385325</v>
      </c>
      <c r="P10" s="31">
        <f>TVIS!$E$39</f>
        <v>4.9858379445289023</v>
      </c>
      <c r="Q10" s="31">
        <f>TVIS!$F$39</f>
        <v>4.3908776385152866</v>
      </c>
      <c r="R10" s="31">
        <f>TVIS!$G$39</f>
        <v>3.5919586900378406</v>
      </c>
      <c r="S10" s="29">
        <f>TVIS!$H$39</f>
        <v>1.6264962481800982E-2</v>
      </c>
      <c r="T10" s="30"/>
      <c r="U10" s="32" t="str">
        <f>D10</f>
        <v>USD 3.1</v>
      </c>
      <c r="V10" s="28" t="s">
        <v>561</v>
      </c>
      <c r="Z10" s="30"/>
      <c r="AE10" s="25"/>
      <c r="AF10" s="19"/>
      <c r="AG10" s="19"/>
      <c r="AI10" s="25"/>
      <c r="AJ10" s="48"/>
      <c r="AK10" s="48"/>
      <c r="AM10" s="25"/>
      <c r="AN10" s="48"/>
      <c r="AO10" s="48"/>
      <c r="AQ10" s="25"/>
      <c r="AR10" s="48"/>
      <c r="AS10" s="48"/>
      <c r="BC10" s="49"/>
      <c r="BD10" s="49"/>
      <c r="BE10" s="49"/>
      <c r="BG10" s="49"/>
      <c r="BH10" s="49"/>
      <c r="BI10" s="49"/>
      <c r="BK10" s="49"/>
      <c r="BL10" s="49"/>
      <c r="BM10" s="49"/>
      <c r="BO10" s="49"/>
      <c r="BP10" s="49"/>
      <c r="BQ10" s="49"/>
    </row>
    <row r="11" spans="1:69" s="5" customFormat="1">
      <c r="B11" s="26"/>
      <c r="C11" s="35" t="s">
        <v>417</v>
      </c>
      <c r="D11" s="36"/>
      <c r="E11" s="36"/>
      <c r="F11" s="37"/>
      <c r="G11" s="36"/>
      <c r="H11" s="30"/>
      <c r="I11" s="38">
        <f>'LATAM INCUMB'!$D$38</f>
        <v>5.3273786621275869</v>
      </c>
      <c r="J11" s="38">
        <f>'LATAM INCUMB'!$E$38</f>
        <v>4.4564863261624739</v>
      </c>
      <c r="K11" s="38">
        <f>'LATAM INCUMB'!$F$38</f>
        <v>3.9956463252385053</v>
      </c>
      <c r="L11" s="38">
        <f>'LATAM INCUMB'!$G$38</f>
        <v>3.563273468629057</v>
      </c>
      <c r="M11" s="39">
        <f>'LATAM INCUMB'!$H$38</f>
        <v>6.0875991046259958E-2</v>
      </c>
      <c r="N11" s="40"/>
      <c r="O11" s="38">
        <f>'LATAM INCUMB'!$D$39</f>
        <v>8.2568976610310063</v>
      </c>
      <c r="P11" s="38">
        <f>'LATAM INCUMB'!$E$39</f>
        <v>6.9138283439202475</v>
      </c>
      <c r="Q11" s="38">
        <f>'LATAM INCUMB'!$F$39</f>
        <v>6.1432211493025433</v>
      </c>
      <c r="R11" s="38">
        <f>'LATAM INCUMB'!$G$39</f>
        <v>5.3190732642203526</v>
      </c>
      <c r="S11" s="39">
        <f>'LATAM INCUMB'!$H$39</f>
        <v>7.4245294052326605E-2</v>
      </c>
      <c r="T11" s="30"/>
      <c r="U11" s="41"/>
      <c r="V11" s="42" t="s">
        <v>417</v>
      </c>
      <c r="Z11" s="30"/>
      <c r="AE11" s="25"/>
      <c r="AF11" s="19"/>
      <c r="AG11" s="19"/>
      <c r="AI11" s="25"/>
      <c r="AJ11" s="48"/>
      <c r="AK11" s="48"/>
      <c r="AM11" s="25"/>
      <c r="AN11" s="48"/>
      <c r="AO11" s="48"/>
      <c r="AQ11" s="25"/>
      <c r="AR11" s="48"/>
      <c r="AS11" s="48"/>
      <c r="BC11" s="49"/>
      <c r="BD11" s="49"/>
      <c r="BE11" s="49"/>
      <c r="BG11" s="49"/>
      <c r="BH11" s="49"/>
      <c r="BI11" s="49"/>
      <c r="BK11" s="49"/>
      <c r="BL11" s="49"/>
      <c r="BM11" s="49"/>
      <c r="BO11" s="49"/>
      <c r="BP11" s="49"/>
      <c r="BQ11" s="49"/>
    </row>
    <row r="12" spans="1:69" s="5" customFormat="1">
      <c r="A12" s="23"/>
      <c r="B12" s="26"/>
      <c r="C12" s="32"/>
      <c r="D12" s="28"/>
      <c r="E12" s="28"/>
      <c r="F12" s="29"/>
      <c r="G12" s="28"/>
      <c r="H12" s="30"/>
      <c r="I12" s="31"/>
      <c r="J12" s="31"/>
      <c r="K12" s="31"/>
      <c r="L12" s="31"/>
      <c r="M12" s="29"/>
      <c r="N12" s="40"/>
      <c r="O12" s="31"/>
      <c r="P12" s="31"/>
      <c r="Q12" s="31"/>
      <c r="R12" s="31"/>
      <c r="S12" s="29"/>
      <c r="T12" s="30"/>
      <c r="U12" s="32"/>
      <c r="V12" s="34"/>
      <c r="Z12" s="30"/>
      <c r="AE12" s="25"/>
      <c r="AF12" s="19"/>
      <c r="AG12" s="19"/>
      <c r="AI12" s="25"/>
      <c r="AJ12" s="48"/>
      <c r="AK12" s="48"/>
      <c r="AM12" s="25"/>
      <c r="AN12" s="48"/>
      <c r="AO12" s="48"/>
      <c r="AQ12" s="25"/>
      <c r="AR12" s="48"/>
      <c r="AS12" s="48"/>
      <c r="BC12" s="49"/>
      <c r="BD12" s="49"/>
      <c r="BE12" s="49"/>
      <c r="BG12" s="49"/>
      <c r="BH12" s="49"/>
      <c r="BI12" s="49"/>
      <c r="BK12" s="49"/>
      <c r="BL12" s="49"/>
      <c r="BM12" s="49"/>
      <c r="BO12" s="49"/>
      <c r="BP12" s="49"/>
      <c r="BQ12" s="49"/>
    </row>
    <row r="13" spans="1:69" s="5" customFormat="1">
      <c r="B13" s="26" t="s">
        <v>1120</v>
      </c>
      <c r="C13" s="32" t="s">
        <v>248</v>
      </c>
      <c r="D13" s="28" t="str">
        <f>'EM Multiples'!B13&amp;TEXT(Prices!C69,"0.00")</f>
        <v>HKD 5.01</v>
      </c>
      <c r="E13" s="28" t="str">
        <f>'EM Multiples'!B13&amp;TEXT(Prices!E69,"0.00")</f>
        <v>HKD 8.75</v>
      </c>
      <c r="F13" s="29">
        <f>Prices!F69</f>
        <v>0.7465069860279443</v>
      </c>
      <c r="G13" s="28" t="str">
        <f>Prices!D69</f>
        <v>Buy</v>
      </c>
      <c r="H13" s="30"/>
      <c r="I13" s="31">
        <f>_CT!$D$38</f>
        <v>1.549230967086028</v>
      </c>
      <c r="J13" s="31">
        <f>_CT!$E$38</f>
        <v>1.3543096357762674</v>
      </c>
      <c r="K13" s="31">
        <f>_CT!$F$38</f>
        <v>1.3817998340658835</v>
      </c>
      <c r="L13" s="31">
        <f>_CT!$G$38</f>
        <v>1.1550197320916988</v>
      </c>
      <c r="M13" s="29">
        <f>_CT!$H$38</f>
        <v>3.2098847625984472E-2</v>
      </c>
      <c r="N13" s="40"/>
      <c r="O13" s="31">
        <f>_CT!$D$39</f>
        <v>3.5230515083103966</v>
      </c>
      <c r="P13" s="31">
        <f>_CT!$E$39</f>
        <v>2.8416018045882736</v>
      </c>
      <c r="Q13" s="31">
        <f>_CT!$F$39</f>
        <v>2.753683599244813</v>
      </c>
      <c r="R13" s="31">
        <f>_CT!$G$39</f>
        <v>2.2045652739531119</v>
      </c>
      <c r="S13" s="135">
        <f>_CT!$H$39</f>
        <v>9.4152141692996238E-2</v>
      </c>
      <c r="T13" s="30"/>
      <c r="U13" s="32" t="str">
        <f t="shared" ref="U13:U16" si="0">D13</f>
        <v>HKD 5.01</v>
      </c>
      <c r="V13" s="28" t="s">
        <v>248</v>
      </c>
      <c r="Z13" s="30"/>
    </row>
    <row r="14" spans="1:69" s="5" customFormat="1">
      <c r="B14" s="26" t="s">
        <v>1120</v>
      </c>
      <c r="C14" s="32" t="s">
        <v>201</v>
      </c>
      <c r="D14" s="28" t="str">
        <f>'EM Multiples'!B14&amp;TEXT(Prices!C70,"0.00")</f>
        <v>HKD 7.26</v>
      </c>
      <c r="E14" s="28" t="str">
        <f>'EM Multiples'!B14&amp;TEXT(Prices!E70,"0.00")</f>
        <v>HKD 13.20</v>
      </c>
      <c r="F14" s="29">
        <f>Prices!F70</f>
        <v>0.81818181818181812</v>
      </c>
      <c r="G14" s="28" t="str">
        <f>Prices!D70</f>
        <v>Buy</v>
      </c>
      <c r="H14" s="30"/>
      <c r="I14" s="31">
        <f>_CU!$D$38</f>
        <v>1.0027755245209726</v>
      </c>
      <c r="J14" s="31">
        <f>_CU!$E$38</f>
        <v>0.79563088985449937</v>
      </c>
      <c r="K14" s="31">
        <f>_CU!$F$38</f>
        <v>0.82146944598896632</v>
      </c>
      <c r="L14" s="31">
        <f>_CU!$G$38</f>
        <v>0.60163381331147636</v>
      </c>
      <c r="M14" s="29">
        <f>_CU!$H$38</f>
        <v>1.8053820733962223E-2</v>
      </c>
      <c r="N14" s="40"/>
      <c r="O14" s="31">
        <f>_CU!$D$39</f>
        <v>2.3516558876198745</v>
      </c>
      <c r="P14" s="31">
        <f>_CU!$E$39</f>
        <v>1.7218873505979604</v>
      </c>
      <c r="Q14" s="31">
        <f>_CU!$F$39</f>
        <v>1.689816231481148</v>
      </c>
      <c r="R14" s="31">
        <f>_CU!$G$39</f>
        <v>1.174068481813326</v>
      </c>
      <c r="S14" s="135">
        <f>_CU!$H$39</f>
        <v>8.2364874161363621E-2</v>
      </c>
      <c r="T14" s="30"/>
      <c r="U14" s="32" t="str">
        <f t="shared" si="0"/>
        <v>HKD 7.26</v>
      </c>
      <c r="V14" s="28" t="s">
        <v>201</v>
      </c>
      <c r="Z14" s="30"/>
    </row>
    <row r="15" spans="1:69" s="5" customFormat="1">
      <c r="A15" s="23"/>
      <c r="B15" s="26" t="s">
        <v>480</v>
      </c>
      <c r="C15" s="32" t="s">
        <v>295</v>
      </c>
      <c r="D15" s="28" t="str">
        <f>'EM Multiples'!B15&amp;TEXT(Prices!C81,"0,0")</f>
        <v>KRW 61,700</v>
      </c>
      <c r="E15" s="28" t="str">
        <f>'EM Multiples'!B15&amp;TEXT(Prices!E81,"0,0")</f>
        <v>KRW 105,000</v>
      </c>
      <c r="F15" s="29">
        <f>Prices!F81</f>
        <v>0.70178282009724469</v>
      </c>
      <c r="G15" s="28" t="str">
        <f>Prices!D81</f>
        <v>Buy</v>
      </c>
      <c r="H15" s="30"/>
      <c r="I15" s="31">
        <f>_KT!$D$38</f>
        <v>2.9538537693816012</v>
      </c>
      <c r="J15" s="31">
        <f>_KT!$E$38</f>
        <v>2.675273226547997</v>
      </c>
      <c r="K15" s="31">
        <f>_KT!$F$38</f>
        <v>2.2213113386023089</v>
      </c>
      <c r="L15" s="31">
        <f>_KT!$G$38</f>
        <v>1.7659734751233089</v>
      </c>
      <c r="M15" s="29">
        <f>_KT!$H$38</f>
        <v>1.1753717224058491E-2</v>
      </c>
      <c r="N15" s="40"/>
      <c r="O15" s="31">
        <f>_KT!$D$39</f>
        <v>5.4773824547938741</v>
      </c>
      <c r="P15" s="31">
        <f>_KT!$E$39</f>
        <v>5.0559975912239441</v>
      </c>
      <c r="Q15" s="31">
        <f>_KT!$F$39</f>
        <v>4.1159584185414255</v>
      </c>
      <c r="R15" s="31">
        <f>_KT!$G$39</f>
        <v>3.2096885182384813</v>
      </c>
      <c r="S15" s="29">
        <f>_KT!$H$39</f>
        <v>1.8536498064697149E-2</v>
      </c>
      <c r="T15" s="30"/>
      <c r="U15" s="32" t="str">
        <f t="shared" si="0"/>
        <v>KRW 61,700</v>
      </c>
      <c r="V15" s="28" t="s">
        <v>295</v>
      </c>
      <c r="Z15" s="30"/>
    </row>
    <row r="16" spans="1:69" s="5" customFormat="1">
      <c r="A16" s="23"/>
      <c r="B16" s="26" t="s">
        <v>311</v>
      </c>
      <c r="C16" s="32" t="s">
        <v>1341</v>
      </c>
      <c r="D16" s="28" t="str">
        <f>'EM Multiples'!B16&amp;TEXT(Prices!C71,"0,00")</f>
        <v>IDR 2,810</v>
      </c>
      <c r="E16" s="28" t="str">
        <f>'EM Multiples'!B16&amp;TEXT(Prices!E71,"0,00")</f>
        <v>IDR 3,500</v>
      </c>
      <c r="F16" s="29">
        <f>Prices!F71</f>
        <v>0.24555160142348753</v>
      </c>
      <c r="G16" s="28" t="str">
        <f>Prices!D71</f>
        <v>Neutral</v>
      </c>
      <c r="H16" s="30"/>
      <c r="I16" s="31">
        <f>PTT!$D$38</f>
        <v>7.3950889444188785</v>
      </c>
      <c r="J16" s="31">
        <f>PTT!$E$38</f>
        <v>6.9494054592035504</v>
      </c>
      <c r="K16" s="31">
        <f>PTT!$F$38</f>
        <v>6.4319650213044639</v>
      </c>
      <c r="L16" s="31">
        <f>PTT!$G$38</f>
        <v>5.9294166088394906</v>
      </c>
      <c r="M16" s="29">
        <f>PTT!$H$38</f>
        <v>4.3223156596814194E-2</v>
      </c>
      <c r="N16" s="40"/>
      <c r="O16" s="31">
        <f>PTT!$D$39</f>
        <v>11.236598588539783</v>
      </c>
      <c r="P16" s="31">
        <f>PTT!$E$39</f>
        <v>10.805371605269736</v>
      </c>
      <c r="Q16" s="31">
        <f>PTT!$F$39</f>
        <v>9.9596228766955708</v>
      </c>
      <c r="R16" s="31">
        <f>PTT!$G$39</f>
        <v>9.171609012686849</v>
      </c>
      <c r="S16" s="135">
        <f>PTT!$H$39</f>
        <v>3.7042411450392665E-2</v>
      </c>
      <c r="T16" s="30"/>
      <c r="U16" s="32" t="str">
        <f t="shared" si="0"/>
        <v>IDR 2,810</v>
      </c>
      <c r="V16" s="28" t="s">
        <v>459</v>
      </c>
      <c r="Z16" s="30"/>
    </row>
    <row r="17" spans="1:26" s="5" customFormat="1">
      <c r="A17" s="23"/>
      <c r="B17" s="26"/>
      <c r="C17" s="35" t="s">
        <v>528</v>
      </c>
      <c r="D17" s="36"/>
      <c r="E17" s="36"/>
      <c r="F17" s="37"/>
      <c r="G17" s="36"/>
      <c r="H17" s="30"/>
      <c r="I17" s="38">
        <f>'EM ASIA INCUMB'!D38</f>
        <v>2.0740549562979096</v>
      </c>
      <c r="J17" s="38">
        <f>'EM ASIA INCUMB'!E38</f>
        <v>1.8518156979343932</v>
      </c>
      <c r="K17" s="38">
        <f>'EM ASIA INCUMB'!F38</f>
        <v>1.7887009391825142</v>
      </c>
      <c r="L17" s="38">
        <f>'EM ASIA INCUMB'!G38</f>
        <v>1.5210054957048886</v>
      </c>
      <c r="M17" s="39">
        <f>'EM ASIA INCUMB'!H38</f>
        <v>2.673395649564414E-2</v>
      </c>
      <c r="N17" s="40"/>
      <c r="O17" s="38">
        <f>'EM ASIA INCUMB'!D39</f>
        <v>4.4484332404058984</v>
      </c>
      <c r="P17" s="38">
        <f>'EM ASIA INCUMB'!E39</f>
        <v>3.75384246879957</v>
      </c>
      <c r="Q17" s="38">
        <f>'EM ASIA INCUMB'!F39</f>
        <v>3.474494238110506</v>
      </c>
      <c r="R17" s="38">
        <f>'EM ASIA INCUMB'!G39</f>
        <v>2.8421179466659852</v>
      </c>
      <c r="S17" s="39">
        <f>'EM ASIA INCUMB'!H39</f>
        <v>7.501970939731506E-2</v>
      </c>
      <c r="T17" s="30"/>
      <c r="U17" s="41"/>
      <c r="V17" s="42" t="s">
        <v>528</v>
      </c>
      <c r="Z17" s="30"/>
    </row>
    <row r="18" spans="1:26" s="5" customFormat="1">
      <c r="A18" s="23"/>
      <c r="B18" s="26"/>
      <c r="C18" s="27"/>
      <c r="D18" s="28"/>
      <c r="E18" s="28"/>
      <c r="F18" s="52"/>
      <c r="G18" s="28"/>
      <c r="H18" s="30"/>
      <c r="I18" s="46"/>
      <c r="J18" s="46"/>
      <c r="K18" s="46"/>
      <c r="L18" s="46"/>
      <c r="M18" s="45"/>
      <c r="N18" s="40"/>
      <c r="O18" s="46"/>
      <c r="P18" s="46"/>
      <c r="Q18" s="46"/>
      <c r="R18" s="46"/>
      <c r="S18" s="45"/>
      <c r="T18" s="30"/>
      <c r="U18" s="32"/>
      <c r="V18" s="34"/>
      <c r="Z18" s="30"/>
    </row>
    <row r="19" spans="1:26" s="5" customFormat="1">
      <c r="A19" s="23"/>
      <c r="B19" s="26"/>
      <c r="C19" s="35" t="s">
        <v>721</v>
      </c>
      <c r="D19" s="36"/>
      <c r="E19" s="36"/>
      <c r="F19" s="37"/>
      <c r="G19" s="36"/>
      <c r="H19" s="30"/>
      <c r="I19" s="38">
        <f>'EM INCUMB'!D38</f>
        <v>3.2583306501424838</v>
      </c>
      <c r="J19" s="38">
        <f>'EM INCUMB'!E38</f>
        <v>2.8572876171214863</v>
      </c>
      <c r="K19" s="38">
        <f>'EM INCUMB'!F38</f>
        <v>2.6452129034272849</v>
      </c>
      <c r="L19" s="38">
        <f>'EM INCUMB'!G38</f>
        <v>2.3114210372923396</v>
      </c>
      <c r="M19" s="39">
        <f>'EM INCUMB'!H38</f>
        <v>3.9422751898065433E-2</v>
      </c>
      <c r="N19" s="40"/>
      <c r="O19" s="38">
        <f>'EM INCUMB'!D39</f>
        <v>6.1317261959843918</v>
      </c>
      <c r="P19" s="38">
        <f>'EM INCUMB'!E39</f>
        <v>5.1790241774087162</v>
      </c>
      <c r="Q19" s="38">
        <f>'EM INCUMB'!F39</f>
        <v>4.6616800694291367</v>
      </c>
      <c r="R19" s="38">
        <f>'EM INCUMB'!G39</f>
        <v>3.9355802283020958</v>
      </c>
      <c r="S19" s="39">
        <f>'EM INCUMB'!H39</f>
        <v>7.4677565269395396E-2</v>
      </c>
      <c r="T19" s="30"/>
      <c r="U19" s="41"/>
      <c r="V19" s="42" t="str">
        <f>C19</f>
        <v>Agg. Emerging Incumbent</v>
      </c>
      <c r="Z19" s="30"/>
    </row>
    <row r="20" spans="1:26" s="5" customFormat="1">
      <c r="A20" s="23"/>
      <c r="B20" s="26"/>
      <c r="C20" s="27"/>
      <c r="D20" s="28"/>
      <c r="E20" s="28"/>
      <c r="F20" s="29"/>
      <c r="G20" s="28"/>
      <c r="H20" s="30"/>
      <c r="I20" s="31"/>
      <c r="J20" s="31"/>
      <c r="K20" s="31"/>
      <c r="L20" s="31"/>
      <c r="M20" s="29"/>
      <c r="N20" s="40"/>
      <c r="O20" s="31"/>
      <c r="P20" s="31"/>
      <c r="Q20" s="31"/>
      <c r="R20" s="31"/>
      <c r="S20" s="29">
        <v>0.10382721116045568</v>
      </c>
      <c r="T20" s="30"/>
      <c r="U20" s="32"/>
      <c r="V20" s="34"/>
      <c r="Z20" s="30"/>
    </row>
    <row r="21" spans="1:26" s="5" customFormat="1">
      <c r="A21" s="25" t="s">
        <v>1091</v>
      </c>
      <c r="B21" s="26" t="s">
        <v>1123</v>
      </c>
      <c r="C21" s="32" t="s">
        <v>875</v>
      </c>
      <c r="D21" s="28" t="str">
        <f>'EM Multiples'!B21&amp;TEXT(Prices!C96,"0.00")</f>
        <v>GBP3.60</v>
      </c>
      <c r="E21" s="28" t="str">
        <f>'EM Multiples'!B21&amp;TEXT(Prices!E96,"0.00")</f>
        <v>GBP4.60</v>
      </c>
      <c r="F21" s="29">
        <f>Prices!F96</f>
        <v>0.2791991101223581</v>
      </c>
      <c r="G21" s="28" t="str">
        <f>Prices!D96</f>
        <v>Buy</v>
      </c>
      <c r="H21" s="30"/>
      <c r="I21" s="31">
        <f>AAF!$D$38</f>
        <v>11.323954694774848</v>
      </c>
      <c r="J21" s="31">
        <f>AAF!$E$38</f>
        <v>8.1318736156419593</v>
      </c>
      <c r="K21" s="31">
        <f>AAF!$F$38</f>
        <v>6.5691645538582897</v>
      </c>
      <c r="L21" s="31">
        <f>AAF!$G$38</f>
        <v>5.4371119843890181</v>
      </c>
      <c r="M21" s="29">
        <f>AAF!$H$38</f>
        <v>0.21678562603739793</v>
      </c>
      <c r="N21" s="40"/>
      <c r="O21" s="31">
        <f>AAF!$D$39</f>
        <v>20.980665199085902</v>
      </c>
      <c r="P21" s="31">
        <f>AAF!$E$39</f>
        <v>13.667434235256119</v>
      </c>
      <c r="Q21" s="31">
        <f>AAF!$F$39</f>
        <v>10.198476850552668</v>
      </c>
      <c r="R21" s="31">
        <f>AAF!$G$39</f>
        <v>8.2007092602225296</v>
      </c>
      <c r="S21" s="135">
        <f>AAF!$H$39</f>
        <v>0.3031469796818087</v>
      </c>
      <c r="T21" s="30"/>
      <c r="U21" s="32" t="str">
        <f t="shared" ref="U21" si="1">D21</f>
        <v>GBP3.60</v>
      </c>
      <c r="V21" s="28" t="s">
        <v>875</v>
      </c>
      <c r="Z21" s="30"/>
    </row>
    <row r="22" spans="1:26" s="5" customFormat="1">
      <c r="A22" s="23"/>
      <c r="B22" s="26" t="s">
        <v>192</v>
      </c>
      <c r="C22" s="32" t="s">
        <v>327</v>
      </c>
      <c r="D22" s="28" t="str">
        <f>'EM Multiples'!B22&amp;TEXT(Prices!C97/100,"0.00")</f>
        <v>ZAR 206.35</v>
      </c>
      <c r="E22" s="28" t="str">
        <f>'EM Multiples'!B22&amp;TEXT(Prices!E97/100,"0.00")</f>
        <v>ZAR 280.00</v>
      </c>
      <c r="F22" s="29">
        <f>Prices!F97</f>
        <v>0.35691785800823839</v>
      </c>
      <c r="G22" s="28" t="str">
        <f>Prices!D97</f>
        <v>Buy</v>
      </c>
      <c r="H22" s="30"/>
      <c r="I22" s="31">
        <f>MTN!$D$38</f>
        <v>6.9787596729564401</v>
      </c>
      <c r="J22" s="31">
        <f>MTN!$E$38</f>
        <v>5.4958938214954536</v>
      </c>
      <c r="K22" s="31">
        <f>MTN!$F$38</f>
        <v>4.2516255784646022</v>
      </c>
      <c r="L22" s="31">
        <f>MTN!$G$38</f>
        <v>3.4413557751013646</v>
      </c>
      <c r="M22" s="29">
        <f>MTN!$H$38</f>
        <v>0.18842559425876937</v>
      </c>
      <c r="N22" s="40"/>
      <c r="O22" s="31">
        <f>MTN!$D$39</f>
        <v>14.286843862671708</v>
      </c>
      <c r="P22" s="31">
        <f>MTN!$E$39</f>
        <v>10.224819312846758</v>
      </c>
      <c r="Q22" s="31">
        <f>MTN!$F$39</f>
        <v>7.5286161135629701</v>
      </c>
      <c r="R22" s="31">
        <f>MTN!$G$39</f>
        <v>5.9162868349482851</v>
      </c>
      <c r="S22" s="135">
        <f>MTN!$H$39</f>
        <v>0.25965456672718101</v>
      </c>
      <c r="T22" s="30"/>
      <c r="U22" s="32" t="str">
        <f t="shared" ref="U22:U25" si="2">D22</f>
        <v>ZAR 206.35</v>
      </c>
      <c r="V22" s="28" t="s">
        <v>327</v>
      </c>
      <c r="Z22" s="30"/>
    </row>
    <row r="23" spans="1:26" s="5" customFormat="1">
      <c r="A23" s="23"/>
      <c r="B23" s="26" t="s">
        <v>1126</v>
      </c>
      <c r="C23" s="32" t="s">
        <v>334</v>
      </c>
      <c r="D23" s="28" t="str">
        <f>'EM Multiples'!B23&amp;TEXT(Prices!C98,"0.00")</f>
        <v>KES 29.90</v>
      </c>
      <c r="E23" s="28" t="str">
        <f>'EM Multiples'!B23&amp;TEXT(Prices!E98,"0.0")</f>
        <v>KES 40.0</v>
      </c>
      <c r="F23" s="29">
        <f>Prices!F98</f>
        <v>0.33779264214046822</v>
      </c>
      <c r="G23" s="28" t="str">
        <f>Prices!D98</f>
        <v>Buy</v>
      </c>
      <c r="H23" s="30"/>
      <c r="I23" s="31">
        <f>SAF!$D$38</f>
        <v>6.1926824234403739</v>
      </c>
      <c r="J23" s="31">
        <f>SAF!$E$38</f>
        <v>5.1733389557996716</v>
      </c>
      <c r="K23" s="31">
        <f>SAF!$F$38</f>
        <v>4.424704890227507</v>
      </c>
      <c r="L23" s="31">
        <f>SAF!$G$38</f>
        <v>3.7102802299889834</v>
      </c>
      <c r="M23" s="29">
        <f>SAF!$H$38</f>
        <v>9.5595230508708662E-2</v>
      </c>
      <c r="N23" s="40"/>
      <c r="O23" s="31">
        <f>SAF!$D$39</f>
        <v>9.957733646587041</v>
      </c>
      <c r="P23" s="31">
        <f>SAF!$E$39</f>
        <v>7.8778735413434049</v>
      </c>
      <c r="Q23" s="31">
        <f>SAF!$F$39</f>
        <v>6.6325623320669145</v>
      </c>
      <c r="R23" s="31">
        <f>SAF!$G$39</f>
        <v>5.4603601978914407</v>
      </c>
      <c r="S23" s="135">
        <f>SAF!$H$39</f>
        <v>0.12842449551270874</v>
      </c>
      <c r="T23" s="30"/>
      <c r="U23" s="32" t="str">
        <f>D23</f>
        <v>KES 29.90</v>
      </c>
      <c r="V23" s="28" t="str">
        <f>C23</f>
        <v>Safaricom</v>
      </c>
      <c r="Z23" s="30"/>
    </row>
    <row r="24" spans="1:26" s="5" customFormat="1">
      <c r="A24" s="23"/>
      <c r="B24" s="26" t="s">
        <v>1118</v>
      </c>
      <c r="C24" s="32" t="s">
        <v>807</v>
      </c>
      <c r="D24" s="28" t="str">
        <f>'EM Multiples'!B24&amp;TEXT(Prices!C99,"0.0")</f>
        <v>USD 54.9</v>
      </c>
      <c r="E24" s="28" t="str">
        <f>'EM Multiples'!B24&amp;TEXT(Prices!E99,"0.0")</f>
        <v>USD 100.0</v>
      </c>
      <c r="F24" s="29">
        <f>Prices!F99</f>
        <v>0.82116190129302513</v>
      </c>
      <c r="G24" s="28" t="str">
        <f>Prices!D99</f>
        <v>Buy</v>
      </c>
      <c r="H24" s="30"/>
      <c r="I24" s="31">
        <f>VIMP!$D$38</f>
        <v>4.4161245945746375</v>
      </c>
      <c r="J24" s="31">
        <f>VIMP!$E$38</f>
        <v>3.9416333557872951</v>
      </c>
      <c r="K24" s="31">
        <f>VIMP!$F$38</f>
        <v>3.4490246510431484</v>
      </c>
      <c r="L24" s="31">
        <f>VIMP!$G$38</f>
        <v>3.0050409035580001</v>
      </c>
      <c r="M24" s="29">
        <f>VIMP!$H$38</f>
        <v>7.0288217253233753E-2</v>
      </c>
      <c r="N24" s="40"/>
      <c r="O24" s="31">
        <f>VIMP!$D$39</f>
        <v>7.7653666491872348</v>
      </c>
      <c r="P24" s="31">
        <f>VIMP!$E$39</f>
        <v>6.5307630755073109</v>
      </c>
      <c r="Q24" s="31">
        <f>VIMP!$F$39</f>
        <v>5.5446147005707118</v>
      </c>
      <c r="R24" s="31">
        <f>VIMP!$G$39</f>
        <v>4.7528066108437104</v>
      </c>
      <c r="S24" s="29">
        <f>VIMP!$H$39</f>
        <v>0.10876891540378608</v>
      </c>
      <c r="T24" s="30"/>
      <c r="U24" s="32" t="str">
        <f t="shared" si="2"/>
        <v>USD 54.9</v>
      </c>
      <c r="V24" s="28" t="s">
        <v>807</v>
      </c>
      <c r="Z24" s="30"/>
    </row>
    <row r="25" spans="1:26" s="5" customFormat="1">
      <c r="A25" s="23"/>
      <c r="B25" s="26" t="s">
        <v>192</v>
      </c>
      <c r="C25" s="32" t="s">
        <v>307</v>
      </c>
      <c r="D25" s="28" t="str">
        <f>'EM Multiples'!B25&amp;TEXT(Prices!C100/100,"0.0")</f>
        <v>ZAR 145.6</v>
      </c>
      <c r="E25" s="28" t="str">
        <f>'EM Multiples'!B25&amp;TEXT(Prices!E100/100,"0.0")</f>
        <v>ZAR 215.0</v>
      </c>
      <c r="F25" s="29">
        <f>Prices!F100</f>
        <v>0.47685121582634959</v>
      </c>
      <c r="G25" s="28" t="str">
        <f>Prices!D100</f>
        <v>Buy</v>
      </c>
      <c r="H25" s="30"/>
      <c r="I25" s="31">
        <f>VODA!$D$38</f>
        <v>7.7283160370089892</v>
      </c>
      <c r="J25" s="31">
        <f>VODA!$E$38</f>
        <v>7.4703648131954514</v>
      </c>
      <c r="K25" s="31">
        <f>VODA!$F$38</f>
        <v>3.8691251398545607</v>
      </c>
      <c r="L25" s="31">
        <f>VODA!$G$38</f>
        <v>3.1237784865462221</v>
      </c>
      <c r="M25" s="29">
        <f>VODA!$H$38</f>
        <v>0.27349308738585476</v>
      </c>
      <c r="N25" s="40"/>
      <c r="O25" s="31">
        <f>VODA!$D$39</f>
        <v>14.197352280011362</v>
      </c>
      <c r="P25" s="31">
        <f>VODA!$E$39</f>
        <v>23.415193370588387</v>
      </c>
      <c r="Q25" s="31">
        <f>VODA!$F$39</f>
        <v>6.5808631115637857</v>
      </c>
      <c r="R25" s="31">
        <f>VODA!$G$39</f>
        <v>5.160920000682462</v>
      </c>
      <c r="S25" s="29">
        <f>VODA!$H$39</f>
        <v>0.31933511342100629</v>
      </c>
      <c r="T25" s="30"/>
      <c r="U25" s="32" t="str">
        <f t="shared" si="2"/>
        <v>ZAR 145.6</v>
      </c>
      <c r="V25" s="28" t="s">
        <v>307</v>
      </c>
      <c r="Z25" s="30"/>
    </row>
    <row r="26" spans="1:26" s="5" customFormat="1">
      <c r="B26" s="26"/>
      <c r="C26" s="35" t="s">
        <v>418</v>
      </c>
      <c r="D26" s="36"/>
      <c r="E26" s="36"/>
      <c r="F26" s="37"/>
      <c r="G26" s="36"/>
      <c r="H26" s="30"/>
      <c r="I26" s="38">
        <f>'EMEA CELLULAR'!$D$38</f>
        <v>7.4049431236829459</v>
      </c>
      <c r="J26" s="38">
        <f>'EMEA CELLULAR'!$E$38</f>
        <v>6.1564377862490218</v>
      </c>
      <c r="K26" s="38">
        <f>'EMEA CELLULAR'!$F$38</f>
        <v>4.4837178583666226</v>
      </c>
      <c r="L26" s="38">
        <f>'EMEA CELLULAR'!$G$38</f>
        <v>3.6958642793873961</v>
      </c>
      <c r="M26" s="39">
        <f>'EMEA CELLULAR'!$H$38</f>
        <v>0.18738943723674595</v>
      </c>
      <c r="N26" s="40"/>
      <c r="O26" s="38">
        <f>'EMEA CELLULAR'!$D$39</f>
        <v>13.77606277730415</v>
      </c>
      <c r="P26" s="38">
        <f>'EMEA CELLULAR'!$E$39</f>
        <v>11.672285536375483</v>
      </c>
      <c r="Q26" s="38">
        <f>'EMEA CELLULAR'!$F$39</f>
        <v>7.4496586865144394</v>
      </c>
      <c r="R26" s="38">
        <f>'EMEA CELLULAR'!$G$39</f>
        <v>5.9832990727504578</v>
      </c>
      <c r="S26" s="39">
        <f>'EMEA CELLULAR'!$H$39</f>
        <v>0.24371081525857741</v>
      </c>
      <c r="T26" s="30"/>
      <c r="U26" s="41"/>
      <c r="V26" s="42" t="s">
        <v>418</v>
      </c>
      <c r="Z26" s="30"/>
    </row>
    <row r="27" spans="1:26" s="5" customFormat="1">
      <c r="B27" s="26"/>
      <c r="C27" s="27"/>
      <c r="D27" s="28"/>
      <c r="E27" s="28"/>
      <c r="F27" s="29"/>
      <c r="G27" s="28"/>
      <c r="H27" s="30"/>
      <c r="I27" s="31"/>
      <c r="J27" s="31"/>
      <c r="K27" s="31"/>
      <c r="L27" s="31"/>
      <c r="M27" s="29"/>
      <c r="N27" s="40"/>
      <c r="O27" s="31"/>
      <c r="P27" s="31"/>
      <c r="Q27" s="31"/>
      <c r="R27" s="31"/>
      <c r="S27" s="29"/>
      <c r="T27" s="30"/>
      <c r="U27" s="32"/>
      <c r="V27" s="34"/>
      <c r="Z27" s="30"/>
    </row>
    <row r="28" spans="1:26" s="5" customFormat="1">
      <c r="B28" s="26" t="s">
        <v>353</v>
      </c>
      <c r="C28" s="32" t="s">
        <v>535</v>
      </c>
      <c r="D28" s="28" t="str">
        <f>'EM Multiples'!B28&amp;TEXT(Prices!C112," 0,0")</f>
        <v>CLP 3,643</v>
      </c>
      <c r="E28" s="28" t="str">
        <f>'EM Multiples'!B28&amp;TEXT(Prices!E112," 0,0")</f>
        <v>CLP 3,150</v>
      </c>
      <c r="F28" s="29">
        <f>Prices!F112</f>
        <v>-0.13532802635190777</v>
      </c>
      <c r="G28" s="28" t="str">
        <f>Prices!D112</f>
        <v>Neutral</v>
      </c>
      <c r="H28" s="30"/>
      <c r="I28" s="31">
        <f>ENTEL!$D$38</f>
        <v>3.9562528264062982</v>
      </c>
      <c r="J28" s="31">
        <f>ENTEL!$E$38</f>
        <v>3.8168704699261689</v>
      </c>
      <c r="K28" s="31">
        <f>ENTEL!$F$38</f>
        <v>3.6679902506295794</v>
      </c>
      <c r="L28" s="31">
        <f>ENTEL!$G$38</f>
        <v>3.4957582427547589</v>
      </c>
      <c r="M28" s="29">
        <f>ENTEL!$H$38</f>
        <v>3.9427073789041867E-2</v>
      </c>
      <c r="N28" s="40"/>
      <c r="O28" s="31">
        <f>ENTEL!$D$39</f>
        <v>29.456390480951583</v>
      </c>
      <c r="P28" s="31">
        <f>ENTEL!$E$39</f>
        <v>18.379912930774154</v>
      </c>
      <c r="Q28" s="31">
        <f>ENTEL!$F$39</f>
        <v>13.800168884238181</v>
      </c>
      <c r="R28" s="31">
        <f>ENTEL!$G$39</f>
        <v>10.591832828004431</v>
      </c>
      <c r="S28" s="135">
        <f>ENTEL!$H$39</f>
        <v>0.40264988066055385</v>
      </c>
      <c r="T28" s="30"/>
      <c r="U28" s="32" t="str">
        <f>D28</f>
        <v>CLP 3,643</v>
      </c>
      <c r="V28" s="28" t="s">
        <v>535</v>
      </c>
      <c r="Z28" s="30"/>
    </row>
    <row r="29" spans="1:26" s="5" customFormat="1">
      <c r="B29" s="26" t="s">
        <v>1118</v>
      </c>
      <c r="C29" s="32" t="s">
        <v>326</v>
      </c>
      <c r="D29" s="28" t="str">
        <f>'EM Multiples'!B29&amp;TEXT(Prices!C113," 0.0")</f>
        <v>USD  83.6</v>
      </c>
      <c r="E29" s="28" t="str">
        <f>'EM Multiples'!B29&amp;TEXT(Prices!E113,"0.0")</f>
        <v>USD 70.0</v>
      </c>
      <c r="F29" s="29">
        <f>Prices!F113</f>
        <v>-0.16292974588938713</v>
      </c>
      <c r="G29" s="28" t="str">
        <f>Prices!D113</f>
        <v>Buy</v>
      </c>
      <c r="H29" s="30"/>
      <c r="I29" s="31">
        <f>MILLI!$D$38</f>
        <v>9.111167446946542</v>
      </c>
      <c r="J29" s="31">
        <f>MILLI!$E$38</f>
        <v>7.7440187160612561</v>
      </c>
      <c r="K29" s="31">
        <f>MILLI!$F$38</f>
        <v>6.8399713128274646</v>
      </c>
      <c r="L29" s="31">
        <f>MILLI!$G$38</f>
        <v>6.3350787832228441</v>
      </c>
      <c r="M29" s="29">
        <f>MILLI!$H$38</f>
        <v>0.10555357247238728</v>
      </c>
      <c r="N29" s="40"/>
      <c r="O29" s="31">
        <f>MILLI!$D$39</f>
        <v>12.696865597065916</v>
      </c>
      <c r="P29" s="31">
        <f>MILLI!$E$39</f>
        <v>11.147745832969816</v>
      </c>
      <c r="Q29" s="31">
        <f>MILLI!$F$39</f>
        <v>9.5921437307891644</v>
      </c>
      <c r="R29" s="31">
        <f>MILLI!$G$39</f>
        <v>8.6859418746205801</v>
      </c>
      <c r="S29" s="135">
        <f>MILLI!$H$39</f>
        <v>0.11155850021021685</v>
      </c>
      <c r="T29" s="30"/>
      <c r="U29" s="32" t="str">
        <f>D29</f>
        <v>USD  83.6</v>
      </c>
      <c r="V29" s="28" t="s">
        <v>326</v>
      </c>
      <c r="Z29" s="30"/>
    </row>
    <row r="30" spans="1:26" s="5" customFormat="1">
      <c r="B30" s="26" t="s">
        <v>122</v>
      </c>
      <c r="C30" s="32" t="s">
        <v>92</v>
      </c>
      <c r="D30" s="28" t="str">
        <f>'EM Multiples'!B30&amp;TEXT(Prices!C114,"0.00")</f>
        <v>BRL 25.99</v>
      </c>
      <c r="E30" s="28" t="str">
        <f>'EM Multiples'!B30&amp;TEXT(Prices!E114,"0.00")</f>
        <v>BRL 28.00</v>
      </c>
      <c r="F30" s="29">
        <f>Prices!F114</f>
        <v>7.7337437475952342E-2</v>
      </c>
      <c r="G30" s="28" t="str">
        <f>Prices!D114</f>
        <v>Buy</v>
      </c>
      <c r="H30" s="30"/>
      <c r="I30" s="31">
        <f>TIMP!$D$38</f>
        <v>3.2414141789055471</v>
      </c>
      <c r="J30" s="31">
        <f>TIMP!$E$38</f>
        <v>2.6129730006876</v>
      </c>
      <c r="K30" s="31">
        <f>TIMP!$F$38</f>
        <v>2.0082784446574471</v>
      </c>
      <c r="L30" s="31">
        <f>TIMP!$G$38</f>
        <v>1.4363354268047108</v>
      </c>
      <c r="M30" s="29">
        <f>TIMP!$H$38</f>
        <v>7.3082009446664209E-2</v>
      </c>
      <c r="N30" s="40"/>
      <c r="O30" s="31">
        <f>TIMP!$D$39</f>
        <v>4.8640941666289592</v>
      </c>
      <c r="P30" s="31">
        <f>TIMP!$E$39</f>
        <v>3.7962836691134663</v>
      </c>
      <c r="Q30" s="31">
        <f>TIMP!$F$39</f>
        <v>2.8404083707005889</v>
      </c>
      <c r="R30" s="31">
        <f>TIMP!$G$39</f>
        <v>1.9822836565230586</v>
      </c>
      <c r="S30" s="29">
        <f>TIMP!$H$39</f>
        <v>0.10344854592968744</v>
      </c>
      <c r="T30" s="30"/>
      <c r="U30" s="32" t="str">
        <f>D30</f>
        <v>BRL 25.99</v>
      </c>
      <c r="V30" s="28" t="s">
        <v>92</v>
      </c>
      <c r="Z30" s="30"/>
    </row>
    <row r="31" spans="1:26">
      <c r="A31" s="25"/>
      <c r="B31" s="26" t="s">
        <v>1121</v>
      </c>
      <c r="C31" s="32" t="s">
        <v>688</v>
      </c>
      <c r="D31" s="28" t="str">
        <f>'EM Multiples'!B31&amp;TEXT(Prices!C$115,"0.00")</f>
        <v>MXN 59.40</v>
      </c>
      <c r="E31" s="28" t="str">
        <f>'EM Multiples'!B31&amp;TEXT(Prices!E$115,"0.00")</f>
        <v>MXN 75.00</v>
      </c>
      <c r="F31" s="29">
        <f>Prices!F$115</f>
        <v>0.26262626262626276</v>
      </c>
      <c r="G31" s="28" t="str">
        <f>Prices!D$115</f>
        <v>Buy</v>
      </c>
      <c r="H31" s="30"/>
      <c r="I31" s="31">
        <f>MEGA!$D$38</f>
        <v>4.7963708697521055</v>
      </c>
      <c r="J31" s="31">
        <f>MEGA!$E$38</f>
        <v>4.1345276199786483</v>
      </c>
      <c r="K31" s="31">
        <f>MEGA!$F$38</f>
        <v>3.5567844045330048</v>
      </c>
      <c r="L31" s="31">
        <f>MEGA!$G$38</f>
        <v>2.9685044638977458</v>
      </c>
      <c r="M31" s="29">
        <f>MEGA!$H$38</f>
        <v>9.0989698729420976E-2</v>
      </c>
      <c r="N31" s="30"/>
      <c r="O31" s="31">
        <f>MEGA!$D$39</f>
        <v>12.46879260020664</v>
      </c>
      <c r="P31" s="31">
        <f>MEGA!$E$39</f>
        <v>9.3632921280091814</v>
      </c>
      <c r="Q31" s="31">
        <f>MEGA!$F$39</f>
        <v>7.2347471214907983</v>
      </c>
      <c r="R31" s="31">
        <f>MEGA!$G$39</f>
        <v>5.6531738757932333</v>
      </c>
      <c r="S31" s="29">
        <f>MEGA!$H$39</f>
        <v>0.21024413247389551</v>
      </c>
      <c r="T31" s="30"/>
      <c r="U31" s="32" t="str">
        <f>D31</f>
        <v>MXN 59.40</v>
      </c>
      <c r="V31" s="28" t="str">
        <f>C31</f>
        <v>Megacable</v>
      </c>
      <c r="Z31" s="30"/>
    </row>
    <row r="32" spans="1:26">
      <c r="A32" s="5"/>
      <c r="B32" s="26" t="s">
        <v>1118</v>
      </c>
      <c r="C32" s="32" t="s">
        <v>675</v>
      </c>
      <c r="D32" s="28" t="str">
        <f>'EM Multiples'!B32&amp;TEXT(Prices!C118,"0.00")</f>
        <v>USD 8.53</v>
      </c>
      <c r="E32" s="28" t="str">
        <f>'EM Multiples'!B32&amp;TEXT(Prices!E118,"0.00")</f>
        <v>USD 14.90</v>
      </c>
      <c r="F32" s="29">
        <f>Prices!F118</f>
        <v>0.74780058651026393</v>
      </c>
      <c r="G32" s="28" t="str">
        <f>Prices!D118</f>
        <v>Buy</v>
      </c>
      <c r="H32" s="30"/>
      <c r="I32" s="31">
        <f>LiLAC!$D$38</f>
        <v>6.4665534213916303</v>
      </c>
      <c r="J32" s="31">
        <f>LiLAC!$E$38</f>
        <v>6.2650058390321588</v>
      </c>
      <c r="K32" s="31">
        <f>LiLAC!$F$38</f>
        <v>5.9102785319561626</v>
      </c>
      <c r="L32" s="31">
        <f>LiLAC!$G$38</f>
        <v>5.5281278211544427</v>
      </c>
      <c r="M32" s="29">
        <f>LiLAC!$H$38</f>
        <v>3.143591594908024E-2</v>
      </c>
      <c r="N32" s="30"/>
      <c r="O32" s="31">
        <f>LiLAC!$D$39</f>
        <v>10.348790192197093</v>
      </c>
      <c r="P32" s="31">
        <f>LiLAC!$E$39</f>
        <v>10.211258115720465</v>
      </c>
      <c r="Q32" s="31">
        <f>LiLAC!$F$39</f>
        <v>9.1706438954806053</v>
      </c>
      <c r="R32" s="31">
        <f>LiLAC!$G$39</f>
        <v>8.4394814537396208</v>
      </c>
      <c r="S32" s="29">
        <f>LiLAC!$H$39</f>
        <v>4.7776351044717114E-2</v>
      </c>
      <c r="T32" s="30"/>
      <c r="U32" s="32" t="str">
        <f>D32</f>
        <v>USD 8.53</v>
      </c>
      <c r="V32" s="28" t="str">
        <f>C32</f>
        <v>LiLAC</v>
      </c>
      <c r="Z32" s="30"/>
    </row>
    <row r="33" spans="1:26" s="5" customFormat="1">
      <c r="A33" s="23"/>
      <c r="B33" s="26"/>
      <c r="C33" s="35" t="s">
        <v>1335</v>
      </c>
      <c r="D33" s="36"/>
      <c r="E33" s="36"/>
      <c r="F33" s="37"/>
      <c r="G33" s="36"/>
      <c r="H33" s="30"/>
      <c r="I33" s="38">
        <f>'LATAM OTHER'!$D$38</f>
        <v>5.8512530000817966</v>
      </c>
      <c r="J33" s="38">
        <f>'LATAM OTHER'!$E$38</f>
        <v>5.2022628550395567</v>
      </c>
      <c r="K33" s="38">
        <f>'LATAM OTHER'!$F$38</f>
        <v>4.5887025166021536</v>
      </c>
      <c r="L33" s="38">
        <f>'LATAM OTHER'!$G$38</f>
        <v>4.0686320357957708</v>
      </c>
      <c r="M33" s="39">
        <f>'LATAM OTHER'!$H$38</f>
        <v>7.4295430516063243E-2</v>
      </c>
      <c r="N33" s="40"/>
      <c r="O33" s="38">
        <f>'LATAM OTHER'!$D$39</f>
        <v>9.7743985443172523</v>
      </c>
      <c r="P33" s="38">
        <f>'LATAM OTHER'!$E$39</f>
        <v>8.5016802869832357</v>
      </c>
      <c r="Q33" s="38">
        <f>'LATAM OTHER'!$F$39</f>
        <v>7.1652573287893704</v>
      </c>
      <c r="R33" s="38">
        <f>'LATAM OTHER'!$G$39</f>
        <v>6.1497254932409238</v>
      </c>
      <c r="S33" s="39">
        <f>'LATAM OTHER'!$H$39</f>
        <v>0.11071254875259684</v>
      </c>
      <c r="T33" s="30"/>
      <c r="U33" s="41"/>
      <c r="V33" s="42" t="s">
        <v>419</v>
      </c>
      <c r="Z33" s="30"/>
    </row>
    <row r="34" spans="1:26" s="5" customFormat="1">
      <c r="B34" s="26"/>
      <c r="C34" s="27"/>
      <c r="D34" s="28"/>
      <c r="E34" s="28"/>
      <c r="F34" s="29"/>
      <c r="G34" s="28"/>
      <c r="H34" s="30"/>
      <c r="I34" s="31"/>
      <c r="J34" s="31"/>
      <c r="K34" s="31"/>
      <c r="L34" s="31"/>
      <c r="M34" s="29"/>
      <c r="N34" s="30"/>
      <c r="O34" s="31"/>
      <c r="P34" s="31"/>
      <c r="Q34" s="31"/>
      <c r="R34" s="31"/>
      <c r="S34" s="29"/>
      <c r="T34" s="30"/>
      <c r="U34" s="32"/>
      <c r="V34" s="34"/>
      <c r="Z34" s="30"/>
    </row>
    <row r="35" spans="1:26" s="5" customFormat="1">
      <c r="A35" s="23"/>
      <c r="B35" s="26" t="s">
        <v>177</v>
      </c>
      <c r="C35" s="32" t="s">
        <v>462</v>
      </c>
      <c r="D35" s="28" t="str">
        <f>'EM Multiples'!B35&amp;TEXT(Prices!C74,"0.0")</f>
        <v>THB 349.0</v>
      </c>
      <c r="E35" s="28" t="str">
        <f>'EM Multiples'!B35&amp;TEXT(Prices!E74,"0.0")</f>
        <v>THB 330.0</v>
      </c>
      <c r="F35" s="29">
        <f>Prices!F74</f>
        <v>-5.4441260744985676E-2</v>
      </c>
      <c r="G35" s="28" t="str">
        <f>Prices!D74</f>
        <v>Buy</v>
      </c>
      <c r="H35" s="30"/>
      <c r="I35" s="31">
        <f>ADVANCED!$D$38</f>
        <v>10.211498355242123</v>
      </c>
      <c r="J35" s="31">
        <f>ADVANCED!$E$38</f>
        <v>9.2765913856049682</v>
      </c>
      <c r="K35" s="31">
        <f>ADVANCED!$F$38</f>
        <v>8.4698061577037702</v>
      </c>
      <c r="L35" s="31">
        <f>ADVANCED!$G$38</f>
        <v>7.6756072161138764</v>
      </c>
      <c r="M35" s="29">
        <f>ADVANCED!$H$38</f>
        <v>2.94819836797513E-2</v>
      </c>
      <c r="N35" s="30"/>
      <c r="O35" s="31">
        <f>ADVANCED!$D$39</f>
        <v>13.028104212058349</v>
      </c>
      <c r="P35" s="31">
        <f>ADVANCED!$E$39</f>
        <v>12.001857531274894</v>
      </c>
      <c r="Q35" s="31">
        <f>ADVANCED!$F$39</f>
        <v>10.821286260592961</v>
      </c>
      <c r="R35" s="31">
        <f>ADVANCED!$G$39</f>
        <v>9.6863338457776607</v>
      </c>
      <c r="S35" s="29">
        <f>ADVANCED!$H$39</f>
        <v>3.3238161140883182E-2</v>
      </c>
      <c r="T35" s="30"/>
      <c r="U35" s="32" t="str">
        <f t="shared" ref="U35:U46" si="3">D35</f>
        <v>THB 349.0</v>
      </c>
      <c r="V35" s="28" t="s">
        <v>462</v>
      </c>
      <c r="Z35" s="30"/>
    </row>
    <row r="36" spans="1:26" s="5" customFormat="1">
      <c r="A36" s="23"/>
      <c r="B36" s="26" t="s">
        <v>105</v>
      </c>
      <c r="C36" s="32" t="s">
        <v>272</v>
      </c>
      <c r="D36" s="28" t="str">
        <f>'EM Multiples'!B36&amp;TEXT(Prices!C75,"0.00")</f>
        <v>MYR 2.24</v>
      </c>
      <c r="E36" s="28" t="str">
        <f>'EM Multiples'!B36&amp;TEXT(Prices!E75,"0.00")</f>
        <v>MYR 4.50</v>
      </c>
      <c r="F36" s="29">
        <f>Prices!F75</f>
        <v>1.0089285714285712</v>
      </c>
      <c r="G36" s="28" t="str">
        <f>Prices!D75</f>
        <v>Buy</v>
      </c>
      <c r="H36" s="30"/>
      <c r="I36" s="31">
        <f>AXI!$D$38</f>
        <v>6.216968992248062</v>
      </c>
      <c r="J36" s="31">
        <f>AXI!$E$38</f>
        <v>7.0726788415421504</v>
      </c>
      <c r="K36" s="31">
        <f>AXI!$F$38</f>
        <v>6.4405225375024617</v>
      </c>
      <c r="L36" s="31">
        <f>AXI!$G$38</f>
        <v>5.8283178335117896</v>
      </c>
      <c r="M36" s="29">
        <f>AXI!$H$38</f>
        <v>4.296004716232682E-2</v>
      </c>
      <c r="N36" s="30"/>
      <c r="O36" s="31">
        <f>AXI!$D$39</f>
        <v>12.595037298782881</v>
      </c>
      <c r="P36" s="31">
        <f>AXI!$E$39</f>
        <v>13.184660247592847</v>
      </c>
      <c r="Q36" s="31">
        <f>AXI!$F$39</f>
        <v>10.82629391692773</v>
      </c>
      <c r="R36" s="31">
        <f>AXI!$G$39</f>
        <v>9.6984003972080775</v>
      </c>
      <c r="S36" s="29">
        <f>AXI!$H$39</f>
        <v>0.11366771581485469</v>
      </c>
      <c r="T36" s="30"/>
      <c r="U36" s="32" t="str">
        <f t="shared" si="3"/>
        <v>MYR 2.24</v>
      </c>
      <c r="V36" s="28" t="s">
        <v>272</v>
      </c>
      <c r="Z36" s="30"/>
    </row>
    <row r="37" spans="1:26">
      <c r="A37" s="5"/>
      <c r="B37" s="26" t="s">
        <v>91</v>
      </c>
      <c r="C37" s="32" t="s">
        <v>281</v>
      </c>
      <c r="D37" s="28" t="str">
        <f>'EM Multiples'!B37&amp;TEXT(Prices!C76,"0")</f>
        <v>INR 1815</v>
      </c>
      <c r="E37" s="28" t="str">
        <f>'EM Multiples'!B37&amp;TEXT(Prices!E76,"0")</f>
        <v>INR 2750</v>
      </c>
      <c r="F37" s="29">
        <f>Prices!F76</f>
        <v>0.51540199482008031</v>
      </c>
      <c r="G37" s="28" t="str">
        <f>Prices!D76</f>
        <v>Buy</v>
      </c>
      <c r="H37" s="30"/>
      <c r="I37" s="31">
        <f>BHART!$D$38</f>
        <v>11.341235563070674</v>
      </c>
      <c r="J37" s="31">
        <f>BHART!$E$38</f>
        <v>9.1979620303704444</v>
      </c>
      <c r="K37" s="31">
        <f>BHART!$F$38</f>
        <v>7.5161890727209633</v>
      </c>
      <c r="L37" s="31">
        <f>BHART!$G$38</f>
        <v>6.1566619820490471</v>
      </c>
      <c r="M37" s="29">
        <f>BHART!$H$38</f>
        <v>0.16285198132244516</v>
      </c>
      <c r="N37" s="30"/>
      <c r="O37" s="31">
        <f>BHART!$D$39</f>
        <v>16.926369732033411</v>
      </c>
      <c r="P37" s="31">
        <f>BHART!$E$39</f>
        <v>13.135972962552025</v>
      </c>
      <c r="Q37" s="31">
        <f>BHART!$F$39</f>
        <v>10.312112273927955</v>
      </c>
      <c r="R37" s="31">
        <f>BHART!$G$39</f>
        <v>8.3676577169092994</v>
      </c>
      <c r="S37" s="29">
        <f>BHART!$H$39</f>
        <v>0.19970017543376728</v>
      </c>
      <c r="T37" s="30"/>
      <c r="U37" s="32" t="str">
        <f t="shared" si="3"/>
        <v>INR 1815</v>
      </c>
      <c r="V37" s="28" t="s">
        <v>281</v>
      </c>
      <c r="Z37" s="30"/>
    </row>
    <row r="38" spans="1:26">
      <c r="A38" s="5"/>
      <c r="B38" s="26" t="s">
        <v>1120</v>
      </c>
      <c r="C38" s="32" t="s">
        <v>393</v>
      </c>
      <c r="D38" s="28" t="str">
        <f>'EM Multiples'!B38&amp;TEXT(Prices!C77,"0.0")</f>
        <v>HKD 83.9</v>
      </c>
      <c r="E38" s="28" t="str">
        <f>'EM Multiples'!B38&amp;TEXT(Prices!E77,"0.0")</f>
        <v>HKD 115.0</v>
      </c>
      <c r="F38" s="29">
        <f>Prices!F77</f>
        <v>0.37067938021454094</v>
      </c>
      <c r="G38" s="28" t="str">
        <f>Prices!D77</f>
        <v>Buy</v>
      </c>
      <c r="H38" s="30"/>
      <c r="I38" s="31">
        <f>_CM!$D$38</f>
        <v>3.6772384293625757</v>
      </c>
      <c r="J38" s="31">
        <f>_CM!$E$38</f>
        <v>3.1321354451530485</v>
      </c>
      <c r="K38" s="31">
        <f>_CM!$F$38</f>
        <v>2.7786230749320557</v>
      </c>
      <c r="L38" s="31">
        <f>_CM!$G$38</f>
        <v>2.2131175311131854</v>
      </c>
      <c r="M38" s="29">
        <f>_CM!$H$38</f>
        <v>2.3620386060051457E-2</v>
      </c>
      <c r="N38" s="30"/>
      <c r="O38" s="31">
        <f>_CM!$D$39</f>
        <v>6.3052741372294019</v>
      </c>
      <c r="P38" s="31">
        <f>_CM!$E$39</f>
        <v>5.216377208348109</v>
      </c>
      <c r="Q38" s="31">
        <f>_CM!$F$39</f>
        <v>4.5016522615520129</v>
      </c>
      <c r="R38" s="31">
        <f>_CM!$G$39</f>
        <v>3.4862674011108794</v>
      </c>
      <c r="S38" s="29">
        <f>_CM!$H$39</f>
        <v>5.2965759064201645E-2</v>
      </c>
      <c r="T38" s="30"/>
      <c r="U38" s="32" t="str">
        <f t="shared" si="3"/>
        <v>HKD 83.9</v>
      </c>
      <c r="V38" s="28" t="s">
        <v>393</v>
      </c>
      <c r="Z38" s="30"/>
    </row>
    <row r="39" spans="1:26" s="5" customFormat="1">
      <c r="B39" s="26" t="s">
        <v>105</v>
      </c>
      <c r="C39" s="32" t="s">
        <v>1223</v>
      </c>
      <c r="D39" s="28" t="str">
        <f>'EM Multiples'!B39&amp;TEXT(Prices!C78,"0.0")</f>
        <v>MYR 3.0</v>
      </c>
      <c r="E39" s="28" t="str">
        <f>'EM Multiples'!B39&amp;TEXT(Prices!E78,"0.0")</f>
        <v>MYR 5.6</v>
      </c>
      <c r="F39" s="29">
        <f>Prices!F78</f>
        <v>0.88552188552188538</v>
      </c>
      <c r="G39" s="28" t="str">
        <f>Prices!D78</f>
        <v>Buy</v>
      </c>
      <c r="H39" s="30"/>
      <c r="I39" s="31">
        <f>DIGI!$D$38</f>
        <v>7.9050863112808907</v>
      </c>
      <c r="J39" s="31">
        <f>DIGI!$E$38</f>
        <v>7.2492959824950916</v>
      </c>
      <c r="K39" s="31">
        <f>DIGI!$F$38</f>
        <v>6.5330140023831218</v>
      </c>
      <c r="L39" s="31">
        <f>DIGI!$G$38</f>
        <v>5.8058535202783572</v>
      </c>
      <c r="M39" s="29">
        <f>DIGI!$H$38</f>
        <v>2.90017315849318E-2</v>
      </c>
      <c r="N39" s="30"/>
      <c r="O39" s="31">
        <f>DIGI!$D$39</f>
        <v>11.813911222413759</v>
      </c>
      <c r="P39" s="31">
        <f>DIGI!$D$39</f>
        <v>11.813911222413759</v>
      </c>
      <c r="Q39" s="31">
        <f>DIGI!$F$39</f>
        <v>8.8253037468496824</v>
      </c>
      <c r="R39" s="31">
        <f>DIGI!$G$39</f>
        <v>7.8151861917639636</v>
      </c>
      <c r="S39" s="29">
        <f>DIGI!$H$39</f>
        <v>6.5501461177984721E-2</v>
      </c>
      <c r="T39" s="30"/>
      <c r="U39" s="32" t="str">
        <f t="shared" si="3"/>
        <v>MYR 3.0</v>
      </c>
      <c r="V39" s="28" t="s">
        <v>1223</v>
      </c>
      <c r="Z39" s="30"/>
    </row>
    <row r="40" spans="1:26">
      <c r="A40" s="5"/>
      <c r="B40" s="26" t="s">
        <v>91</v>
      </c>
      <c r="C40" s="32" t="s">
        <v>869</v>
      </c>
      <c r="D40" s="28" t="str">
        <f>'EM Multiples'!B40&amp;TEXT(Prices!C79,"0.0")</f>
        <v>INR 9.5</v>
      </c>
      <c r="E40" s="28" t="str">
        <f>'EM Multiples'!B40&amp;TEXT(Prices!E79,"0.0")</f>
        <v>INR 10.0</v>
      </c>
      <c r="F40" s="29">
        <f>Prices!F79</f>
        <v>5.0420168067226934E-2</v>
      </c>
      <c r="G40" s="28" t="str">
        <f>Prices!D79</f>
        <v>Neutral</v>
      </c>
      <c r="H40" s="30"/>
      <c r="I40" s="31">
        <f>IDEA!$D$38</f>
        <v>14.931760272024645</v>
      </c>
      <c r="J40" s="31">
        <f>IDEA!$E$38</f>
        <v>13.480694350758009</v>
      </c>
      <c r="K40" s="31">
        <f>IDEA!$F$38</f>
        <v>11.736936130555135</v>
      </c>
      <c r="L40" s="31">
        <f>IDEA!$G$38</f>
        <v>10.438954431114153</v>
      </c>
      <c r="M40" s="29">
        <f>IDEA!$H$38</f>
        <v>0.22497059193329783</v>
      </c>
      <c r="N40" s="30"/>
      <c r="O40" s="31">
        <f>IDEA!$D$39</f>
        <v>148.31072767670685</v>
      </c>
      <c r="P40" s="31">
        <f>IDEA!$E$39</f>
        <v>54.762821601798962</v>
      </c>
      <c r="Q40" s="31">
        <f>IDEA!$F$39</f>
        <v>34.76321264064039</v>
      </c>
      <c r="R40" s="31">
        <f>IDEA!$G$39</f>
        <v>22.651510941384039</v>
      </c>
      <c r="S40" s="29">
        <f>IDEA!$H$39</f>
        <v>1.0339149572837707</v>
      </c>
      <c r="T40" s="30"/>
      <c r="U40" s="32" t="str">
        <f t="shared" si="3"/>
        <v>INR 9.5</v>
      </c>
      <c r="V40" s="28" t="s">
        <v>869</v>
      </c>
      <c r="Z40" s="30"/>
    </row>
    <row r="41" spans="1:26">
      <c r="A41" s="5"/>
      <c r="B41" s="26" t="s">
        <v>311</v>
      </c>
      <c r="C41" s="32" t="s">
        <v>460</v>
      </c>
      <c r="D41" s="28" t="str">
        <f>'EM Multiples'!B41&amp;TEXT(Prices!C80,"0,0")</f>
        <v>IDR 1,970</v>
      </c>
      <c r="E41" s="28" t="str">
        <f>'EM Multiples'!B41&amp;TEXT(Prices!E80,"0,0")</f>
        <v>IDR 2,800</v>
      </c>
      <c r="F41" s="29">
        <f>Prices!F80</f>
        <v>0.42131979695431476</v>
      </c>
      <c r="G41" s="28" t="str">
        <f>Prices!D80</f>
        <v>Buy</v>
      </c>
      <c r="H41" s="30"/>
      <c r="I41" s="31">
        <f>INDO!$D$38</f>
        <v>4.4016258346890904</v>
      </c>
      <c r="J41" s="31">
        <f>INDO!$E$38</f>
        <v>4.2692554867364212</v>
      </c>
      <c r="K41" s="31">
        <f>INDO!$F$38</f>
        <v>3.8113519092868211</v>
      </c>
      <c r="L41" s="31">
        <f>INDO!$G$38</f>
        <v>3.442732729132246</v>
      </c>
      <c r="M41" s="29">
        <f>INDO!$H$38</f>
        <v>6.5181123004306674E-2</v>
      </c>
      <c r="N41" s="30"/>
      <c r="O41" s="31">
        <f>INDO!$D$39</f>
        <v>8.7128550262255704</v>
      </c>
      <c r="P41" s="31">
        <f>INDO!$E$39</f>
        <v>7.0985285563548945</v>
      </c>
      <c r="Q41" s="31">
        <f>INDO!$F$39</f>
        <v>6.0459362808884203</v>
      </c>
      <c r="R41" s="31">
        <f>INDO!$G$39</f>
        <v>5.3452420261791529</v>
      </c>
      <c r="S41" s="29">
        <f>INDO!$H$39</f>
        <v>0.15500685352320409</v>
      </c>
      <c r="T41" s="30"/>
      <c r="U41" s="32" t="str">
        <f t="shared" si="3"/>
        <v>IDR 1,970</v>
      </c>
      <c r="V41" s="28" t="s">
        <v>460</v>
      </c>
      <c r="Z41" s="30"/>
    </row>
    <row r="42" spans="1:26">
      <c r="B42" s="26" t="s">
        <v>480</v>
      </c>
      <c r="C42" s="32" t="s">
        <v>186</v>
      </c>
      <c r="D42" s="28" t="str">
        <f>'EM Multiples'!B42&amp;TEXT(Prices!C82,"0,0")</f>
        <v>KRW 16,600</v>
      </c>
      <c r="E42" s="28" t="str">
        <f>'EM Multiples'!B42&amp;TEXT(Prices!E82,"0,0")</f>
        <v>KRW 19,000</v>
      </c>
      <c r="F42" s="29">
        <f>Prices!F82</f>
        <v>0.14457831325301207</v>
      </c>
      <c r="G42" s="28" t="str">
        <f>Prices!D82</f>
        <v>Buy</v>
      </c>
      <c r="H42" s="30"/>
      <c r="I42" s="31">
        <f>_LG!$D$38</f>
        <v>3.8517392552326473</v>
      </c>
      <c r="J42" s="31">
        <f>_LG!$E$38</f>
        <v>3.5086077083416281</v>
      </c>
      <c r="K42" s="31">
        <f>_LG!$F$38</f>
        <v>3.2054511381459023</v>
      </c>
      <c r="L42" s="31">
        <f>_LG!$G$38</f>
        <v>2.9022950292824317</v>
      </c>
      <c r="M42" s="29">
        <f>_LG!$H$38</f>
        <v>2.4543998593794969E-2</v>
      </c>
      <c r="N42" s="30"/>
      <c r="O42" s="31">
        <f>_LG!$D$39</f>
        <v>7.877621476984773</v>
      </c>
      <c r="P42" s="31">
        <f>_LG!$E$39</f>
        <v>7.033629630282749</v>
      </c>
      <c r="Q42" s="31">
        <f>_LG!$F$39</f>
        <v>6.3656786781023165</v>
      </c>
      <c r="R42" s="31">
        <f>_LG!$G$39</f>
        <v>5.7104983992011284</v>
      </c>
      <c r="S42" s="29">
        <f>_LG!$H$39</f>
        <v>3.7845097303092379E-2</v>
      </c>
      <c r="T42" s="30"/>
      <c r="U42" s="32" t="str">
        <f t="shared" si="3"/>
        <v>KRW 16,600</v>
      </c>
      <c r="V42" s="28" t="s">
        <v>186</v>
      </c>
      <c r="Z42" s="30"/>
    </row>
    <row r="43" spans="1:26">
      <c r="B43" s="26" t="s">
        <v>105</v>
      </c>
      <c r="C43" s="32" t="s">
        <v>293</v>
      </c>
      <c r="D43" s="28" t="str">
        <f>'EM Multiples'!B43&amp;TEXT(Prices!C83,"0.00")</f>
        <v>MYR 3.50</v>
      </c>
      <c r="E43" s="28" t="str">
        <f>'EM Multiples'!B43&amp;TEXT(Prices!E83,"0.00")</f>
        <v>MYR 5.10</v>
      </c>
      <c r="F43" s="29">
        <f>Prices!F83</f>
        <v>0.45714285714285707</v>
      </c>
      <c r="G43" s="28" t="str">
        <f>Prices!D83</f>
        <v>Buy</v>
      </c>
      <c r="H43" s="30"/>
      <c r="I43" s="31">
        <f>MAXI!$D$38</f>
        <v>8.4275735958034623</v>
      </c>
      <c r="J43" s="31">
        <f>MAXI!$E$38</f>
        <v>7.6502496862426579</v>
      </c>
      <c r="K43" s="31">
        <f>MAXI!$F$38</f>
        <v>6.9524704777087205</v>
      </c>
      <c r="L43" s="31">
        <f>MAXI!$G$38</f>
        <v>6.2792200382581687</v>
      </c>
      <c r="M43" s="29">
        <f>MAXI!$H$38</f>
        <v>3.5118695106065356E-2</v>
      </c>
      <c r="N43" s="30"/>
      <c r="O43" s="31">
        <f>MAXI!$D$39</f>
        <v>11.60723847668784</v>
      </c>
      <c r="P43" s="31">
        <f>MAXI!$E$39</f>
        <v>10.521105501676688</v>
      </c>
      <c r="Q43" s="31">
        <f>MAXI!$F$39</f>
        <v>9.5479184092827563</v>
      </c>
      <c r="R43" s="31">
        <f>MAXI!$G$39</f>
        <v>8.6113056142215907</v>
      </c>
      <c r="S43" s="29">
        <f>MAXI!$H$39</f>
        <v>3.6599917732347942E-2</v>
      </c>
      <c r="T43" s="30"/>
      <c r="U43" s="32" t="str">
        <f t="shared" si="3"/>
        <v>MYR 3.50</v>
      </c>
      <c r="V43" s="28" t="s">
        <v>293</v>
      </c>
      <c r="Z43" s="30"/>
    </row>
    <row r="44" spans="1:26">
      <c r="A44" s="5"/>
      <c r="B44" s="26" t="s">
        <v>480</v>
      </c>
      <c r="C44" s="32" t="s">
        <v>356</v>
      </c>
      <c r="D44" s="28" t="str">
        <f>'EM Multiples'!B44&amp;TEXT(Prices!C84,"0,0")</f>
        <v>KRW 100,000</v>
      </c>
      <c r="E44" s="28" t="str">
        <f>'EM Multiples'!B44&amp;TEXT(Prices!E84,"0,0")</f>
        <v>KRW 78,000</v>
      </c>
      <c r="F44" s="29">
        <f>Prices!F84</f>
        <v>-0.21999999999999997</v>
      </c>
      <c r="G44" s="28" t="str">
        <f>Prices!D84</f>
        <v>Neutral</v>
      </c>
      <c r="H44" s="30"/>
      <c r="I44" s="31">
        <f>SKT!$D$38</f>
        <v>6.4327495569995028</v>
      </c>
      <c r="J44" s="31">
        <f>SKT!$E$38</f>
        <v>5.7497443933797214</v>
      </c>
      <c r="K44" s="31">
        <f>SKT!$F$38</f>
        <v>5.3509545120971023</v>
      </c>
      <c r="L44" s="31">
        <f>SKT!$G$38</f>
        <v>4.946681050041593</v>
      </c>
      <c r="M44" s="29">
        <f>SKT!$H$38</f>
        <v>3.1106576354476889E-2</v>
      </c>
      <c r="N44" s="30"/>
      <c r="O44" s="31">
        <f>SKT!$D$39</f>
        <v>12.003829863340421</v>
      </c>
      <c r="P44" s="31">
        <f>SKT!$E$39</f>
        <v>10.276692269238415</v>
      </c>
      <c r="Q44" s="31">
        <f>SKT!$F$39</f>
        <v>9.4403088865571227</v>
      </c>
      <c r="R44" s="31">
        <f>SKT!$G$39</f>
        <v>8.6170037187242166</v>
      </c>
      <c r="S44" s="29">
        <f>SKT!$H$39</f>
        <v>5.5027618916880128E-2</v>
      </c>
      <c r="T44" s="30"/>
      <c r="U44" s="32" t="str">
        <f t="shared" si="3"/>
        <v>KRW 100,000</v>
      </c>
      <c r="V44" s="28" t="s">
        <v>356</v>
      </c>
      <c r="Z44" s="30"/>
    </row>
    <row r="45" spans="1:26">
      <c r="A45" s="5"/>
      <c r="B45" s="26" t="s">
        <v>177</v>
      </c>
      <c r="C45" s="32" t="s">
        <v>34</v>
      </c>
      <c r="D45" s="28" t="str">
        <f>'EM Multiples'!B45&amp;TEXT(Prices!C85,"0.0")</f>
        <v>THB 13.5</v>
      </c>
      <c r="E45" s="28" t="str">
        <f>'EM Multiples'!B45&amp;TEXT(Prices!E85,"0.0")</f>
        <v>THB 18.0</v>
      </c>
      <c r="F45" s="29">
        <f>Prices!F85</f>
        <v>0.33333333333333326</v>
      </c>
      <c r="G45" s="28" t="str">
        <f>Prices!D85</f>
        <v>Buy</v>
      </c>
      <c r="H45" s="30"/>
      <c r="I45" s="31">
        <f>TRUECORP!$D$38</f>
        <v>8.3643169210313548</v>
      </c>
      <c r="J45" s="31">
        <f>TRUECORP!$E$38</f>
        <v>7.3801513797030456</v>
      </c>
      <c r="K45" s="31">
        <f>TRUECORP!$F$38</f>
        <v>6.6411071728390105</v>
      </c>
      <c r="L45" s="31">
        <f>TRUECORP!$G$38</f>
        <v>5.9654420786630817</v>
      </c>
      <c r="M45" s="29">
        <f>TRUECORP!$H$38</f>
        <v>4.1018310776815392E-2</v>
      </c>
      <c r="N45" s="30"/>
      <c r="O45" s="31">
        <f>TRUECORP!$D$39</f>
        <v>11.372653970248605</v>
      </c>
      <c r="P45" s="31">
        <f>TRUECORP!$E$39</f>
        <v>9.8990016090437791</v>
      </c>
      <c r="Q45" s="31">
        <f>TRUECORP!$F$39</f>
        <v>8.8791460913925313</v>
      </c>
      <c r="R45" s="31">
        <f>TRUECORP!$G$39</f>
        <v>7.7125531380189809</v>
      </c>
      <c r="S45" s="29">
        <f>TRUECORP!$H$39</f>
        <v>5.8644888772578563E-2</v>
      </c>
      <c r="T45" s="30"/>
      <c r="U45" s="32" t="str">
        <f>D45</f>
        <v>THB 13.5</v>
      </c>
      <c r="V45" s="28" t="s">
        <v>34</v>
      </c>
      <c r="Z45" s="30"/>
    </row>
    <row r="46" spans="1:26">
      <c r="A46" s="5"/>
      <c r="B46" s="26" t="s">
        <v>311</v>
      </c>
      <c r="C46" s="32" t="s">
        <v>289</v>
      </c>
      <c r="D46" s="28" t="str">
        <f>'EM Multiples'!B46&amp;TEXT(Prices!C86,"0,00")</f>
        <v>IDR 3,070</v>
      </c>
      <c r="E46" s="28" t="str">
        <f>'EM Multiples'!B46&amp;TEXT(Prices!E86,"0,00")</f>
        <v>IDR 4,500</v>
      </c>
      <c r="F46" s="29">
        <f>Prices!F86</f>
        <v>0.46579804560260585</v>
      </c>
      <c r="G46" s="28" t="str">
        <f>Prices!D86</f>
        <v>Buy</v>
      </c>
      <c r="H46" s="30"/>
      <c r="I46" s="31">
        <f>XLAX!$D$38</f>
        <v>6.3050308431901234</v>
      </c>
      <c r="J46" s="31">
        <f>XLAX!$E$38</f>
        <v>5.1826154615127749</v>
      </c>
      <c r="K46" s="31">
        <f>XLAX!$F$38</f>
        <v>4.5249854616513678</v>
      </c>
      <c r="L46" s="31">
        <f>XLAX!$G$38</f>
        <v>3.8919643669764237</v>
      </c>
      <c r="M46" s="29">
        <f>XLAX!$H$38</f>
        <v>0.1280025027504621</v>
      </c>
      <c r="N46" s="40"/>
      <c r="O46" s="31">
        <f>XLAX!$D$39</f>
        <v>13.998613396191958</v>
      </c>
      <c r="P46" s="31">
        <f>XLAX!$E$39</f>
        <v>9.820300974651742</v>
      </c>
      <c r="Q46" s="31">
        <f>XLAX!$F$39</f>
        <v>7.8970443819407761</v>
      </c>
      <c r="R46" s="31">
        <f>XLAX!$G$39</f>
        <v>6.3474623903053979</v>
      </c>
      <c r="S46" s="29">
        <f>XLAX!$H$39</f>
        <v>0.25015991906699364</v>
      </c>
      <c r="T46" s="30"/>
      <c r="U46" s="32" t="str">
        <f t="shared" si="3"/>
        <v>IDR 3,070</v>
      </c>
      <c r="V46" s="28" t="s">
        <v>289</v>
      </c>
      <c r="Z46" s="30"/>
    </row>
    <row r="47" spans="1:26">
      <c r="C47" s="35" t="s">
        <v>529</v>
      </c>
      <c r="D47" s="36"/>
      <c r="E47" s="36"/>
      <c r="F47" s="37"/>
      <c r="G47" s="36"/>
      <c r="H47" s="30"/>
      <c r="I47" s="38">
        <f>'EM ASIA CELLULAR'!D38</f>
        <v>5.9495040572157292</v>
      </c>
      <c r="J47" s="38">
        <f>'EM ASIA CELLULAR'!E38</f>
        <v>5.2646276814393627</v>
      </c>
      <c r="K47" s="38">
        <f>'EM ASIA CELLULAR'!F38</f>
        <v>4.6983787313706102</v>
      </c>
      <c r="L47" s="38">
        <f>'EM ASIA CELLULAR'!G38</f>
        <v>4.0381485145050036</v>
      </c>
      <c r="M47" s="39">
        <f>'EM ASIA CELLULAR'!H38</f>
        <v>5.7159296356091849E-2</v>
      </c>
      <c r="N47" s="40"/>
      <c r="O47" s="38">
        <f>'EM ASIA CELLULAR'!D39</f>
        <v>10.028237557999208</v>
      </c>
      <c r="P47" s="38">
        <f>'EM ASIA CELLULAR'!E39</f>
        <v>8.5325652577337383</v>
      </c>
      <c r="Q47" s="38">
        <f>'EM ASIA CELLULAR'!F39</f>
        <v>7.3620495679742231</v>
      </c>
      <c r="R47" s="38">
        <f>'EM ASIA CELLULAR'!G39</f>
        <v>6.148782261903242</v>
      </c>
      <c r="S47" s="39">
        <f>'EM ASIA CELLULAR'!H39</f>
        <v>9.3585576673929971E-2</v>
      </c>
      <c r="T47" s="30"/>
      <c r="U47" s="41"/>
      <c r="V47" s="42" t="s">
        <v>529</v>
      </c>
      <c r="Z47" s="30"/>
    </row>
    <row r="48" spans="1:26">
      <c r="C48" s="27"/>
      <c r="D48" s="28"/>
      <c r="E48" s="28"/>
      <c r="F48" s="52"/>
      <c r="G48" s="28"/>
      <c r="H48" s="30"/>
      <c r="I48" s="46"/>
      <c r="J48" s="46"/>
      <c r="K48" s="46"/>
      <c r="L48" s="46"/>
      <c r="M48" s="45"/>
      <c r="N48" s="30"/>
      <c r="O48" s="46"/>
      <c r="P48" s="46"/>
      <c r="Q48" s="46"/>
      <c r="R48" s="46"/>
      <c r="S48" s="45"/>
      <c r="T48" s="30"/>
      <c r="U48" s="32"/>
      <c r="V48" s="34"/>
      <c r="Z48" s="30"/>
    </row>
    <row r="49" spans="1:29">
      <c r="C49" s="35" t="s">
        <v>722</v>
      </c>
      <c r="D49" s="36"/>
      <c r="E49" s="36"/>
      <c r="F49" s="37"/>
      <c r="G49" s="36"/>
      <c r="H49" s="30"/>
      <c r="I49" s="38">
        <f>'EM CELLULAR'!D38</f>
        <v>6.1220764616233714</v>
      </c>
      <c r="J49" s="38">
        <f>'EM CELLULAR'!E38</f>
        <v>5.3795042390333068</v>
      </c>
      <c r="K49" s="38">
        <f>'EM CELLULAR'!F38</f>
        <v>4.6552437207240072</v>
      </c>
      <c r="L49" s="38">
        <f>'EM CELLULAR'!G38</f>
        <v>3.9836210001066563</v>
      </c>
      <c r="M49" s="39">
        <f>'EM CELLULAR'!H38</f>
        <v>7.6457320810068063E-2</v>
      </c>
      <c r="N49" s="30"/>
      <c r="O49" s="38">
        <f>'EM CELLULAR'!D39</f>
        <v>10.433086026607876</v>
      </c>
      <c r="P49" s="38">
        <f>'EM CELLULAR'!E39</f>
        <v>8.8988378278018754</v>
      </c>
      <c r="Q49" s="38">
        <f>'EM CELLULAR'!F39</f>
        <v>7.3589044668838444</v>
      </c>
      <c r="R49" s="38">
        <f>'EM CELLULAR'!G39</f>
        <v>6.1226973075467326</v>
      </c>
      <c r="S49" s="39">
        <f>'EM CELLULAR'!H39</f>
        <v>0.11415745332884453</v>
      </c>
      <c r="T49" s="30"/>
      <c r="U49" s="41"/>
      <c r="V49" s="42" t="str">
        <f>C49</f>
        <v>Agg. Emerging  Cellular</v>
      </c>
      <c r="Z49" s="30"/>
    </row>
    <row r="50" spans="1:29">
      <c r="A50" s="5"/>
      <c r="C50" s="27"/>
      <c r="D50" s="28"/>
      <c r="E50" s="28"/>
      <c r="F50" s="29"/>
      <c r="G50" s="28"/>
      <c r="H50" s="30"/>
      <c r="I50" s="31"/>
      <c r="J50" s="31"/>
      <c r="K50" s="31"/>
      <c r="L50" s="31"/>
      <c r="M50" s="29"/>
      <c r="N50" s="30"/>
      <c r="O50" s="31"/>
      <c r="P50" s="31"/>
      <c r="Q50" s="31"/>
      <c r="R50" s="31"/>
      <c r="S50" s="29"/>
      <c r="T50" s="30"/>
      <c r="U50" s="32"/>
      <c r="V50" s="34"/>
      <c r="Z50" s="30"/>
    </row>
    <row r="51" spans="1:29">
      <c r="A51" s="5"/>
      <c r="C51" s="51" t="s">
        <v>420</v>
      </c>
      <c r="D51" s="36"/>
      <c r="E51" s="36"/>
      <c r="F51" s="37"/>
      <c r="G51" s="36"/>
      <c r="H51" s="30"/>
      <c r="I51" s="38">
        <f>'EMEA AGG'!$D$38</f>
        <v>7.4049431236829459</v>
      </c>
      <c r="J51" s="38">
        <f>'EMEA AGG'!$E$38</f>
        <v>6.1564377862490218</v>
      </c>
      <c r="K51" s="38">
        <f>'EMEA AGG'!$F$38</f>
        <v>4.4837178583666226</v>
      </c>
      <c r="L51" s="38">
        <f>'EMEA AGG'!$G$38</f>
        <v>3.6958642793873961</v>
      </c>
      <c r="M51" s="39">
        <f>'EMEA AGG'!$H$38</f>
        <v>0.18738943723674595</v>
      </c>
      <c r="N51" s="40"/>
      <c r="O51" s="38">
        <f>'EMEA AGG'!$D$39</f>
        <v>13.77606277730415</v>
      </c>
      <c r="P51" s="38">
        <f>'EMEA AGG'!$E$39</f>
        <v>11.672285536375483</v>
      </c>
      <c r="Q51" s="38">
        <f>'EMEA AGG'!$F$39</f>
        <v>7.4496586865144394</v>
      </c>
      <c r="R51" s="38">
        <f>'EMEA AGG'!$G$39</f>
        <v>5.9832990727504578</v>
      </c>
      <c r="S51" s="39">
        <f>'EMEA AGG'!$H$39</f>
        <v>0.24371081525857741</v>
      </c>
      <c r="T51" s="30"/>
      <c r="U51" s="41"/>
      <c r="V51" s="42" t="s">
        <v>420</v>
      </c>
      <c r="Z51" s="30"/>
    </row>
    <row r="52" spans="1:29">
      <c r="A52" s="5"/>
      <c r="C52" s="25" t="s">
        <v>421</v>
      </c>
      <c r="D52" s="28"/>
      <c r="E52" s="28"/>
      <c r="F52" s="29"/>
      <c r="G52" s="28"/>
      <c r="H52" s="30"/>
      <c r="I52" s="44">
        <f>'LATAM AGG'!$D$38</f>
        <v>5.459061221880078</v>
      </c>
      <c r="J52" s="44">
        <f>'LATAM AGG'!$E$38</f>
        <v>4.6416449200733787</v>
      </c>
      <c r="K52" s="44">
        <f>'LATAM AGG'!$F$38</f>
        <v>4.1465058637858103</v>
      </c>
      <c r="L52" s="44">
        <f>'LATAM AGG'!$G$38</f>
        <v>3.6939215294838887</v>
      </c>
      <c r="M52" s="43">
        <f>'LATAM AGG'!$H$38</f>
        <v>6.4281047352787501E-2</v>
      </c>
      <c r="N52" s="40"/>
      <c r="O52" s="44">
        <f>'LATAM AGG'!$D$39</f>
        <v>8.6173472636878721</v>
      </c>
      <c r="P52" s="44">
        <f>'LATAM AGG'!$E$39</f>
        <v>7.2928445067118037</v>
      </c>
      <c r="Q52" s="44">
        <f>'LATAM AGG'!$F$39</f>
        <v>6.400209365083378</v>
      </c>
      <c r="R52" s="44">
        <f>'LATAM AGG'!$G$39</f>
        <v>5.5318366720697645</v>
      </c>
      <c r="S52" s="43">
        <f>'LATAM AGG'!$H$39</f>
        <v>8.3130978070602657E-2</v>
      </c>
      <c r="T52" s="30"/>
      <c r="U52" s="32"/>
      <c r="V52" s="34" t="s">
        <v>421</v>
      </c>
      <c r="Z52" s="30"/>
    </row>
    <row r="53" spans="1:29">
      <c r="C53" s="51" t="s">
        <v>530</v>
      </c>
      <c r="D53" s="36"/>
      <c r="E53" s="36"/>
      <c r="F53" s="37"/>
      <c r="G53" s="36"/>
      <c r="H53" s="30"/>
      <c r="I53" s="38">
        <f>'AGG EM ASIA'!$D$38</f>
        <v>4.5994553465763737</v>
      </c>
      <c r="J53" s="38">
        <f>'AGG EM ASIA'!$E$38</f>
        <v>4.1044384328682115</v>
      </c>
      <c r="K53" s="38">
        <f>'AGG EM ASIA'!$F$38</f>
        <v>3.7270934384135987</v>
      </c>
      <c r="L53" s="38">
        <f>'AGG EM ASIA'!$G$38</f>
        <v>3.2106502698922199</v>
      </c>
      <c r="M53" s="39">
        <f>'AGG EM ASIA'!$H$38</f>
        <v>4.6760508116739707E-2</v>
      </c>
      <c r="N53" s="40"/>
      <c r="O53" s="38">
        <f>'AGG EM ASIA'!$D$39</f>
        <v>8.3775331844100336</v>
      </c>
      <c r="P53" s="38">
        <f>'AGG EM ASIA'!$E$39</f>
        <v>7.1387144411438115</v>
      </c>
      <c r="Q53" s="38">
        <f>'AGG EM ASIA'!$F$39</f>
        <v>6.24300356995108</v>
      </c>
      <c r="R53" s="38">
        <f>'AGG EM ASIA'!$G$39</f>
        <v>5.2055629474546761</v>
      </c>
      <c r="S53" s="39">
        <f>'AGG EM ASIA'!$H$39</f>
        <v>8.8158967855370252E-2</v>
      </c>
      <c r="T53" s="30"/>
      <c r="U53" s="41"/>
      <c r="V53" s="42" t="s">
        <v>530</v>
      </c>
      <c r="Z53" s="30"/>
    </row>
    <row r="54" spans="1:29">
      <c r="C54" s="25"/>
      <c r="D54" s="28"/>
      <c r="E54" s="28"/>
      <c r="F54" s="29"/>
      <c r="G54" s="28"/>
      <c r="H54" s="30"/>
      <c r="I54" s="44"/>
      <c r="J54" s="44"/>
      <c r="K54" s="44"/>
      <c r="L54" s="44"/>
      <c r="M54" s="43"/>
      <c r="N54" s="40"/>
      <c r="O54" s="44"/>
      <c r="P54" s="44"/>
      <c r="Q54" s="44"/>
      <c r="R54" s="44"/>
      <c r="S54" s="43"/>
      <c r="T54" s="30"/>
      <c r="U54" s="32"/>
      <c r="V54" s="34"/>
      <c r="Z54" s="30"/>
    </row>
    <row r="55" spans="1:29">
      <c r="C55" s="51" t="s">
        <v>1297</v>
      </c>
      <c r="D55" s="36"/>
      <c r="E55" s="36"/>
      <c r="F55" s="37"/>
      <c r="G55" s="36"/>
      <c r="H55" s="30"/>
      <c r="I55" s="38">
        <f>'AGG EM'!$D$38</f>
        <v>4.9755343556162694</v>
      </c>
      <c r="J55" s="38">
        <f>'AGG EM'!$E$38</f>
        <v>4.3805798402109115</v>
      </c>
      <c r="K55" s="38">
        <f>'AGG EM'!$F$38</f>
        <v>3.8849127773841672</v>
      </c>
      <c r="L55" s="38">
        <f>'AGG EM'!$G$38</f>
        <v>3.3558210565743494</v>
      </c>
      <c r="M55" s="39">
        <f>'AGG EM'!$H$38</f>
        <v>6.193934493836073E-2</v>
      </c>
      <c r="N55" s="40"/>
      <c r="O55" s="38">
        <f>'AGG EM'!$D$39</f>
        <v>8.8123076382121184</v>
      </c>
      <c r="P55" s="38">
        <f>'AGG EM'!$E$39</f>
        <v>7.5061248419219044</v>
      </c>
      <c r="Q55" s="38">
        <f>'AGG EM'!$F$39</f>
        <v>6.3935811744057656</v>
      </c>
      <c r="R55" s="38">
        <f>'AGG EM'!$G$39</f>
        <v>5.3533812997921562</v>
      </c>
      <c r="S55" s="39">
        <f>'AGG EM'!$H$39</f>
        <v>9.9613064453166533E-2</v>
      </c>
      <c r="T55" s="30"/>
      <c r="U55" s="41"/>
      <c r="V55" s="42" t="s">
        <v>422</v>
      </c>
      <c r="Z55" s="30"/>
    </row>
    <row r="56" spans="1:29">
      <c r="C56" s="27"/>
      <c r="D56" s="28"/>
      <c r="E56" s="28"/>
      <c r="F56" s="29"/>
      <c r="G56" s="28"/>
      <c r="H56" s="30"/>
      <c r="I56" s="31"/>
      <c r="J56" s="31"/>
      <c r="K56" s="31"/>
      <c r="L56" s="31"/>
      <c r="M56" s="29"/>
      <c r="N56" s="30"/>
      <c r="O56" s="31"/>
      <c r="P56" s="31"/>
      <c r="Q56" s="31"/>
      <c r="R56" s="31"/>
      <c r="S56" s="29"/>
      <c r="T56" s="30"/>
      <c r="U56" s="32"/>
      <c r="V56" s="34"/>
      <c r="Z56" s="30"/>
    </row>
    <row r="57" spans="1:29">
      <c r="C57" s="27"/>
      <c r="D57" s="28"/>
      <c r="E57" s="28"/>
      <c r="F57" s="29"/>
      <c r="G57" s="28"/>
      <c r="H57" s="30"/>
      <c r="I57" s="31"/>
      <c r="J57" s="31"/>
      <c r="K57" s="31"/>
      <c r="L57" s="31"/>
      <c r="M57" s="29"/>
      <c r="N57" s="30"/>
      <c r="O57" s="31"/>
      <c r="P57" s="31"/>
      <c r="Q57" s="31"/>
      <c r="R57" s="31"/>
      <c r="S57" s="29"/>
      <c r="T57" s="30"/>
      <c r="U57" s="32"/>
      <c r="V57" s="34"/>
      <c r="Z57" s="30"/>
    </row>
    <row r="58" spans="1:29" s="25" customFormat="1">
      <c r="B58" s="113"/>
      <c r="C58" s="130"/>
      <c r="D58" s="131" t="s">
        <v>379</v>
      </c>
      <c r="E58" s="131" t="s">
        <v>50</v>
      </c>
      <c r="F58" s="131" t="s">
        <v>52</v>
      </c>
      <c r="G58" s="131" t="s">
        <v>49</v>
      </c>
      <c r="H58" s="105"/>
      <c r="I58" s="132" t="s">
        <v>381</v>
      </c>
      <c r="J58" s="132"/>
      <c r="K58" s="132"/>
      <c r="L58" s="132"/>
      <c r="M58" s="132"/>
      <c r="N58" s="30"/>
      <c r="O58" s="132" t="s">
        <v>382</v>
      </c>
      <c r="P58" s="132"/>
      <c r="Q58" s="132"/>
      <c r="R58" s="132"/>
      <c r="S58" s="132"/>
      <c r="T58" s="30"/>
      <c r="U58" s="133" t="s">
        <v>379</v>
      </c>
      <c r="V58" s="131"/>
      <c r="Z58" s="33"/>
      <c r="AC58" s="106"/>
    </row>
    <row r="59" spans="1:29">
      <c r="A59" s="25" t="s">
        <v>415</v>
      </c>
      <c r="C59" s="32" t="str">
        <f t="shared" ref="C59:G60" si="4">C8</f>
        <v>America Movil</v>
      </c>
      <c r="D59" s="28" t="str">
        <f t="shared" si="4"/>
        <v>USD 22.8</v>
      </c>
      <c r="E59" s="28" t="str">
        <f t="shared" si="4"/>
        <v>USD 24.0</v>
      </c>
      <c r="F59" s="29">
        <f t="shared" si="4"/>
        <v>5.2631578947368363E-2</v>
      </c>
      <c r="G59" s="28" t="str">
        <f t="shared" si="4"/>
        <v>Buy</v>
      </c>
      <c r="H59" s="30"/>
      <c r="I59" s="31">
        <f>AMX!$D$40</f>
        <v>11.622616989680596</v>
      </c>
      <c r="J59" s="31">
        <f>AMX!$E$40</f>
        <v>9.9738559963393314</v>
      </c>
      <c r="K59" s="31">
        <f>AMX!$F$40</f>
        <v>9.0593416846151609</v>
      </c>
      <c r="L59" s="31">
        <f>AMX!$G$40</f>
        <v>7.9318873951434892</v>
      </c>
      <c r="M59" s="29">
        <f>AMX!$H$40</f>
        <v>6.2121942226958327E-2</v>
      </c>
      <c r="N59" s="30"/>
      <c r="O59" s="31">
        <f>AMX!$D$44</f>
        <v>14.781344553663272</v>
      </c>
      <c r="P59" s="31">
        <f>AMX!$E$44</f>
        <v>11.588399030483487</v>
      </c>
      <c r="Q59" s="31">
        <f>AMX!$F$44</f>
        <v>10.264015970986687</v>
      </c>
      <c r="R59" s="31">
        <f>AMX!$G$44</f>
        <v>9.3374962652179825</v>
      </c>
      <c r="S59" s="29">
        <f>AMX!$H$44</f>
        <v>0.13839261464935926</v>
      </c>
      <c r="T59" s="30"/>
      <c r="U59" s="32" t="str">
        <f t="shared" ref="U59:V61" si="5">U8</f>
        <v>USD 22.8</v>
      </c>
      <c r="V59" s="28" t="str">
        <f t="shared" si="5"/>
        <v>America Movil</v>
      </c>
    </row>
    <row r="60" spans="1:29" s="5" customFormat="1">
      <c r="B60" s="26"/>
      <c r="C60" s="32" t="str">
        <f t="shared" si="4"/>
        <v>Vivo</v>
      </c>
      <c r="D60" s="28" t="str">
        <f t="shared" si="4"/>
        <v>BRL 39.88</v>
      </c>
      <c r="E60" s="28" t="str">
        <f t="shared" si="4"/>
        <v>BRL 43.00</v>
      </c>
      <c r="F60" s="29">
        <f t="shared" si="4"/>
        <v>7.8234704112337017E-2</v>
      </c>
      <c r="G60" s="28" t="str">
        <f t="shared" si="4"/>
        <v>Buy</v>
      </c>
      <c r="H60" s="30"/>
      <c r="I60" s="31">
        <f>VIVO!$D$40</f>
        <v>13.96370456748617</v>
      </c>
      <c r="J60" s="31">
        <f>VIVO!$E$40</f>
        <v>10.435468539920175</v>
      </c>
      <c r="K60" s="31">
        <f>VIVO!$F$40</f>
        <v>8.5434315084109613</v>
      </c>
      <c r="L60" s="31">
        <f>VIVO!$G$40</f>
        <v>7.1030278186381004</v>
      </c>
      <c r="M60" s="29">
        <f>VIVO!$H$40</f>
        <v>0.13013128543653152</v>
      </c>
      <c r="N60" s="30"/>
      <c r="O60" s="31">
        <f>VIVO!$D$44</f>
        <v>18.665138818224058</v>
      </c>
      <c r="P60" s="31">
        <f>VIVO!$E$44</f>
        <v>13.11664223283022</v>
      </c>
      <c r="Q60" s="31">
        <f>VIVO!$F$44</f>
        <v>10.866725627104834</v>
      </c>
      <c r="R60" s="31">
        <f>VIVO!$G$44</f>
        <v>9.6897163865353964</v>
      </c>
      <c r="S60" s="29">
        <f>VIVO!$H$44</f>
        <v>0.21780443696250695</v>
      </c>
      <c r="T60" s="30"/>
      <c r="U60" s="32" t="str">
        <f t="shared" si="5"/>
        <v>BRL 39.88</v>
      </c>
      <c r="V60" s="28" t="str">
        <f t="shared" si="5"/>
        <v>Telefonica Brasil</v>
      </c>
    </row>
    <row r="61" spans="1:29" s="5" customFormat="1">
      <c r="B61" s="26"/>
      <c r="C61" s="32" t="s">
        <v>561</v>
      </c>
      <c r="D61" s="28" t="str">
        <f>D10</f>
        <v>USD 3.1</v>
      </c>
      <c r="E61" s="28" t="str">
        <f>E10</f>
        <v>USD 3.7</v>
      </c>
      <c r="F61" s="29">
        <f>F10</f>
        <v>0.21311475409836089</v>
      </c>
      <c r="G61" s="28" t="str">
        <f>G10</f>
        <v>Neutral</v>
      </c>
      <c r="H61" s="30"/>
      <c r="I61" s="31">
        <f>TVIS!$D$40</f>
        <v>7.2982321507479639</v>
      </c>
      <c r="J61" s="31">
        <f>TVIS!$E$40</f>
        <v>6.924774922956809</v>
      </c>
      <c r="K61" s="31">
        <f>TVIS!$F$40</f>
        <v>6.0984411646045649</v>
      </c>
      <c r="L61" s="31">
        <f>TVIS!$G$40</f>
        <v>4.9888315139414452</v>
      </c>
      <c r="M61" s="29">
        <f>TVIS!$H$40</f>
        <v>1.6264962481801204E-2</v>
      </c>
      <c r="N61" s="30"/>
      <c r="O61" s="31">
        <f>TVIS!$D$44</f>
        <v>-127.88532343434856</v>
      </c>
      <c r="P61" s="31">
        <f>TVIS!$E$44</f>
        <v>-219.28751982966634</v>
      </c>
      <c r="Q61" s="31">
        <f>TVIS!$F$44</f>
        <v>167.5376701691076</v>
      </c>
      <c r="R61" s="31">
        <f>TVIS!$G$44</f>
        <v>31.508599299259302</v>
      </c>
      <c r="S61" s="29">
        <f>TVIS!$H$44</f>
        <v>-2.5951341136471018</v>
      </c>
      <c r="T61" s="30"/>
      <c r="U61" s="32" t="str">
        <f t="shared" si="5"/>
        <v>USD 3.1</v>
      </c>
      <c r="V61" s="28" t="str">
        <f t="shared" si="5"/>
        <v>Televisa</v>
      </c>
    </row>
    <row r="62" spans="1:29" s="5" customFormat="1">
      <c r="B62" s="26"/>
      <c r="C62" s="35" t="str">
        <f>C11</f>
        <v>Agg. LatAm Incumbent</v>
      </c>
      <c r="D62" s="36"/>
      <c r="E62" s="36"/>
      <c r="F62" s="37"/>
      <c r="G62" s="36"/>
      <c r="H62" s="30"/>
      <c r="I62" s="38">
        <f>'LATAM INCUMB'!$D$40</f>
        <v>11.912771419276883</v>
      </c>
      <c r="J62" s="38">
        <f>'LATAM INCUMB'!$E$40</f>
        <v>9.9869081777888358</v>
      </c>
      <c r="K62" s="38">
        <f>'LATAM INCUMB'!$F$40</f>
        <v>8.8795669220474664</v>
      </c>
      <c r="L62" s="38">
        <f>'LATAM INCUMB'!$G$40</f>
        <v>7.6886868723633572</v>
      </c>
      <c r="M62" s="39">
        <f>'LATAM INCUMB'!$H$40</f>
        <v>7.3569162293801948E-2</v>
      </c>
      <c r="N62" s="40"/>
      <c r="O62" s="38">
        <f>'LATAM INCUMB'!$D$44</f>
        <v>15.9969121813232</v>
      </c>
      <c r="P62" s="38">
        <f>'LATAM INCUMB'!$E$44</f>
        <v>12.209673122372518</v>
      </c>
      <c r="Q62" s="38">
        <f>'LATAM INCUMB'!$F$44</f>
        <v>10.611708481730632</v>
      </c>
      <c r="R62" s="38">
        <f>'LATAM INCUMB'!$G$44</f>
        <v>9.5617096909572847</v>
      </c>
      <c r="S62" s="39">
        <f>'LATAM INCUMB'!$H$44</f>
        <v>0.16071026751292017</v>
      </c>
      <c r="T62" s="30"/>
      <c r="U62" s="41"/>
      <c r="V62" s="42" t="str">
        <f>V11</f>
        <v>Agg. LatAm Incumbent</v>
      </c>
    </row>
    <row r="63" spans="1:29" s="5" customFormat="1">
      <c r="A63" s="23"/>
      <c r="B63" s="26"/>
      <c r="C63" s="32"/>
      <c r="D63" s="28"/>
      <c r="E63" s="28"/>
      <c r="F63" s="29"/>
      <c r="G63" s="28"/>
      <c r="H63" s="30"/>
      <c r="I63" s="31"/>
      <c r="J63" s="31"/>
      <c r="K63" s="31"/>
      <c r="L63" s="31"/>
      <c r="M63" s="29"/>
      <c r="N63" s="40"/>
      <c r="O63" s="31"/>
      <c r="P63" s="31"/>
      <c r="Q63" s="31"/>
      <c r="R63" s="31"/>
      <c r="S63" s="29"/>
      <c r="T63" s="30"/>
      <c r="U63" s="32"/>
      <c r="V63" s="34"/>
    </row>
    <row r="64" spans="1:29" s="5" customFormat="1">
      <c r="B64" s="26"/>
      <c r="C64" s="32" t="str">
        <f t="shared" ref="C64:G67" si="6">C13</f>
        <v>China Telecom</v>
      </c>
      <c r="D64" s="28" t="str">
        <f t="shared" si="6"/>
        <v>HKD 5.01</v>
      </c>
      <c r="E64" s="28" t="str">
        <f t="shared" si="6"/>
        <v>HKD 8.75</v>
      </c>
      <c r="F64" s="29">
        <f t="shared" si="6"/>
        <v>0.7465069860279443</v>
      </c>
      <c r="G64" s="28" t="str">
        <f t="shared" si="6"/>
        <v>Buy</v>
      </c>
      <c r="H64" s="30"/>
      <c r="I64" s="31">
        <f>_CT!$D$40</f>
        <v>4.5056596878988948</v>
      </c>
      <c r="J64" s="31">
        <f>_CT!$E$40</f>
        <v>3.6341480304199143</v>
      </c>
      <c r="K64" s="31">
        <f>_CT!$F$40</f>
        <v>3.5217087110645111</v>
      </c>
      <c r="L64" s="31">
        <f>_CT!$G$40</f>
        <v>2.8194367470250383</v>
      </c>
      <c r="M64" s="29">
        <f>_CT!$H$40</f>
        <v>9.4152141692996238E-2</v>
      </c>
      <c r="N64" s="40"/>
      <c r="O64" s="31">
        <f>_CT!$D$44</f>
        <v>11.391426305642687</v>
      </c>
      <c r="P64" s="31">
        <f>_CT!$E$44</f>
        <v>10.803249620718981</v>
      </c>
      <c r="Q64" s="31">
        <f>_CT!$F$44</f>
        <v>10.12128212950622</v>
      </c>
      <c r="R64" s="31">
        <f>_CT!$G$44</f>
        <v>9.4183727516237905</v>
      </c>
      <c r="S64" s="135">
        <f>_CT!$H$44</f>
        <v>6.5452460811789459E-2</v>
      </c>
      <c r="T64" s="30"/>
      <c r="U64" s="32" t="str">
        <f t="shared" ref="U64:V67" si="7">U13</f>
        <v>HKD 5.01</v>
      </c>
      <c r="V64" s="28" t="str">
        <f t="shared" si="7"/>
        <v>China Telecom</v>
      </c>
    </row>
    <row r="65" spans="1:22" s="5" customFormat="1">
      <c r="B65" s="26"/>
      <c r="C65" s="32" t="str">
        <f t="shared" si="6"/>
        <v>China Unicom</v>
      </c>
      <c r="D65" s="28" t="str">
        <f t="shared" si="6"/>
        <v>HKD 7.26</v>
      </c>
      <c r="E65" s="28" t="str">
        <f t="shared" si="6"/>
        <v>HKD 13.20</v>
      </c>
      <c r="F65" s="29">
        <f t="shared" si="6"/>
        <v>0.81818181818181812</v>
      </c>
      <c r="G65" s="28" t="str">
        <f t="shared" si="6"/>
        <v>Buy</v>
      </c>
      <c r="H65" s="30"/>
      <c r="I65" s="31">
        <f>_CU!$D$40</f>
        <v>2.8644783971669252</v>
      </c>
      <c r="J65" s="31">
        <f>_CU!$E$40</f>
        <v>2.0973770627363639</v>
      </c>
      <c r="K65" s="31">
        <f>_CU!$F$40</f>
        <v>2.0583122368123399</v>
      </c>
      <c r="L65" s="31">
        <f>_CU!$G$40</f>
        <v>1.4300960530210265</v>
      </c>
      <c r="M65" s="29">
        <f>_CU!$H$40</f>
        <v>8.2364874161363621E-2</v>
      </c>
      <c r="N65" s="40"/>
      <c r="O65" s="31">
        <f>_CU!$D$44</f>
        <v>9.5073800706725162</v>
      </c>
      <c r="P65" s="31">
        <f>_CU!$E$44</f>
        <v>8.499415602953686</v>
      </c>
      <c r="Q65" s="31">
        <f>_CU!$F$44</f>
        <v>7.4645815305144101</v>
      </c>
      <c r="R65" s="31">
        <f>_CU!$G$44</f>
        <v>6.5526542855778382</v>
      </c>
      <c r="S65" s="135">
        <f>_CU!$H$44</f>
        <v>0.13209064106328583</v>
      </c>
      <c r="T65" s="30"/>
      <c r="U65" s="32" t="str">
        <f t="shared" si="7"/>
        <v>HKD 7.26</v>
      </c>
      <c r="V65" s="28" t="str">
        <f t="shared" si="7"/>
        <v>China Unicom</v>
      </c>
    </row>
    <row r="66" spans="1:22" s="5" customFormat="1">
      <c r="A66" s="23"/>
      <c r="B66" s="26"/>
      <c r="C66" s="32" t="str">
        <f t="shared" si="6"/>
        <v>KT Corp</v>
      </c>
      <c r="D66" s="28" t="str">
        <f t="shared" si="6"/>
        <v>KRW 61,700</v>
      </c>
      <c r="E66" s="28" t="str">
        <f t="shared" si="6"/>
        <v>KRW 105,000</v>
      </c>
      <c r="F66" s="29">
        <f t="shared" si="6"/>
        <v>0.70178282009724469</v>
      </c>
      <c r="G66" s="28" t="str">
        <f t="shared" si="6"/>
        <v>Buy</v>
      </c>
      <c r="H66" s="30"/>
      <c r="I66" s="31">
        <f>_KT!$D$40</f>
        <v>7.5550102824743082</v>
      </c>
      <c r="J66" s="31">
        <f>_KT!$E$40</f>
        <v>6.9737897809985432</v>
      </c>
      <c r="K66" s="31">
        <f>_KT!$F$40</f>
        <v>5.6771840255743804</v>
      </c>
      <c r="L66" s="31">
        <f>_KT!$G$40</f>
        <v>4.4271565768806633</v>
      </c>
      <c r="M66" s="29">
        <f>_KT!$H$40</f>
        <v>1.8536498064697149E-2</v>
      </c>
      <c r="N66" s="40"/>
      <c r="O66" s="31">
        <f>_KT!$D$44</f>
        <v>7.8034604290949448</v>
      </c>
      <c r="P66" s="31">
        <f>_KT!$E$44</f>
        <v>7.9323817285875409</v>
      </c>
      <c r="Q66" s="31">
        <f>_KT!$F$44</f>
        <v>6.9662863383886426</v>
      </c>
      <c r="R66" s="31">
        <f>_KT!$G$44</f>
        <v>6.1813083382481455</v>
      </c>
      <c r="S66" s="29">
        <f>_KT!$H$44</f>
        <v>5.8181564224432991E-2</v>
      </c>
      <c r="T66" s="30"/>
      <c r="U66" s="32" t="str">
        <f t="shared" si="7"/>
        <v>KRW 61,700</v>
      </c>
      <c r="V66" s="28" t="str">
        <f t="shared" si="7"/>
        <v>KT Corp</v>
      </c>
    </row>
    <row r="67" spans="1:22" s="5" customFormat="1">
      <c r="A67" s="23"/>
      <c r="B67" s="26"/>
      <c r="C67" s="32" t="str">
        <f t="shared" si="6"/>
        <v>Telkom Indonesia</v>
      </c>
      <c r="D67" s="28" t="str">
        <f t="shared" si="6"/>
        <v>IDR 2,810</v>
      </c>
      <c r="E67" s="28" t="str">
        <f t="shared" si="6"/>
        <v>IDR 3,500</v>
      </c>
      <c r="F67" s="29">
        <f t="shared" si="6"/>
        <v>0.24555160142348753</v>
      </c>
      <c r="G67" s="28" t="str">
        <f t="shared" si="6"/>
        <v>Neutral</v>
      </c>
      <c r="H67" s="30"/>
      <c r="I67" s="31">
        <f>PTT!$D$40</f>
        <v>14.405895626333054</v>
      </c>
      <c r="J67" s="31">
        <f>PTT!$E$40</f>
        <v>13.853040519576584</v>
      </c>
      <c r="K67" s="31">
        <f>PTT!$F$40</f>
        <v>12.768747277814834</v>
      </c>
      <c r="L67" s="31">
        <f>PTT!$G$40</f>
        <v>11.758473093188266</v>
      </c>
      <c r="M67" s="29">
        <f>PTT!$H$40</f>
        <v>3.7042411450392665E-2</v>
      </c>
      <c r="N67" s="40"/>
      <c r="O67" s="31">
        <f>PTT!$D$44</f>
        <v>12.542383948308549</v>
      </c>
      <c r="P67" s="31">
        <f>PTT!$E$44</f>
        <v>12.278617193794755</v>
      </c>
      <c r="Q67" s="31">
        <f>PTT!$F$44</f>
        <v>11.766852361463984</v>
      </c>
      <c r="R67" s="31">
        <f>PTT!$G$44</f>
        <v>11.067391758215631</v>
      </c>
      <c r="S67" s="135">
        <f>PTT!$H$44</f>
        <v>4.2585313057364349E-2</v>
      </c>
      <c r="T67" s="30"/>
      <c r="U67" s="32" t="str">
        <f t="shared" si="7"/>
        <v>IDR 2,810</v>
      </c>
      <c r="V67" s="28" t="str">
        <f t="shared" si="7"/>
        <v>PT Telkom</v>
      </c>
    </row>
    <row r="68" spans="1:22">
      <c r="C68" s="35" t="str">
        <f>C17</f>
        <v>Agg. Emerging Asia Incumbent</v>
      </c>
      <c r="D68" s="36"/>
      <c r="E68" s="36"/>
      <c r="F68" s="37"/>
      <c r="G68" s="36"/>
      <c r="H68" s="30"/>
      <c r="I68" s="38">
        <f>'EM ASIA INCUMB'!$D$40</f>
        <v>5.6544305600254186</v>
      </c>
      <c r="J68" s="38">
        <f>'EM ASIA INCUMB'!$E$40</f>
        <v>4.7661203832634209</v>
      </c>
      <c r="K68" s="38">
        <f>'EM ASIA INCUMB'!$F$40</f>
        <v>4.410748420998635</v>
      </c>
      <c r="L68" s="38">
        <f>'EM ASIA INCUMB'!$G$40</f>
        <v>3.6069995026973038</v>
      </c>
      <c r="M68" s="39">
        <f>'EM ASIA INCUMB'!$H$40</f>
        <v>7.5579123315119956E-2</v>
      </c>
      <c r="N68" s="40"/>
      <c r="O68" s="38">
        <f>'EM ASIA INCUMB'!$D$44</f>
        <v>10.571834932500796</v>
      </c>
      <c r="P68" s="38">
        <f>'EM ASIA INCUMB'!$E$44</f>
        <v>9.9788445969762947</v>
      </c>
      <c r="Q68" s="38">
        <f>'EM ASIA INCUMB'!$F$44</f>
        <v>9.1309779340963892</v>
      </c>
      <c r="R68" s="38">
        <f>'EM ASIA INCUMB'!$G$44</f>
        <v>8.3127129021245807</v>
      </c>
      <c r="S68" s="39">
        <f>'EM ASIA INCUMB'!$H$44</f>
        <v>8.1463448437963049E-2</v>
      </c>
      <c r="T68" s="30"/>
      <c r="U68" s="41"/>
      <c r="V68" s="42" t="str">
        <f>V17</f>
        <v>Agg. Emerging Asia Incumbent</v>
      </c>
    </row>
    <row r="69" spans="1:22">
      <c r="C69" s="27"/>
      <c r="D69" s="28"/>
      <c r="E69" s="28"/>
      <c r="F69" s="52"/>
      <c r="G69" s="28"/>
      <c r="H69" s="30"/>
      <c r="I69" s="46"/>
      <c r="J69" s="46"/>
      <c r="K69" s="46"/>
      <c r="L69" s="46"/>
      <c r="M69" s="45"/>
      <c r="N69" s="40"/>
      <c r="O69" s="46"/>
      <c r="P69" s="46"/>
      <c r="Q69" s="46"/>
      <c r="R69" s="46"/>
      <c r="S69" s="45"/>
      <c r="T69" s="30"/>
      <c r="U69" s="32"/>
      <c r="V69" s="34"/>
    </row>
    <row r="70" spans="1:22">
      <c r="C70" s="35" t="str">
        <f>C19</f>
        <v>Agg. Emerging Incumbent</v>
      </c>
      <c r="D70" s="36"/>
      <c r="E70" s="36"/>
      <c r="F70" s="37"/>
      <c r="G70" s="36"/>
      <c r="H70" s="30"/>
      <c r="I70" s="38">
        <f>'EM INCUMB'!$D$40</f>
        <v>8.2266961919310386</v>
      </c>
      <c r="J70" s="38">
        <f>'EM INCUMB'!$E$40</f>
        <v>6.9552647505778777</v>
      </c>
      <c r="K70" s="38">
        <f>'EM INCUMB'!$F$40</f>
        <v>6.2566651104334197</v>
      </c>
      <c r="L70" s="38">
        <f>'EM INCUMB'!$G$40</f>
        <v>5.2790882385458708</v>
      </c>
      <c r="M70" s="39">
        <f>'EM INCUMB'!$H$40</f>
        <v>7.4753911091564262E-2</v>
      </c>
      <c r="N70" s="40"/>
      <c r="O70" s="38">
        <f>'EM INCUMB'!$D$44</f>
        <v>12.526047767737827</v>
      </c>
      <c r="P70" s="38">
        <f>'EM INCUMB'!$E$44</f>
        <v>10.883476131044869</v>
      </c>
      <c r="Q70" s="38">
        <f>'EM INCUMB'!$F$44</f>
        <v>9.7425288213442798</v>
      </c>
      <c r="R70" s="38">
        <f>'EM INCUMB'!$G$44</f>
        <v>8.8253152950096752</v>
      </c>
      <c r="S70" s="39">
        <f>'EM INCUMB'!$H$44</f>
        <v>0.11132061006560745</v>
      </c>
      <c r="T70" s="30"/>
      <c r="U70" s="41"/>
      <c r="V70" s="42" t="str">
        <f>V19</f>
        <v>Agg. Emerging Incumbent</v>
      </c>
    </row>
    <row r="71" spans="1:22">
      <c r="C71" s="27"/>
      <c r="D71" s="28"/>
      <c r="E71" s="28"/>
      <c r="F71" s="29"/>
      <c r="G71" s="28"/>
      <c r="H71" s="30"/>
      <c r="I71" s="31"/>
      <c r="J71" s="31"/>
      <c r="K71" s="31"/>
      <c r="L71" s="31"/>
      <c r="M71" s="29"/>
      <c r="N71" s="40"/>
      <c r="O71" s="31"/>
      <c r="P71" s="31"/>
      <c r="Q71" s="31"/>
      <c r="R71" s="31"/>
      <c r="S71" s="29"/>
      <c r="T71" s="30"/>
      <c r="U71" s="32"/>
      <c r="V71" s="34"/>
    </row>
    <row r="72" spans="1:22" s="5" customFormat="1">
      <c r="A72" s="25" t="s">
        <v>1091</v>
      </c>
      <c r="B72" s="26"/>
      <c r="C72" s="32" t="str">
        <f t="shared" ref="C72:G73" si="8">C21</f>
        <v>Airtel Africa</v>
      </c>
      <c r="D72" s="28" t="str">
        <f t="shared" si="8"/>
        <v>GBP3.60</v>
      </c>
      <c r="E72" s="28" t="str">
        <f t="shared" si="8"/>
        <v>GBP4.60</v>
      </c>
      <c r="F72" s="29">
        <f t="shared" si="8"/>
        <v>0.2791991101223581</v>
      </c>
      <c r="G72" s="28" t="str">
        <f t="shared" si="8"/>
        <v>Buy</v>
      </c>
      <c r="H72" s="30"/>
      <c r="I72" s="31">
        <f>AAF!$D$40</f>
        <v>29.972378855837004</v>
      </c>
      <c r="J72" s="31">
        <f>AAF!$E$40</f>
        <v>19.524906050365885</v>
      </c>
      <c r="K72" s="31">
        <f>AAF!$F$40</f>
        <v>14.569252643646669</v>
      </c>
      <c r="L72" s="31">
        <f>AAF!$G$40</f>
        <v>11.715298943175043</v>
      </c>
      <c r="M72" s="29">
        <f>AAF!$H$40</f>
        <v>0.3031469796818087</v>
      </c>
      <c r="N72" s="40"/>
      <c r="O72" s="31">
        <f>AAF!$D$44</f>
        <v>17.27269546301077</v>
      </c>
      <c r="P72" s="31">
        <f>AAF!$E$44</f>
        <v>14.539909309546033</v>
      </c>
      <c r="Q72" s="31">
        <f>AAF!$F$44</f>
        <v>10.671287872346209</v>
      </c>
      <c r="R72" s="31">
        <f>AAF!$G$44</f>
        <v>8.8812456060082958</v>
      </c>
      <c r="S72" s="135">
        <f>AAF!$H$44</f>
        <v>0.22297308210976796</v>
      </c>
      <c r="T72" s="30"/>
      <c r="U72" s="32" t="str">
        <f t="shared" ref="U72:V76" si="9">U21</f>
        <v>GBP3.60</v>
      </c>
      <c r="V72" s="28" t="str">
        <f t="shared" si="9"/>
        <v>Airtel Africa</v>
      </c>
    </row>
    <row r="73" spans="1:22" s="5" customFormat="1">
      <c r="A73" s="23"/>
      <c r="B73" s="26"/>
      <c r="C73" s="32" t="str">
        <f t="shared" si="8"/>
        <v>MTN</v>
      </c>
      <c r="D73" s="28" t="str">
        <f t="shared" si="8"/>
        <v>ZAR 206.35</v>
      </c>
      <c r="E73" s="28" t="str">
        <f t="shared" si="8"/>
        <v>ZAR 280.00</v>
      </c>
      <c r="F73" s="29">
        <f t="shared" si="8"/>
        <v>0.35691785800823839</v>
      </c>
      <c r="G73" s="28" t="str">
        <f t="shared" si="8"/>
        <v>Buy</v>
      </c>
      <c r="H73" s="30"/>
      <c r="I73" s="31">
        <f>MTN!$D$40</f>
        <v>19.842838698155148</v>
      </c>
      <c r="J73" s="31">
        <f>MTN!$E$40</f>
        <v>14.201137934509388</v>
      </c>
      <c r="K73" s="31">
        <f>MTN!$F$40</f>
        <v>10.456411268837458</v>
      </c>
      <c r="L73" s="31">
        <f>MTN!$G$40</f>
        <v>8.2170650485392844</v>
      </c>
      <c r="M73" s="29">
        <f>MTN!$H$40</f>
        <v>0.25965456672718101</v>
      </c>
      <c r="N73" s="40"/>
      <c r="O73" s="31">
        <f>MTN!$D$44</f>
        <v>14.196074085519244</v>
      </c>
      <c r="P73" s="31">
        <f>MTN!$E$44</f>
        <v>10.767784139316934</v>
      </c>
      <c r="Q73" s="31">
        <f>MTN!$F$44</f>
        <v>8.2025934611792302</v>
      </c>
      <c r="R73" s="31">
        <f>MTN!$G$44</f>
        <v>6.9012449628194386</v>
      </c>
      <c r="S73" s="135">
        <f>MTN!$H$44</f>
        <v>0.27173395393183419</v>
      </c>
      <c r="T73" s="30"/>
      <c r="U73" s="32" t="str">
        <f t="shared" si="9"/>
        <v>ZAR 206.35</v>
      </c>
      <c r="V73" s="28" t="str">
        <f t="shared" si="9"/>
        <v>MTN</v>
      </c>
    </row>
    <row r="74" spans="1:22" s="5" customFormat="1">
      <c r="A74" s="23"/>
      <c r="B74" s="26"/>
      <c r="C74" s="32" t="s">
        <v>334</v>
      </c>
      <c r="D74" s="28" t="str">
        <f t="shared" ref="D74:G76" si="10">D23</f>
        <v>KES 29.90</v>
      </c>
      <c r="E74" s="28" t="str">
        <f t="shared" si="10"/>
        <v>KES 40.0</v>
      </c>
      <c r="F74" s="29">
        <f t="shared" si="10"/>
        <v>0.33779264214046822</v>
      </c>
      <c r="G74" s="28" t="str">
        <f t="shared" si="10"/>
        <v>Buy</v>
      </c>
      <c r="H74" s="30"/>
      <c r="I74" s="31">
        <f>SAF!$D$40</f>
        <v>16.877514655232268</v>
      </c>
      <c r="J74" s="31">
        <f>SAF!$E$40</f>
        <v>13.352328036175262</v>
      </c>
      <c r="K74" s="31">
        <f>SAF!$F$40</f>
        <v>11.241631071299855</v>
      </c>
      <c r="L74" s="31">
        <f>SAF!$G$40</f>
        <v>9.2548477930363386</v>
      </c>
      <c r="M74" s="29">
        <f>SAF!$H$40</f>
        <v>0.12842449551270874</v>
      </c>
      <c r="N74" s="40"/>
      <c r="O74" s="31">
        <f>SAF!$D$44</f>
        <v>12.170309480753213</v>
      </c>
      <c r="P74" s="31">
        <f>SAF!$E$44</f>
        <v>10.427039228418277</v>
      </c>
      <c r="Q74" s="31">
        <f>SAF!$F$44</f>
        <v>9.3517537417735603</v>
      </c>
      <c r="R74" s="31">
        <f>SAF!$G$44</f>
        <v>8.4290290849174063</v>
      </c>
      <c r="S74" s="135">
        <f>SAF!$H$44</f>
        <v>0.13025045335040586</v>
      </c>
      <c r="T74" s="30"/>
      <c r="U74" s="32" t="str">
        <f t="shared" si="9"/>
        <v>KES 29.90</v>
      </c>
      <c r="V74" s="28" t="str">
        <f t="shared" si="9"/>
        <v>Safaricom</v>
      </c>
    </row>
    <row r="75" spans="1:22" s="5" customFormat="1">
      <c r="A75" s="23"/>
      <c r="B75" s="26"/>
      <c r="C75" s="32" t="str">
        <f>C24</f>
        <v>VEON</v>
      </c>
      <c r="D75" s="28" t="str">
        <f t="shared" si="10"/>
        <v>USD 54.9</v>
      </c>
      <c r="E75" s="28" t="str">
        <f t="shared" si="10"/>
        <v>USD 100.0</v>
      </c>
      <c r="F75" s="29">
        <f t="shared" si="10"/>
        <v>0.82116190129302513</v>
      </c>
      <c r="G75" s="28" t="str">
        <f t="shared" si="10"/>
        <v>Buy</v>
      </c>
      <c r="H75" s="30"/>
      <c r="I75" s="31">
        <f>VIMP!$D$40</f>
        <v>10.353822198916314</v>
      </c>
      <c r="J75" s="31">
        <f>VIMP!$E$40</f>
        <v>9.4648740224743637</v>
      </c>
      <c r="K75" s="31">
        <f>VIMP!$F$40</f>
        <v>8.035673479087988</v>
      </c>
      <c r="L75" s="31">
        <f>VIMP!$G$40</f>
        <v>6.8881255229619001</v>
      </c>
      <c r="M75" s="29">
        <f>VIMP!$H$40</f>
        <v>7.8376257980522279E-2</v>
      </c>
      <c r="N75" s="40"/>
      <c r="O75" s="31">
        <f>VIMP!$D$44</f>
        <v>7.3333852891272198</v>
      </c>
      <c r="P75" s="31">
        <f>VIMP!$E$44</f>
        <v>7.1190809125197871</v>
      </c>
      <c r="Q75" s="31">
        <f>VIMP!$F$44</f>
        <v>5.9478890700200155</v>
      </c>
      <c r="R75" s="31">
        <f>VIMP!$G$44</f>
        <v>4.9584685247500735</v>
      </c>
      <c r="S75" s="29">
        <f>VIMP!$H$44</f>
        <v>0.12897638639085662</v>
      </c>
      <c r="T75" s="30"/>
      <c r="U75" s="32" t="str">
        <f t="shared" si="9"/>
        <v>USD 54.9</v>
      </c>
      <c r="V75" s="28" t="str">
        <f t="shared" si="9"/>
        <v>VEON</v>
      </c>
    </row>
    <row r="76" spans="1:22">
      <c r="C76" s="32" t="str">
        <f>C25</f>
        <v>Vodacom</v>
      </c>
      <c r="D76" s="28" t="str">
        <f t="shared" si="10"/>
        <v>ZAR 145.6</v>
      </c>
      <c r="E76" s="28" t="str">
        <f t="shared" si="10"/>
        <v>ZAR 215.0</v>
      </c>
      <c r="F76" s="29">
        <f t="shared" si="10"/>
        <v>0.47685121582634959</v>
      </c>
      <c r="G76" s="28" t="str">
        <f t="shared" si="10"/>
        <v>Buy</v>
      </c>
      <c r="H76" s="30"/>
      <c r="I76" s="31">
        <f>VODA!$D$40</f>
        <v>19.718544833349114</v>
      </c>
      <c r="J76" s="31">
        <f>VODA!$E$40</f>
        <v>32.521101903594982</v>
      </c>
      <c r="K76" s="31">
        <f>VODA!$F$40</f>
        <v>9.1400876549497028</v>
      </c>
      <c r="L76" s="31">
        <f>VODA!$G$40</f>
        <v>7.1679444453923091</v>
      </c>
      <c r="M76" s="29">
        <f>VODA!$H$40</f>
        <v>0.31933511342100629</v>
      </c>
      <c r="N76" s="40"/>
      <c r="O76" s="31">
        <f>VODA!$D$44</f>
        <v>14.983371590192004</v>
      </c>
      <c r="P76" s="31">
        <f>VODA!$E$44</f>
        <v>8.6205502354393264</v>
      </c>
      <c r="Q76" s="31">
        <f>VODA!$F$44</f>
        <v>7.0391865942865817</v>
      </c>
      <c r="R76" s="31">
        <f>VODA!$G$44</f>
        <v>5.9544735059984175</v>
      </c>
      <c r="S76" s="29">
        <f>VODA!$H$44</f>
        <v>0.35741752593832077</v>
      </c>
      <c r="T76" s="30"/>
      <c r="U76" s="32" t="str">
        <f t="shared" si="9"/>
        <v>ZAR 145.6</v>
      </c>
      <c r="V76" s="28" t="str">
        <f t="shared" si="9"/>
        <v>Vodacom</v>
      </c>
    </row>
    <row r="77" spans="1:22" s="5" customFormat="1">
      <c r="A77" s="23"/>
      <c r="B77" s="26"/>
      <c r="C77" s="35" t="str">
        <f>C26</f>
        <v>Agg. EMEA Cellular</v>
      </c>
      <c r="D77" s="36"/>
      <c r="E77" s="36"/>
      <c r="F77" s="37"/>
      <c r="G77" s="36"/>
      <c r="H77" s="30"/>
      <c r="I77" s="38">
        <f>'EMEA CELLULAR'!$D$40</f>
        <v>19.591583567499963</v>
      </c>
      <c r="J77" s="38">
        <f>'EMEA CELLULAR'!$E$40</f>
        <v>16.863939410662088</v>
      </c>
      <c r="K77" s="38">
        <f>'EMEA CELLULAR'!$F$40</f>
        <v>10.664588793239982</v>
      </c>
      <c r="L77" s="38">
        <f>'EMEA CELLULAR'!$G$40</f>
        <v>8.5573074542660397</v>
      </c>
      <c r="M77" s="39">
        <f>'EMEA CELLULAR'!$H$40</f>
        <v>0.24137238116561188</v>
      </c>
      <c r="N77" s="40"/>
      <c r="O77" s="38">
        <f>'EMEA CELLULAR'!$D$44</f>
        <v>13.987504843658609</v>
      </c>
      <c r="P77" s="38">
        <f>'EMEA CELLULAR'!$E$44</f>
        <v>10.43067037532062</v>
      </c>
      <c r="Q77" s="38">
        <f>'EMEA CELLULAR'!$F$44</f>
        <v>8.2767848489788651</v>
      </c>
      <c r="R77" s="38">
        <f>'EMEA CELLULAR'!$G$44</f>
        <v>7.004852314981683</v>
      </c>
      <c r="S77" s="39">
        <f>'EMEA CELLULAR'!$H$44</f>
        <v>0.25177251450443627</v>
      </c>
      <c r="T77" s="30"/>
      <c r="U77" s="41"/>
      <c r="V77" s="42" t="str">
        <f>V26</f>
        <v>Agg. EMEA Cellular</v>
      </c>
    </row>
    <row r="78" spans="1:22" s="5" customFormat="1">
      <c r="B78" s="26"/>
      <c r="C78" s="27"/>
      <c r="D78" s="28"/>
      <c r="E78" s="28"/>
      <c r="F78" s="29"/>
      <c r="G78" s="28"/>
      <c r="H78" s="30"/>
      <c r="I78" s="31"/>
      <c r="J78" s="31"/>
      <c r="K78" s="31"/>
      <c r="L78" s="31"/>
      <c r="M78" s="29"/>
      <c r="N78" s="40"/>
      <c r="O78" s="31"/>
      <c r="P78" s="31"/>
      <c r="Q78" s="31"/>
      <c r="R78" s="31"/>
      <c r="S78" s="29"/>
      <c r="T78" s="30"/>
      <c r="U78" s="32"/>
      <c r="V78" s="34"/>
    </row>
    <row r="79" spans="1:22" s="5" customFormat="1">
      <c r="B79" s="26"/>
      <c r="C79" s="32" t="str">
        <f t="shared" ref="C79:G81" si="11">C28</f>
        <v>Entel</v>
      </c>
      <c r="D79" s="28" t="str">
        <f t="shared" si="11"/>
        <v>CLP 3,643</v>
      </c>
      <c r="E79" s="28" t="str">
        <f t="shared" si="11"/>
        <v>CLP 3,150</v>
      </c>
      <c r="F79" s="29">
        <f t="shared" si="11"/>
        <v>-0.13532802635190777</v>
      </c>
      <c r="G79" s="28" t="str">
        <f t="shared" si="11"/>
        <v>Neutral</v>
      </c>
      <c r="H79" s="30"/>
      <c r="I79" s="31">
        <f>ENTEL!$D$40</f>
        <v>40.351219836919974</v>
      </c>
      <c r="J79" s="31">
        <f>ENTEL!$E$40</f>
        <v>25.177962918868701</v>
      </c>
      <c r="K79" s="31">
        <f>ENTEL!$F$40</f>
        <v>18.904340937312579</v>
      </c>
      <c r="L79" s="31">
        <f>ENTEL!$G$40</f>
        <v>14.509360038362235</v>
      </c>
      <c r="M79" s="29">
        <f>ENTEL!$H$40</f>
        <v>0.40264988066055385</v>
      </c>
      <c r="N79" s="40"/>
      <c r="O79" s="31">
        <f>ENTEL!$D$44</f>
        <v>11.447028791723621</v>
      </c>
      <c r="P79" s="31">
        <f>ENTEL!$E$44</f>
        <v>8.0496385567376354</v>
      </c>
      <c r="Q79" s="31">
        <f>ENTEL!$F$44</f>
        <v>6.4437033252973555</v>
      </c>
      <c r="R79" s="31">
        <f>ENTEL!$G$44</f>
        <v>6.0836394170204997</v>
      </c>
      <c r="S79" s="135">
        <f>ENTEL!$H$44</f>
        <v>0.23455308773700478</v>
      </c>
      <c r="T79" s="30"/>
      <c r="U79" s="32" t="str">
        <f t="shared" ref="U79:V81" si="12">U28</f>
        <v>CLP 3,643</v>
      </c>
      <c r="V79" s="28" t="str">
        <f t="shared" si="12"/>
        <v>Entel</v>
      </c>
    </row>
    <row r="80" spans="1:22" s="5" customFormat="1">
      <c r="B80" s="26"/>
      <c r="C80" s="32" t="str">
        <f t="shared" si="11"/>
        <v>Millicom</v>
      </c>
      <c r="D80" s="28" t="str">
        <f t="shared" si="11"/>
        <v>USD  83.6</v>
      </c>
      <c r="E80" s="28" t="str">
        <f t="shared" si="11"/>
        <v>USD 70.0</v>
      </c>
      <c r="F80" s="29">
        <f t="shared" si="11"/>
        <v>-0.16292974588938713</v>
      </c>
      <c r="G80" s="28" t="str">
        <f t="shared" si="11"/>
        <v>Buy</v>
      </c>
      <c r="H80" s="30"/>
      <c r="I80" s="31">
        <f>MILLI!$D$40</f>
        <v>17.392966571323171</v>
      </c>
      <c r="J80" s="31">
        <f>MILLI!$E$40</f>
        <v>15.270884702698378</v>
      </c>
      <c r="K80" s="31">
        <f>MILLI!$F$40</f>
        <v>13.139922918889267</v>
      </c>
      <c r="L80" s="31">
        <f>MILLI!$G$40</f>
        <v>11.898550513178877</v>
      </c>
      <c r="M80" s="29">
        <f>MILLI!$H$40</f>
        <v>0.11155850021021685</v>
      </c>
      <c r="N80" s="40"/>
      <c r="O80" s="31">
        <f>MILLI!$D$44</f>
        <v>27.824847271805154</v>
      </c>
      <c r="P80" s="31">
        <f>MILLI!$E$44</f>
        <v>16.948696363631687</v>
      </c>
      <c r="Q80" s="31">
        <f>MILLI!$F$44</f>
        <v>14.499644098831242</v>
      </c>
      <c r="R80" s="31">
        <f>MILLI!$G$44</f>
        <v>13.33769309769009</v>
      </c>
      <c r="S80" s="135">
        <f>MILLI!$H$44</f>
        <v>0.25396488153608887</v>
      </c>
      <c r="T80" s="30"/>
      <c r="U80" s="32" t="str">
        <f t="shared" si="12"/>
        <v>USD  83.6</v>
      </c>
      <c r="V80" s="28" t="str">
        <f t="shared" si="12"/>
        <v>Millicom</v>
      </c>
    </row>
    <row r="81" spans="1:26">
      <c r="A81" s="5"/>
      <c r="C81" s="32" t="str">
        <f t="shared" si="11"/>
        <v>TIM Participacoes</v>
      </c>
      <c r="D81" s="28" t="str">
        <f t="shared" si="11"/>
        <v>BRL 25.99</v>
      </c>
      <c r="E81" s="28" t="str">
        <f t="shared" si="11"/>
        <v>BRL 28.00</v>
      </c>
      <c r="F81" s="29">
        <f t="shared" si="11"/>
        <v>7.7337437475952342E-2</v>
      </c>
      <c r="G81" s="28" t="str">
        <f t="shared" si="11"/>
        <v>Buy</v>
      </c>
      <c r="H81" s="30"/>
      <c r="I81" s="31">
        <f>TIMP!$D$40</f>
        <v>6.005054526702418</v>
      </c>
      <c r="J81" s="31">
        <f>TIMP!$E$40</f>
        <v>4.6867699618684764</v>
      </c>
      <c r="K81" s="31">
        <f>TIMP!$F$40</f>
        <v>3.8909703708227248</v>
      </c>
      <c r="L81" s="31">
        <f>TIMP!$G$40</f>
        <v>2.7154570637302173</v>
      </c>
      <c r="M81" s="29">
        <f>TIMP!$H$40</f>
        <v>6.5854771633100162E-2</v>
      </c>
      <c r="N81" s="40"/>
      <c r="O81" s="31">
        <f>TIMP!$D$44</f>
        <v>7.1248079869424554</v>
      </c>
      <c r="P81" s="31">
        <f>TIMP!$E$44</f>
        <v>6.4106181357145342</v>
      </c>
      <c r="Q81" s="31">
        <f>TIMP!$F$44</f>
        <v>5.2861681948042758</v>
      </c>
      <c r="R81" s="31">
        <f>TIMP!$G$44</f>
        <v>4.4835879409527157</v>
      </c>
      <c r="S81" s="29">
        <f>TIMP!$H$44</f>
        <v>0.13617234123321875</v>
      </c>
      <c r="T81" s="30"/>
      <c r="U81" s="32" t="str">
        <f t="shared" si="12"/>
        <v>BRL 25.99</v>
      </c>
      <c r="V81" s="28" t="str">
        <f t="shared" si="12"/>
        <v>TIM Participacoes</v>
      </c>
    </row>
    <row r="82" spans="1:26">
      <c r="A82" s="25"/>
      <c r="B82" s="26" t="s">
        <v>483</v>
      </c>
      <c r="C82" s="32" t="s">
        <v>688</v>
      </c>
      <c r="D82" s="28" t="str">
        <f>'EM Multiples'!B82&amp;TEXT(Prices!C$115,"0.00")</f>
        <v>MXN59.40</v>
      </c>
      <c r="E82" s="28" t="str">
        <f>'EM Multiples'!B82&amp;TEXT(Prices!E$115,"0.00")</f>
        <v>MXN75.00</v>
      </c>
      <c r="F82" s="29">
        <f>Prices!F$115</f>
        <v>0.26262626262626276</v>
      </c>
      <c r="G82" s="28" t="str">
        <f>Prices!D$115</f>
        <v>Buy</v>
      </c>
      <c r="H82" s="30"/>
      <c r="I82" s="31">
        <f>MEGA!$D$40</f>
        <v>17.317767500287001</v>
      </c>
      <c r="J82" s="31">
        <f>MEGA!$E$40</f>
        <v>13.004572400012753</v>
      </c>
      <c r="K82" s="31">
        <f>MEGA!$F$40</f>
        <v>10.048259890959443</v>
      </c>
      <c r="L82" s="31">
        <f>MEGA!$G$40</f>
        <v>7.8516303830461585</v>
      </c>
      <c r="M82" s="29">
        <f>MEGA!$H$40</f>
        <v>0.21024413247389551</v>
      </c>
      <c r="N82" s="30"/>
      <c r="O82" s="31">
        <f>MEGA!$D$44</f>
        <v>7.3443688199472481</v>
      </c>
      <c r="P82" s="31">
        <f>MEGA!$E$44</f>
        <v>6.3145750756157568</v>
      </c>
      <c r="Q82" s="31">
        <f>MEGA!$F$44</f>
        <v>5.9664892277858339</v>
      </c>
      <c r="R82" s="31">
        <f>MEGA!$G$44</f>
        <v>5.5889731567713845</v>
      </c>
      <c r="S82" s="29">
        <f>MEGA!$H$44</f>
        <v>9.5319496581938612E-2</v>
      </c>
      <c r="T82" s="30"/>
      <c r="U82" s="32" t="str">
        <f>D82</f>
        <v>MXN59.40</v>
      </c>
      <c r="V82" s="28" t="str">
        <f>C82</f>
        <v>Megacable</v>
      </c>
      <c r="Z82" s="30"/>
    </row>
    <row r="83" spans="1:26">
      <c r="A83" s="5"/>
      <c r="B83" s="26" t="s">
        <v>331</v>
      </c>
      <c r="C83" s="32" t="s">
        <v>675</v>
      </c>
      <c r="D83" s="28" t="str">
        <f>'EM Multiples'!B83&amp;TEXT(Prices!C$118,"0.00")</f>
        <v>USD8.53</v>
      </c>
      <c r="E83" s="28" t="str">
        <f>'EM Multiples'!B83&amp;TEXT(Prices!E$118,"0.00")</f>
        <v>USD14.90</v>
      </c>
      <c r="F83" s="29">
        <f>Prices!F$118</f>
        <v>0.74780058651026393</v>
      </c>
      <c r="G83" s="28" t="str">
        <f>Prices!D$118</f>
        <v>Buy</v>
      </c>
      <c r="H83" s="30"/>
      <c r="I83" s="31">
        <f>LiLAC!$D$40</f>
        <v>14.373319711384852</v>
      </c>
      <c r="J83" s="31">
        <f>LiLAC!$E$40</f>
        <v>14.182302938500646</v>
      </c>
      <c r="K83" s="31">
        <f>LiLAC!$F$40</f>
        <v>12.737005410389731</v>
      </c>
      <c r="L83" s="31">
        <f>LiLAC!$G$40</f>
        <v>11.721502019082809</v>
      </c>
      <c r="M83" s="29">
        <f>LiLAC!$H$40</f>
        <v>4.7776351044717114E-2</v>
      </c>
      <c r="N83" s="30"/>
      <c r="O83" s="31">
        <f>LiLAC!$D$44</f>
        <v>9.1371918542336559</v>
      </c>
      <c r="P83" s="31">
        <f>LiLAC!$E$44</f>
        <v>32.840092627177448</v>
      </c>
      <c r="Q83" s="31">
        <f>LiLAC!$F$44</f>
        <v>14.621451879769813</v>
      </c>
      <c r="R83" s="31">
        <f>LiLAC!$G$44</f>
        <v>8.2794273793338267</v>
      </c>
      <c r="S83" s="29">
        <f>LiLAC!$H$44</f>
        <v>6.8962540355370638E-3</v>
      </c>
      <c r="T83" s="30"/>
      <c r="U83" s="32" t="str">
        <f>D83</f>
        <v>USD8.53</v>
      </c>
      <c r="V83" s="28" t="str">
        <f>C83</f>
        <v>LiLAC</v>
      </c>
      <c r="Z83" s="30"/>
    </row>
    <row r="84" spans="1:26" s="5" customFormat="1">
      <c r="B84" s="26"/>
      <c r="C84" s="35" t="str">
        <f>C33</f>
        <v>Agg. LatAm Other</v>
      </c>
      <c r="D84" s="36"/>
      <c r="E84" s="36"/>
      <c r="F84" s="37"/>
      <c r="G84" s="36"/>
      <c r="H84" s="30"/>
      <c r="I84" s="38">
        <f>'LATAM OTHER'!$D$40</f>
        <v>12.943748486442482</v>
      </c>
      <c r="J84" s="38">
        <f>'LATAM OTHER'!$E$40</f>
        <v>11.262139134791388</v>
      </c>
      <c r="K84" s="38">
        <f>'LATAM OTHER'!$F$40</f>
        <v>9.8509660228840694</v>
      </c>
      <c r="L84" s="38">
        <f>'LATAM OTHER'!$G$40</f>
        <v>8.4548305272648268</v>
      </c>
      <c r="M84" s="39">
        <f>'LATAM OTHER'!$H$40</f>
        <v>9.692085592490618E-2</v>
      </c>
      <c r="N84" s="40"/>
      <c r="O84" s="38">
        <f>'LATAM OTHER'!$D$44</f>
        <v>12.587422154239039</v>
      </c>
      <c r="P84" s="38">
        <f>'LATAM OTHER'!$E$44</f>
        <v>10.558225413184802</v>
      </c>
      <c r="Q84" s="38">
        <f>'LATAM OTHER'!$F$44</f>
        <v>8.851083192314551</v>
      </c>
      <c r="R84" s="38">
        <f>'LATAM OTHER'!$G$44</f>
        <v>7.7346026411363038</v>
      </c>
      <c r="S84" s="39">
        <f>'LATAM OTHER'!$H$44</f>
        <v>0.15515708992416144</v>
      </c>
      <c r="T84" s="30"/>
      <c r="U84" s="41"/>
      <c r="V84" s="42" t="str">
        <f>V33</f>
        <v>Agg. LatAm Cellular</v>
      </c>
      <c r="Z84" s="30"/>
    </row>
    <row r="85" spans="1:26" s="5" customFormat="1">
      <c r="A85" s="23"/>
      <c r="B85" s="26"/>
      <c r="C85" s="27"/>
      <c r="D85" s="28"/>
      <c r="E85" s="28"/>
      <c r="F85" s="29"/>
      <c r="G85" s="28"/>
      <c r="H85" s="30"/>
      <c r="I85" s="31"/>
      <c r="J85" s="31"/>
      <c r="K85" s="31"/>
      <c r="L85" s="31"/>
      <c r="M85" s="29"/>
      <c r="N85" s="30"/>
      <c r="O85" s="31"/>
      <c r="P85" s="31"/>
      <c r="Q85" s="31"/>
      <c r="R85" s="31"/>
      <c r="S85" s="29"/>
      <c r="T85" s="30"/>
      <c r="U85" s="32"/>
      <c r="V85" s="34"/>
      <c r="Z85" s="30"/>
    </row>
    <row r="86" spans="1:26" s="5" customFormat="1">
      <c r="B86" s="26"/>
      <c r="C86" s="32" t="str">
        <f t="shared" ref="C86:G97" si="13">C35</f>
        <v>AIS</v>
      </c>
      <c r="D86" s="28" t="str">
        <f t="shared" si="13"/>
        <v>THB 349.0</v>
      </c>
      <c r="E86" s="28" t="str">
        <f t="shared" si="13"/>
        <v>THB 330.0</v>
      </c>
      <c r="F86" s="29">
        <f t="shared" si="13"/>
        <v>-5.4441260744985676E-2</v>
      </c>
      <c r="G86" s="28" t="str">
        <f t="shared" si="13"/>
        <v>Buy</v>
      </c>
      <c r="H86" s="30"/>
      <c r="I86" s="31">
        <f>ADVANCED!$D$40</f>
        <v>16.285130265072937</v>
      </c>
      <c r="J86" s="31">
        <f>ADVANCED!$E$40</f>
        <v>15.002321914093615</v>
      </c>
      <c r="K86" s="31">
        <f>ADVANCED!$F$40</f>
        <v>13.5266078257412</v>
      </c>
      <c r="L86" s="31">
        <f>ADVANCED!$G$40</f>
        <v>12.107917307222076</v>
      </c>
      <c r="M86" s="29">
        <f>ADVANCED!$H$40</f>
        <v>3.3238161140883182E-2</v>
      </c>
      <c r="N86" s="30"/>
      <c r="O86" s="31">
        <f>ADVANCED!$D$44</f>
        <v>24.551564202812902</v>
      </c>
      <c r="P86" s="31">
        <f>ADVANCED!$E$44</f>
        <v>22.468383374697179</v>
      </c>
      <c r="Q86" s="31">
        <f>ADVANCED!$F$44</f>
        <v>20.566289309391141</v>
      </c>
      <c r="R86" s="31">
        <f>ADVANCED!$G$44</f>
        <v>18.483207947405919</v>
      </c>
      <c r="S86" s="29">
        <f>ADVANCED!$H$44</f>
        <v>9.9260457061303375E-2</v>
      </c>
      <c r="T86" s="30"/>
      <c r="U86" s="32" t="str">
        <f t="shared" ref="U86:V97" si="14">U35</f>
        <v>THB 349.0</v>
      </c>
      <c r="V86" s="28" t="str">
        <f t="shared" si="14"/>
        <v>AIS</v>
      </c>
      <c r="Z86" s="30"/>
    </row>
    <row r="87" spans="1:26" s="5" customFormat="1">
      <c r="A87" s="23"/>
      <c r="B87" s="26"/>
      <c r="C87" s="32" t="str">
        <f t="shared" si="13"/>
        <v>Axiata</v>
      </c>
      <c r="D87" s="28" t="str">
        <f t="shared" si="13"/>
        <v>MYR 2.24</v>
      </c>
      <c r="E87" s="28" t="str">
        <f t="shared" si="13"/>
        <v>MYR 4.50</v>
      </c>
      <c r="F87" s="29">
        <f t="shared" si="13"/>
        <v>1.0089285714285712</v>
      </c>
      <c r="G87" s="28" t="str">
        <f t="shared" si="13"/>
        <v>Buy</v>
      </c>
      <c r="H87" s="30"/>
      <c r="I87" s="31">
        <f>AXI!$D$40</f>
        <v>19.383419939577038</v>
      </c>
      <c r="J87" s="31">
        <f>AXI!$E$40</f>
        <v>20.286239153439151</v>
      </c>
      <c r="K87" s="31">
        <f>AXI!$F$40</f>
        <v>16.656218459727953</v>
      </c>
      <c r="L87" s="31">
        <f>AXI!$G$40</f>
        <v>14.918658765797121</v>
      </c>
      <c r="M87" s="29">
        <f>AXI!$H$40</f>
        <v>0.11383977439356463</v>
      </c>
      <c r="N87" s="30"/>
      <c r="O87" s="31">
        <f>AXI!$D$44</f>
        <v>26.505225225225228</v>
      </c>
      <c r="P87" s="31">
        <f>AXI!$E$44</f>
        <v>22.073483386923904</v>
      </c>
      <c r="Q87" s="31">
        <f>AXI!$F$44</f>
        <v>15.098651026392963</v>
      </c>
      <c r="R87" s="31">
        <f>AXI!$G$44</f>
        <v>10.390797174571141</v>
      </c>
      <c r="S87" s="29">
        <f>AXI!$H$44</f>
        <v>0.3663465895454272</v>
      </c>
      <c r="T87" s="30"/>
      <c r="U87" s="32" t="str">
        <f t="shared" si="14"/>
        <v>MYR 2.24</v>
      </c>
      <c r="V87" s="28" t="str">
        <f t="shared" si="14"/>
        <v>Axiata</v>
      </c>
      <c r="Z87" s="30"/>
    </row>
    <row r="88" spans="1:26" s="5" customFormat="1">
      <c r="A88" s="23"/>
      <c r="B88" s="26"/>
      <c r="C88" s="32" t="str">
        <f t="shared" si="13"/>
        <v>Bharti Airtel</v>
      </c>
      <c r="D88" s="28" t="str">
        <f t="shared" si="13"/>
        <v>INR 1815</v>
      </c>
      <c r="E88" s="28" t="str">
        <f t="shared" si="13"/>
        <v>INR 2750</v>
      </c>
      <c r="F88" s="29">
        <f t="shared" si="13"/>
        <v>0.51540199482008031</v>
      </c>
      <c r="G88" s="28" t="str">
        <f t="shared" si="13"/>
        <v>Buy</v>
      </c>
      <c r="H88" s="30"/>
      <c r="I88" s="31">
        <f>BHART!$D$40</f>
        <v>21.157962165041766</v>
      </c>
      <c r="J88" s="31">
        <f>BHART!$E$40</f>
        <v>16.419966203190029</v>
      </c>
      <c r="K88" s="31">
        <f>BHART!$F$40</f>
        <v>12.890140342409945</v>
      </c>
      <c r="L88" s="31">
        <f>BHART!$G$40</f>
        <v>10.459572146136624</v>
      </c>
      <c r="M88" s="29">
        <f>BHART!$H$40</f>
        <v>0.19970017543376728</v>
      </c>
      <c r="N88" s="30"/>
      <c r="O88" s="31">
        <f>BHART!$D$44</f>
        <v>34.843676211777634</v>
      </c>
      <c r="P88" s="31">
        <f>BHART!$E$44</f>
        <v>23.577955128918017</v>
      </c>
      <c r="Q88" s="31">
        <f>BHART!$F$44</f>
        <v>17.701177465992927</v>
      </c>
      <c r="R88" s="31">
        <f>BHART!$G$44</f>
        <v>14.129765955895925</v>
      </c>
      <c r="S88" s="29">
        <f>BHART!$H$44</f>
        <v>0.35102380192086469</v>
      </c>
      <c r="T88" s="30"/>
      <c r="U88" s="32" t="str">
        <f t="shared" si="14"/>
        <v>INR 1815</v>
      </c>
      <c r="V88" s="28" t="str">
        <f t="shared" si="14"/>
        <v>Bharti Airtel</v>
      </c>
      <c r="Z88" s="30"/>
    </row>
    <row r="89" spans="1:26" s="5" customFormat="1">
      <c r="B89" s="26"/>
      <c r="C89" s="32" t="str">
        <f t="shared" si="13"/>
        <v>China Mobile</v>
      </c>
      <c r="D89" s="28" t="str">
        <f t="shared" si="13"/>
        <v>HKD 83.9</v>
      </c>
      <c r="E89" s="28" t="str">
        <f t="shared" si="13"/>
        <v>HKD 115.0</v>
      </c>
      <c r="F89" s="29">
        <f t="shared" si="13"/>
        <v>0.37067938021454094</v>
      </c>
      <c r="G89" s="28" t="str">
        <f t="shared" si="13"/>
        <v>Buy</v>
      </c>
      <c r="H89" s="30"/>
      <c r="I89" s="31">
        <f>_CM!$D$40</f>
        <v>8.1197143356930539</v>
      </c>
      <c r="J89" s="31">
        <f>_CM!$E$40</f>
        <v>6.7174704663385265</v>
      </c>
      <c r="K89" s="31">
        <f>_CM!$F$40</f>
        <v>5.7970723567128335</v>
      </c>
      <c r="L89" s="31">
        <f>_CM!$G$40</f>
        <v>4.4894947909906353</v>
      </c>
      <c r="M89" s="29">
        <f>_CM!$H$40</f>
        <v>5.2965759064201645E-2</v>
      </c>
      <c r="N89" s="30"/>
      <c r="O89" s="31">
        <f>_CM!$D$44</f>
        <v>10.808867358614416</v>
      </c>
      <c r="P89" s="31">
        <f>_CM!$E$44</f>
        <v>10.23996187776843</v>
      </c>
      <c r="Q89" s="31">
        <f>_CM!$F$44</f>
        <v>9.6644169076620674</v>
      </c>
      <c r="R89" s="31">
        <f>_CM!$G$44</f>
        <v>9.1044583845291545</v>
      </c>
      <c r="S89" s="29">
        <f>_CM!$H$44</f>
        <v>5.886848855836968E-2</v>
      </c>
      <c r="T89" s="30"/>
      <c r="U89" s="32" t="str">
        <f t="shared" si="14"/>
        <v>HKD 83.9</v>
      </c>
      <c r="V89" s="28" t="str">
        <f t="shared" si="14"/>
        <v>China Mobile</v>
      </c>
      <c r="Z89" s="30"/>
    </row>
    <row r="90" spans="1:26" s="5" customFormat="1">
      <c r="B90" s="26"/>
      <c r="C90" s="32" t="str">
        <f t="shared" si="13"/>
        <v>CelcomDigi</v>
      </c>
      <c r="D90" s="28" t="str">
        <f t="shared" si="13"/>
        <v>MYR 3.0</v>
      </c>
      <c r="E90" s="28" t="str">
        <f t="shared" si="13"/>
        <v>MYR 5.6</v>
      </c>
      <c r="F90" s="29">
        <f t="shared" si="13"/>
        <v>0.88552188552188538</v>
      </c>
      <c r="G90" s="28" t="str">
        <f t="shared" si="13"/>
        <v>Buy</v>
      </c>
      <c r="H90" s="30"/>
      <c r="I90" s="31">
        <f>DIGI!$D$40</f>
        <v>15.751881629885014</v>
      </c>
      <c r="J90" s="31">
        <f>DIGI!$E$40</f>
        <v>13.925866334584791</v>
      </c>
      <c r="K90" s="31">
        <f>DIGI!$F$40</f>
        <v>11.767071662466243</v>
      </c>
      <c r="L90" s="31">
        <f>DIGI!$G$40</f>
        <v>10.420248255685285</v>
      </c>
      <c r="M90" s="29">
        <f>DIGI!$H$40</f>
        <v>6.5501461177984721E-2</v>
      </c>
      <c r="N90" s="30"/>
      <c r="O90" s="31">
        <f>DIGI!$D$44</f>
        <v>19.87852760493768</v>
      </c>
      <c r="P90" s="31">
        <f>DIGI!$E$44</f>
        <v>19.19999902057581</v>
      </c>
      <c r="Q90" s="31">
        <f>DIGI!$F$44</f>
        <v>17.78216923283486</v>
      </c>
      <c r="R90" s="31">
        <f>DIGI!$G$44</f>
        <v>15.971829861456992</v>
      </c>
      <c r="S90" s="29">
        <f>DIGI!$H$44</f>
        <v>7.5663699372075177E-2</v>
      </c>
      <c r="T90" s="30"/>
      <c r="U90" s="32" t="str">
        <f t="shared" si="14"/>
        <v>MYR 3.0</v>
      </c>
      <c r="V90" s="28" t="str">
        <f t="shared" si="14"/>
        <v>CelcomDigi</v>
      </c>
      <c r="Z90" s="30"/>
    </row>
    <row r="91" spans="1:26" s="5" customFormat="1">
      <c r="B91" s="26"/>
      <c r="C91" s="32" t="str">
        <f t="shared" si="13"/>
        <v>Vodafone IDEA</v>
      </c>
      <c r="D91" s="28" t="str">
        <f t="shared" si="13"/>
        <v>INR 9.5</v>
      </c>
      <c r="E91" s="28" t="str">
        <f t="shared" si="13"/>
        <v>INR 10.0</v>
      </c>
      <c r="F91" s="29">
        <f t="shared" si="13"/>
        <v>5.0420168067226934E-2</v>
      </c>
      <c r="G91" s="28" t="str">
        <f t="shared" si="13"/>
        <v>Neutral</v>
      </c>
      <c r="H91" s="30"/>
      <c r="I91" s="31">
        <f>IDEA!$D$40</f>
        <v>205.98712177320394</v>
      </c>
      <c r="J91" s="31">
        <f>IDEA!$E$40</f>
        <v>76.059474446943</v>
      </c>
      <c r="K91" s="31">
        <f>IDEA!$F$40</f>
        <v>48.282239778667218</v>
      </c>
      <c r="L91" s="31">
        <f>IDEA!$G$40</f>
        <v>31.460431863033389</v>
      </c>
      <c r="M91" s="29">
        <f>IDEA!$H$40</f>
        <v>1.0339149572837707</v>
      </c>
      <c r="N91" s="30"/>
      <c r="O91" s="31">
        <f>IDEA!$D$44</f>
        <v>-2.6392202141354866</v>
      </c>
      <c r="P91" s="31">
        <f>IDEA!$E$44</f>
        <v>-2.5035559556743832</v>
      </c>
      <c r="Q91" s="31">
        <f>IDEA!$F$44</f>
        <v>-2.5724194881335269</v>
      </c>
      <c r="R91" s="31">
        <f>IDEA!$G$44</f>
        <v>-2.6485634960440869</v>
      </c>
      <c r="S91" s="29">
        <f>IDEA!$H$44</f>
        <v>-1.1772784511561163E-3</v>
      </c>
      <c r="T91" s="30"/>
      <c r="U91" s="32" t="str">
        <f t="shared" si="14"/>
        <v>INR 9.5</v>
      </c>
      <c r="V91" s="28" t="str">
        <f t="shared" si="14"/>
        <v>Vodafone IDEA</v>
      </c>
      <c r="Z91" s="30"/>
    </row>
    <row r="92" spans="1:26" s="5" customFormat="1">
      <c r="B92" s="26"/>
      <c r="C92" s="32" t="str">
        <f t="shared" si="13"/>
        <v>Indosat</v>
      </c>
      <c r="D92" s="28" t="str">
        <f t="shared" si="13"/>
        <v>IDR 1,970</v>
      </c>
      <c r="E92" s="28" t="str">
        <f t="shared" si="13"/>
        <v>IDR 2,800</v>
      </c>
      <c r="F92" s="29">
        <f t="shared" si="13"/>
        <v>0.42131979695431476</v>
      </c>
      <c r="G92" s="28" t="str">
        <f t="shared" si="13"/>
        <v>Buy</v>
      </c>
      <c r="H92" s="30"/>
      <c r="I92" s="31">
        <f>INDO!$D$40</f>
        <v>12.446935751750816</v>
      </c>
      <c r="J92" s="31">
        <f>INDO!$E$40</f>
        <v>10.140755080506992</v>
      </c>
      <c r="K92" s="31">
        <f>INDO!$F$40</f>
        <v>8.6370518298406012</v>
      </c>
      <c r="L92" s="31">
        <f>INDO!$G$40</f>
        <v>7.6360600373987912</v>
      </c>
      <c r="M92" s="29">
        <f>INDO!$H$40</f>
        <v>0.15500685352320409</v>
      </c>
      <c r="N92" s="30"/>
      <c r="O92" s="31">
        <f>INDO!$D$44</f>
        <v>13.872689319383468</v>
      </c>
      <c r="P92" s="31">
        <f>INDO!$E$44</f>
        <v>11.988747163332013</v>
      </c>
      <c r="Q92" s="31">
        <f>INDO!$F$44</f>
        <v>9.9858187497166906</v>
      </c>
      <c r="R92" s="31">
        <f>INDO!$G$44</f>
        <v>8.6931436473876147</v>
      </c>
      <c r="S92" s="29">
        <f>INDO!$H$44</f>
        <v>0.16858758499956239</v>
      </c>
      <c r="T92" s="30"/>
      <c r="U92" s="32" t="str">
        <f t="shared" si="14"/>
        <v>IDR 1,970</v>
      </c>
      <c r="V92" s="28" t="str">
        <f t="shared" si="14"/>
        <v>Indosat</v>
      </c>
      <c r="Z92" s="30"/>
    </row>
    <row r="93" spans="1:26" s="5" customFormat="1">
      <c r="B93" s="26"/>
      <c r="C93" s="32" t="str">
        <f t="shared" si="13"/>
        <v>LG Uplus</v>
      </c>
      <c r="D93" s="28" t="str">
        <f t="shared" si="13"/>
        <v>KRW 16,600</v>
      </c>
      <c r="E93" s="28" t="str">
        <f t="shared" si="13"/>
        <v>KRW 19,000</v>
      </c>
      <c r="F93" s="29">
        <f t="shared" si="13"/>
        <v>0.14457831325301207</v>
      </c>
      <c r="G93" s="28" t="str">
        <f t="shared" si="13"/>
        <v>Buy</v>
      </c>
      <c r="H93" s="30"/>
      <c r="I93" s="31">
        <f>_LG!$D$40</f>
        <v>10.912676989660254</v>
      </c>
      <c r="J93" s="31">
        <f>_LG!$E$40</f>
        <v>9.7435156594447125</v>
      </c>
      <c r="K93" s="31">
        <f>_LG!$F$40</f>
        <v>8.8182194888458874</v>
      </c>
      <c r="L93" s="31">
        <f>_LG!$G$40</f>
        <v>7.91061422061449</v>
      </c>
      <c r="M93" s="29">
        <f>_LG!$H$40</f>
        <v>3.7845097303092379E-2</v>
      </c>
      <c r="N93" s="30"/>
      <c r="O93" s="31">
        <f>_LG!$D$44</f>
        <v>11.610774356435321</v>
      </c>
      <c r="P93" s="31">
        <f>_LG!$E$44</f>
        <v>8.7966072943422855</v>
      </c>
      <c r="Q93" s="31">
        <f>_LG!$F$44</f>
        <v>7.366407850124066</v>
      </c>
      <c r="R93" s="31">
        <f>_LG!$G$44</f>
        <v>6.3859814494452412</v>
      </c>
      <c r="S93" s="29">
        <f>_LG!$H$44</f>
        <v>0.20403023336979231</v>
      </c>
      <c r="T93" s="30"/>
      <c r="U93" s="32" t="str">
        <f t="shared" si="14"/>
        <v>KRW 16,600</v>
      </c>
      <c r="V93" s="28" t="str">
        <f t="shared" si="14"/>
        <v>LG Uplus</v>
      </c>
      <c r="Z93" s="30"/>
    </row>
    <row r="94" spans="1:26" s="5" customFormat="1">
      <c r="A94" s="23"/>
      <c r="B94" s="26"/>
      <c r="C94" s="32" t="str">
        <f t="shared" si="13"/>
        <v>Maxis</v>
      </c>
      <c r="D94" s="28" t="str">
        <f t="shared" si="13"/>
        <v>MYR 3.50</v>
      </c>
      <c r="E94" s="28" t="str">
        <f t="shared" si="13"/>
        <v>MYR 5.10</v>
      </c>
      <c r="F94" s="29">
        <f t="shared" si="13"/>
        <v>0.45714285714285707</v>
      </c>
      <c r="G94" s="28" t="str">
        <f t="shared" si="13"/>
        <v>Buy</v>
      </c>
      <c r="H94" s="30"/>
      <c r="I94" s="31">
        <f>MAXI!$D$40</f>
        <v>15.476317968917121</v>
      </c>
      <c r="J94" s="31">
        <f>MAXI!$E$40</f>
        <v>14.02814066890225</v>
      </c>
      <c r="K94" s="31">
        <f>MAXI!$F$40</f>
        <v>12.730557879043674</v>
      </c>
      <c r="L94" s="31">
        <f>MAXI!$G$40</f>
        <v>11.481740818962122</v>
      </c>
      <c r="M94" s="29">
        <f>MAXI!$H$40</f>
        <v>3.6599917732347942E-2</v>
      </c>
      <c r="N94" s="30"/>
      <c r="O94" s="31">
        <f>MAXI!$D$44</f>
        <v>17.396960408868274</v>
      </c>
      <c r="P94" s="31">
        <f>MAXI!$E$44</f>
        <v>15.495960151669154</v>
      </c>
      <c r="Q94" s="31">
        <f>MAXI!$F$44</f>
        <v>14.268151740466468</v>
      </c>
      <c r="R94" s="31">
        <f>MAXI!$G$44</f>
        <v>13.321288540885767</v>
      </c>
      <c r="S94" s="29">
        <f>MAXI!$H$44</f>
        <v>9.3195463026179759E-2</v>
      </c>
      <c r="T94" s="30"/>
      <c r="U94" s="32" t="str">
        <f t="shared" si="14"/>
        <v>MYR 3.50</v>
      </c>
      <c r="V94" s="28" t="str">
        <f t="shared" si="14"/>
        <v>Maxis</v>
      </c>
      <c r="Z94" s="30"/>
    </row>
    <row r="95" spans="1:26" s="5" customFormat="1">
      <c r="B95" s="26"/>
      <c r="C95" s="32" t="str">
        <f t="shared" si="13"/>
        <v>SK Telecom</v>
      </c>
      <c r="D95" s="28" t="str">
        <f t="shared" si="13"/>
        <v>KRW 100,000</v>
      </c>
      <c r="E95" s="28" t="str">
        <f t="shared" si="13"/>
        <v>KRW 78,000</v>
      </c>
      <c r="F95" s="29">
        <f t="shared" si="13"/>
        <v>-0.21999999999999997</v>
      </c>
      <c r="G95" s="28" t="str">
        <f t="shared" si="13"/>
        <v>Neutral</v>
      </c>
      <c r="H95" s="30"/>
      <c r="I95" s="31">
        <f>SKT!$D$40</f>
        <v>16.557006708055756</v>
      </c>
      <c r="J95" s="31">
        <f>SKT!$E$40</f>
        <v>14.174747957570229</v>
      </c>
      <c r="K95" s="31">
        <f>SKT!$F$40</f>
        <v>13.021115705596031</v>
      </c>
      <c r="L95" s="31">
        <f>SKT!$G$40</f>
        <v>11.885522370654094</v>
      </c>
      <c r="M95" s="29">
        <f>SKT!$H$40</f>
        <v>5.5027618916880128E-2</v>
      </c>
      <c r="N95" s="30"/>
      <c r="O95" s="31">
        <f>SKT!$D$44</f>
        <v>34.072264820882097</v>
      </c>
      <c r="P95" s="31">
        <f>SKT!$E$44</f>
        <v>24.844930000786775</v>
      </c>
      <c r="Q95" s="31">
        <f>SKT!$F$44</f>
        <v>22.313609764007715</v>
      </c>
      <c r="R95" s="31">
        <f>SKT!$G$44</f>
        <v>20.143194721549207</v>
      </c>
      <c r="S95" s="29">
        <f>SKT!$H$44</f>
        <v>0.1827254309381432</v>
      </c>
      <c r="T95" s="30"/>
      <c r="U95" s="32" t="str">
        <f t="shared" si="14"/>
        <v>KRW 100,000</v>
      </c>
      <c r="V95" s="28" t="str">
        <f t="shared" si="14"/>
        <v>SK Telecom</v>
      </c>
      <c r="Z95" s="30"/>
    </row>
    <row r="96" spans="1:26" s="5" customFormat="1">
      <c r="B96" s="26"/>
      <c r="C96" s="32" t="str">
        <f t="shared" si="13"/>
        <v>True Corp</v>
      </c>
      <c r="D96" s="28" t="str">
        <f t="shared" si="13"/>
        <v>THB 13.5</v>
      </c>
      <c r="E96" s="28" t="str">
        <f t="shared" si="13"/>
        <v>THB 18.0</v>
      </c>
      <c r="F96" s="29">
        <f t="shared" si="13"/>
        <v>0.33333333333333326</v>
      </c>
      <c r="G96" s="28" t="str">
        <f t="shared" si="13"/>
        <v>Buy</v>
      </c>
      <c r="H96" s="30"/>
      <c r="I96" s="31">
        <f>TRUECORP!$D$40</f>
        <v>12.636282189165117</v>
      </c>
      <c r="J96" s="31">
        <f>TRUECORP!$E$40</f>
        <v>12.373752011304722</v>
      </c>
      <c r="K96" s="31">
        <f>TRUECORP!$F$40</f>
        <v>11.098932614240665</v>
      </c>
      <c r="L96" s="31">
        <f>TRUECORP!$G$40</f>
        <v>9.6406914225237266</v>
      </c>
      <c r="M96" s="29">
        <f>TRUECORP!$H$40</f>
        <v>1.7886757293590572E-2</v>
      </c>
      <c r="N96" s="30"/>
      <c r="O96" s="31">
        <f>TRUECORP!$D$44</f>
        <v>23.169111118372431</v>
      </c>
      <c r="P96" s="31">
        <f>TRUECORP!$E$44</f>
        <v>17.590890889283195</v>
      </c>
      <c r="Q96" s="31">
        <f>TRUECORP!$F$44</f>
        <v>13.214884834179541</v>
      </c>
      <c r="R96" s="31">
        <f>TRUECORP!$G$44</f>
        <v>10.815620480850816</v>
      </c>
      <c r="S96" s="29">
        <f>TRUECORP!$H$44</f>
        <v>0.28909812772548604</v>
      </c>
      <c r="T96" s="30"/>
      <c r="U96" s="32" t="str">
        <f t="shared" si="14"/>
        <v>THB 13.5</v>
      </c>
      <c r="V96" s="28" t="str">
        <f t="shared" si="14"/>
        <v>True Corp</v>
      </c>
      <c r="Z96" s="30"/>
    </row>
    <row r="97" spans="1:29" s="5" customFormat="1">
      <c r="B97" s="26"/>
      <c r="C97" s="32" t="str">
        <f t="shared" si="13"/>
        <v>XL Axiata</v>
      </c>
      <c r="D97" s="28" t="str">
        <f t="shared" si="13"/>
        <v>IDR 3,070</v>
      </c>
      <c r="E97" s="28" t="str">
        <f t="shared" si="13"/>
        <v>IDR 4,500</v>
      </c>
      <c r="F97" s="29">
        <f t="shared" si="13"/>
        <v>0.46579804560260585</v>
      </c>
      <c r="G97" s="28" t="str">
        <f t="shared" si="13"/>
        <v>Buy</v>
      </c>
      <c r="H97" s="30"/>
      <c r="I97" s="31">
        <f>XLAX!$D$40</f>
        <v>17.946940251528151</v>
      </c>
      <c r="J97" s="31">
        <f>XLAX!$E$40</f>
        <v>12.590129454681719</v>
      </c>
      <c r="K97" s="31">
        <f>XLAX!$F$40</f>
        <v>10.124415874283047</v>
      </c>
      <c r="L97" s="31">
        <f>XLAX!$G$40</f>
        <v>8.1377722952633302</v>
      </c>
      <c r="M97" s="29">
        <f>XLAX!$H$40</f>
        <v>0.25015991906699364</v>
      </c>
      <c r="N97" s="40"/>
      <c r="O97" s="31">
        <f>XLAX!$D$44</f>
        <v>88.247552552629458</v>
      </c>
      <c r="P97" s="31">
        <f>XLAX!$E$44</f>
        <v>22.35358224694108</v>
      </c>
      <c r="Q97" s="31">
        <f>XLAX!$F$44</f>
        <v>12.794296530850922</v>
      </c>
      <c r="R97" s="31">
        <f>XLAX!$G$44</f>
        <v>9.6539119240215037</v>
      </c>
      <c r="S97" s="29">
        <f>XLAX!$H$44</f>
        <v>1.090899276893369</v>
      </c>
      <c r="T97" s="30"/>
      <c r="U97" s="32" t="str">
        <f t="shared" si="14"/>
        <v>IDR 3,070</v>
      </c>
      <c r="V97" s="28" t="str">
        <f t="shared" si="14"/>
        <v>XL Axiata</v>
      </c>
      <c r="Z97" s="30"/>
    </row>
    <row r="98" spans="1:29" s="5" customFormat="1">
      <c r="B98" s="26"/>
      <c r="C98" s="35" t="str">
        <f>C47</f>
        <v>Agg. Emerging Asia Cellular</v>
      </c>
      <c r="D98" s="36"/>
      <c r="E98" s="36"/>
      <c r="F98" s="37"/>
      <c r="G98" s="36"/>
      <c r="H98" s="30"/>
      <c r="I98" s="38">
        <f>'EM ASIA CELLULAR'!$D$40</f>
        <v>12.843776206836809</v>
      </c>
      <c r="J98" s="38">
        <f>'EM ASIA CELLULAR'!$E$40</f>
        <v>10.999381200575785</v>
      </c>
      <c r="K98" s="38">
        <f>'EM ASIA CELLULAR'!$F$40</f>
        <v>9.4897214312628471</v>
      </c>
      <c r="L98" s="38">
        <f>'EM ASIA CELLULAR'!$G$40</f>
        <v>7.9259613917624838</v>
      </c>
      <c r="M98" s="39">
        <f>'EM ASIA CELLULAR'!$H$40</f>
        <v>9.1242318700493152E-2</v>
      </c>
      <c r="N98" s="40"/>
      <c r="O98" s="38">
        <f>'EM ASIA CELLULAR'!$D$44</f>
        <v>17.230884117253247</v>
      </c>
      <c r="P98" s="38">
        <f>'EM ASIA CELLULAR'!$E$44</f>
        <v>15.186149267334015</v>
      </c>
      <c r="Q98" s="38">
        <f>'EM ASIA CELLULAR'!$F$44</f>
        <v>13.375765673090386</v>
      </c>
      <c r="R98" s="38">
        <f>'EM ASIA CELLULAR'!$G$44</f>
        <v>11.889022482684124</v>
      </c>
      <c r="S98" s="39">
        <f>'EM ASIA CELLULAR'!$H$44</f>
        <v>0.13124588026653594</v>
      </c>
      <c r="T98" s="30"/>
      <c r="U98" s="41"/>
      <c r="V98" s="42" t="str">
        <f>V47</f>
        <v>Agg. Emerging Asia Cellular</v>
      </c>
      <c r="Z98" s="30"/>
    </row>
    <row r="99" spans="1:29" s="5" customFormat="1">
      <c r="B99" s="26"/>
      <c r="C99" s="27"/>
      <c r="D99" s="28"/>
      <c r="E99" s="28"/>
      <c r="F99" s="52"/>
      <c r="G99" s="28"/>
      <c r="H99" s="30"/>
      <c r="I99" s="46"/>
      <c r="J99" s="46"/>
      <c r="K99" s="46"/>
      <c r="L99" s="46"/>
      <c r="M99" s="45"/>
      <c r="N99" s="30"/>
      <c r="O99" s="46"/>
      <c r="P99" s="46"/>
      <c r="Q99" s="46"/>
      <c r="R99" s="46"/>
      <c r="S99" s="45"/>
      <c r="T99" s="30"/>
      <c r="U99" s="32"/>
      <c r="V99" s="34"/>
      <c r="Z99" s="30"/>
    </row>
    <row r="100" spans="1:29" s="5" customFormat="1">
      <c r="B100" s="26"/>
      <c r="C100" s="35" t="str">
        <f>C49</f>
        <v>Agg. Emerging  Cellular</v>
      </c>
      <c r="D100" s="36"/>
      <c r="E100" s="36"/>
      <c r="F100" s="37"/>
      <c r="G100" s="36"/>
      <c r="H100" s="30"/>
      <c r="I100" s="38">
        <f>'EM CELLULAR'!$D$40</f>
        <v>13.552484405676964</v>
      </c>
      <c r="J100" s="38">
        <f>'EM CELLULAR'!$E$40</f>
        <v>11.645452796226719</v>
      </c>
      <c r="K100" s="38">
        <f>'EM CELLULAR'!$F$40</f>
        <v>9.6817606816492958</v>
      </c>
      <c r="L100" s="38">
        <f>'EM CELLULAR'!$G$40</f>
        <v>8.0595976726627114</v>
      </c>
      <c r="M100" s="39">
        <f>'EM CELLULAR'!$H$40</f>
        <v>0.10923889124747621</v>
      </c>
      <c r="N100" s="30"/>
      <c r="O100" s="38">
        <f>'EM CELLULAR'!$D$44</f>
        <v>16.43937684695549</v>
      </c>
      <c r="P100" s="38">
        <f>'EM CELLULAR'!$E$44</f>
        <v>14.058003846915186</v>
      </c>
      <c r="Q100" s="38">
        <f>'EM CELLULAR'!$F$44</f>
        <v>12.117032841381851</v>
      </c>
      <c r="R100" s="38">
        <f>'EM CELLULAR'!$G$44</f>
        <v>10.664032838564383</v>
      </c>
      <c r="S100" s="39">
        <f>'EM CELLULAR'!$H$44</f>
        <v>0.1529577493733687</v>
      </c>
      <c r="T100" s="30"/>
      <c r="U100" s="41"/>
      <c r="V100" s="42" t="str">
        <f>V49</f>
        <v>Agg. Emerging  Cellular</v>
      </c>
      <c r="Z100" s="30"/>
    </row>
    <row r="101" spans="1:29">
      <c r="C101" s="27"/>
      <c r="D101" s="28"/>
      <c r="E101" s="28"/>
      <c r="F101" s="29"/>
      <c r="G101" s="28"/>
      <c r="H101" s="30"/>
      <c r="I101" s="31"/>
      <c r="J101" s="31"/>
      <c r="K101" s="31"/>
      <c r="L101" s="31"/>
      <c r="M101" s="29"/>
      <c r="N101" s="30"/>
      <c r="O101" s="31"/>
      <c r="P101" s="31"/>
      <c r="Q101" s="31"/>
      <c r="R101" s="31"/>
      <c r="S101" s="29"/>
      <c r="T101" s="30"/>
      <c r="U101" s="32"/>
      <c r="V101" s="34"/>
      <c r="Z101" s="30"/>
    </row>
    <row r="102" spans="1:29">
      <c r="A102" s="5"/>
      <c r="C102" s="51" t="str">
        <f>C51</f>
        <v>Agg. EMEA sector</v>
      </c>
      <c r="D102" s="36"/>
      <c r="E102" s="36"/>
      <c r="F102" s="37"/>
      <c r="G102" s="36"/>
      <c r="H102" s="30"/>
      <c r="I102" s="38">
        <f>'EMEA AGG'!$D$40</f>
        <v>19.591583567499963</v>
      </c>
      <c r="J102" s="38">
        <f>'EMEA AGG'!$E$40</f>
        <v>16.863939410662088</v>
      </c>
      <c r="K102" s="38">
        <f>'EMEA AGG'!$F$40</f>
        <v>10.664588793239982</v>
      </c>
      <c r="L102" s="38">
        <f>'EMEA AGG'!$G$40</f>
        <v>8.5573074542660397</v>
      </c>
      <c r="M102" s="39">
        <f>'EMEA AGG'!$H$40</f>
        <v>0.24137238116561188</v>
      </c>
      <c r="N102" s="40"/>
      <c r="O102" s="38">
        <f>'EMEA AGG'!$D$44</f>
        <v>13.987504843658609</v>
      </c>
      <c r="P102" s="38">
        <f>'EMEA AGG'!$E$44</f>
        <v>10.43067037532062</v>
      </c>
      <c r="Q102" s="38">
        <f>'EMEA AGG'!$F$44</f>
        <v>8.2767848489788651</v>
      </c>
      <c r="R102" s="38">
        <f>'EMEA AGG'!$G$44</f>
        <v>7.004852314981683</v>
      </c>
      <c r="S102" s="39">
        <f>'EMEA AGG'!$H$44</f>
        <v>0.25177251450443627</v>
      </c>
      <c r="T102" s="30"/>
      <c r="U102" s="41"/>
      <c r="V102" s="42" t="str">
        <f>V51</f>
        <v>Agg. EMEA sector</v>
      </c>
      <c r="Z102" s="30"/>
    </row>
    <row r="103" spans="1:29">
      <c r="A103" s="5"/>
      <c r="C103" s="25" t="str">
        <f>C52</f>
        <v>Agg. LatAm sector</v>
      </c>
      <c r="D103" s="28"/>
      <c r="E103" s="28"/>
      <c r="F103" s="29"/>
      <c r="G103" s="28"/>
      <c r="H103" s="30"/>
      <c r="I103" s="44">
        <f>'LATAM AGG'!$D$40</f>
        <v>12.174020650289206</v>
      </c>
      <c r="J103" s="44">
        <f>'LATAM AGG'!$E$40</f>
        <v>10.311814831270963</v>
      </c>
      <c r="K103" s="44">
        <f>'LATAM AGG'!$F$40</f>
        <v>9.1330922004761703</v>
      </c>
      <c r="L103" s="44">
        <f>'LATAM AGG'!$G$40</f>
        <v>7.8923323413414579</v>
      </c>
      <c r="M103" s="43">
        <f>'LATAM AGG'!$H$40</f>
        <v>7.9582372988655781E-2</v>
      </c>
      <c r="N103" s="40"/>
      <c r="O103" s="44">
        <f>'LATAM AGG'!$D$44</f>
        <v>15.11874244211795</v>
      </c>
      <c r="P103" s="44">
        <f>'LATAM AGG'!$E$44</f>
        <v>11.812039691776022</v>
      </c>
      <c r="Q103" s="44">
        <f>'LATAM AGG'!$F$44</f>
        <v>10.174678731181173</v>
      </c>
      <c r="R103" s="44">
        <f>'LATAM AGG'!$G$44</f>
        <v>9.0961177148873595</v>
      </c>
      <c r="S103" s="43">
        <f>'LATAM AGG'!$H$44</f>
        <v>0.15928503889771584</v>
      </c>
      <c r="T103" s="30"/>
      <c r="U103" s="32"/>
      <c r="V103" s="34" t="str">
        <f>V52</f>
        <v>Agg. LatAm sector</v>
      </c>
      <c r="Z103" s="30"/>
    </row>
    <row r="104" spans="1:29">
      <c r="A104" s="5"/>
      <c r="C104" s="51" t="str">
        <f>C53</f>
        <v>Agg. Emerging Asia sector</v>
      </c>
      <c r="D104" s="36"/>
      <c r="E104" s="36"/>
      <c r="F104" s="37"/>
      <c r="G104" s="36"/>
      <c r="H104" s="30"/>
      <c r="I104" s="38">
        <f>'AGG EM ASIA'!$D$40</f>
        <v>10.70556198765146</v>
      </c>
      <c r="J104" s="38">
        <f>'AGG EM ASIA'!$E$40</f>
        <v>9.1616412281299571</v>
      </c>
      <c r="K104" s="38">
        <f>'AGG EM ASIA'!$F$40</f>
        <v>8.0117662759265365</v>
      </c>
      <c r="L104" s="38">
        <f>'AGG EM ASIA'!$G$40</f>
        <v>6.6802366060683331</v>
      </c>
      <c r="M104" s="39">
        <f>'AGG EM ASIA'!$H$40</f>
        <v>8.6630946556363497E-2</v>
      </c>
      <c r="N104" s="40"/>
      <c r="O104" s="38">
        <f>'AGG EM ASIA'!$D$44</f>
        <v>15.289046255474808</v>
      </c>
      <c r="P104" s="38">
        <f>'AGG EM ASIA'!$E$44</f>
        <v>13.742001498615226</v>
      </c>
      <c r="Q104" s="38">
        <f>'AGG EM ASIA'!$F$44</f>
        <v>12.231893383009286</v>
      </c>
      <c r="R104" s="38">
        <f>'AGG EM ASIA'!$G$44</f>
        <v>10.94300987793144</v>
      </c>
      <c r="S104" s="39">
        <f>'AGG EM ASIA'!$H$44</f>
        <v>0.11718429181945922</v>
      </c>
      <c r="T104" s="30"/>
      <c r="U104" s="41"/>
      <c r="V104" s="42" t="str">
        <f>V53</f>
        <v>Agg. Emerging Asia sector</v>
      </c>
      <c r="Z104" s="30"/>
    </row>
    <row r="105" spans="1:29">
      <c r="A105" s="5"/>
      <c r="C105" s="25"/>
      <c r="D105" s="28"/>
      <c r="E105" s="28"/>
      <c r="F105" s="29"/>
      <c r="G105" s="28"/>
      <c r="H105" s="30"/>
      <c r="I105" s="44"/>
      <c r="J105" s="44"/>
      <c r="K105" s="44"/>
      <c r="L105" s="44"/>
      <c r="M105" s="43"/>
      <c r="N105" s="40"/>
      <c r="O105" s="44"/>
      <c r="P105" s="44"/>
      <c r="Q105" s="44"/>
      <c r="R105" s="44"/>
      <c r="S105" s="43"/>
      <c r="T105" s="30"/>
      <c r="U105" s="32"/>
      <c r="V105" s="34"/>
      <c r="X105" s="31"/>
      <c r="Y105" s="109"/>
      <c r="Z105" s="30"/>
    </row>
    <row r="106" spans="1:29">
      <c r="A106" s="5"/>
      <c r="C106" s="51" t="str">
        <f>C55</f>
        <v>Agg. Global EM sector</v>
      </c>
      <c r="D106" s="36"/>
      <c r="E106" s="36"/>
      <c r="F106" s="37"/>
      <c r="G106" s="36"/>
      <c r="H106" s="30"/>
      <c r="I106" s="38">
        <f>'AGG EM'!$D$40</f>
        <v>11.585951936703083</v>
      </c>
      <c r="J106" s="38">
        <f>'AGG EM'!$E$40</f>
        <v>9.9177726777926267</v>
      </c>
      <c r="K106" s="38">
        <f>'AGG EM'!$F$40</f>
        <v>8.4715849445415703</v>
      </c>
      <c r="L106" s="38">
        <f>'AGG EM'!$G$40</f>
        <v>7.0934641337374211</v>
      </c>
      <c r="M106" s="39">
        <f>'AGG EM'!$H$40</f>
        <v>9.6757253507685714E-2</v>
      </c>
      <c r="N106" s="40"/>
      <c r="O106" s="38">
        <f>'AGG EM'!$D$44</f>
        <v>15.128181142725504</v>
      </c>
      <c r="P106" s="38">
        <f>'AGG EM'!$E$44</f>
        <v>13.012177752151421</v>
      </c>
      <c r="Q106" s="38">
        <f>'AGG EM'!$F$44</f>
        <v>11.359192252410569</v>
      </c>
      <c r="R106" s="38">
        <f>'AGG EM'!$G$44</f>
        <v>10.092305327224993</v>
      </c>
      <c r="S106" s="39">
        <f>'AGG EM'!$H$44</f>
        <v>0.13934450175390167</v>
      </c>
      <c r="T106" s="30"/>
      <c r="U106" s="41"/>
      <c r="V106" s="42" t="str">
        <f>V55</f>
        <v>Agg. Global EM sector (ex-consensus)</v>
      </c>
    </row>
    <row r="107" spans="1:29">
      <c r="A107" s="5"/>
      <c r="C107" s="27"/>
      <c r="D107" s="28"/>
      <c r="E107" s="28"/>
      <c r="F107" s="29"/>
      <c r="G107" s="28"/>
      <c r="H107" s="5"/>
      <c r="I107" s="5"/>
      <c r="J107" s="5"/>
      <c r="K107" s="5"/>
      <c r="L107" s="5"/>
      <c r="N107" s="5"/>
      <c r="O107" s="5"/>
      <c r="P107" s="5"/>
      <c r="Q107" s="5"/>
      <c r="R107" s="5"/>
      <c r="T107" s="5"/>
      <c r="U107" s="47"/>
      <c r="V107" s="47"/>
      <c r="W107" s="139"/>
    </row>
    <row r="108" spans="1:29">
      <c r="A108" s="5"/>
      <c r="C108" s="27"/>
      <c r="D108" s="28"/>
      <c r="E108" s="28"/>
      <c r="F108" s="29"/>
      <c r="G108" s="28"/>
      <c r="H108" s="5"/>
      <c r="I108" s="5"/>
      <c r="J108" s="5"/>
      <c r="K108" s="5"/>
      <c r="L108" s="5"/>
      <c r="N108" s="5"/>
      <c r="O108" s="5"/>
      <c r="P108" s="5"/>
      <c r="Q108" s="5"/>
      <c r="R108" s="5"/>
      <c r="T108" s="5"/>
      <c r="U108" s="47"/>
      <c r="V108" s="47"/>
      <c r="W108" s="139"/>
    </row>
    <row r="109" spans="1:29" s="25" customFormat="1">
      <c r="B109" s="113"/>
      <c r="C109" s="130"/>
      <c r="D109" s="131" t="s">
        <v>379</v>
      </c>
      <c r="E109" s="131" t="s">
        <v>50</v>
      </c>
      <c r="F109" s="131" t="s">
        <v>52</v>
      </c>
      <c r="G109" s="131" t="s">
        <v>49</v>
      </c>
      <c r="H109" s="105"/>
      <c r="I109" s="132" t="s">
        <v>481</v>
      </c>
      <c r="J109" s="132"/>
      <c r="K109" s="132"/>
      <c r="L109" s="132"/>
      <c r="M109" s="132"/>
      <c r="N109" s="30"/>
      <c r="O109" s="132" t="s">
        <v>482</v>
      </c>
      <c r="P109" s="132"/>
      <c r="Q109" s="132"/>
      <c r="R109" s="132"/>
      <c r="S109" s="132"/>
      <c r="T109" s="30"/>
      <c r="U109" s="133" t="s">
        <v>379</v>
      </c>
      <c r="V109" s="131"/>
      <c r="Z109" s="33"/>
      <c r="AC109" s="106"/>
    </row>
    <row r="110" spans="1:29">
      <c r="A110" s="25" t="s">
        <v>415</v>
      </c>
      <c r="C110" s="32" t="str">
        <f t="shared" ref="C110:G111" si="15">C59</f>
        <v>America Movil</v>
      </c>
      <c r="D110" s="28" t="str">
        <f t="shared" si="15"/>
        <v>USD 22.8</v>
      </c>
      <c r="E110" s="28" t="str">
        <f t="shared" si="15"/>
        <v>USD 24.0</v>
      </c>
      <c r="F110" s="29">
        <f t="shared" si="15"/>
        <v>5.2631578947368363E-2</v>
      </c>
      <c r="G110" s="28" t="str">
        <f t="shared" si="15"/>
        <v>Buy</v>
      </c>
      <c r="H110" s="30"/>
      <c r="I110" s="29">
        <f>AMX!$D$45</f>
        <v>2.375730994152047E-2</v>
      </c>
      <c r="J110" s="29">
        <f>AMX!$E$45</f>
        <v>2.9915272228977285E-2</v>
      </c>
      <c r="K110" s="29">
        <f>AMX!$F$45</f>
        <v>3.3113046426761703E-2</v>
      </c>
      <c r="L110" s="29">
        <f>AMX!$G$45</f>
        <v>3.6173916264529586E-2</v>
      </c>
      <c r="M110" s="29">
        <f>AMX!$H$45</f>
        <v>0.12373435458821769</v>
      </c>
      <c r="N110" s="30"/>
      <c r="O110" s="29">
        <f>AMX!$D$47</f>
        <v>8.9215193339293605E-2</v>
      </c>
      <c r="P110" s="29">
        <f>AMX!$E$47</f>
        <v>0.10031807886361797</v>
      </c>
      <c r="Q110" s="29">
        <f>AMX!$F$47</f>
        <v>0.10697219849040403</v>
      </c>
      <c r="R110" s="29">
        <f>AMX!$G$47</f>
        <v>0.12014229745018705</v>
      </c>
      <c r="S110" s="29">
        <f>AMX!$H$47</f>
        <v>7.8656770153544775E-2</v>
      </c>
      <c r="T110" s="30"/>
      <c r="U110" s="32" t="str">
        <f t="shared" ref="U110:V112" si="16">U59</f>
        <v>USD 22.8</v>
      </c>
      <c r="V110" s="28" t="str">
        <f t="shared" si="16"/>
        <v>America Movil</v>
      </c>
    </row>
    <row r="111" spans="1:29">
      <c r="A111" s="5"/>
      <c r="C111" s="32" t="str">
        <f t="shared" si="15"/>
        <v>Vivo</v>
      </c>
      <c r="D111" s="28" t="str">
        <f t="shared" si="15"/>
        <v>BRL 39.88</v>
      </c>
      <c r="E111" s="28" t="str">
        <f t="shared" si="15"/>
        <v>BRL 43.00</v>
      </c>
      <c r="F111" s="29">
        <f t="shared" si="15"/>
        <v>7.8234704112337017E-2</v>
      </c>
      <c r="G111" s="28" t="str">
        <f t="shared" si="15"/>
        <v>Buy</v>
      </c>
      <c r="H111" s="30"/>
      <c r="I111" s="29">
        <f>VIVO!$D$45</f>
        <v>3.2189285916327956E-2</v>
      </c>
      <c r="J111" s="29">
        <f>VIVO!$E$45</f>
        <v>5.6204845025061574E-2</v>
      </c>
      <c r="K111" s="29">
        <f>VIVO!$F$45</f>
        <v>6.7888282531513494E-2</v>
      </c>
      <c r="L111" s="29">
        <f>VIVO!$G$45</f>
        <v>7.9649623212690021E-2</v>
      </c>
      <c r="M111" s="29">
        <f>VIVO!$H$45</f>
        <v>0.32381803556164956</v>
      </c>
      <c r="N111" s="30"/>
      <c r="O111" s="29">
        <f>VIVO!$D$47</f>
        <v>6.9702062407819815E-2</v>
      </c>
      <c r="P111" s="29">
        <f>VIVO!$E$47</f>
        <v>9.5435655228465074E-2</v>
      </c>
      <c r="Q111" s="29">
        <f>VIVO!$F$47</f>
        <v>0.11002303239503895</v>
      </c>
      <c r="R111" s="29">
        <f>VIVO!$G$47</f>
        <v>0.12189535287013951</v>
      </c>
      <c r="S111" s="29">
        <f>VIVO!$H$47</f>
        <v>0.17831488890554947</v>
      </c>
      <c r="T111" s="30"/>
      <c r="U111" s="32" t="str">
        <f t="shared" si="16"/>
        <v>BRL 39.88</v>
      </c>
      <c r="V111" s="28" t="str">
        <f t="shared" si="16"/>
        <v>Telefonica Brasil</v>
      </c>
    </row>
    <row r="112" spans="1:29">
      <c r="A112" s="5"/>
      <c r="C112" s="32" t="s">
        <v>561</v>
      </c>
      <c r="D112" s="28" t="str">
        <f>D61</f>
        <v>USD 3.1</v>
      </c>
      <c r="E112" s="28" t="str">
        <f>E61</f>
        <v>USD 3.7</v>
      </c>
      <c r="F112" s="29">
        <f>F61</f>
        <v>0.21311475409836089</v>
      </c>
      <c r="G112" s="28" t="str">
        <f>G61</f>
        <v>Neutral</v>
      </c>
      <c r="H112" s="30"/>
      <c r="I112" s="29">
        <f>TVIS!$D$45</f>
        <v>2.8733738832724245E-2</v>
      </c>
      <c r="J112" s="29">
        <f>TVIS!$E$45</f>
        <v>2.8733738832724245E-2</v>
      </c>
      <c r="K112" s="29">
        <f>TVIS!$F$45</f>
        <v>2.8733738832724245E-2</v>
      </c>
      <c r="L112" s="29">
        <f>TVIS!$G$45</f>
        <v>2.8733738832724245E-2</v>
      </c>
      <c r="M112" s="29">
        <f>TVIS!$H$45</f>
        <v>0</v>
      </c>
      <c r="N112" s="30"/>
      <c r="O112" s="29">
        <f>TVIS!$D$47</f>
        <v>0.11390100702885865</v>
      </c>
      <c r="P112" s="29">
        <f>TVIS!$E$47</f>
        <v>0.10614869364010779</v>
      </c>
      <c r="Q112" s="29">
        <f>TVIS!$F$47</f>
        <v>0.14520515089963715</v>
      </c>
      <c r="R112" s="29">
        <f>TVIS!$G$47</f>
        <v>0.19506703849028983</v>
      </c>
      <c r="S112" s="29">
        <f>TVIS!$H$47</f>
        <v>0.19642489795527496</v>
      </c>
      <c r="T112" s="30"/>
      <c r="U112" s="32" t="str">
        <f t="shared" si="16"/>
        <v>USD 3.1</v>
      </c>
      <c r="V112" s="28" t="str">
        <f t="shared" si="16"/>
        <v>Televisa</v>
      </c>
    </row>
    <row r="113" spans="1:22">
      <c r="A113" s="5"/>
      <c r="C113" s="35" t="str">
        <f>C62</f>
        <v>Agg. LatAm Incumbent</v>
      </c>
      <c r="D113" s="36"/>
      <c r="E113" s="36"/>
      <c r="F113" s="37"/>
      <c r="G113" s="36"/>
      <c r="H113" s="30"/>
      <c r="I113" s="39">
        <f>'LATAM INCUMB'!$D$45</f>
        <v>2.6105092451879509E-2</v>
      </c>
      <c r="J113" s="39">
        <f>'LATAM INCUMB'!$E$45</f>
        <v>3.695743730937464E-2</v>
      </c>
      <c r="K113" s="39">
        <f>'LATAM INCUMB'!$F$45</f>
        <v>4.2382298151586693E-2</v>
      </c>
      <c r="L113" s="39">
        <f>'LATAM INCUMB'!$G$45</f>
        <v>4.7703950361606302E-2</v>
      </c>
      <c r="M113" s="39">
        <f>'LATAM INCUMB'!$H$45</f>
        <v>0.19536350766533772</v>
      </c>
      <c r="N113" s="40"/>
      <c r="O113" s="39">
        <f>'LATAM INCUMB'!$D$47</f>
        <v>8.4539784870657955E-2</v>
      </c>
      <c r="P113" s="39">
        <f>'LATAM INCUMB'!$E$47</f>
        <v>9.914030878953084E-2</v>
      </c>
      <c r="Q113" s="39">
        <f>'LATAM INCUMB'!$F$47</f>
        <v>0.10846723038582608</v>
      </c>
      <c r="R113" s="39">
        <f>'LATAM INCUMB'!$G$47</f>
        <v>0.12199355499463595</v>
      </c>
      <c r="S113" s="39">
        <f>'LATAM INCUMB'!$H$47</f>
        <v>0.10462959461893884</v>
      </c>
      <c r="T113" s="30"/>
      <c r="U113" s="41"/>
      <c r="V113" s="42" t="str">
        <f>V62</f>
        <v>Agg. LatAm Incumbent</v>
      </c>
    </row>
    <row r="114" spans="1:22">
      <c r="C114" s="32"/>
      <c r="D114" s="28"/>
      <c r="E114" s="28"/>
      <c r="F114" s="29"/>
      <c r="G114" s="28"/>
      <c r="H114" s="30"/>
      <c r="I114" s="29"/>
      <c r="J114" s="29"/>
      <c r="K114" s="29"/>
      <c r="L114" s="29"/>
      <c r="M114" s="29"/>
      <c r="N114" s="40"/>
      <c r="O114" s="29"/>
      <c r="P114" s="29"/>
      <c r="Q114" s="29"/>
      <c r="R114" s="29"/>
      <c r="S114" s="29"/>
      <c r="T114" s="30"/>
      <c r="U114" s="32"/>
      <c r="V114" s="34"/>
    </row>
    <row r="115" spans="1:22">
      <c r="A115" s="5"/>
      <c r="C115" s="32" t="str">
        <f t="shared" ref="C115:G118" si="17">C64</f>
        <v>China Telecom</v>
      </c>
      <c r="D115" s="28" t="str">
        <f t="shared" si="17"/>
        <v>HKD 5.01</v>
      </c>
      <c r="E115" s="28" t="str">
        <f t="shared" si="17"/>
        <v>HKD 8.75</v>
      </c>
      <c r="F115" s="29">
        <f t="shared" si="17"/>
        <v>0.7465069860279443</v>
      </c>
      <c r="G115" s="28" t="str">
        <f t="shared" si="17"/>
        <v>Buy</v>
      </c>
      <c r="H115" s="30"/>
      <c r="I115" s="29">
        <f>_CT!$D$45</f>
        <v>6.3240208882291815E-2</v>
      </c>
      <c r="J115" s="29">
        <f>_CT!$E$45</f>
        <v>6.9353473628765649E-2</v>
      </c>
      <c r="K115" s="29">
        <f>_CT!$F$45</f>
        <v>7.3656927662892557E-2</v>
      </c>
      <c r="L115" s="29">
        <f>_CT!$G$45</f>
        <v>7.8673066499407016E-2</v>
      </c>
      <c r="M115" s="29">
        <f>_CT!$H$45</f>
        <v>7.5501269927015002E-2</v>
      </c>
      <c r="N115" s="40"/>
      <c r="O115" s="135">
        <f>_CT!$D$47</f>
        <v>8.2456835702751349E-2</v>
      </c>
      <c r="P115" s="135">
        <f>_CT!$E$47</f>
        <v>0.10683947505614093</v>
      </c>
      <c r="Q115" s="135">
        <f>_CT!$F$47</f>
        <v>0.11633494974318968</v>
      </c>
      <c r="R115" s="135">
        <f>_CT!$G$47</f>
        <v>0.12765621864568477</v>
      </c>
      <c r="S115" s="135">
        <f>_CT!$H$47</f>
        <v>0.15683593415676556</v>
      </c>
      <c r="T115" s="30"/>
      <c r="U115" s="32" t="str">
        <f t="shared" ref="U115:V118" si="18">U64</f>
        <v>HKD 5.01</v>
      </c>
      <c r="V115" s="28" t="str">
        <f t="shared" si="18"/>
        <v>China Telecom</v>
      </c>
    </row>
    <row r="116" spans="1:22">
      <c r="A116" s="5"/>
      <c r="C116" s="32" t="str">
        <f t="shared" si="17"/>
        <v>China Unicom</v>
      </c>
      <c r="D116" s="28" t="str">
        <f t="shared" si="17"/>
        <v>HKD 7.26</v>
      </c>
      <c r="E116" s="28" t="str">
        <f t="shared" si="17"/>
        <v>HKD 13.20</v>
      </c>
      <c r="F116" s="29">
        <f t="shared" si="17"/>
        <v>0.81818181818181812</v>
      </c>
      <c r="G116" s="28" t="str">
        <f t="shared" si="17"/>
        <v>Buy</v>
      </c>
      <c r="H116" s="30"/>
      <c r="I116" s="29">
        <f>_CU!$D$45</f>
        <v>7.26505184341531E-2</v>
      </c>
      <c r="J116" s="29">
        <f>_CU!$E$45</f>
        <v>8.7201210303641696E-2</v>
      </c>
      <c r="K116" s="29">
        <f>_CU!$F$45</f>
        <v>9.8860924970698247E-2</v>
      </c>
      <c r="L116" s="29">
        <f>_CU!$G$45</f>
        <v>0.12017776393424803</v>
      </c>
      <c r="M116" s="29">
        <f>_CU!$H$45</f>
        <v>0.18266515260997163</v>
      </c>
      <c r="N116" s="40"/>
      <c r="O116" s="135">
        <f>_CU!$D$47</f>
        <v>0.17381699882716437</v>
      </c>
      <c r="P116" s="135">
        <f>_CU!$E$47</f>
        <v>0.1877663889704036</v>
      </c>
      <c r="Q116" s="135">
        <f>_CU!$F$47</f>
        <v>0.20506521691788854</v>
      </c>
      <c r="R116" s="135">
        <f>_CU!$G$47</f>
        <v>0.22334719431308045</v>
      </c>
      <c r="S116" s="135">
        <f>_CU!$H$47</f>
        <v>8.7166558037907738E-2</v>
      </c>
      <c r="T116" s="30"/>
      <c r="U116" s="32" t="str">
        <f t="shared" si="18"/>
        <v>HKD 7.26</v>
      </c>
      <c r="V116" s="28" t="str">
        <f t="shared" si="18"/>
        <v>China Unicom</v>
      </c>
    </row>
    <row r="117" spans="1:22">
      <c r="C117" s="32" t="str">
        <f t="shared" si="17"/>
        <v>KT Corp</v>
      </c>
      <c r="D117" s="28" t="str">
        <f t="shared" si="17"/>
        <v>KRW 61,700</v>
      </c>
      <c r="E117" s="28" t="str">
        <f t="shared" si="17"/>
        <v>KRW 105,000</v>
      </c>
      <c r="F117" s="29">
        <f t="shared" si="17"/>
        <v>0.70178282009724469</v>
      </c>
      <c r="G117" s="28" t="str">
        <f t="shared" si="17"/>
        <v>Buy</v>
      </c>
      <c r="H117" s="30"/>
      <c r="I117" s="29">
        <f>_KT!$D$45</f>
        <v>3.6466774716369534E-2</v>
      </c>
      <c r="J117" s="29">
        <f>_KT!$E$45</f>
        <v>3.8897893030794162E-2</v>
      </c>
      <c r="K117" s="29">
        <f>_KT!$F$45</f>
        <v>4.8622366288492709E-2</v>
      </c>
      <c r="L117" s="29">
        <f>_KT!$G$45</f>
        <v>5.2674230145867106E-2</v>
      </c>
      <c r="M117" s="29">
        <f>_KT!$H$45</f>
        <v>0.10677208540873573</v>
      </c>
      <c r="N117" s="40"/>
      <c r="O117" s="29">
        <f>_KT!$D$47</f>
        <v>0.13754214779298246</v>
      </c>
      <c r="P117" s="29">
        <f>_KT!$E$47</f>
        <v>0.1668232077810867</v>
      </c>
      <c r="Q117" s="29">
        <f>_KT!$F$47</f>
        <v>0.18374264785994052</v>
      </c>
      <c r="R117" s="29">
        <f>_KT!$G$47</f>
        <v>0.20164288850008075</v>
      </c>
      <c r="S117" s="29">
        <f>_KT!$H$47</f>
        <v>0.11778966875594077</v>
      </c>
      <c r="T117" s="30"/>
      <c r="U117" s="32" t="str">
        <f t="shared" si="18"/>
        <v>KRW 61,700</v>
      </c>
      <c r="V117" s="28" t="str">
        <f t="shared" si="18"/>
        <v>KT Corp</v>
      </c>
    </row>
    <row r="118" spans="1:22">
      <c r="C118" s="32" t="str">
        <f t="shared" si="17"/>
        <v>Telkom Indonesia</v>
      </c>
      <c r="D118" s="28" t="str">
        <f t="shared" si="17"/>
        <v>IDR 2,810</v>
      </c>
      <c r="E118" s="28" t="str">
        <f t="shared" si="17"/>
        <v>IDR 3,500</v>
      </c>
      <c r="F118" s="29">
        <f t="shared" si="17"/>
        <v>0.24555160142348753</v>
      </c>
      <c r="G118" s="28" t="str">
        <f t="shared" si="17"/>
        <v>Neutral</v>
      </c>
      <c r="H118" s="30"/>
      <c r="I118" s="29">
        <f>PTT!$D$45</f>
        <v>7.0579035382556693E-2</v>
      </c>
      <c r="J118" s="29">
        <f>PTT!$E$45</f>
        <v>7.2483732162427802E-2</v>
      </c>
      <c r="K118" s="29">
        <f>PTT!$F$45</f>
        <v>7.5636200120494199E-2</v>
      </c>
      <c r="L118" s="29">
        <f>PTT!$G$45</f>
        <v>8.0416417837502585E-2</v>
      </c>
      <c r="M118" s="29">
        <f>PTT!$H$45</f>
        <v>4.4454843797280708E-2</v>
      </c>
      <c r="N118" s="40"/>
      <c r="O118" s="135">
        <f>PTT!$D$47</f>
        <v>6.428173018328516E-2</v>
      </c>
      <c r="P118" s="135">
        <f>PTT!$E$47</f>
        <v>6.0374495363717008E-2</v>
      </c>
      <c r="Q118" s="135">
        <f>PTT!$F$47</f>
        <v>6.3902027492501026E-2</v>
      </c>
      <c r="R118" s="135">
        <f>PTT!$G$47</f>
        <v>6.7135005394931266E-2</v>
      </c>
      <c r="S118" s="135">
        <f>PTT!$H$47</f>
        <v>1.4582008788994072E-2</v>
      </c>
      <c r="T118" s="30"/>
      <c r="U118" s="32" t="str">
        <f t="shared" si="18"/>
        <v>IDR 2,810</v>
      </c>
      <c r="V118" s="28" t="str">
        <f t="shared" si="18"/>
        <v>PT Telkom</v>
      </c>
    </row>
    <row r="119" spans="1:22">
      <c r="C119" s="35" t="str">
        <f>C68</f>
        <v>Agg. Emerging Asia Incumbent</v>
      </c>
      <c r="D119" s="36"/>
      <c r="E119" s="36"/>
      <c r="F119" s="37"/>
      <c r="G119" s="36"/>
      <c r="H119" s="30"/>
      <c r="I119" s="39">
        <f>'EM ASIA INCUMB'!$D$45</f>
        <v>6.4270172625816302E-2</v>
      </c>
      <c r="J119" s="39">
        <f>'EM ASIA INCUMB'!$E$45</f>
        <v>7.1638098545422718E-2</v>
      </c>
      <c r="K119" s="39">
        <f>'EM ASIA INCUMB'!$F$45</f>
        <v>7.8154250715205847E-2</v>
      </c>
      <c r="L119" s="39">
        <f>'EM ASIA INCUMB'!$G$45</f>
        <v>8.7226031996888123E-2</v>
      </c>
      <c r="M119" s="39">
        <f>'EM ASIA INCUMB'!$H$45</f>
        <v>0.10515077257881411</v>
      </c>
      <c r="N119" s="40"/>
      <c r="O119" s="39">
        <f>'EM ASIA INCUMB'!$D$47</f>
        <v>0.10749060311298313</v>
      </c>
      <c r="P119" s="39">
        <f>'EM ASIA INCUMB'!$E$47</f>
        <v>0.1255835174460507</v>
      </c>
      <c r="Q119" s="39">
        <f>'EM ASIA INCUMB'!$F$47</f>
        <v>0.13672197440981601</v>
      </c>
      <c r="R119" s="39">
        <f>'EM ASIA INCUMB'!$G$47</f>
        <v>0.14908047000514196</v>
      </c>
      <c r="S119" s="39">
        <f>'EM ASIA INCUMB'!$H$47</f>
        <v>0.11374667578047948</v>
      </c>
      <c r="T119" s="30"/>
      <c r="U119" s="41"/>
      <c r="V119" s="42" t="str">
        <f>V68</f>
        <v>Agg. Emerging Asia Incumbent</v>
      </c>
    </row>
    <row r="120" spans="1:22">
      <c r="C120" s="27"/>
      <c r="D120" s="28"/>
      <c r="E120" s="28"/>
      <c r="F120" s="52"/>
      <c r="G120" s="28"/>
      <c r="H120" s="30"/>
      <c r="I120" s="45"/>
      <c r="J120" s="45"/>
      <c r="K120" s="45"/>
      <c r="L120" s="45"/>
      <c r="M120" s="45"/>
      <c r="N120" s="40"/>
      <c r="O120" s="45"/>
      <c r="P120" s="45"/>
      <c r="Q120" s="45"/>
      <c r="R120" s="45"/>
      <c r="S120" s="45"/>
      <c r="T120" s="30"/>
      <c r="U120" s="32"/>
      <c r="V120" s="34"/>
    </row>
    <row r="121" spans="1:22">
      <c r="C121" s="35" t="str">
        <f>C70</f>
        <v>Agg. Emerging Incumbent</v>
      </c>
      <c r="D121" s="36"/>
      <c r="E121" s="36"/>
      <c r="F121" s="37"/>
      <c r="G121" s="36"/>
      <c r="H121" s="30"/>
      <c r="I121" s="39">
        <f>'EM INCUMB'!$D$45</f>
        <v>4.6713014887079352E-2</v>
      </c>
      <c r="J121" s="39">
        <f>'EM INCUMB'!$E$45</f>
        <v>5.5860921075657842E-2</v>
      </c>
      <c r="K121" s="39">
        <f>'EM INCUMB'!$F$45</f>
        <v>6.2062147024960539E-2</v>
      </c>
      <c r="L121" s="39">
        <f>'EM INCUMB'!$G$45</f>
        <v>6.9652282078822819E-2</v>
      </c>
      <c r="M121" s="39">
        <f>'EM INCUMB'!$H$45</f>
        <v>0.12973671135672182</v>
      </c>
      <c r="N121" s="40"/>
      <c r="O121" s="39">
        <f>'EM INCUMB'!$D$47</f>
        <v>9.6946659291652512E-2</v>
      </c>
      <c r="P121" s="39">
        <f>'EM INCUMB'!$E$47</f>
        <v>0.11358194078816032</v>
      </c>
      <c r="Q121" s="39">
        <f>'EM INCUMB'!$F$47</f>
        <v>0.12404303892608196</v>
      </c>
      <c r="R121" s="39">
        <f>'EM INCUMB'!$G$47</f>
        <v>0.137067769440228</v>
      </c>
      <c r="S121" s="39">
        <f>'EM INCUMB'!$H$47</f>
        <v>0.11011215571418109</v>
      </c>
      <c r="T121" s="30"/>
      <c r="U121" s="41"/>
      <c r="V121" s="42" t="str">
        <f>V70</f>
        <v>Agg. Emerging Incumbent</v>
      </c>
    </row>
    <row r="122" spans="1:22">
      <c r="C122" s="27"/>
      <c r="D122" s="28"/>
      <c r="E122" s="28"/>
      <c r="F122" s="29"/>
      <c r="G122" s="28"/>
      <c r="H122" s="30"/>
      <c r="I122" s="29"/>
      <c r="J122" s="29"/>
      <c r="K122" s="29"/>
      <c r="L122" s="29"/>
      <c r="M122" s="29"/>
      <c r="N122" s="40"/>
      <c r="O122" s="29"/>
      <c r="P122" s="29"/>
      <c r="Q122" s="29"/>
      <c r="R122" s="29"/>
      <c r="S122" s="29"/>
      <c r="T122" s="30"/>
      <c r="U122" s="32"/>
      <c r="V122" s="34"/>
    </row>
    <row r="123" spans="1:22">
      <c r="A123" s="25" t="s">
        <v>1091</v>
      </c>
      <c r="C123" s="32" t="str">
        <f t="shared" ref="C123:G127" si="19">C72</f>
        <v>Airtel Africa</v>
      </c>
      <c r="D123" s="28" t="str">
        <f t="shared" si="19"/>
        <v>GBP3.60</v>
      </c>
      <c r="E123" s="28" t="str">
        <f t="shared" si="19"/>
        <v>GBP4.60</v>
      </c>
      <c r="F123" s="29">
        <f t="shared" si="19"/>
        <v>0.2791991101223581</v>
      </c>
      <c r="G123" s="28" t="str">
        <f t="shared" si="19"/>
        <v>Buy</v>
      </c>
      <c r="H123" s="30"/>
      <c r="I123" s="29">
        <f>AAF!$D$45</f>
        <v>1.4370120702164096E-2</v>
      </c>
      <c r="J123" s="29">
        <f>AAF!$E$45</f>
        <v>1.6652687052789047E-2</v>
      </c>
      <c r="K123" s="29">
        <f>AAF!$F$45</f>
        <v>1.9704622000103294E-2</v>
      </c>
      <c r="L123" s="29">
        <f>AAF!$G$45</f>
        <v>2.382436604820163E-2</v>
      </c>
      <c r="M123" s="29">
        <f>AAF!$H$45</f>
        <v>0.15960069083240169</v>
      </c>
      <c r="N123" s="40"/>
      <c r="O123" s="29">
        <f>AAF!$D$47</f>
        <v>2.7491785123897428E-2</v>
      </c>
      <c r="P123" s="29">
        <f>AAF!$E$47</f>
        <v>6.0106633018152437E-2</v>
      </c>
      <c r="Q123" s="29">
        <f>AAF!$F$47</f>
        <v>7.4375895960238844E-2</v>
      </c>
      <c r="R123" s="29">
        <f>AAF!$G$47</f>
        <v>8.4835028774922383E-2</v>
      </c>
      <c r="S123" s="135">
        <f>AAF!$H$47</f>
        <v>0.42641394707137947</v>
      </c>
      <c r="T123" s="30"/>
      <c r="U123" s="32" t="str">
        <f t="shared" ref="U123:V127" si="20">U72</f>
        <v>GBP3.60</v>
      </c>
      <c r="V123" s="28" t="str">
        <f t="shared" si="20"/>
        <v>Airtel Africa</v>
      </c>
    </row>
    <row r="124" spans="1:22">
      <c r="C124" s="32" t="str">
        <f t="shared" si="19"/>
        <v>MTN</v>
      </c>
      <c r="D124" s="28" t="str">
        <f t="shared" si="19"/>
        <v>ZAR 206.35</v>
      </c>
      <c r="E124" s="28" t="str">
        <f t="shared" si="19"/>
        <v>ZAR 280.00</v>
      </c>
      <c r="F124" s="29">
        <f t="shared" si="19"/>
        <v>0.35691785800823839</v>
      </c>
      <c r="G124" s="28" t="str">
        <f t="shared" si="19"/>
        <v>Buy</v>
      </c>
      <c r="H124" s="30"/>
      <c r="I124" s="29">
        <f>MTN!$D$45</f>
        <v>1.9447022133611654E-2</v>
      </c>
      <c r="J124" s="29">
        <f>MTN!$E$45</f>
        <v>2.4577961071623557E-2</v>
      </c>
      <c r="K124" s="29">
        <f>MTN!$F$45</f>
        <v>3.323730684873339E-2</v>
      </c>
      <c r="L124" s="29">
        <f>MTN!$G$45</f>
        <v>4.0091501394437956E-2</v>
      </c>
      <c r="M124" s="29">
        <f>MTN!$H$45</f>
        <v>0.27266978264467112</v>
      </c>
      <c r="N124" s="40"/>
      <c r="O124" s="29">
        <f>MTN!$D$47</f>
        <v>2.678715831312754E-2</v>
      </c>
      <c r="P124" s="29">
        <f>MTN!$E$47</f>
        <v>2.7736454299817928E-2</v>
      </c>
      <c r="Q124" s="29">
        <f>MTN!$F$47</f>
        <v>4.6732150028403772E-2</v>
      </c>
      <c r="R124" s="29">
        <f>MTN!$G$47</f>
        <v>5.6758477214138278E-2</v>
      </c>
      <c r="S124" s="135">
        <f>MTN!$H$47</f>
        <v>0.28435187941889972</v>
      </c>
      <c r="T124" s="30"/>
      <c r="U124" s="32" t="str">
        <f t="shared" si="20"/>
        <v>ZAR 206.35</v>
      </c>
      <c r="V124" s="28" t="str">
        <f t="shared" si="20"/>
        <v>MTN</v>
      </c>
    </row>
    <row r="125" spans="1:22" s="5" customFormat="1">
      <c r="A125" s="23"/>
      <c r="B125" s="26"/>
      <c r="C125" s="32" t="str">
        <f t="shared" si="19"/>
        <v>Safaricom</v>
      </c>
      <c r="D125" s="28" t="str">
        <f t="shared" si="19"/>
        <v>KES 29.90</v>
      </c>
      <c r="E125" s="28" t="str">
        <f t="shared" si="19"/>
        <v>KES 40.0</v>
      </c>
      <c r="F125" s="29">
        <f t="shared" si="19"/>
        <v>0.33779264214046822</v>
      </c>
      <c r="G125" s="28" t="str">
        <f t="shared" si="19"/>
        <v>Buy</v>
      </c>
      <c r="H125" s="30"/>
      <c r="I125" s="29">
        <f>SAF!$D$45</f>
        <v>6.162538439848967E-2</v>
      </c>
      <c r="J125" s="29">
        <f>SAF!$E$45</f>
        <v>7.1928376173738706E-2</v>
      </c>
      <c r="K125" s="29">
        <f>SAF!$F$45</f>
        <v>8.0198861166521959E-2</v>
      </c>
      <c r="L125" s="29">
        <f>SAF!$G$45</f>
        <v>8.897821948936234E-2</v>
      </c>
      <c r="M125" s="29">
        <f>SAF!$H$45</f>
        <v>0.13025045335040586</v>
      </c>
      <c r="N125" s="40"/>
      <c r="O125" s="29">
        <f>SAF!$D$47</f>
        <v>7.495121106040091E-2</v>
      </c>
      <c r="P125" s="29">
        <f>SAF!$E$47</f>
        <v>9.0405321750279197E-2</v>
      </c>
      <c r="Q125" s="29">
        <f>SAF!$F$47</f>
        <v>0.10124139844991807</v>
      </c>
      <c r="R125" s="29">
        <f>SAF!$G$47</f>
        <v>0.11328903439158826</v>
      </c>
      <c r="S125" s="135">
        <f>SAF!$H$47</f>
        <v>0.1476331207795043</v>
      </c>
      <c r="T125" s="30"/>
      <c r="U125" s="32" t="str">
        <f t="shared" si="20"/>
        <v>KES 29.90</v>
      </c>
      <c r="V125" s="28" t="str">
        <f t="shared" si="20"/>
        <v>Safaricom</v>
      </c>
    </row>
    <row r="126" spans="1:22" s="5" customFormat="1">
      <c r="A126" s="23"/>
      <c r="B126" s="26"/>
      <c r="C126" s="32" t="str">
        <f t="shared" si="19"/>
        <v>VEON</v>
      </c>
      <c r="D126" s="28" t="str">
        <f t="shared" si="19"/>
        <v>USD 54.9</v>
      </c>
      <c r="E126" s="28" t="str">
        <f t="shared" si="19"/>
        <v>USD 100.0</v>
      </c>
      <c r="F126" s="29">
        <f t="shared" si="19"/>
        <v>0.82116190129302513</v>
      </c>
      <c r="G126" s="28" t="str">
        <f t="shared" si="19"/>
        <v>Buy</v>
      </c>
      <c r="H126" s="30"/>
      <c r="I126" s="29">
        <f>VIMP!$D$45</f>
        <v>0</v>
      </c>
      <c r="J126" s="29">
        <f>VIMP!$E$45</f>
        <v>0</v>
      </c>
      <c r="K126" s="29">
        <f>VIMP!$F$45</f>
        <v>0</v>
      </c>
      <c r="L126" s="29">
        <f>VIMP!$G$45</f>
        <v>0</v>
      </c>
      <c r="M126" s="29" t="str">
        <f>VIMP!$H$45</f>
        <v>nm</v>
      </c>
      <c r="N126" s="40"/>
      <c r="O126" s="29">
        <f>VIMP!$D$47</f>
        <v>6.7827441610373781E-2</v>
      </c>
      <c r="P126" s="29">
        <f>VIMP!$E$47</f>
        <v>0.11039423576038339</v>
      </c>
      <c r="Q126" s="29">
        <f>VIMP!$F$47</f>
        <v>0.13769673186150128</v>
      </c>
      <c r="R126" s="29">
        <f>VIMP!$G$47</f>
        <v>0.16165879731254529</v>
      </c>
      <c r="S126" s="29">
        <f>VIMP!$H$47</f>
        <v>0.32362160289815556</v>
      </c>
      <c r="T126" s="30"/>
      <c r="U126" s="32" t="str">
        <f t="shared" si="20"/>
        <v>USD 54.9</v>
      </c>
      <c r="V126" s="28" t="str">
        <f t="shared" si="20"/>
        <v>VEON</v>
      </c>
    </row>
    <row r="127" spans="1:22">
      <c r="C127" s="32" t="str">
        <f t="shared" si="19"/>
        <v>Vodacom</v>
      </c>
      <c r="D127" s="28" t="str">
        <f t="shared" si="19"/>
        <v>ZAR 145.6</v>
      </c>
      <c r="E127" s="28" t="str">
        <f t="shared" si="19"/>
        <v>ZAR 215.0</v>
      </c>
      <c r="F127" s="29">
        <f t="shared" si="19"/>
        <v>0.47685121582634959</v>
      </c>
      <c r="G127" s="28" t="str">
        <f t="shared" si="19"/>
        <v>Buy</v>
      </c>
      <c r="H127" s="30"/>
      <c r="I127" s="29">
        <f>VODA!$D$45</f>
        <v>5.0593562648338523E-2</v>
      </c>
      <c r="J127" s="29">
        <f>VODA!$E$45</f>
        <v>8.8975730407186107E-2</v>
      </c>
      <c r="K127" s="29">
        <f>VODA!$F$45</f>
        <v>0.10927900662513766</v>
      </c>
      <c r="L127" s="29">
        <f>VODA!$G$45</f>
        <v>0.12944122807475147</v>
      </c>
      <c r="M127" s="29">
        <f>VODA!$H$45</f>
        <v>0.36495136966083219</v>
      </c>
      <c r="N127" s="40"/>
      <c r="O127" s="29">
        <f>VODA!$D$47</f>
        <v>5.5110281163584053E-2</v>
      </c>
      <c r="P127" s="29">
        <f>VODA!$E$47</f>
        <v>9.2859282793012324E-2</v>
      </c>
      <c r="Q127" s="29">
        <f>VODA!$F$47</f>
        <v>0.10801329142359901</v>
      </c>
      <c r="R127" s="29">
        <f>VODA!$G$47</f>
        <v>0.12946361545687776</v>
      </c>
      <c r="S127" s="29">
        <f>VODA!$H$47</f>
        <v>0.32667056238470837</v>
      </c>
      <c r="T127" s="30"/>
      <c r="U127" s="32" t="str">
        <f t="shared" si="20"/>
        <v>ZAR 145.6</v>
      </c>
      <c r="V127" s="28" t="str">
        <f t="shared" si="20"/>
        <v>Vodacom</v>
      </c>
    </row>
    <row r="128" spans="1:22" s="5" customFormat="1">
      <c r="A128" s="23"/>
      <c r="B128" s="26"/>
      <c r="C128" s="35" t="str">
        <f>C77</f>
        <v>Agg. EMEA Cellular</v>
      </c>
      <c r="D128" s="36"/>
      <c r="E128" s="36"/>
      <c r="F128" s="37"/>
      <c r="G128" s="36"/>
      <c r="H128" s="30"/>
      <c r="I128" s="39">
        <f>'EMEA CELLULAR'!$D$45</f>
        <v>3.0544287380878801E-2</v>
      </c>
      <c r="J128" s="39">
        <f>'EMEA CELLULAR'!$E$45</f>
        <v>4.395508539543818E-2</v>
      </c>
      <c r="K128" s="39">
        <f>'EMEA CELLULAR'!$F$45</f>
        <v>5.3871956178551617E-2</v>
      </c>
      <c r="L128" s="39">
        <f>'EMEA CELLULAR'!$G$45</f>
        <v>6.3557237996527752E-2</v>
      </c>
      <c r="M128" s="39">
        <f>'EMEA CELLULAR'!$H$45</f>
        <v>0.26908290905415133</v>
      </c>
      <c r="N128" s="40"/>
      <c r="O128" s="39">
        <f>'EMEA CELLULAR'!$D$47</f>
        <v>4.2643622737171552E-2</v>
      </c>
      <c r="P128" s="39">
        <f>'EMEA CELLULAR'!$E$47</f>
        <v>6.4891438210719285E-2</v>
      </c>
      <c r="Q128" s="39">
        <f>'EMEA CELLULAR'!$F$47</f>
        <v>8.1127163237831965E-2</v>
      </c>
      <c r="R128" s="39">
        <f>'EMEA CELLULAR'!$G$47</f>
        <v>9.5204135265074971E-2</v>
      </c>
      <c r="S128" s="39">
        <f>'EMEA CELLULAR'!$H$47</f>
        <v>0.29920862771021017</v>
      </c>
      <c r="T128" s="30"/>
      <c r="U128" s="41"/>
      <c r="V128" s="42" t="str">
        <f>V77</f>
        <v>Agg. EMEA Cellular</v>
      </c>
    </row>
    <row r="129" spans="1:26">
      <c r="A129" s="5"/>
      <c r="C129" s="27"/>
      <c r="D129" s="28"/>
      <c r="E129" s="28"/>
      <c r="F129" s="29"/>
      <c r="G129" s="28"/>
      <c r="H129" s="30"/>
      <c r="I129" s="29"/>
      <c r="J129" s="29"/>
      <c r="K129" s="29"/>
      <c r="L129" s="29"/>
      <c r="M129" s="29"/>
      <c r="N129" s="40"/>
      <c r="O129" s="29"/>
      <c r="P129" s="29"/>
      <c r="Q129" s="29"/>
      <c r="R129" s="29"/>
      <c r="S129" s="29"/>
      <c r="T129" s="30"/>
      <c r="U129" s="32"/>
      <c r="V129" s="34"/>
    </row>
    <row r="130" spans="1:26">
      <c r="A130" s="5"/>
      <c r="C130" s="32" t="str">
        <f t="shared" ref="C130:G132" si="21">C79</f>
        <v>Entel</v>
      </c>
      <c r="D130" s="28" t="str">
        <f t="shared" si="21"/>
        <v>CLP 3,643</v>
      </c>
      <c r="E130" s="28" t="str">
        <f t="shared" si="21"/>
        <v>CLP 3,150</v>
      </c>
      <c r="F130" s="29">
        <f t="shared" si="21"/>
        <v>-0.13532802635190777</v>
      </c>
      <c r="G130" s="28" t="str">
        <f t="shared" si="21"/>
        <v>Neutral</v>
      </c>
      <c r="H130" s="30"/>
      <c r="I130" s="29">
        <f>ENTEL!$D$45</f>
        <v>4.5292341476804825E-2</v>
      </c>
      <c r="J130" s="29">
        <f>ENTEL!$E$45</f>
        <v>4.9821575624485318E-2</v>
      </c>
      <c r="K130" s="29">
        <f>ENTEL!$F$45</f>
        <v>5.4803733186933851E-2</v>
      </c>
      <c r="L130" s="29">
        <f>ENTEL!$G$45</f>
        <v>6.0284106505627245E-2</v>
      </c>
      <c r="M130" s="29">
        <f>ENTEL!$H$45</f>
        <v>0.10000000000000009</v>
      </c>
      <c r="N130" s="40"/>
      <c r="O130" s="29">
        <f>ENTEL!$D$47</f>
        <v>-5.2348802678140745E-2</v>
      </c>
      <c r="P130" s="29">
        <f>ENTEL!$E$47</f>
        <v>-1.9493680815095681E-2</v>
      </c>
      <c r="Q130" s="29">
        <f>ENTEL!$F$47</f>
        <v>9.5691928111789012E-4</v>
      </c>
      <c r="R130" s="29">
        <f>ENTEL!$G$47</f>
        <v>4.061817247996944E-2</v>
      </c>
      <c r="S130" s="135">
        <f>ENTEL!$H$47</f>
        <v>-1.8679743052699187</v>
      </c>
      <c r="T130" s="30"/>
      <c r="U130" s="32" t="str">
        <f t="shared" ref="U130:V132" si="22">U79</f>
        <v>CLP 3,643</v>
      </c>
      <c r="V130" s="28" t="str">
        <f t="shared" si="22"/>
        <v>Entel</v>
      </c>
    </row>
    <row r="131" spans="1:26" s="5" customFormat="1">
      <c r="B131" s="26"/>
      <c r="C131" s="32" t="str">
        <f t="shared" si="21"/>
        <v>Millicom</v>
      </c>
      <c r="D131" s="28" t="str">
        <f t="shared" si="21"/>
        <v>USD  83.6</v>
      </c>
      <c r="E131" s="28" t="str">
        <f t="shared" si="21"/>
        <v>USD 70.0</v>
      </c>
      <c r="F131" s="29">
        <f t="shared" si="21"/>
        <v>-0.16292974588938713</v>
      </c>
      <c r="G131" s="28" t="str">
        <f t="shared" si="21"/>
        <v>Buy</v>
      </c>
      <c r="H131" s="30"/>
      <c r="I131" s="29">
        <f>MILLI!$D$45</f>
        <v>5.0822122571001493E-2</v>
      </c>
      <c r="J131" s="29">
        <f>MILLI!$E$45</f>
        <v>4.3049327354260085E-2</v>
      </c>
      <c r="K131" s="29">
        <f>MILLI!$F$45</f>
        <v>4.7832585949177879E-2</v>
      </c>
      <c r="L131" s="29">
        <f>MILLI!$G$45</f>
        <v>5.3811659192825115E-2</v>
      </c>
      <c r="M131" s="29">
        <f>MILLI!$H$45</f>
        <v>2.5150158610842688E-4</v>
      </c>
      <c r="N131" s="40"/>
      <c r="O131" s="29">
        <f>MILLI!$D$47</f>
        <v>5.8949350640856345E-2</v>
      </c>
      <c r="P131" s="29">
        <f>MILLI!$E$47</f>
        <v>6.2828389535032073E-2</v>
      </c>
      <c r="Q131" s="29">
        <f>MILLI!$F$47</f>
        <v>7.9578874989684537E-2</v>
      </c>
      <c r="R131" s="29">
        <f>MILLI!$G$47</f>
        <v>8.5271160337619542E-2</v>
      </c>
      <c r="S131" s="135">
        <f>MILLI!$H$47</f>
        <v>0.10987925301608126</v>
      </c>
      <c r="T131" s="30"/>
      <c r="U131" s="32" t="str">
        <f t="shared" si="22"/>
        <v>USD  83.6</v>
      </c>
      <c r="V131" s="28" t="str">
        <f t="shared" si="22"/>
        <v>Millicom</v>
      </c>
    </row>
    <row r="132" spans="1:26" s="5" customFormat="1">
      <c r="B132" s="26"/>
      <c r="C132" s="32" t="str">
        <f t="shared" si="21"/>
        <v>TIM Participacoes</v>
      </c>
      <c r="D132" s="28" t="str">
        <f t="shared" si="21"/>
        <v>BRL 25.99</v>
      </c>
      <c r="E132" s="28" t="str">
        <f t="shared" si="21"/>
        <v>BRL 28.00</v>
      </c>
      <c r="F132" s="29">
        <f t="shared" si="21"/>
        <v>7.7337437475952342E-2</v>
      </c>
      <c r="G132" s="28" t="str">
        <f t="shared" si="21"/>
        <v>Buy</v>
      </c>
      <c r="H132" s="30"/>
      <c r="I132" s="29">
        <f>TIMP!$D$45</f>
        <v>0.12674923986608769</v>
      </c>
      <c r="J132" s="29">
        <f>TIMP!$E$45</f>
        <v>0.14893035684265302</v>
      </c>
      <c r="K132" s="29">
        <f>TIMP!$F$45</f>
        <v>0.17424851750590403</v>
      </c>
      <c r="L132" s="29">
        <f>TIMP!$G$45</f>
        <v>0.18296094338119923</v>
      </c>
      <c r="M132" s="29">
        <f>TIMP!$H$45</f>
        <v>0.10035477163722795</v>
      </c>
      <c r="N132" s="40"/>
      <c r="O132" s="29">
        <f>TIMP!$D$47</f>
        <v>0.16124617817362646</v>
      </c>
      <c r="P132" s="29">
        <f>TIMP!$E$47</f>
        <v>0.1854426433334137</v>
      </c>
      <c r="Q132" s="29">
        <f>TIMP!$F$47</f>
        <v>0.21310063094003748</v>
      </c>
      <c r="R132" s="29">
        <f>TIMP!$G$47</f>
        <v>0.23957498769049043</v>
      </c>
      <c r="S132" s="29">
        <f>TIMP!$H$47</f>
        <v>0.11099576509237274</v>
      </c>
      <c r="T132" s="30"/>
      <c r="U132" s="32" t="str">
        <f t="shared" si="22"/>
        <v>BRL 25.99</v>
      </c>
      <c r="V132" s="28" t="str">
        <f t="shared" si="22"/>
        <v>TIM Participacoes</v>
      </c>
    </row>
    <row r="133" spans="1:26">
      <c r="A133" s="25"/>
      <c r="B133" s="26" t="s">
        <v>483</v>
      </c>
      <c r="C133" s="32" t="s">
        <v>688</v>
      </c>
      <c r="D133" s="28" t="str">
        <f>'EM Multiples'!B133&amp;TEXT(Prices!C$115,"0.00")</f>
        <v>MXN59.40</v>
      </c>
      <c r="E133" s="28" t="str">
        <f>'EM Multiples'!B133&amp;TEXT(Prices!E$115,"0.00")</f>
        <v>MXN75.00</v>
      </c>
      <c r="F133" s="29">
        <f>Prices!F$115</f>
        <v>0.26262626262626276</v>
      </c>
      <c r="G133" s="28" t="str">
        <f>Prices!D$115</f>
        <v>Buy</v>
      </c>
      <c r="H133" s="30"/>
      <c r="I133" s="29">
        <f>MEGA!$D$45</f>
        <v>6.1851851851851845E-2</v>
      </c>
      <c r="J133" s="29">
        <f>MEGA!$E$45</f>
        <v>6.8037037037037049E-2</v>
      </c>
      <c r="K133" s="29">
        <f>MEGA!$F$45</f>
        <v>7.4840740740740763E-2</v>
      </c>
      <c r="L133" s="29">
        <f>MEGA!$G$45</f>
        <v>8.2324814814814823E-2</v>
      </c>
      <c r="M133" s="29">
        <f>MEGA!$H$45</f>
        <v>0.10000000000000009</v>
      </c>
      <c r="N133" s="30"/>
      <c r="O133" s="29">
        <f>MEGA!$D$47</f>
        <v>3.6836203947207789E-2</v>
      </c>
      <c r="P133" s="29">
        <f>MEGA!$E$47</f>
        <v>5.9204294056613829E-2</v>
      </c>
      <c r="Q133" s="29">
        <f>MEGA!$F$47</f>
        <v>8.6101032644604975E-2</v>
      </c>
      <c r="R133" s="29">
        <f>MEGA!$G$47</f>
        <v>0.11032824174447009</v>
      </c>
      <c r="S133" s="29">
        <f>MEGA!$H$47</f>
        <v>0.44146447205298056</v>
      </c>
      <c r="T133" s="30"/>
      <c r="U133" s="32" t="str">
        <f>D133</f>
        <v>MXN59.40</v>
      </c>
      <c r="V133" s="28" t="str">
        <f>C133</f>
        <v>Megacable</v>
      </c>
      <c r="Z133" s="30"/>
    </row>
    <row r="134" spans="1:26">
      <c r="A134" s="5"/>
      <c r="B134" s="26" t="s">
        <v>331</v>
      </c>
      <c r="C134" s="32" t="s">
        <v>675</v>
      </c>
      <c r="D134" s="28" t="str">
        <f>'EM Multiples'!B134&amp;TEXT(Prices!C$118,"0.00")</f>
        <v>USD8.53</v>
      </c>
      <c r="E134" s="28" t="str">
        <f>'EM Multiples'!B134&amp;TEXT(Prices!E$118,"0.00")</f>
        <v>USD14.90</v>
      </c>
      <c r="F134" s="29">
        <f>Prices!F$118</f>
        <v>0.74780058651026393</v>
      </c>
      <c r="G134" s="28" t="str">
        <f>Prices!D$118</f>
        <v>Buy</v>
      </c>
      <c r="H134" s="30"/>
      <c r="I134" s="29">
        <f>LiLAC!D$45</f>
        <v>0</v>
      </c>
      <c r="J134" s="29">
        <f>LiLAC!E$45</f>
        <v>0</v>
      </c>
      <c r="K134" s="29">
        <f>LiLAC!F$45</f>
        <v>0</v>
      </c>
      <c r="L134" s="29">
        <f>LiLAC!G$45</f>
        <v>0</v>
      </c>
      <c r="M134" s="29" t="str">
        <f>LiLAC!H$45</f>
        <v>nm</v>
      </c>
      <c r="N134" s="30"/>
      <c r="O134" s="29">
        <f>LiLAC!$D$47</f>
        <v>7.9466471482964507E-4</v>
      </c>
      <c r="P134" s="29">
        <f>LiLAC!$E$47</f>
        <v>4.2690960632134907E-2</v>
      </c>
      <c r="Q134" s="29">
        <f>LiLAC!$F$47</f>
        <v>8.8405150555152121E-2</v>
      </c>
      <c r="R134" s="29">
        <f>LiLAC!$G$47</f>
        <v>0.1269324730917466</v>
      </c>
      <c r="S134" s="29">
        <f>LiLAC!$H$47</f>
        <v>4.3439626201333299</v>
      </c>
      <c r="T134" s="30"/>
      <c r="U134" s="32" t="str">
        <f>D134</f>
        <v>USD8.53</v>
      </c>
      <c r="V134" s="28" t="str">
        <f>C134</f>
        <v>LiLAC</v>
      </c>
      <c r="Z134" s="30"/>
    </row>
    <row r="135" spans="1:26" s="5" customFormat="1">
      <c r="B135" s="26"/>
      <c r="C135" s="35" t="str">
        <f>C84</f>
        <v>Agg. LatAm Other</v>
      </c>
      <c r="D135" s="36"/>
      <c r="E135" s="36"/>
      <c r="F135" s="37"/>
      <c r="G135" s="36"/>
      <c r="H135" s="30"/>
      <c r="I135" s="39">
        <f>'LATAM OTHER'!$D$45</f>
        <v>6.6798352381774173E-2</v>
      </c>
      <c r="J135" s="39">
        <f>'LATAM OTHER'!$E$45</f>
        <v>6.8747335864796422E-2</v>
      </c>
      <c r="K135" s="39">
        <f>'LATAM OTHER'!$F$45</f>
        <v>7.8197938134596134E-2</v>
      </c>
      <c r="L135" s="39">
        <f>'LATAM OTHER'!$G$45</f>
        <v>8.4412656483087073E-2</v>
      </c>
      <c r="M135" s="39">
        <f>'LATAM OTHER'!$H$45</f>
        <v>6.1749479822025055E-2</v>
      </c>
      <c r="N135" s="40"/>
      <c r="O135" s="39">
        <f>'LATAM OTHER'!$D$47</f>
        <v>8.6166698521916246E-2</v>
      </c>
      <c r="P135" s="39">
        <f>'LATAM OTHER'!$E$47</f>
        <v>0.10379110009403501</v>
      </c>
      <c r="Q135" s="39">
        <f>'LATAM OTHER'!$F$47</f>
        <v>0.13284889371481659</v>
      </c>
      <c r="R135" s="39">
        <f>'LATAM OTHER'!$G$47</f>
        <v>0.15317150117344031</v>
      </c>
      <c r="S135" s="39">
        <f>'LATAM OTHER'!$H$47</f>
        <v>0.18323846876090721</v>
      </c>
      <c r="T135" s="30"/>
      <c r="U135" s="41"/>
      <c r="V135" s="42" t="str">
        <f>V84</f>
        <v>Agg. LatAm Cellular</v>
      </c>
    </row>
    <row r="136" spans="1:26" s="5" customFormat="1">
      <c r="A136" s="23"/>
      <c r="B136" s="26"/>
      <c r="C136" s="27"/>
      <c r="D136" s="28"/>
      <c r="E136" s="28"/>
      <c r="F136" s="29"/>
      <c r="G136" s="28"/>
      <c r="H136" s="30"/>
      <c r="I136" s="29"/>
      <c r="J136" s="29"/>
      <c r="K136" s="29"/>
      <c r="L136" s="29"/>
      <c r="M136" s="29"/>
      <c r="N136" s="30"/>
      <c r="O136" s="29"/>
      <c r="P136" s="29"/>
      <c r="Q136" s="29"/>
      <c r="R136" s="29"/>
      <c r="S136" s="29"/>
      <c r="T136" s="30"/>
      <c r="U136" s="32"/>
      <c r="V136" s="34"/>
    </row>
    <row r="137" spans="1:26" s="5" customFormat="1">
      <c r="B137" s="26"/>
      <c r="C137" s="32" t="str">
        <f t="shared" ref="C137:G148" si="23">C86</f>
        <v>AIS</v>
      </c>
      <c r="D137" s="28" t="str">
        <f t="shared" si="23"/>
        <v>THB 349.0</v>
      </c>
      <c r="E137" s="28" t="str">
        <f t="shared" si="23"/>
        <v>THB 330.0</v>
      </c>
      <c r="F137" s="29">
        <f t="shared" si="23"/>
        <v>-5.4441260744985676E-2</v>
      </c>
      <c r="G137" s="28" t="str">
        <f t="shared" si="23"/>
        <v>Buy</v>
      </c>
      <c r="H137" s="30"/>
      <c r="I137" s="29">
        <f>ADVANCED!$D$45</f>
        <v>3.8262714574781753E-2</v>
      </c>
      <c r="J137" s="29">
        <f>ADVANCED!$E$45</f>
        <v>4.1660020418810471E-2</v>
      </c>
      <c r="K137" s="29">
        <f>ADVANCED!$F$45</f>
        <v>4.5363098696926354E-2</v>
      </c>
      <c r="L137" s="29">
        <f>ADVANCED!$G$45</f>
        <v>5.029292492574209E-2</v>
      </c>
      <c r="M137" s="29">
        <f>ADVANCED!$H$45</f>
        <v>9.541085084835732E-2</v>
      </c>
      <c r="N137" s="30"/>
      <c r="O137" s="29">
        <f>ADVANCED!$D$47</f>
        <v>4.4597802785402853E-2</v>
      </c>
      <c r="P137" s="29">
        <f>ADVANCED!$E$47</f>
        <v>5.4935956764362158E-2</v>
      </c>
      <c r="Q137" s="29">
        <f>ADVANCED!$F$47</f>
        <v>5.7636669330539701E-2</v>
      </c>
      <c r="R137" s="29">
        <f>ADVANCED!$G$47</f>
        <v>6.2006695624032653E-2</v>
      </c>
      <c r="S137" s="29">
        <f>ADVANCED!$H$47</f>
        <v>0.11611353584540085</v>
      </c>
      <c r="T137" s="30"/>
      <c r="U137" s="32" t="str">
        <f t="shared" ref="U137:V148" si="24">U86</f>
        <v>THB 349.0</v>
      </c>
      <c r="V137" s="28" t="str">
        <f t="shared" si="24"/>
        <v>AIS</v>
      </c>
    </row>
    <row r="138" spans="1:26" s="5" customFormat="1">
      <c r="A138" s="23"/>
      <c r="B138" s="26"/>
      <c r="C138" s="32" t="str">
        <f t="shared" si="23"/>
        <v>Axiata</v>
      </c>
      <c r="D138" s="28" t="str">
        <f t="shared" si="23"/>
        <v>MYR 2.24</v>
      </c>
      <c r="E138" s="28" t="str">
        <f t="shared" si="23"/>
        <v>MYR 4.50</v>
      </c>
      <c r="F138" s="29">
        <f t="shared" si="23"/>
        <v>1.0089285714285712</v>
      </c>
      <c r="G138" s="28" t="str">
        <f t="shared" si="23"/>
        <v>Buy</v>
      </c>
      <c r="H138" s="30"/>
      <c r="I138" s="29">
        <f>AXI!$D$45</f>
        <v>4.4642857142857144E-2</v>
      </c>
      <c r="J138" s="29">
        <f>AXI!$E$45</f>
        <v>4.9107142857142856E-2</v>
      </c>
      <c r="K138" s="29">
        <f>AXI!$F$45</f>
        <v>5.3571428571428568E-2</v>
      </c>
      <c r="L138" s="29">
        <f>AXI!$G$45</f>
        <v>5.8035714285714281E-2</v>
      </c>
      <c r="M138" s="29">
        <f>AXI!$H$45</f>
        <v>9.1392883061105712E-2</v>
      </c>
      <c r="N138" s="30"/>
      <c r="O138" s="29">
        <f>AXI!$D$47</f>
        <v>2.7774324870257001E-2</v>
      </c>
      <c r="P138" s="29">
        <f>AXI!$E$47</f>
        <v>3.7874079368532272E-2</v>
      </c>
      <c r="Q138" s="29">
        <f>AXI!$F$47</f>
        <v>6.9484368687653425E-2</v>
      </c>
      <c r="R138" s="29">
        <f>AXI!$G$47</f>
        <v>8.443977438702259E-2</v>
      </c>
      <c r="S138" s="29">
        <f>AXI!$H$47</f>
        <v>0.44866461124002854</v>
      </c>
      <c r="T138" s="30"/>
      <c r="U138" s="32" t="str">
        <f t="shared" si="24"/>
        <v>MYR 2.24</v>
      </c>
      <c r="V138" s="28" t="str">
        <f t="shared" si="24"/>
        <v>Axiata</v>
      </c>
    </row>
    <row r="139" spans="1:26" s="5" customFormat="1">
      <c r="A139" s="23"/>
      <c r="B139" s="26"/>
      <c r="C139" s="32" t="str">
        <f t="shared" si="23"/>
        <v>Bharti Airtel</v>
      </c>
      <c r="D139" s="28" t="str">
        <f t="shared" si="23"/>
        <v>INR 1815</v>
      </c>
      <c r="E139" s="28" t="str">
        <f t="shared" si="23"/>
        <v>INR 2750</v>
      </c>
      <c r="F139" s="29">
        <f t="shared" si="23"/>
        <v>0.51540199482008031</v>
      </c>
      <c r="G139" s="28" t="str">
        <f t="shared" si="23"/>
        <v>Buy</v>
      </c>
      <c r="H139" s="30"/>
      <c r="I139" s="29">
        <f>BHART!$D$45</f>
        <v>1.1472379120258865E-2</v>
      </c>
      <c r="J139" s="29">
        <f>BHART!$E$45</f>
        <v>1.822634155911124E-2</v>
      </c>
      <c r="K139" s="29">
        <f>BHART!$F$45</f>
        <v>2.597227581771322E-2</v>
      </c>
      <c r="L139" s="29">
        <f>BHART!$G$45</f>
        <v>3.4660153959641823E-2</v>
      </c>
      <c r="M139" s="29">
        <f>BHART!$H$45</f>
        <v>0.4456361475036219</v>
      </c>
      <c r="N139" s="30"/>
      <c r="O139" s="29">
        <f>BHART!$D$47</f>
        <v>3.5488983639100725E-2</v>
      </c>
      <c r="P139" s="29">
        <f>BHART!$E$47</f>
        <v>4.6118533527365127E-2</v>
      </c>
      <c r="Q139" s="29">
        <f>BHART!$F$47</f>
        <v>5.9400104352190772E-2</v>
      </c>
      <c r="R139" s="29">
        <f>BHART!$G$47</f>
        <v>7.0601483052561892E-2</v>
      </c>
      <c r="S139" s="29">
        <f>BHART!$H$47</f>
        <v>0.25768945807784704</v>
      </c>
      <c r="T139" s="30"/>
      <c r="U139" s="32" t="str">
        <f t="shared" si="24"/>
        <v>INR 1815</v>
      </c>
      <c r="V139" s="28" t="str">
        <f t="shared" si="24"/>
        <v>Bharti Airtel</v>
      </c>
    </row>
    <row r="140" spans="1:26" s="5" customFormat="1">
      <c r="B140" s="26"/>
      <c r="C140" s="32" t="str">
        <f t="shared" si="23"/>
        <v>China Mobile</v>
      </c>
      <c r="D140" s="28" t="str">
        <f t="shared" si="23"/>
        <v>HKD 83.9</v>
      </c>
      <c r="E140" s="28" t="str">
        <f t="shared" si="23"/>
        <v>HKD 115.0</v>
      </c>
      <c r="F140" s="29">
        <f t="shared" si="23"/>
        <v>0.37067938021454094</v>
      </c>
      <c r="G140" s="28" t="str">
        <f t="shared" si="23"/>
        <v>Buy</v>
      </c>
      <c r="H140" s="30"/>
      <c r="I140" s="29">
        <f>_CM!$D$45</f>
        <v>6.8844206762112461E-2</v>
      </c>
      <c r="J140" s="29">
        <f>_CM!$E$45</f>
        <v>7.4659942503767771E-2</v>
      </c>
      <c r="K140" s="29">
        <f>_CM!$F$45</f>
        <v>7.9106165673466372E-2</v>
      </c>
      <c r="L140" s="29">
        <f>_CM!$G$45</f>
        <v>8.3971493168014791E-2</v>
      </c>
      <c r="M140" s="29">
        <f>_CM!$H$45</f>
        <v>6.8451529708471792E-2</v>
      </c>
      <c r="N140" s="30"/>
      <c r="O140" s="29">
        <f>_CM!$D$47</f>
        <v>8.3303484120451091E-2</v>
      </c>
      <c r="P140" s="29">
        <f>_CM!$E$47</f>
        <v>9.0766935622789785E-2</v>
      </c>
      <c r="Q140" s="29">
        <f>_CM!$F$47</f>
        <v>9.4946353193061814E-2</v>
      </c>
      <c r="R140" s="29">
        <f>_CM!$G$47</f>
        <v>9.9263873967588664E-2</v>
      </c>
      <c r="S140" s="29">
        <f>_CM!$H$47</f>
        <v>6.0171238823583106E-2</v>
      </c>
      <c r="T140" s="30"/>
      <c r="U140" s="32" t="str">
        <f t="shared" si="24"/>
        <v>HKD 83.9</v>
      </c>
      <c r="V140" s="28" t="str">
        <f t="shared" si="24"/>
        <v>China Mobile</v>
      </c>
    </row>
    <row r="141" spans="1:26" s="5" customFormat="1">
      <c r="B141" s="26"/>
      <c r="C141" s="32" t="str">
        <f t="shared" si="23"/>
        <v>CelcomDigi</v>
      </c>
      <c r="D141" s="28" t="str">
        <f t="shared" si="23"/>
        <v>MYR 3.0</v>
      </c>
      <c r="E141" s="28" t="str">
        <f t="shared" si="23"/>
        <v>MYR 5.6</v>
      </c>
      <c r="F141" s="29">
        <f t="shared" si="23"/>
        <v>0.88552188552188538</v>
      </c>
      <c r="G141" s="28" t="str">
        <f t="shared" si="23"/>
        <v>Buy</v>
      </c>
      <c r="H141" s="30"/>
      <c r="I141" s="29">
        <f>DIGI!$D$45</f>
        <v>4.7790259866330689E-2</v>
      </c>
      <c r="J141" s="29">
        <f>DIGI!$E$45</f>
        <v>4.9479169190682043E-2</v>
      </c>
      <c r="K141" s="29">
        <f>DIGI!$F$45</f>
        <v>5.3424303163520703E-2</v>
      </c>
      <c r="L141" s="29">
        <f>DIGI!$G$45</f>
        <v>5.9479722000578494E-2</v>
      </c>
      <c r="M141" s="29">
        <f>DIGI!$H$45</f>
        <v>7.5663699372075177E-2</v>
      </c>
      <c r="N141" s="30"/>
      <c r="O141" s="29">
        <f>DIGI!$D$47</f>
        <v>5.9541162446787477E-2</v>
      </c>
      <c r="P141" s="29">
        <f>DIGI!$E$47</f>
        <v>6.6397744128733657E-2</v>
      </c>
      <c r="Q141" s="29">
        <f>DIGI!$F$47</f>
        <v>7.7930514239099052E-2</v>
      </c>
      <c r="R141" s="29">
        <f>DIGI!$G$47</f>
        <v>8.203897762645386E-2</v>
      </c>
      <c r="S141" s="29">
        <f>DIGI!$H$47</f>
        <v>0.1127586443582671</v>
      </c>
      <c r="T141" s="30"/>
      <c r="U141" s="32" t="str">
        <f t="shared" si="24"/>
        <v>MYR 3.0</v>
      </c>
      <c r="V141" s="28" t="str">
        <f t="shared" si="24"/>
        <v>CelcomDigi</v>
      </c>
    </row>
    <row r="142" spans="1:26" s="5" customFormat="1">
      <c r="B142" s="26"/>
      <c r="C142" s="32" t="str">
        <f t="shared" si="23"/>
        <v>Vodafone IDEA</v>
      </c>
      <c r="D142" s="28" t="str">
        <f t="shared" si="23"/>
        <v>INR 9.5</v>
      </c>
      <c r="E142" s="28" t="str">
        <f t="shared" si="23"/>
        <v>INR 10.0</v>
      </c>
      <c r="F142" s="29">
        <f t="shared" si="23"/>
        <v>5.0420168067226934E-2</v>
      </c>
      <c r="G142" s="28" t="str">
        <f t="shared" si="23"/>
        <v>Neutral</v>
      </c>
      <c r="H142" s="30"/>
      <c r="I142" s="29">
        <f>IDEA!$D$45</f>
        <v>0</v>
      </c>
      <c r="J142" s="29">
        <f>IDEA!$E$45</f>
        <v>0</v>
      </c>
      <c r="K142" s="29">
        <f>IDEA!$F$45</f>
        <v>0</v>
      </c>
      <c r="L142" s="29">
        <f>IDEA!$G$45</f>
        <v>0</v>
      </c>
      <c r="M142" s="29" t="str">
        <f>IDEA!$H$45</f>
        <v>nm</v>
      </c>
      <c r="N142" s="30"/>
      <c r="O142" s="29">
        <f>IDEA!$D$47</f>
        <v>-0.50702614499081533</v>
      </c>
      <c r="P142" s="29">
        <f>IDEA!$E$47</f>
        <v>-0.4482208543068652</v>
      </c>
      <c r="Q142" s="29">
        <f>IDEA!$F$47</f>
        <v>-0.42300948459825705</v>
      </c>
      <c r="R142" s="29">
        <f>IDEA!$G$47</f>
        <v>-0.38057517831676779</v>
      </c>
      <c r="S142" s="29">
        <f>IDEA!$H$47</f>
        <v>-9.1196407734970508E-2</v>
      </c>
      <c r="T142" s="30"/>
      <c r="U142" s="32" t="str">
        <f t="shared" si="24"/>
        <v>INR 9.5</v>
      </c>
      <c r="V142" s="28" t="str">
        <f t="shared" si="24"/>
        <v>Vodafone IDEA</v>
      </c>
    </row>
    <row r="143" spans="1:26" s="5" customFormat="1">
      <c r="B143" s="26"/>
      <c r="C143" s="32" t="str">
        <f t="shared" si="23"/>
        <v>Indosat</v>
      </c>
      <c r="D143" s="28" t="str">
        <f t="shared" si="23"/>
        <v>IDR 1,970</v>
      </c>
      <c r="E143" s="28" t="str">
        <f t="shared" si="23"/>
        <v>IDR 2,800</v>
      </c>
      <c r="F143" s="29">
        <f t="shared" si="23"/>
        <v>0.42131979695431476</v>
      </c>
      <c r="G143" s="28" t="str">
        <f t="shared" si="23"/>
        <v>Buy</v>
      </c>
      <c r="H143" s="30"/>
      <c r="I143" s="29">
        <f>INDO!$D$45</f>
        <v>3.6042038316347239E-2</v>
      </c>
      <c r="J143" s="29">
        <f>INDO!$E$45</f>
        <v>5.0046930828195314E-2</v>
      </c>
      <c r="K143" s="29">
        <f>INDO!$F$45</f>
        <v>7.0099409727405665E-2</v>
      </c>
      <c r="L143" s="29">
        <f>INDO!$G$45</f>
        <v>8.0523229385535092E-2</v>
      </c>
      <c r="M143" s="29">
        <f>INDO!$H$45</f>
        <v>0.30728600919261484</v>
      </c>
      <c r="N143" s="30"/>
      <c r="O143" s="29">
        <f>INDO!$D$47</f>
        <v>1.8456020544019108E-2</v>
      </c>
      <c r="P143" s="29">
        <f>INDO!$E$47</f>
        <v>5.5066631703192134E-2</v>
      </c>
      <c r="Q143" s="29">
        <f>INDO!$F$47</f>
        <v>7.0846025952845434E-2</v>
      </c>
      <c r="R143" s="29">
        <f>INDO!$G$47</f>
        <v>8.2663457954338937E-2</v>
      </c>
      <c r="S143" s="29">
        <f>INDO!$H$47</f>
        <v>0.64838442061756352</v>
      </c>
      <c r="T143" s="30"/>
      <c r="U143" s="32" t="str">
        <f t="shared" si="24"/>
        <v>IDR 1,970</v>
      </c>
      <c r="V143" s="28" t="str">
        <f t="shared" si="24"/>
        <v>Indosat</v>
      </c>
    </row>
    <row r="144" spans="1:26" s="5" customFormat="1">
      <c r="B144" s="26"/>
      <c r="C144" s="32" t="str">
        <f t="shared" si="23"/>
        <v>LG Uplus</v>
      </c>
      <c r="D144" s="28" t="str">
        <f t="shared" si="23"/>
        <v>KRW 16,600</v>
      </c>
      <c r="E144" s="28" t="str">
        <f t="shared" si="23"/>
        <v>KRW 19,000</v>
      </c>
      <c r="F144" s="29">
        <f t="shared" si="23"/>
        <v>0.14457831325301207</v>
      </c>
      <c r="G144" s="28" t="str">
        <f t="shared" si="23"/>
        <v>Buy</v>
      </c>
      <c r="H144" s="30"/>
      <c r="I144" s="29">
        <f>_LG!$D$45</f>
        <v>3.9156626506024104E-2</v>
      </c>
      <c r="J144" s="29">
        <f>_LG!$E$45</f>
        <v>4.2168674698795185E-2</v>
      </c>
      <c r="K144" s="29">
        <f>_LG!$F$45</f>
        <v>4.5180722891566265E-2</v>
      </c>
      <c r="L144" s="29">
        <f>_LG!$G$45</f>
        <v>5.1204819277108439E-2</v>
      </c>
      <c r="M144" s="29">
        <f>_LG!$H$45</f>
        <v>7.8768039344816021E-2</v>
      </c>
      <c r="N144" s="30"/>
      <c r="O144" s="29">
        <f>_LG!$D$47</f>
        <v>0.12329521134245965</v>
      </c>
      <c r="P144" s="29">
        <f>_LG!$E$47</f>
        <v>0.12543506857853515</v>
      </c>
      <c r="Q144" s="29">
        <f>_LG!$F$47</f>
        <v>0.13157422277586567</v>
      </c>
      <c r="R144" s="29">
        <f>_LG!$G$47</f>
        <v>0.13918303032423576</v>
      </c>
      <c r="S144" s="29">
        <f>_LG!$H$47</f>
        <v>2.716349007086416E-2</v>
      </c>
      <c r="T144" s="30"/>
      <c r="U144" s="32" t="str">
        <f t="shared" si="24"/>
        <v>KRW 16,600</v>
      </c>
      <c r="V144" s="28" t="str">
        <f t="shared" si="24"/>
        <v>LG Uplus</v>
      </c>
    </row>
    <row r="145" spans="1:29" s="5" customFormat="1">
      <c r="A145" s="23"/>
      <c r="B145" s="26"/>
      <c r="C145" s="32" t="str">
        <f t="shared" si="23"/>
        <v>Maxis</v>
      </c>
      <c r="D145" s="28" t="str">
        <f t="shared" si="23"/>
        <v>MYR 3.50</v>
      </c>
      <c r="E145" s="28" t="str">
        <f t="shared" si="23"/>
        <v>MYR 5.10</v>
      </c>
      <c r="F145" s="29">
        <f t="shared" si="23"/>
        <v>0.45714285714285707</v>
      </c>
      <c r="G145" s="28" t="str">
        <f t="shared" si="23"/>
        <v>Buy</v>
      </c>
      <c r="H145" s="30"/>
      <c r="I145" s="29">
        <f>MAXI!$D$45</f>
        <v>5.1733175155196418E-2</v>
      </c>
      <c r="J145" s="29">
        <f>MAXI!$E$45</f>
        <v>5.8079653741433764E-2</v>
      </c>
      <c r="K145" s="29">
        <f>MAXI!$F$45</f>
        <v>6.3077546158096603E-2</v>
      </c>
      <c r="L145" s="29">
        <f>MAXI!$G$45</f>
        <v>6.7561031895504359E-2</v>
      </c>
      <c r="M145" s="29">
        <f>MAXI!$H$45</f>
        <v>9.3195463026179759E-2</v>
      </c>
      <c r="N145" s="30"/>
      <c r="O145" s="29">
        <f>MAXI!$D$47</f>
        <v>6.3088744036136749E-2</v>
      </c>
      <c r="P145" s="29">
        <f>MAXI!$E$47</f>
        <v>6.7947391283519398E-2</v>
      </c>
      <c r="Q145" s="29">
        <f>MAXI!$F$47</f>
        <v>7.0059608989200953E-2</v>
      </c>
      <c r="R145" s="29">
        <f>MAXI!$G$47</f>
        <v>7.2675714745501815E-2</v>
      </c>
      <c r="S145" s="29">
        <f>MAXI!$H$47</f>
        <v>4.8418278560756534E-2</v>
      </c>
      <c r="T145" s="30"/>
      <c r="U145" s="32" t="str">
        <f t="shared" si="24"/>
        <v>MYR 3.50</v>
      </c>
      <c r="V145" s="28" t="str">
        <f t="shared" si="24"/>
        <v>Maxis</v>
      </c>
    </row>
    <row r="146" spans="1:29" s="5" customFormat="1">
      <c r="B146" s="26"/>
      <c r="C146" s="32" t="str">
        <f t="shared" si="23"/>
        <v>SK Telecom</v>
      </c>
      <c r="D146" s="28" t="str">
        <f t="shared" si="23"/>
        <v>KRW 100,000</v>
      </c>
      <c r="E146" s="28" t="str">
        <f t="shared" si="23"/>
        <v>KRW 78,000</v>
      </c>
      <c r="F146" s="29">
        <f t="shared" si="23"/>
        <v>-0.21999999999999997</v>
      </c>
      <c r="G146" s="28" t="str">
        <f t="shared" si="23"/>
        <v>Neutral</v>
      </c>
      <c r="H146" s="30"/>
      <c r="I146" s="29">
        <f>SKT!$D$45</f>
        <v>2.4899999999999995E-2</v>
      </c>
      <c r="J146" s="29">
        <f>SKT!$E$45</f>
        <v>3.5400000000000001E-2</v>
      </c>
      <c r="K146" s="29">
        <f>SKT!$F$45</f>
        <v>3.6400000000000002E-2</v>
      </c>
      <c r="L146" s="29">
        <f>SKT!$G$45</f>
        <v>3.7400000000000003E-2</v>
      </c>
      <c r="M146" s="29">
        <f>SKT!$H$45</f>
        <v>0.13679931429460424</v>
      </c>
      <c r="N146" s="30"/>
      <c r="O146" s="29">
        <f>SKT!$D$47</f>
        <v>5.9149674967610782E-2</v>
      </c>
      <c r="P146" s="29">
        <f>SKT!$E$47</f>
        <v>8.2097413521799015E-2</v>
      </c>
      <c r="Q146" s="29">
        <f>SKT!$F$47</f>
        <v>8.8535123095506471E-2</v>
      </c>
      <c r="R146" s="29">
        <f>SKT!$G$47</f>
        <v>9.5343667049960321E-2</v>
      </c>
      <c r="S146" s="29">
        <f>SKT!$H$47</f>
        <v>0.16387466393305861</v>
      </c>
      <c r="T146" s="30"/>
      <c r="U146" s="32" t="str">
        <f t="shared" si="24"/>
        <v>KRW 100,000</v>
      </c>
      <c r="V146" s="28" t="str">
        <f t="shared" si="24"/>
        <v>SK Telecom</v>
      </c>
    </row>
    <row r="147" spans="1:29" s="5" customFormat="1">
      <c r="B147" s="26"/>
      <c r="C147" s="32" t="str">
        <f t="shared" si="23"/>
        <v>True Corp</v>
      </c>
      <c r="D147" s="28" t="str">
        <f t="shared" si="23"/>
        <v>THB 13.5</v>
      </c>
      <c r="E147" s="28" t="str">
        <f t="shared" si="23"/>
        <v>THB 18.0</v>
      </c>
      <c r="F147" s="29">
        <f t="shared" si="23"/>
        <v>0.33333333333333326</v>
      </c>
      <c r="G147" s="28" t="str">
        <f t="shared" si="23"/>
        <v>Buy</v>
      </c>
      <c r="H147" s="30"/>
      <c r="I147" s="29">
        <f>TRUECORP!$D$45</f>
        <v>1.7378034319285134E-2</v>
      </c>
      <c r="J147" s="29">
        <f>TRUECORP!$E$45</f>
        <v>2.8423802020431627E-2</v>
      </c>
      <c r="K147" s="29">
        <f>TRUECORP!$F$45</f>
        <v>4.5403346872016193E-2</v>
      </c>
      <c r="L147" s="29">
        <f>TRUECORP!$G$45</f>
        <v>6.0098262614783189E-2</v>
      </c>
      <c r="M147" s="29">
        <f>TRUECORP!$H$45</f>
        <v>0.51223895838929612</v>
      </c>
      <c r="N147" s="30"/>
      <c r="O147" s="29">
        <f>TRUECORP!$D$47</f>
        <v>5.6759090565391031E-2</v>
      </c>
      <c r="P147" s="29">
        <f>TRUECORP!$E$47</f>
        <v>7.502608780343123E-2</v>
      </c>
      <c r="Q147" s="29">
        <f>TRUECORP!$F$47</f>
        <v>8.2607124115634895E-2</v>
      </c>
      <c r="R147" s="29">
        <f>TRUECORP!$G$47</f>
        <v>0.10344781509973254</v>
      </c>
      <c r="S147" s="29">
        <f>TRUECORP!$H$47</f>
        <v>0.22150513795071514</v>
      </c>
      <c r="T147" s="30"/>
      <c r="U147" s="32" t="str">
        <f t="shared" si="24"/>
        <v>THB 13.5</v>
      </c>
      <c r="V147" s="28" t="str">
        <f t="shared" si="24"/>
        <v>True Corp</v>
      </c>
    </row>
    <row r="148" spans="1:29" s="5" customFormat="1">
      <c r="B148" s="26"/>
      <c r="C148" s="32" t="str">
        <f t="shared" si="23"/>
        <v>XL Axiata</v>
      </c>
      <c r="D148" s="28" t="str">
        <f t="shared" si="23"/>
        <v>IDR 3,070</v>
      </c>
      <c r="E148" s="28" t="str">
        <f t="shared" si="23"/>
        <v>IDR 4,500</v>
      </c>
      <c r="F148" s="29">
        <f t="shared" si="23"/>
        <v>0.46579804560260585</v>
      </c>
      <c r="G148" s="28" t="str">
        <f t="shared" si="23"/>
        <v>Buy</v>
      </c>
      <c r="H148" s="30"/>
      <c r="I148" s="29">
        <f>XLAX!$D$45</f>
        <v>5.1791530944625415E-2</v>
      </c>
      <c r="J148" s="29">
        <f>XLAX!$E$45</f>
        <v>0</v>
      </c>
      <c r="K148" s="29">
        <f>XLAX!$F$45</f>
        <v>3.1938736099723593E-2</v>
      </c>
      <c r="L148" s="29">
        <f>XLAX!$G$45</f>
        <v>5.1792475831053196E-2</v>
      </c>
      <c r="M148" s="29">
        <f>XLAX!$H$45</f>
        <v>6.0813075319909871E-6</v>
      </c>
      <c r="N148" s="40"/>
      <c r="O148" s="29">
        <f>XLAX!$D$47</f>
        <v>-3.5990211495500889E-4</v>
      </c>
      <c r="P148" s="29">
        <f>XLAX!$E$47</f>
        <v>8.8044876370946409E-4</v>
      </c>
      <c r="Q148" s="29">
        <f>XLAX!$F$47</f>
        <v>2.8201353702709975E-2</v>
      </c>
      <c r="R148" s="29">
        <f>XLAX!$G$47</f>
        <v>6.1125762525300151E-2</v>
      </c>
      <c r="S148" s="29">
        <f>XLAX!$H$47</f>
        <v>-6.5379193963432085</v>
      </c>
      <c r="T148" s="30"/>
      <c r="U148" s="32" t="str">
        <f t="shared" si="24"/>
        <v>IDR 3,070</v>
      </c>
      <c r="V148" s="28" t="str">
        <f t="shared" si="24"/>
        <v>XL Axiata</v>
      </c>
    </row>
    <row r="149" spans="1:29" s="5" customFormat="1">
      <c r="B149" s="26"/>
      <c r="C149" s="35" t="str">
        <f>C98</f>
        <v>Agg. Emerging Asia Cellular</v>
      </c>
      <c r="D149" s="36"/>
      <c r="E149" s="36"/>
      <c r="F149" s="37"/>
      <c r="G149" s="36"/>
      <c r="H149" s="30"/>
      <c r="I149" s="39">
        <f>'EM ASIA CELLULAR'!$D$45</f>
        <v>4.5749799453140172E-2</v>
      </c>
      <c r="J149" s="39">
        <f>'EM ASIA CELLULAR'!$E$45</f>
        <v>5.1422027094366156E-2</v>
      </c>
      <c r="K149" s="39">
        <f>'EM ASIA CELLULAR'!$F$45</f>
        <v>5.7211092762979213E-2</v>
      </c>
      <c r="L149" s="39">
        <f>'EM ASIA CELLULAR'!$G$45</f>
        <v>6.3383485788343255E-2</v>
      </c>
      <c r="M149" s="39">
        <f>'EM ASIA CELLULAR'!$H$45</f>
        <v>0.11437710570953796</v>
      </c>
      <c r="N149" s="40"/>
      <c r="O149" s="39">
        <f>'EM ASIA CELLULAR'!$D$47</f>
        <v>5.472646650013762E-2</v>
      </c>
      <c r="P149" s="39">
        <f>'EM ASIA CELLULAR'!$E$47</f>
        <v>6.5009407799013846E-2</v>
      </c>
      <c r="Q149" s="39">
        <f>'EM ASIA CELLULAR'!$F$47</f>
        <v>7.2687362960923513E-2</v>
      </c>
      <c r="R149" s="39">
        <f>'EM ASIA CELLULAR'!$G$47</f>
        <v>8.0414792459874346E-2</v>
      </c>
      <c r="S149" s="39">
        <f>'EM ASIA CELLULAR'!$H$47</f>
        <v>0.13644752003676275</v>
      </c>
      <c r="T149" s="30"/>
      <c r="U149" s="41"/>
      <c r="V149" s="42" t="str">
        <f>V98</f>
        <v>Agg. Emerging Asia Cellular</v>
      </c>
    </row>
    <row r="150" spans="1:29" s="5" customFormat="1">
      <c r="B150" s="26"/>
      <c r="C150" s="27"/>
      <c r="D150" s="28"/>
      <c r="E150" s="28"/>
      <c r="F150" s="52"/>
      <c r="G150" s="28"/>
      <c r="H150" s="30"/>
      <c r="I150" s="45"/>
      <c r="J150" s="45"/>
      <c r="K150" s="45"/>
      <c r="L150" s="45"/>
      <c r="M150" s="45"/>
      <c r="N150" s="30"/>
      <c r="O150" s="45"/>
      <c r="P150" s="45"/>
      <c r="Q150" s="45"/>
      <c r="R150" s="45"/>
      <c r="S150" s="45"/>
      <c r="T150" s="30"/>
      <c r="U150" s="32"/>
      <c r="V150" s="34"/>
    </row>
    <row r="151" spans="1:29" s="5" customFormat="1">
      <c r="B151" s="26"/>
      <c r="C151" s="35" t="str">
        <f>C100</f>
        <v>Agg. Emerging  Cellular</v>
      </c>
      <c r="D151" s="36"/>
      <c r="E151" s="36"/>
      <c r="F151" s="37"/>
      <c r="G151" s="36"/>
      <c r="H151" s="30"/>
      <c r="I151" s="39">
        <f>'EM CELLULAR'!$D$45</f>
        <v>4.4773753286733282E-2</v>
      </c>
      <c r="J151" s="39">
        <f>'EM CELLULAR'!$E$45</f>
        <v>5.1270510042755547E-2</v>
      </c>
      <c r="K151" s="39">
        <f>'EM CELLULAR'!$F$45</f>
        <v>5.7757402808661602E-2</v>
      </c>
      <c r="L151" s="39">
        <f>'EM CELLULAR'!$G$45</f>
        <v>6.4371917923240166E-2</v>
      </c>
      <c r="M151" s="39">
        <f>'EM CELLULAR'!$H$45</f>
        <v>0.12646166295875116</v>
      </c>
      <c r="N151" s="30"/>
      <c r="O151" s="39">
        <f>'EM CELLULAR'!$D$47</f>
        <v>5.4403705078739498E-2</v>
      </c>
      <c r="P151" s="39">
        <f>'EM CELLULAR'!$E$47</f>
        <v>6.6538502053288873E-2</v>
      </c>
      <c r="Q151" s="39">
        <f>'EM CELLULAR'!$F$47</f>
        <v>7.6117648450440861E-2</v>
      </c>
      <c r="R151" s="39">
        <f>'EM CELLULAR'!$G$47</f>
        <v>8.5104206191757042E-2</v>
      </c>
      <c r="S151" s="39">
        <f>'EM CELLULAR'!$H$47</f>
        <v>0.15850771455356516</v>
      </c>
      <c r="T151" s="30"/>
      <c r="U151" s="41"/>
      <c r="V151" s="42" t="str">
        <f>V100</f>
        <v>Agg. Emerging  Cellular</v>
      </c>
    </row>
    <row r="152" spans="1:29" s="5" customFormat="1">
      <c r="A152" s="23"/>
      <c r="B152" s="26"/>
      <c r="C152" s="27"/>
      <c r="D152" s="28"/>
      <c r="E152" s="28"/>
      <c r="F152" s="29"/>
      <c r="G152" s="28"/>
      <c r="H152" s="30"/>
      <c r="I152" s="29"/>
      <c r="J152" s="29"/>
      <c r="K152" s="29"/>
      <c r="L152" s="29"/>
      <c r="M152" s="29"/>
      <c r="N152" s="30"/>
      <c r="O152" s="29"/>
      <c r="P152" s="29"/>
      <c r="Q152" s="29"/>
      <c r="R152" s="29"/>
      <c r="S152" s="29"/>
      <c r="T152" s="30"/>
      <c r="U152" s="32"/>
      <c r="V152" s="34"/>
    </row>
    <row r="153" spans="1:29" s="5" customFormat="1">
      <c r="B153" s="26"/>
      <c r="C153" s="51" t="str">
        <f>C102</f>
        <v>Agg. EMEA sector</v>
      </c>
      <c r="D153" s="36"/>
      <c r="E153" s="36"/>
      <c r="F153" s="37"/>
      <c r="G153" s="36"/>
      <c r="H153" s="30"/>
      <c r="I153" s="39">
        <f>'EMEA AGG'!$D$45</f>
        <v>3.0544287380878801E-2</v>
      </c>
      <c r="J153" s="39">
        <f>'EMEA AGG'!$E$45</f>
        <v>4.395508539543818E-2</v>
      </c>
      <c r="K153" s="39">
        <f>'EMEA AGG'!$F$45</f>
        <v>5.3871956178551617E-2</v>
      </c>
      <c r="L153" s="39">
        <f>'EMEA AGG'!$G$45</f>
        <v>6.3557237996527752E-2</v>
      </c>
      <c r="M153" s="39">
        <f>'EMEA AGG'!$H$45</f>
        <v>0.26908290905415133</v>
      </c>
      <c r="N153" s="40"/>
      <c r="O153" s="39">
        <f>'EMEA AGG'!$D$47</f>
        <v>4.2643622737171552E-2</v>
      </c>
      <c r="P153" s="39">
        <f>'EMEA AGG'!$E$47</f>
        <v>6.4891438210719285E-2</v>
      </c>
      <c r="Q153" s="39">
        <f>'EMEA AGG'!$F$47</f>
        <v>8.1127163237831965E-2</v>
      </c>
      <c r="R153" s="39">
        <f>'EMEA AGG'!$G$47</f>
        <v>9.5204135265074971E-2</v>
      </c>
      <c r="S153" s="39">
        <f>'EMEA AGG'!$H$47</f>
        <v>0.29920862771021017</v>
      </c>
      <c r="T153" s="30"/>
      <c r="U153" s="41"/>
      <c r="V153" s="42" t="str">
        <f>V102</f>
        <v>Agg. EMEA sector</v>
      </c>
    </row>
    <row r="154" spans="1:29" s="5" customFormat="1">
      <c r="B154" s="26"/>
      <c r="C154" s="25" t="str">
        <f>C103</f>
        <v>Agg. LatAm sector</v>
      </c>
      <c r="D154" s="28"/>
      <c r="E154" s="28"/>
      <c r="F154" s="29"/>
      <c r="G154" s="28"/>
      <c r="H154" s="30"/>
      <c r="I154" s="43">
        <f>'LATAM AGG'!$D$45</f>
        <v>3.4831442994489648E-2</v>
      </c>
      <c r="J154" s="43">
        <f>'LATAM AGG'!$E$45</f>
        <v>4.3799282406771396E-2</v>
      </c>
      <c r="K154" s="43">
        <f>'LATAM AGG'!$F$45</f>
        <v>5.0116090375236275E-2</v>
      </c>
      <c r="L154" s="43">
        <f>'LATAM AGG'!$G$45</f>
        <v>5.5658077089138294E-2</v>
      </c>
      <c r="M154" s="43">
        <f>'LATAM AGG'!$H$45</f>
        <v>0.14416662668170765</v>
      </c>
      <c r="N154" s="40"/>
      <c r="O154" s="43">
        <f>'LATAM AGG'!$D$47</f>
        <v>8.4843423309117205E-2</v>
      </c>
      <c r="P154" s="43">
        <f>'LATAM AGG'!$E$47</f>
        <v>0.10001190377173874</v>
      </c>
      <c r="Q154" s="43">
        <f>'LATAM AGG'!$F$47</f>
        <v>0.11299932551340616</v>
      </c>
      <c r="R154" s="43">
        <f>'LATAM AGG'!$G$47</f>
        <v>0.12780159376090741</v>
      </c>
      <c r="S154" s="43">
        <f>'LATAM AGG'!$H$47</f>
        <v>0.1203891263909862</v>
      </c>
      <c r="T154" s="30"/>
      <c r="U154" s="32"/>
      <c r="V154" s="34" t="str">
        <f>V103</f>
        <v>Agg. LatAm sector</v>
      </c>
    </row>
    <row r="155" spans="1:29" s="5" customFormat="1">
      <c r="B155" s="26"/>
      <c r="C155" s="51" t="str">
        <f>C104</f>
        <v>Agg. Emerging Asia sector</v>
      </c>
      <c r="D155" s="36"/>
      <c r="E155" s="36"/>
      <c r="F155" s="37"/>
      <c r="G155" s="36"/>
      <c r="H155" s="30"/>
      <c r="I155" s="39">
        <f>'AGG EM ASIA'!$D$45</f>
        <v>4.9484196183117224E-2</v>
      </c>
      <c r="J155" s="39">
        <f>'AGG EM ASIA'!$E$45</f>
        <v>5.5493257458577666E-2</v>
      </c>
      <c r="K155" s="39">
        <f>'AGG EM ASIA'!$F$45</f>
        <v>6.142405276319244E-2</v>
      </c>
      <c r="L155" s="39">
        <f>'AGG EM ASIA'!$G$45</f>
        <v>6.8174422568689094E-2</v>
      </c>
      <c r="M155" s="39">
        <f>'AGG EM ASIA'!$H$45</f>
        <v>0.11197562891898594</v>
      </c>
      <c r="N155" s="40"/>
      <c r="O155" s="39">
        <f>'AGG EM ASIA'!$D$47</f>
        <v>6.5304324767348279E-2</v>
      </c>
      <c r="P155" s="39">
        <f>'AGG EM ASIA'!$E$47</f>
        <v>7.7153222925504222E-2</v>
      </c>
      <c r="Q155" s="39">
        <f>'AGG EM ASIA'!$F$47</f>
        <v>8.5510521312426743E-2</v>
      </c>
      <c r="R155" s="39">
        <f>'AGG EM ASIA'!$G$47</f>
        <v>9.415010143054349E-2</v>
      </c>
      <c r="S155" s="39">
        <f>'AGG EM ASIA'!$H$47</f>
        <v>0.12905738023239555</v>
      </c>
      <c r="T155" s="30"/>
      <c r="U155" s="41"/>
      <c r="V155" s="42" t="str">
        <f>V104</f>
        <v>Agg. Emerging Asia sector</v>
      </c>
    </row>
    <row r="156" spans="1:29" s="5" customFormat="1">
      <c r="B156" s="26"/>
      <c r="C156" s="25"/>
      <c r="D156" s="28"/>
      <c r="E156" s="28"/>
      <c r="F156" s="29"/>
      <c r="G156" s="28"/>
      <c r="H156" s="30"/>
      <c r="I156" s="43"/>
      <c r="J156" s="43"/>
      <c r="K156" s="43"/>
      <c r="L156" s="43"/>
      <c r="M156" s="43"/>
      <c r="N156" s="40"/>
      <c r="O156" s="43"/>
      <c r="P156" s="43"/>
      <c r="Q156" s="43"/>
      <c r="R156" s="43"/>
      <c r="S156" s="43"/>
      <c r="T156" s="30"/>
      <c r="U156" s="32"/>
      <c r="V156" s="34"/>
    </row>
    <row r="157" spans="1:29" s="5" customFormat="1">
      <c r="B157" s="26"/>
      <c r="C157" s="51" t="str">
        <f>C106</f>
        <v>Agg. Global EM sector</v>
      </c>
      <c r="D157" s="36"/>
      <c r="E157" s="36"/>
      <c r="F157" s="37"/>
      <c r="G157" s="36"/>
      <c r="H157" s="30"/>
      <c r="I157" s="39">
        <f>'AGG EM'!$D$45</f>
        <v>4.5311756529236351E-2</v>
      </c>
      <c r="J157" s="39">
        <f>'AGG EM'!$E$45</f>
        <v>5.2535390746451777E-2</v>
      </c>
      <c r="K157" s="39">
        <f>'AGG EM'!$F$45</f>
        <v>5.8935758905258519E-2</v>
      </c>
      <c r="L157" s="39">
        <f>'AGG EM'!$G$45</f>
        <v>6.5807664516349812E-2</v>
      </c>
      <c r="M157" s="39">
        <f>'AGG EM'!$H$45</f>
        <v>0.12740029080856541</v>
      </c>
      <c r="N157" s="40"/>
      <c r="O157" s="39">
        <f>'AGG EM'!$D$47</f>
        <v>6.6203963234298904E-2</v>
      </c>
      <c r="P157" s="39">
        <f>'AGG EM'!$E$47</f>
        <v>7.950473643560739E-2</v>
      </c>
      <c r="Q157" s="39">
        <f>'AGG EM'!$F$47</f>
        <v>8.9243355125214377E-2</v>
      </c>
      <c r="R157" s="39">
        <f>'AGG EM'!$G$47</f>
        <v>9.9239145198917245E-2</v>
      </c>
      <c r="S157" s="39">
        <f>'AGG EM'!$H$47</f>
        <v>0.13934517517401579</v>
      </c>
      <c r="T157" s="30"/>
      <c r="U157" s="41"/>
      <c r="V157" s="42" t="str">
        <f>V106</f>
        <v>Agg. Global EM sector (ex-consensus)</v>
      </c>
    </row>
    <row r="158" spans="1:29" s="5" customFormat="1">
      <c r="B158" s="26"/>
      <c r="C158" s="27"/>
      <c r="D158" s="28"/>
      <c r="E158" s="28"/>
      <c r="F158" s="29"/>
      <c r="G158" s="28"/>
      <c r="H158" s="30"/>
      <c r="I158" s="136"/>
      <c r="J158" s="136"/>
      <c r="K158" s="136"/>
      <c r="L158" s="136"/>
      <c r="M158" s="29"/>
      <c r="N158" s="30"/>
      <c r="O158" s="29"/>
      <c r="P158" s="29"/>
      <c r="Q158" s="29"/>
      <c r="R158" s="29"/>
      <c r="S158" s="29"/>
      <c r="T158" s="30"/>
      <c r="U158" s="32"/>
      <c r="V158" s="34"/>
    </row>
    <row r="159" spans="1:29" s="5" customFormat="1">
      <c r="B159" s="26"/>
      <c r="C159" s="27"/>
      <c r="D159" s="28"/>
      <c r="E159" s="28"/>
      <c r="F159" s="29"/>
      <c r="G159" s="28"/>
      <c r="H159" s="30"/>
      <c r="I159" s="136"/>
      <c r="J159" s="136"/>
      <c r="K159" s="136"/>
      <c r="L159" s="136"/>
      <c r="M159" s="29"/>
      <c r="N159" s="30"/>
      <c r="O159" s="29"/>
      <c r="P159" s="29"/>
      <c r="Q159" s="29"/>
      <c r="R159" s="29"/>
      <c r="S159" s="29"/>
      <c r="T159" s="30"/>
      <c r="U159" s="32"/>
      <c r="V159" s="34"/>
    </row>
    <row r="160" spans="1:29" s="25" customFormat="1">
      <c r="B160" s="113"/>
      <c r="C160" s="130"/>
      <c r="D160" s="131" t="s">
        <v>379</v>
      </c>
      <c r="E160" s="131" t="s">
        <v>50</v>
      </c>
      <c r="F160" s="131" t="s">
        <v>52</v>
      </c>
      <c r="G160" s="131" t="s">
        <v>49</v>
      </c>
      <c r="H160" s="105"/>
      <c r="I160" s="132" t="s">
        <v>434</v>
      </c>
      <c r="J160" s="132"/>
      <c r="K160" s="132"/>
      <c r="L160" s="132"/>
      <c r="M160" s="132"/>
      <c r="N160" s="30"/>
      <c r="O160" s="132" t="s">
        <v>225</v>
      </c>
      <c r="P160" s="132"/>
      <c r="Q160" s="132"/>
      <c r="R160" s="132"/>
      <c r="S160" s="132"/>
      <c r="T160" s="30"/>
      <c r="U160" s="133" t="s">
        <v>379</v>
      </c>
      <c r="V160" s="131"/>
      <c r="Z160" s="33"/>
      <c r="AC160" s="106"/>
    </row>
    <row r="161" spans="1:22" s="5" customFormat="1">
      <c r="A161" s="25" t="s">
        <v>415</v>
      </c>
      <c r="B161" s="26"/>
      <c r="C161" s="32" t="str">
        <f t="shared" ref="C161:G162" si="25">C110</f>
        <v>America Movil</v>
      </c>
      <c r="D161" s="28" t="str">
        <f t="shared" si="25"/>
        <v>USD 22.8</v>
      </c>
      <c r="E161" s="28" t="str">
        <f t="shared" si="25"/>
        <v>USD 24.0</v>
      </c>
      <c r="F161" s="29">
        <f t="shared" si="25"/>
        <v>5.2631578947368363E-2</v>
      </c>
      <c r="G161" s="28" t="str">
        <f t="shared" si="25"/>
        <v>Buy</v>
      </c>
      <c r="H161" s="30"/>
      <c r="I161" s="31">
        <f>AMX!$D$41</f>
        <v>1.9135601239305975</v>
      </c>
      <c r="J161" s="31">
        <f>AMX!$E$41</f>
        <v>1.711440041346042</v>
      </c>
      <c r="K161" s="31">
        <f>AMX!$F$41</f>
        <v>1.6282479247691308</v>
      </c>
      <c r="L161" s="31">
        <f>AMX!$G$41</f>
        <v>1.535123721263862</v>
      </c>
      <c r="M161" s="29">
        <f>AMX!$H$41</f>
        <v>6.3865611820508317E-3</v>
      </c>
      <c r="N161" s="30"/>
      <c r="O161" s="31">
        <f>AMX!$D$37</f>
        <v>2.1190243062706653</v>
      </c>
      <c r="P161" s="31">
        <f>AMX!$E$37</f>
        <v>1.7915042780895341</v>
      </c>
      <c r="Q161" s="31">
        <f>AMX!$F$37</f>
        <v>1.6382762775479178</v>
      </c>
      <c r="R161" s="31">
        <f>AMX!$G$37</f>
        <v>1.4887528274125013</v>
      </c>
      <c r="S161" s="29">
        <f>AMX!$H$37</f>
        <v>5.1888479268892951E-2</v>
      </c>
      <c r="T161" s="30"/>
      <c r="U161" s="32" t="str">
        <f>U110</f>
        <v>USD 22.8</v>
      </c>
      <c r="V161" s="28" t="str">
        <f>V110</f>
        <v>America Movil</v>
      </c>
    </row>
    <row r="162" spans="1:22" s="5" customFormat="1">
      <c r="B162" s="26"/>
      <c r="C162" s="32" t="str">
        <f t="shared" si="25"/>
        <v>Vivo</v>
      </c>
      <c r="D162" s="28" t="str">
        <f t="shared" si="25"/>
        <v>BRL 39.88</v>
      </c>
      <c r="E162" s="28" t="str">
        <f t="shared" si="25"/>
        <v>BRL 43.00</v>
      </c>
      <c r="F162" s="29">
        <f t="shared" si="25"/>
        <v>7.8234704112337017E-2</v>
      </c>
      <c r="G162" s="28" t="str">
        <f t="shared" si="25"/>
        <v>Buy</v>
      </c>
      <c r="H162" s="30"/>
      <c r="I162" s="31">
        <f>VIVO!$D$41</f>
        <v>1.7583514534128393</v>
      </c>
      <c r="J162" s="31">
        <f>VIVO!$E$41</f>
        <v>1.7732002106119054</v>
      </c>
      <c r="K162" s="31">
        <f>VIVO!$F$41</f>
        <v>1.6464975207733596</v>
      </c>
      <c r="L162" s="31">
        <f>VIVO!$G$41</f>
        <v>1.5030417777733598</v>
      </c>
      <c r="M162" s="29">
        <f>VIVO!$H$41</f>
        <v>-4.9421334020462337E-2</v>
      </c>
      <c r="N162" s="30"/>
      <c r="O162" s="31">
        <f>VIVO!$D$37</f>
        <v>2.3848848371131428</v>
      </c>
      <c r="P162" s="31">
        <f>VIVO!$E$37</f>
        <v>2.0605349444686794</v>
      </c>
      <c r="Q162" s="31">
        <f>VIVO!$F$37</f>
        <v>1.7565918171878903</v>
      </c>
      <c r="R162" s="31">
        <f>VIVO!$G$37</f>
        <v>1.4686949761131773</v>
      </c>
      <c r="S162" s="29">
        <f>VIVO!$H$37</f>
        <v>6.0364354519763408E-2</v>
      </c>
      <c r="T162" s="30"/>
      <c r="U162" s="32" t="str">
        <f>U111</f>
        <v>BRL 39.88</v>
      </c>
      <c r="V162" s="28" t="str">
        <f>V111</f>
        <v>Telefonica Brasil</v>
      </c>
    </row>
    <row r="163" spans="1:22" s="5" customFormat="1">
      <c r="B163" s="26"/>
      <c r="C163" s="32" t="s">
        <v>561</v>
      </c>
      <c r="D163" s="28" t="str">
        <f>D112</f>
        <v>USD 3.1</v>
      </c>
      <c r="E163" s="28" t="str">
        <f>E112</f>
        <v>USD 3.7</v>
      </c>
      <c r="F163" s="29">
        <f>F112</f>
        <v>0.21311475409836089</v>
      </c>
      <c r="G163" s="28" t="str">
        <f>G112</f>
        <v>Neutral</v>
      </c>
      <c r="H163" s="30"/>
      <c r="I163" s="31">
        <f>TVIS!$D$41</f>
        <v>0.28692694168015159</v>
      </c>
      <c r="J163" s="31">
        <f>TVIS!$E$41</f>
        <v>0.26867872509412294</v>
      </c>
      <c r="K163" s="31">
        <f>TVIS!$F$41</f>
        <v>0.24313887356175892</v>
      </c>
      <c r="L163" s="31">
        <f>TVIS!$G$41</f>
        <v>0.20686899367839429</v>
      </c>
      <c r="M163" s="29">
        <f>TVIS!$H$41</f>
        <v>-1.6274087573872054E-3</v>
      </c>
      <c r="N163" s="30"/>
      <c r="O163" s="31">
        <f>TVIS!$D$37</f>
        <v>0.82052068073127349</v>
      </c>
      <c r="P163" s="31">
        <f>TVIS!$E$37</f>
        <v>0.78455274447275414</v>
      </c>
      <c r="Q163" s="31">
        <f>TVIS!$F$37</f>
        <v>0.71888385631731533</v>
      </c>
      <c r="R163" s="31">
        <f>TVIS!$G$37</f>
        <v>0.61341279866476262</v>
      </c>
      <c r="S163" s="29">
        <f>TVIS!$H$37</f>
        <v>-1.3615498140087889E-2</v>
      </c>
      <c r="T163" s="30"/>
      <c r="U163" s="32" t="str">
        <f>U112</f>
        <v>USD 3.1</v>
      </c>
      <c r="V163" s="28" t="s">
        <v>561</v>
      </c>
    </row>
    <row r="164" spans="1:22" s="5" customFormat="1">
      <c r="B164" s="26"/>
      <c r="C164" s="35" t="str">
        <f>C113</f>
        <v>Agg. LatAm Incumbent</v>
      </c>
      <c r="D164" s="36"/>
      <c r="E164" s="36"/>
      <c r="F164" s="37"/>
      <c r="G164" s="36"/>
      <c r="H164" s="30"/>
      <c r="I164" s="38">
        <f>'LATAM INCUMB'!$D$41</f>
        <v>1.7110129993930618</v>
      </c>
      <c r="J164" s="38">
        <f>'LATAM INCUMB'!$E$41</f>
        <v>1.574342116816748</v>
      </c>
      <c r="K164" s="38">
        <f>'LATAM INCUMB'!$F$41</f>
        <v>1.4871237938434103</v>
      </c>
      <c r="L164" s="38">
        <f>'LATAM INCUMB'!$G$41</f>
        <v>1.3881510620661361</v>
      </c>
      <c r="M164" s="39">
        <f>'LATAM INCUMB'!$H$41</f>
        <v>-5.2468040419312301E-3</v>
      </c>
      <c r="N164" s="40"/>
      <c r="O164" s="38">
        <f>'LATAM INCUMB'!$D$37</f>
        <v>2.108942592849107</v>
      </c>
      <c r="P164" s="38">
        <f>'LATAM INCUMB'!$E$37</f>
        <v>1.7989536283544942</v>
      </c>
      <c r="Q164" s="38">
        <f>'LATAM INCUMB'!$F$37</f>
        <v>1.6245563909245235</v>
      </c>
      <c r="R164" s="38">
        <f>'LATAM INCUMB'!$G$37</f>
        <v>1.452112444748461</v>
      </c>
      <c r="S164" s="39">
        <f>'LATAM INCUMB'!$H$37</f>
        <v>5.0665939566617801E-2</v>
      </c>
      <c r="T164" s="30"/>
      <c r="U164" s="41"/>
      <c r="V164" s="42" t="str">
        <f>V113</f>
        <v>Agg. LatAm Incumbent</v>
      </c>
    </row>
    <row r="165" spans="1:22" s="5" customFormat="1">
      <c r="A165" s="23"/>
      <c r="B165" s="26"/>
      <c r="C165" s="32"/>
      <c r="D165" s="28"/>
      <c r="E165" s="28"/>
      <c r="F165" s="29"/>
      <c r="G165" s="28"/>
      <c r="H165" s="30"/>
      <c r="I165" s="31"/>
      <c r="J165" s="31"/>
      <c r="K165" s="31"/>
      <c r="L165" s="31"/>
      <c r="M165" s="29"/>
      <c r="N165" s="40"/>
      <c r="O165" s="31"/>
      <c r="P165" s="31"/>
      <c r="Q165" s="31"/>
      <c r="R165" s="31"/>
      <c r="S165" s="29"/>
      <c r="T165" s="30"/>
      <c r="U165" s="32"/>
      <c r="V165" s="34"/>
    </row>
    <row r="166" spans="1:22" s="5" customFormat="1">
      <c r="B166" s="26"/>
      <c r="C166" s="32" t="str">
        <f t="shared" ref="C166:G169" si="26">C115</f>
        <v>China Telecom</v>
      </c>
      <c r="D166" s="28" t="str">
        <f t="shared" si="26"/>
        <v>HKD 5.01</v>
      </c>
      <c r="E166" s="28" t="str">
        <f t="shared" si="26"/>
        <v>HKD 8.75</v>
      </c>
      <c r="F166" s="29">
        <f t="shared" si="26"/>
        <v>0.7465069860279443</v>
      </c>
      <c r="G166" s="28" t="str">
        <f t="shared" si="26"/>
        <v>Buy</v>
      </c>
      <c r="H166" s="30"/>
      <c r="I166" s="31">
        <f>_CT!$D$41</f>
        <v>0.55368141798732284</v>
      </c>
      <c r="J166" s="31">
        <f>_CT!$E$41</f>
        <v>0.51317572561355729</v>
      </c>
      <c r="K166" s="31">
        <f>_CT!$F$41</f>
        <v>0.51092567713310488</v>
      </c>
      <c r="L166" s="31">
        <f>_CT!$G$41</f>
        <v>0.46010978888041559</v>
      </c>
      <c r="M166" s="29">
        <f>_CT!$H$41</f>
        <v>-4.5673920669913048E-3</v>
      </c>
      <c r="N166" s="40"/>
      <c r="O166" s="31">
        <f>_CT!$D$37</f>
        <v>0.42676347316893359</v>
      </c>
      <c r="P166" s="31">
        <f>_CT!$E$37</f>
        <v>0.37608346270116477</v>
      </c>
      <c r="Q166" s="31">
        <f>_CT!$F$37</f>
        <v>0.38593266153807909</v>
      </c>
      <c r="R166" s="31">
        <f>_CT!$G$37</f>
        <v>0.32647380905253959</v>
      </c>
      <c r="S166" s="135">
        <f>_CT!$H$37</f>
        <v>2.3274149289574719E-2</v>
      </c>
      <c r="T166" s="30"/>
      <c r="U166" s="32" t="str">
        <f t="shared" ref="U166:V169" si="27">U115</f>
        <v>HKD 5.01</v>
      </c>
      <c r="V166" s="28" t="str">
        <f t="shared" si="27"/>
        <v>China Telecom</v>
      </c>
    </row>
    <row r="167" spans="1:22" s="5" customFormat="1">
      <c r="B167" s="26"/>
      <c r="C167" s="32" t="str">
        <f t="shared" si="26"/>
        <v>China Unicom</v>
      </c>
      <c r="D167" s="28" t="str">
        <f t="shared" si="26"/>
        <v>HKD 7.26</v>
      </c>
      <c r="E167" s="28" t="str">
        <f t="shared" si="26"/>
        <v>HKD 13.20</v>
      </c>
      <c r="F167" s="29">
        <f t="shared" si="26"/>
        <v>0.81818181818181812</v>
      </c>
      <c r="G167" s="28" t="str">
        <f t="shared" si="26"/>
        <v>Buy</v>
      </c>
      <c r="H167" s="30"/>
      <c r="I167" s="31">
        <f>_CU!$D$41</f>
        <v>0.27195950943617075</v>
      </c>
      <c r="J167" s="31">
        <f>_CU!$E$41</f>
        <v>0.22516405222349281</v>
      </c>
      <c r="K167" s="31">
        <f>_CU!$F$41</f>
        <v>0.22894912648835164</v>
      </c>
      <c r="L167" s="31">
        <f>_CU!$G$41</f>
        <v>0.17831530003484775</v>
      </c>
      <c r="M167" s="29">
        <f>_CU!$H$41</f>
        <v>-1.1631743291973473E-2</v>
      </c>
      <c r="N167" s="40"/>
      <c r="O167" s="31">
        <f>_CU!$D$37</f>
        <v>0.24858288424139557</v>
      </c>
      <c r="P167" s="31">
        <f>_CU!$E$37</f>
        <v>0.19344878240302915</v>
      </c>
      <c r="Q167" s="31">
        <f>_CU!$F$37</f>
        <v>0.1975366374675297</v>
      </c>
      <c r="R167" s="31">
        <f>_CU!$G$37</f>
        <v>0.14372089393300455</v>
      </c>
      <c r="S167" s="135">
        <f>_CU!$H$37</f>
        <v>3.0696211174188859E-2</v>
      </c>
      <c r="T167" s="30"/>
      <c r="U167" s="32" t="str">
        <f t="shared" si="27"/>
        <v>HKD 7.26</v>
      </c>
      <c r="V167" s="28" t="str">
        <f t="shared" si="27"/>
        <v>China Unicom</v>
      </c>
    </row>
    <row r="168" spans="1:22" s="5" customFormat="1">
      <c r="A168" s="23"/>
      <c r="B168" s="26"/>
      <c r="C168" s="32" t="str">
        <f t="shared" si="26"/>
        <v>KT Corp</v>
      </c>
      <c r="D168" s="28" t="str">
        <f t="shared" si="26"/>
        <v>KRW 61,700</v>
      </c>
      <c r="E168" s="28" t="str">
        <f t="shared" si="26"/>
        <v>KRW 105,000</v>
      </c>
      <c r="F168" s="29">
        <f t="shared" si="26"/>
        <v>0.70178282009724469</v>
      </c>
      <c r="G168" s="28" t="str">
        <f t="shared" si="26"/>
        <v>Buy</v>
      </c>
      <c r="H168" s="30"/>
      <c r="I168" s="31">
        <f>_KT!$D$41</f>
        <v>0.76953660599235418</v>
      </c>
      <c r="J168" s="31">
        <f>_KT!$E$41</f>
        <v>0.68765079916073057</v>
      </c>
      <c r="K168" s="31">
        <f>_KT!$F$41</f>
        <v>0.59643252646325362</v>
      </c>
      <c r="L168" s="31">
        <f>_KT!$G$41</f>
        <v>0.49457681408602666</v>
      </c>
      <c r="M168" s="29">
        <f>_KT!$H$41</f>
        <v>-1.2345499297268914E-2</v>
      </c>
      <c r="N168" s="40"/>
      <c r="O168" s="31">
        <f>_KT!$D$37</f>
        <v>0.68041704356045885</v>
      </c>
      <c r="P168" s="31">
        <f>_KT!$E$37</f>
        <v>0.59784750252435215</v>
      </c>
      <c r="Q168" s="31">
        <f>_KT!$F$37</f>
        <v>0.49888780517117387</v>
      </c>
      <c r="R168" s="31">
        <f>_KT!$G$37</f>
        <v>0.3992209257376414</v>
      </c>
      <c r="S168" s="29">
        <f>_KT!$H$37</f>
        <v>1.8107958305597638E-2</v>
      </c>
      <c r="T168" s="30"/>
      <c r="U168" s="32" t="str">
        <f t="shared" si="27"/>
        <v>KRW 61,700</v>
      </c>
      <c r="V168" s="28" t="str">
        <f t="shared" si="27"/>
        <v>KT Corp</v>
      </c>
    </row>
    <row r="169" spans="1:22" s="5" customFormat="1">
      <c r="A169" s="23"/>
      <c r="B169" s="26"/>
      <c r="C169" s="32" t="str">
        <f t="shared" si="26"/>
        <v>Telkom Indonesia</v>
      </c>
      <c r="D169" s="28" t="str">
        <f t="shared" si="26"/>
        <v>IDR 2,810</v>
      </c>
      <c r="E169" s="28" t="str">
        <f t="shared" si="26"/>
        <v>IDR 3,500</v>
      </c>
      <c r="F169" s="29">
        <f t="shared" si="26"/>
        <v>0.24555160142348753</v>
      </c>
      <c r="G169" s="28" t="str">
        <f t="shared" si="26"/>
        <v>Neutral</v>
      </c>
      <c r="H169" s="30"/>
      <c r="I169" s="31">
        <f>PTT!$D$41</f>
        <v>2.1211667876550448</v>
      </c>
      <c r="J169" s="31">
        <f>PTT!$E$41</f>
        <v>1.985948377825983</v>
      </c>
      <c r="K169" s="31">
        <f>PTT!$F$41</f>
        <v>1.8833350016405939</v>
      </c>
      <c r="L169" s="31">
        <f>PTT!$G$41</f>
        <v>1.7758762868587203</v>
      </c>
      <c r="M169" s="29">
        <f>PTT!$H$41</f>
        <v>2.830222758745693E-2</v>
      </c>
      <c r="N169" s="40"/>
      <c r="O169" s="31">
        <f>PTT!$D$37</f>
        <v>3.6932805494572714</v>
      </c>
      <c r="P169" s="31">
        <f>PTT!$E$37</f>
        <v>3.4877568140962092</v>
      </c>
      <c r="Q169" s="31">
        <f>PTT!$F$37</f>
        <v>3.244333729486796</v>
      </c>
      <c r="R169" s="31">
        <f>PTT!$G$37</f>
        <v>3.0067704369359611</v>
      </c>
      <c r="S169" s="135">
        <f>PTT!$H$37</f>
        <v>3.7936414783997563E-2</v>
      </c>
      <c r="T169" s="30"/>
      <c r="U169" s="32" t="str">
        <f t="shared" si="27"/>
        <v>IDR 2,810</v>
      </c>
      <c r="V169" s="28" t="str">
        <f t="shared" si="27"/>
        <v>PT Telkom</v>
      </c>
    </row>
    <row r="170" spans="1:22" s="5" customFormat="1">
      <c r="A170" s="23"/>
      <c r="B170" s="26"/>
      <c r="C170" s="35" t="str">
        <f>C119</f>
        <v>Agg. Emerging Asia Incumbent</v>
      </c>
      <c r="D170" s="36"/>
      <c r="E170" s="36"/>
      <c r="F170" s="37"/>
      <c r="G170" s="36"/>
      <c r="H170" s="30"/>
      <c r="I170" s="38">
        <f>'EM ASIA INCUMB'!$D$41</f>
        <v>0.63759441569431896</v>
      </c>
      <c r="J170" s="38">
        <f>'EM ASIA INCUMB'!$E$41</f>
        <v>0.59245361131707708</v>
      </c>
      <c r="K170" s="38">
        <f>'EM ASIA INCUMB'!$F$41</f>
        <v>0.56772800478243002</v>
      </c>
      <c r="L170" s="38">
        <f>'EM ASIA INCUMB'!$G$41</f>
        <v>0.51300831540846181</v>
      </c>
      <c r="M170" s="39">
        <f>'EM ASIA INCUMB'!$H$41</f>
        <v>-4.5148178841643016E-3</v>
      </c>
      <c r="N170" s="40"/>
      <c r="O170" s="38">
        <f>'EM ASIA INCUMB'!$D$37</f>
        <v>0.56465074510991742</v>
      </c>
      <c r="P170" s="38">
        <f>'EM ASIA INCUMB'!$E$37</f>
        <v>0.5022507731317275</v>
      </c>
      <c r="Q170" s="38">
        <f>'EM ASIA INCUMB'!$F$37</f>
        <v>0.48537471101051255</v>
      </c>
      <c r="R170" s="38">
        <f>'EM ASIA INCUMB'!$G$37</f>
        <v>0.41485571404005178</v>
      </c>
      <c r="S170" s="39">
        <f>'EM ASIA INCUMB'!$H$37</f>
        <v>2.6098477020344735E-2</v>
      </c>
      <c r="T170" s="30"/>
      <c r="U170" s="41"/>
      <c r="V170" s="42" t="str">
        <f>V119</f>
        <v>Agg. Emerging Asia Incumbent</v>
      </c>
    </row>
    <row r="171" spans="1:22" s="5" customFormat="1">
      <c r="A171" s="23"/>
      <c r="B171" s="26"/>
      <c r="C171" s="27"/>
      <c r="D171" s="28"/>
      <c r="E171" s="28"/>
      <c r="F171" s="52"/>
      <c r="G171" s="28"/>
      <c r="H171" s="30"/>
      <c r="I171" s="46"/>
      <c r="J171" s="46"/>
      <c r="K171" s="46"/>
      <c r="L171" s="46"/>
      <c r="M171" s="45"/>
      <c r="N171" s="40"/>
      <c r="O171" s="46"/>
      <c r="P171" s="46"/>
      <c r="Q171" s="46"/>
      <c r="R171" s="46"/>
      <c r="S171" s="45"/>
      <c r="T171" s="30"/>
      <c r="U171" s="32"/>
      <c r="V171" s="34"/>
    </row>
    <row r="172" spans="1:22" s="5" customFormat="1">
      <c r="A172" s="23"/>
      <c r="B172" s="26"/>
      <c r="C172" s="35" t="str">
        <f>C121</f>
        <v>Agg. Emerging Incumbent</v>
      </c>
      <c r="D172" s="36"/>
      <c r="E172" s="36"/>
      <c r="F172" s="37"/>
      <c r="G172" s="36"/>
      <c r="H172" s="30"/>
      <c r="I172" s="38">
        <f>'EM INCUMB'!$D$41</f>
        <v>1.0175258165160963</v>
      </c>
      <c r="J172" s="38">
        <f>'EM INCUMB'!$E$41</f>
        <v>0.94869638104642462</v>
      </c>
      <c r="K172" s="38">
        <f>'EM INCUMB'!$F$41</f>
        <v>0.89045537906663963</v>
      </c>
      <c r="L172" s="38">
        <f>'EM INCUMB'!$G$41</f>
        <v>0.82231946513225684</v>
      </c>
      <c r="M172" s="39">
        <f>'EM INCUMB'!$H$41</f>
        <v>-4.7737778021701427E-3</v>
      </c>
      <c r="N172" s="40"/>
      <c r="O172" s="38">
        <f>'EM INCUMB'!$D$37</f>
        <v>1.0008369084307251</v>
      </c>
      <c r="P172" s="38">
        <f>'EM INCUMB'!$E$37</f>
        <v>0.88734774101548086</v>
      </c>
      <c r="Q172" s="38">
        <f>'EM INCUMB'!$F$37</f>
        <v>0.82417780916097816</v>
      </c>
      <c r="R172" s="38">
        <f>'EM INCUMB'!$G$37</f>
        <v>0.72297901613799298</v>
      </c>
      <c r="S172" s="39">
        <f>'EM INCUMB'!$H$37</f>
        <v>3.3156379224546617E-2</v>
      </c>
      <c r="T172" s="30"/>
      <c r="U172" s="41"/>
      <c r="V172" s="42" t="str">
        <f>V121</f>
        <v>Agg. Emerging Incumbent</v>
      </c>
    </row>
    <row r="173" spans="1:22" s="5" customFormat="1">
      <c r="A173" s="23"/>
      <c r="B173" s="26"/>
      <c r="C173" s="27"/>
      <c r="D173" s="28"/>
      <c r="E173" s="28"/>
      <c r="F173" s="29"/>
      <c r="G173" s="28"/>
      <c r="H173" s="30"/>
      <c r="I173" s="31"/>
      <c r="J173" s="31"/>
      <c r="K173" s="31"/>
      <c r="L173" s="31"/>
      <c r="M173" s="29"/>
      <c r="N173" s="40"/>
      <c r="O173" s="31"/>
      <c r="P173" s="31"/>
      <c r="Q173" s="31"/>
      <c r="R173" s="31"/>
      <c r="S173" s="29"/>
      <c r="T173" s="30"/>
      <c r="U173" s="32"/>
      <c r="V173" s="34"/>
    </row>
    <row r="174" spans="1:22" s="5" customFormat="1">
      <c r="A174" s="25" t="s">
        <v>1091</v>
      </c>
      <c r="B174" s="26"/>
      <c r="C174" s="32" t="str">
        <f t="shared" ref="C174:G178" si="28">C123</f>
        <v>Airtel Africa</v>
      </c>
      <c r="D174" s="28" t="str">
        <f t="shared" si="28"/>
        <v>GBP3.60</v>
      </c>
      <c r="E174" s="28" t="str">
        <f t="shared" si="28"/>
        <v>GBP4.60</v>
      </c>
      <c r="F174" s="29">
        <f t="shared" si="28"/>
        <v>0.2791991101223581</v>
      </c>
      <c r="G174" s="28" t="str">
        <f t="shared" si="28"/>
        <v>Buy</v>
      </c>
      <c r="H174" s="30"/>
      <c r="I174" s="31">
        <f>AAF!$D$41</f>
        <v>4.7744008641175677</v>
      </c>
      <c r="J174" s="31">
        <f>AAF!$E$41</f>
        <v>4.3455105540733641</v>
      </c>
      <c r="K174" s="31">
        <f>AAF!$F$41</f>
        <v>3.8321377596712716</v>
      </c>
      <c r="L174" s="31">
        <f>AAF!$G$41</f>
        <v>3.2827581454536467</v>
      </c>
      <c r="M174" s="29">
        <f>AAF!$H$41</f>
        <v>7.9520232819027425E-2</v>
      </c>
      <c r="N174" s="40"/>
      <c r="O174" s="31">
        <f>AAF!$D$37</f>
        <v>4.0617760649706822</v>
      </c>
      <c r="P174" s="31">
        <f>AAF!$E$37</f>
        <v>3.32028454832209</v>
      </c>
      <c r="Q174" s="31">
        <f>AAF!$F$37</f>
        <v>2.8162046509521654</v>
      </c>
      <c r="R174" s="31">
        <f>AAF!$G$37</f>
        <v>2.4248125312246387</v>
      </c>
      <c r="S174" s="135">
        <f>AAF!$H$37</f>
        <v>0.13157512450814335</v>
      </c>
      <c r="T174" s="30"/>
      <c r="U174" s="32" t="str">
        <f t="shared" ref="U174:V178" si="29">U123</f>
        <v>GBP3.60</v>
      </c>
      <c r="V174" s="28" t="str">
        <f t="shared" si="29"/>
        <v>Airtel Africa</v>
      </c>
    </row>
    <row r="175" spans="1:22" s="5" customFormat="1">
      <c r="A175" s="23"/>
      <c r="B175" s="26"/>
      <c r="C175" s="32" t="str">
        <f t="shared" si="28"/>
        <v>MTN</v>
      </c>
      <c r="D175" s="28" t="str">
        <f t="shared" si="28"/>
        <v>ZAR 206.35</v>
      </c>
      <c r="E175" s="28" t="str">
        <f t="shared" si="28"/>
        <v>ZAR 280.00</v>
      </c>
      <c r="F175" s="29">
        <f t="shared" si="28"/>
        <v>0.35691785800823839</v>
      </c>
      <c r="G175" s="28" t="str">
        <f t="shared" si="28"/>
        <v>Buy</v>
      </c>
      <c r="H175" s="30"/>
      <c r="I175" s="31">
        <f>MTN!$D$41</f>
        <v>2.0122992835005364</v>
      </c>
      <c r="J175" s="31">
        <f>MTN!$E$41</f>
        <v>1.9884434633243597</v>
      </c>
      <c r="K175" s="31">
        <f>MTN!$F$41</f>
        <v>1.9238262549167269</v>
      </c>
      <c r="L175" s="31">
        <f>MTN!$G$41</f>
        <v>1.824170339344259</v>
      </c>
      <c r="M175" s="29">
        <f>MTN!$H$41</f>
        <v>-2.9866502053208399E-2</v>
      </c>
      <c r="N175" s="40"/>
      <c r="O175" s="31">
        <f>MTN!$D$37</f>
        <v>2.3193159830181069</v>
      </c>
      <c r="P175" s="31">
        <f>MTN!$E$37</f>
        <v>1.9904272826567189</v>
      </c>
      <c r="Q175" s="31">
        <f>MTN!$F$37</f>
        <v>1.6116803884067985</v>
      </c>
      <c r="R175" s="31">
        <f>MTN!$G$37</f>
        <v>1.3368080557880364</v>
      </c>
      <c r="S175" s="135">
        <f>MTN!$H$37</f>
        <v>0.12819991347435811</v>
      </c>
      <c r="T175" s="30"/>
      <c r="U175" s="32" t="str">
        <f t="shared" si="29"/>
        <v>ZAR 206.35</v>
      </c>
      <c r="V175" s="28" t="str">
        <f t="shared" si="29"/>
        <v>MTN</v>
      </c>
    </row>
    <row r="176" spans="1:22" s="5" customFormat="1">
      <c r="A176" s="23"/>
      <c r="B176" s="26"/>
      <c r="C176" s="32" t="str">
        <f t="shared" si="28"/>
        <v>Safaricom</v>
      </c>
      <c r="D176" s="28" t="str">
        <f t="shared" si="28"/>
        <v>KES 29.90</v>
      </c>
      <c r="E176" s="28" t="str">
        <f t="shared" si="28"/>
        <v>KES 40.0</v>
      </c>
      <c r="F176" s="29">
        <f t="shared" si="28"/>
        <v>0.33779264214046822</v>
      </c>
      <c r="G176" s="28" t="str">
        <f t="shared" si="28"/>
        <v>Buy</v>
      </c>
      <c r="H176" s="30"/>
      <c r="I176" s="31">
        <f>SAF!$D$41</f>
        <v>2.2610225832087951</v>
      </c>
      <c r="J176" s="31">
        <f>SAF!$E$41</f>
        <v>1.6804087420789435</v>
      </c>
      <c r="K176" s="31">
        <f>SAF!$F$41</f>
        <v>1.2858842078356512</v>
      </c>
      <c r="L176" s="31">
        <f>SAF!$G$41</f>
        <v>0.98638576241260856</v>
      </c>
      <c r="M176" s="29">
        <f>SAF!$H$41</f>
        <v>0.21780794330123698</v>
      </c>
      <c r="N176" s="40"/>
      <c r="O176" s="31">
        <f>SAF!$D$37</f>
        <v>3.0086074298249827</v>
      </c>
      <c r="P176" s="31">
        <f>SAF!$E$37</f>
        <v>2.6071564932486462</v>
      </c>
      <c r="Q176" s="31">
        <f>SAF!$F$37</f>
        <v>2.2367954150150107</v>
      </c>
      <c r="R176" s="31">
        <f>SAF!$G$37</f>
        <v>1.8860114924198992</v>
      </c>
      <c r="S176" s="135">
        <f>SAF!$H$37</f>
        <v>7.9194766009736073E-2</v>
      </c>
      <c r="T176" s="30"/>
      <c r="U176" s="32" t="str">
        <f t="shared" si="29"/>
        <v>KES 29.90</v>
      </c>
      <c r="V176" s="28" t="str">
        <f t="shared" si="29"/>
        <v>Safaricom</v>
      </c>
    </row>
    <row r="177" spans="1:26" s="5" customFormat="1">
      <c r="A177" s="23"/>
      <c r="B177" s="26"/>
      <c r="C177" s="32" t="str">
        <f t="shared" si="28"/>
        <v>VEON</v>
      </c>
      <c r="D177" s="28" t="str">
        <f t="shared" si="28"/>
        <v>USD 54.9</v>
      </c>
      <c r="E177" s="28" t="str">
        <f t="shared" si="28"/>
        <v>USD 100.0</v>
      </c>
      <c r="F177" s="29">
        <f t="shared" si="28"/>
        <v>0.82116190129302513</v>
      </c>
      <c r="G177" s="28" t="str">
        <f t="shared" si="28"/>
        <v>Buy</v>
      </c>
      <c r="H177" s="30"/>
      <c r="I177" s="31">
        <f>VIMP!$D$41</f>
        <v>1.9126221238314225</v>
      </c>
      <c r="J177" s="31">
        <f>VIMP!$E$41</f>
        <v>1.7496529628299136</v>
      </c>
      <c r="K177" s="31">
        <f>VIMP!$F$41</f>
        <v>1.5750576635226119</v>
      </c>
      <c r="L177" s="31">
        <f>VIMP!$G$41</f>
        <v>1.3879201635646239</v>
      </c>
      <c r="M177" s="29">
        <f>VIMP!$H$41</f>
        <v>4.7591576318088524E-2</v>
      </c>
      <c r="N177" s="40"/>
      <c r="O177" s="31">
        <f>VIMP!$D$37</f>
        <v>1.9657732313836842</v>
      </c>
      <c r="P177" s="31">
        <f>VIMP!$E$37</f>
        <v>1.7487414550842837</v>
      </c>
      <c r="Q177" s="31">
        <f>VIMP!$F$37</f>
        <v>1.5513955052594854</v>
      </c>
      <c r="R177" s="31">
        <f>VIMP!$G$37</f>
        <v>1.3592641275017758</v>
      </c>
      <c r="S177" s="29">
        <f>VIMP!$H$37</f>
        <v>6.4584866179597578E-2</v>
      </c>
      <c r="T177" s="30"/>
      <c r="U177" s="32" t="str">
        <f t="shared" si="29"/>
        <v>USD 54.9</v>
      </c>
      <c r="V177" s="28" t="str">
        <f t="shared" si="29"/>
        <v>VEON</v>
      </c>
    </row>
    <row r="178" spans="1:26" s="5" customFormat="1">
      <c r="A178" s="23"/>
      <c r="B178" s="26"/>
      <c r="C178" s="32" t="str">
        <f t="shared" si="28"/>
        <v>Vodacom</v>
      </c>
      <c r="D178" s="28" t="str">
        <f t="shared" si="28"/>
        <v>ZAR 145.6</v>
      </c>
      <c r="E178" s="28" t="str">
        <f t="shared" si="28"/>
        <v>ZAR 215.0</v>
      </c>
      <c r="F178" s="29">
        <f t="shared" si="28"/>
        <v>0.47685121582634959</v>
      </c>
      <c r="G178" s="28" t="str">
        <f t="shared" si="28"/>
        <v>Buy</v>
      </c>
      <c r="H178" s="30"/>
      <c r="I178" s="31">
        <f>VODA!$D$41</f>
        <v>2.3922140682466435</v>
      </c>
      <c r="J178" s="31">
        <f>VODA!$E$41</f>
        <v>1.7442459317576346</v>
      </c>
      <c r="K178" s="31">
        <f>VODA!$F$41</f>
        <v>1.7902498983606099</v>
      </c>
      <c r="L178" s="31">
        <f>VODA!$G$41</f>
        <v>1.589412096674498</v>
      </c>
      <c r="M178" s="29">
        <f>VODA!$H$41</f>
        <v>7.9069836148184303E-2</v>
      </c>
      <c r="N178" s="40"/>
      <c r="O178" s="31">
        <f>VODA!$D$37</f>
        <v>2.2854479526210478</v>
      </c>
      <c r="P178" s="31">
        <f>VODA!$E$37</f>
        <v>1.5950922840966808</v>
      </c>
      <c r="Q178" s="31">
        <f>VODA!$F$37</f>
        <v>1.3465000064271675</v>
      </c>
      <c r="R178" s="31">
        <f>VODA!$G$37</f>
        <v>1.1152756349057369</v>
      </c>
      <c r="S178" s="29">
        <f>VODA!$H$37</f>
        <v>0.19598229614095763</v>
      </c>
      <c r="T178" s="30"/>
      <c r="U178" s="32" t="str">
        <f t="shared" si="29"/>
        <v>ZAR 145.6</v>
      </c>
      <c r="V178" s="28" t="str">
        <f t="shared" si="29"/>
        <v>Vodacom</v>
      </c>
    </row>
    <row r="179" spans="1:26" s="5" customFormat="1">
      <c r="A179" s="23"/>
      <c r="B179" s="26"/>
      <c r="C179" s="35" t="str">
        <f>C128</f>
        <v>Agg. EMEA Cellular</v>
      </c>
      <c r="D179" s="36"/>
      <c r="E179" s="36"/>
      <c r="F179" s="37"/>
      <c r="G179" s="36"/>
      <c r="H179" s="30"/>
      <c r="I179" s="38">
        <f>'EMEA CELLULAR'!$D$41</f>
        <v>2.4931198659149474</v>
      </c>
      <c r="J179" s="38">
        <f>'EMEA CELLULAR'!$E$41</f>
        <v>2.1495302617941814</v>
      </c>
      <c r="K179" s="38">
        <f>'EMEA CELLULAR'!$F$41</f>
        <v>2.0138651536880712</v>
      </c>
      <c r="L179" s="38">
        <f>'EMEA CELLULAR'!$G$41</f>
        <v>1.7818698478870838</v>
      </c>
      <c r="M179" s="39">
        <f>'EMEA CELLULAR'!$H$41</f>
        <v>5.3449376644030044E-2</v>
      </c>
      <c r="N179" s="40"/>
      <c r="O179" s="38">
        <f>'EMEA CELLULAR'!$D$37</f>
        <v>2.6199275856048252</v>
      </c>
      <c r="P179" s="38">
        <f>'EMEA CELLULAR'!$E$37</f>
        <v>2.1019432698335514</v>
      </c>
      <c r="Q179" s="38">
        <f>'EMEA CELLULAR'!$F$37</f>
        <v>1.7673158441321424</v>
      </c>
      <c r="R179" s="38">
        <f>'EMEA CELLULAR'!$G$37</f>
        <v>1.490977100486143</v>
      </c>
      <c r="S179" s="39">
        <f>'EMEA CELLULAR'!$H$37</f>
        <v>0.13657312279124967</v>
      </c>
      <c r="T179" s="30"/>
      <c r="U179" s="41"/>
      <c r="V179" s="42" t="str">
        <f>V128</f>
        <v>Agg. EMEA Cellular</v>
      </c>
    </row>
    <row r="180" spans="1:26" s="5" customFormat="1">
      <c r="B180" s="26"/>
      <c r="C180" s="27"/>
      <c r="D180" s="28"/>
      <c r="E180" s="28"/>
      <c r="F180" s="29"/>
      <c r="G180" s="28"/>
      <c r="H180" s="30"/>
      <c r="I180" s="31"/>
      <c r="J180" s="31"/>
      <c r="K180" s="31"/>
      <c r="L180" s="31"/>
      <c r="M180" s="29"/>
      <c r="N180" s="40"/>
      <c r="O180" s="31"/>
      <c r="P180" s="31"/>
      <c r="Q180" s="31"/>
      <c r="R180" s="31"/>
      <c r="S180" s="29"/>
      <c r="T180" s="30"/>
      <c r="U180" s="32"/>
      <c r="V180" s="34"/>
    </row>
    <row r="181" spans="1:26" s="5" customFormat="1">
      <c r="B181" s="26"/>
      <c r="C181" s="32" t="str">
        <f t="shared" ref="C181:G183" si="30">C130</f>
        <v>Entel</v>
      </c>
      <c r="D181" s="28" t="str">
        <f t="shared" si="30"/>
        <v>CLP 3,643</v>
      </c>
      <c r="E181" s="28" t="str">
        <f t="shared" si="30"/>
        <v>CLP 3,150</v>
      </c>
      <c r="F181" s="29">
        <f t="shared" si="30"/>
        <v>-0.13532802635190777</v>
      </c>
      <c r="G181" s="28" t="str">
        <f t="shared" si="30"/>
        <v>Neutral</v>
      </c>
      <c r="H181" s="30"/>
      <c r="I181" s="31">
        <f>ENTEL!$D$41</f>
        <v>0.79786446197577365</v>
      </c>
      <c r="J181" s="31">
        <f>ENTEL!$E$41</f>
        <v>0.76687154424686166</v>
      </c>
      <c r="K181" s="31">
        <f>ENTEL!$F$41</f>
        <v>0.72957931812626453</v>
      </c>
      <c r="L181" s="31">
        <f>ENTEL!$G$41</f>
        <v>0.69016139284843447</v>
      </c>
      <c r="M181" s="29">
        <f>ENTEL!$H$41</f>
        <v>4.6821488160224911E-2</v>
      </c>
      <c r="N181" s="40"/>
      <c r="O181" s="31">
        <f>ENTEL!$D$37</f>
        <v>0.87798963433515287</v>
      </c>
      <c r="P181" s="31">
        <f>ENTEL!$E$37</f>
        <v>0.86159508013765695</v>
      </c>
      <c r="Q181" s="31">
        <f>ENTEL!$F$37</f>
        <v>0.84133362198255812</v>
      </c>
      <c r="R181" s="31">
        <f>ENTEL!$G$37</f>
        <v>0.80823952044039515</v>
      </c>
      <c r="S181" s="135">
        <f>ENTEL!$H$37</f>
        <v>2.532822093769016E-2</v>
      </c>
      <c r="T181" s="30"/>
      <c r="U181" s="32" t="str">
        <f t="shared" ref="U181:V183" si="31">U130</f>
        <v>CLP 3,643</v>
      </c>
      <c r="V181" s="28" t="str">
        <f t="shared" si="31"/>
        <v>Entel</v>
      </c>
    </row>
    <row r="182" spans="1:26" s="5" customFormat="1">
      <c r="B182" s="26"/>
      <c r="C182" s="32" t="str">
        <f t="shared" si="30"/>
        <v>Millicom</v>
      </c>
      <c r="D182" s="28" t="str">
        <f t="shared" si="30"/>
        <v>USD  83.6</v>
      </c>
      <c r="E182" s="28" t="str">
        <f t="shared" si="30"/>
        <v>USD 70.0</v>
      </c>
      <c r="F182" s="29">
        <f t="shared" si="30"/>
        <v>-0.16292974588938713</v>
      </c>
      <c r="G182" s="28" t="str">
        <f t="shared" si="30"/>
        <v>Buy</v>
      </c>
      <c r="H182" s="30"/>
      <c r="I182" s="31">
        <f>MILLI!$D$41</f>
        <v>2.2181214514782859</v>
      </c>
      <c r="J182" s="31">
        <f>MILLI!$E$41</f>
        <v>2.0189002682847246</v>
      </c>
      <c r="K182" s="31">
        <f>MILLI!$F$41</f>
        <v>1.9294033650662901</v>
      </c>
      <c r="L182" s="31">
        <f>MILLI!$G$41</f>
        <v>1.8354527271664081</v>
      </c>
      <c r="M182" s="29">
        <f>MILLI!$H$41</f>
        <v>4.324544146722431E-2</v>
      </c>
      <c r="N182" s="40"/>
      <c r="O182" s="31">
        <f>MILLI!$D$37</f>
        <v>3.9907416038996195</v>
      </c>
      <c r="P182" s="31">
        <f>MILLI!$E$37</f>
        <v>3.0724683834329012</v>
      </c>
      <c r="Q182" s="31">
        <f>MILLI!$F$37</f>
        <v>2.7953619722553689</v>
      </c>
      <c r="R182" s="31">
        <f>MILLI!$G$37</f>
        <v>2.6299063890903147</v>
      </c>
      <c r="S182" s="135">
        <f>MILLI!$H$37</f>
        <v>0.12549498034039352</v>
      </c>
      <c r="T182" s="30"/>
      <c r="U182" s="32" t="str">
        <f t="shared" si="31"/>
        <v>USD  83.6</v>
      </c>
      <c r="V182" s="28" t="str">
        <f t="shared" si="31"/>
        <v>Millicom</v>
      </c>
    </row>
    <row r="183" spans="1:26" s="5" customFormat="1">
      <c r="B183" s="26"/>
      <c r="C183" s="32" t="str">
        <f t="shared" si="30"/>
        <v>TIM Participacoes</v>
      </c>
      <c r="D183" s="28" t="str">
        <f t="shared" si="30"/>
        <v>BRL 25.99</v>
      </c>
      <c r="E183" s="28" t="str">
        <f t="shared" si="30"/>
        <v>BRL 28.00</v>
      </c>
      <c r="F183" s="29">
        <f t="shared" si="30"/>
        <v>7.7337437475952342E-2</v>
      </c>
      <c r="G183" s="28" t="str">
        <f t="shared" si="30"/>
        <v>Buy</v>
      </c>
      <c r="H183" s="30"/>
      <c r="I183" s="31">
        <f>TIMP!$D$41</f>
        <v>1.2258263142650347</v>
      </c>
      <c r="J183" s="31">
        <f>TIMP!$E$41</f>
        <v>1.0990106453690551</v>
      </c>
      <c r="K183" s="31">
        <f>TIMP!$F$41</f>
        <v>0.93726620347997203</v>
      </c>
      <c r="L183" s="31">
        <f>TIMP!$G$41</f>
        <v>0.73923999260388962</v>
      </c>
      <c r="M183" s="29">
        <f>TIMP!$H$41</f>
        <v>-3.1674896888936543E-2</v>
      </c>
      <c r="N183" s="40"/>
      <c r="O183" s="31">
        <f>TIMP!$D$37</f>
        <v>1.6419430146943832</v>
      </c>
      <c r="P183" s="31">
        <f>TIMP!$E$37</f>
        <v>1.3564636354161306</v>
      </c>
      <c r="Q183" s="31">
        <f>TIMP!$F$37</f>
        <v>1.0683612052560651</v>
      </c>
      <c r="R183" s="31">
        <f>TIMP!$G$37</f>
        <v>0.77939153105560643</v>
      </c>
      <c r="S183" s="29">
        <f>TIMP!$H$37</f>
        <v>4.8755282777350306E-2</v>
      </c>
      <c r="T183" s="30"/>
      <c r="U183" s="32" t="str">
        <f t="shared" si="31"/>
        <v>BRL 25.99</v>
      </c>
      <c r="V183" s="28" t="str">
        <f t="shared" si="31"/>
        <v>TIM Participacoes</v>
      </c>
    </row>
    <row r="184" spans="1:26">
      <c r="A184" s="25"/>
      <c r="B184" s="26" t="s">
        <v>483</v>
      </c>
      <c r="C184" s="32" t="s">
        <v>688</v>
      </c>
      <c r="D184" s="28" t="str">
        <f>'EM Multiples'!B184&amp;TEXT(Prices!C$115,"0.00")</f>
        <v>MXN59.40</v>
      </c>
      <c r="E184" s="28" t="str">
        <f>'EM Multiples'!B184&amp;TEXT(Prices!E$115,"0.00")</f>
        <v>MXN75.00</v>
      </c>
      <c r="F184" s="29">
        <f>Prices!F$115</f>
        <v>0.26262626262626276</v>
      </c>
      <c r="G184" s="28" t="str">
        <f>Prices!D$115</f>
        <v>Buy</v>
      </c>
      <c r="H184" s="30"/>
      <c r="I184" s="31">
        <f>MEGA!$D$41</f>
        <v>1.423132288640601</v>
      </c>
      <c r="J184" s="31">
        <f>MEGA!$E$41</f>
        <v>1.3302467767994737</v>
      </c>
      <c r="K184" s="31">
        <f>MEGA!$F$41</f>
        <v>1.2258847149121608</v>
      </c>
      <c r="L184" s="31">
        <f>MEGA!$G$41</f>
        <v>1.1029081775952057</v>
      </c>
      <c r="M184" s="29">
        <f>MEGA!$H$41</f>
        <v>1.2195195668761594E-2</v>
      </c>
      <c r="N184" s="30"/>
      <c r="O184" s="31">
        <f>MEGA!$D$37</f>
        <v>2.1825425659206106</v>
      </c>
      <c r="P184" s="31">
        <f>MEGA!$E$37</f>
        <v>1.9249911452330228</v>
      </c>
      <c r="Q184" s="31">
        <f>MEGA!$F$37</f>
        <v>1.6791319137944689</v>
      </c>
      <c r="R184" s="31">
        <f>MEGA!$G$37</f>
        <v>1.4376960219231618</v>
      </c>
      <c r="S184" s="29">
        <f>MEGA!$H$37</f>
        <v>6.8548363771691267E-2</v>
      </c>
      <c r="T184" s="30"/>
      <c r="U184" s="32" t="str">
        <f>D184</f>
        <v>MXN59.40</v>
      </c>
      <c r="V184" s="28" t="str">
        <f>C184</f>
        <v>Megacable</v>
      </c>
      <c r="Z184" s="30"/>
    </row>
    <row r="185" spans="1:26">
      <c r="A185" s="5"/>
      <c r="B185" s="26" t="s">
        <v>331</v>
      </c>
      <c r="C185" s="32" t="s">
        <v>675</v>
      </c>
      <c r="D185" s="28" t="str">
        <f>'EM Multiples'!B185&amp;TEXT(Prices!C$118,"0.00")</f>
        <v>USD8.53</v>
      </c>
      <c r="E185" s="28" t="str">
        <f>'EM Multiples'!B185&amp;TEXT(Prices!E$118,"0.00")</f>
        <v>USD14.90</v>
      </c>
      <c r="F185" s="29">
        <f>Prices!F$118</f>
        <v>0.74780058651026393</v>
      </c>
      <c r="G185" s="28" t="str">
        <f>Prices!D$118</f>
        <v>Buy</v>
      </c>
      <c r="H185" s="30"/>
      <c r="I185" s="31">
        <f>LiLAC!$D$41</f>
        <v>1.4458337290074741</v>
      </c>
      <c r="J185" s="31">
        <f>LiLAC!$E$41</f>
        <v>1.4417471878315178</v>
      </c>
      <c r="K185" s="31">
        <f>LiLAC!$F$41</f>
        <v>1.443194092002557</v>
      </c>
      <c r="L185" s="31">
        <f>LiLAC!$G$41</f>
        <v>1.4517809668578403</v>
      </c>
      <c r="M185" s="29">
        <f>LiLAC!$H$41</f>
        <v>-2.2425787618873705E-2</v>
      </c>
      <c r="N185" s="30"/>
      <c r="O185" s="31">
        <f>LiLAC!$D$37</f>
        <v>2.4838773812346449</v>
      </c>
      <c r="P185" s="31">
        <f>LiLAC!$E$37</f>
        <v>2.4358053327611335</v>
      </c>
      <c r="Q185" s="31">
        <f>LiLAC!$F$37</f>
        <v>2.3198140318020135</v>
      </c>
      <c r="R185" s="31">
        <f>LiLAC!$G$37</f>
        <v>2.1823067480811584</v>
      </c>
      <c r="S185" s="29">
        <f>LiLAC!$H$37</f>
        <v>2.2073444459229208E-2</v>
      </c>
      <c r="T185" s="30"/>
      <c r="U185" s="32" t="str">
        <f>D185</f>
        <v>USD8.53</v>
      </c>
      <c r="V185" s="28" t="str">
        <f>C185</f>
        <v>LiLAC</v>
      </c>
      <c r="Z185" s="30"/>
    </row>
    <row r="186" spans="1:26" s="5" customFormat="1">
      <c r="B186" s="26"/>
      <c r="C186" s="35" t="str">
        <f>C135</f>
        <v>Agg. LatAm Other</v>
      </c>
      <c r="D186" s="36"/>
      <c r="E186" s="36"/>
      <c r="F186" s="37"/>
      <c r="G186" s="36"/>
      <c r="H186" s="30"/>
      <c r="I186" s="38">
        <f>'LATAM OTHER'!$D$41</f>
        <v>1.5759145073957344</v>
      </c>
      <c r="J186" s="38">
        <f>'LATAM OTHER'!$E$41</f>
        <v>1.4883300559129049</v>
      </c>
      <c r="K186" s="38">
        <f>'LATAM OTHER'!$F$41</f>
        <v>1.4090724335425369</v>
      </c>
      <c r="L186" s="38">
        <f>'LATAM OTHER'!$G$41</f>
        <v>1.3214292867714388</v>
      </c>
      <c r="M186" s="39">
        <f>'LATAM OTHER'!$H$41</f>
        <v>9.2989378591046279E-3</v>
      </c>
      <c r="N186" s="40"/>
      <c r="O186" s="38">
        <f>'LATAM OTHER'!$D$37</f>
        <v>2.4119768823205523</v>
      </c>
      <c r="P186" s="38">
        <f>'LATAM OTHER'!$E$37</f>
        <v>2.1154894928642065</v>
      </c>
      <c r="Q186" s="38">
        <f>'LATAM OTHER'!$F$37</f>
        <v>1.9103568365427492</v>
      </c>
      <c r="R186" s="38">
        <f>'LATAM OTHER'!$G$37</f>
        <v>1.724209646645674</v>
      </c>
      <c r="S186" s="39">
        <f>'LATAM OTHER'!$H$37</f>
        <v>6.4432021722839572E-2</v>
      </c>
      <c r="T186" s="30"/>
      <c r="U186" s="41"/>
      <c r="V186" s="42" t="str">
        <f>V135</f>
        <v>Agg. LatAm Cellular</v>
      </c>
    </row>
    <row r="187" spans="1:26" s="5" customFormat="1">
      <c r="A187" s="23"/>
      <c r="B187" s="26"/>
      <c r="C187" s="27"/>
      <c r="D187" s="28"/>
      <c r="E187" s="28"/>
      <c r="F187" s="29"/>
      <c r="G187" s="28"/>
      <c r="H187" s="30"/>
      <c r="I187" s="31"/>
      <c r="J187" s="31"/>
      <c r="K187" s="31"/>
      <c r="L187" s="31"/>
      <c r="M187" s="29"/>
      <c r="N187" s="30"/>
      <c r="O187" s="31"/>
      <c r="P187" s="31"/>
      <c r="Q187" s="31"/>
      <c r="R187" s="31"/>
      <c r="S187" s="29"/>
      <c r="T187" s="30"/>
      <c r="U187" s="32"/>
      <c r="V187" s="34"/>
    </row>
    <row r="188" spans="1:26" s="5" customFormat="1">
      <c r="B188" s="26"/>
      <c r="C188" s="32" t="str">
        <f t="shared" ref="C188:G199" si="32">C137</f>
        <v>AIS</v>
      </c>
      <c r="D188" s="28" t="str">
        <f t="shared" si="32"/>
        <v>THB 349.0</v>
      </c>
      <c r="E188" s="28" t="str">
        <f t="shared" si="32"/>
        <v>THB 330.0</v>
      </c>
      <c r="F188" s="29">
        <f t="shared" si="32"/>
        <v>-5.4441260744985676E-2</v>
      </c>
      <c r="G188" s="28" t="str">
        <f t="shared" si="32"/>
        <v>Buy</v>
      </c>
      <c r="H188" s="30"/>
      <c r="I188" s="31">
        <f>ADVANCED!$D$41</f>
        <v>4.2072971408289623</v>
      </c>
      <c r="J188" s="31">
        <f>ADVANCED!$E$41</f>
        <v>4.3077090177804429</v>
      </c>
      <c r="K188" s="31">
        <f>ADVANCED!$F$41</f>
        <v>4.3719943114671889</v>
      </c>
      <c r="L188" s="31">
        <f>ADVANCED!$G$41</f>
        <v>4.389925979395084</v>
      </c>
      <c r="M188" s="29">
        <f>ADVANCED!$H$41</f>
        <v>-7.7127219696330407E-2</v>
      </c>
      <c r="N188" s="30"/>
      <c r="O188" s="31">
        <f>ADVANCED!$D$37</f>
        <v>5.3806563848683195</v>
      </c>
      <c r="P188" s="31">
        <f>ADVANCED!$E$37</f>
        <v>4.9024053681999904</v>
      </c>
      <c r="Q188" s="31">
        <f>ADVANCED!$F$37</f>
        <v>4.4823822419495611</v>
      </c>
      <c r="R188" s="31">
        <f>ADVANCED!$G$37</f>
        <v>4.0673526751096958</v>
      </c>
      <c r="S188" s="29">
        <f>ADVANCED!$H$37</f>
        <v>2.7545314735976323E-2</v>
      </c>
      <c r="T188" s="30"/>
      <c r="U188" s="32" t="str">
        <f t="shared" ref="U188:V199" si="33">U137</f>
        <v>THB 349.0</v>
      </c>
      <c r="V188" s="28" t="str">
        <f t="shared" si="33"/>
        <v>AIS</v>
      </c>
    </row>
    <row r="189" spans="1:26" s="5" customFormat="1">
      <c r="A189" s="23"/>
      <c r="B189" s="26"/>
      <c r="C189" s="32" t="str">
        <f t="shared" si="32"/>
        <v>Axiata</v>
      </c>
      <c r="D189" s="28" t="str">
        <f t="shared" si="32"/>
        <v>MYR 2.24</v>
      </c>
      <c r="E189" s="28" t="str">
        <f t="shared" si="32"/>
        <v>MYR 4.50</v>
      </c>
      <c r="F189" s="29">
        <f t="shared" si="32"/>
        <v>1.0089285714285712</v>
      </c>
      <c r="G189" s="28" t="str">
        <f t="shared" si="32"/>
        <v>Buy</v>
      </c>
      <c r="H189" s="30"/>
      <c r="I189" s="31">
        <f>AXI!$D$41</f>
        <v>0.74824621556690685</v>
      </c>
      <c r="J189" s="31">
        <f>AXI!$E$41</f>
        <v>0.90108089306698003</v>
      </c>
      <c r="K189" s="31">
        <f>AXI!$F$41</f>
        <v>0.8651654132338219</v>
      </c>
      <c r="L189" s="31">
        <f>AXI!$G$41</f>
        <v>0.81686871761583069</v>
      </c>
      <c r="M189" s="29">
        <f>AXI!$H$41</f>
        <v>-8.6661508986253244E-3</v>
      </c>
      <c r="N189" s="30"/>
      <c r="O189" s="31">
        <f>AXI!$D$37</f>
        <v>2.8258949964763915</v>
      </c>
      <c r="P189" s="31">
        <f>AXI!$E$37</f>
        <v>3.2566883547099295</v>
      </c>
      <c r="Q189" s="31">
        <f>AXI!$F$37</f>
        <v>2.9922500147477682</v>
      </c>
      <c r="R189" s="31">
        <f>AXI!$G$37</f>
        <v>2.7279901333155845</v>
      </c>
      <c r="S189" s="29">
        <f>AXI!$H$37</f>
        <v>3.2825429934682848E-2</v>
      </c>
      <c r="T189" s="30"/>
      <c r="U189" s="32" t="str">
        <f t="shared" si="33"/>
        <v>MYR 2.24</v>
      </c>
      <c r="V189" s="28" t="str">
        <f t="shared" si="33"/>
        <v>Axiata</v>
      </c>
    </row>
    <row r="190" spans="1:26" s="5" customFormat="1">
      <c r="A190" s="23"/>
      <c r="B190" s="26"/>
      <c r="C190" s="32" t="str">
        <f t="shared" si="32"/>
        <v>Bharti Airtel</v>
      </c>
      <c r="D190" s="28" t="str">
        <f t="shared" si="32"/>
        <v>INR 1815</v>
      </c>
      <c r="E190" s="28" t="str">
        <f t="shared" si="32"/>
        <v>INR 2750</v>
      </c>
      <c r="F190" s="29">
        <f t="shared" si="32"/>
        <v>0.51540199482008031</v>
      </c>
      <c r="G190" s="28" t="str">
        <f t="shared" si="32"/>
        <v>Buy</v>
      </c>
      <c r="H190" s="30"/>
      <c r="I190" s="31">
        <f>BHART!$D$41</f>
        <v>4.4411544094505029</v>
      </c>
      <c r="J190" s="31">
        <f>BHART!$E$41</f>
        <v>4.3545867948249199</v>
      </c>
      <c r="K190" s="31">
        <f>BHART!$F$41</f>
        <v>4.201017452847065</v>
      </c>
      <c r="L190" s="31">
        <f>BHART!$G$41</f>
        <v>3.9523480899068986</v>
      </c>
      <c r="M190" s="29">
        <f>BHART!$H$41</f>
        <v>-1.3797015798821533E-2</v>
      </c>
      <c r="N190" s="30"/>
      <c r="O190" s="31">
        <f>BHART!$D$37</f>
        <v>6.5542584912674862</v>
      </c>
      <c r="P190" s="31">
        <f>BHART!$E$37</f>
        <v>5.462436098609694</v>
      </c>
      <c r="Q190" s="31">
        <f>BHART!$F$37</f>
        <v>4.5495376377072745</v>
      </c>
      <c r="R190" s="31">
        <f>BHART!$G$37</f>
        <v>3.7735286975247639</v>
      </c>
      <c r="S190" s="29">
        <f>BHART!$H$37</f>
        <v>0.14027968303904759</v>
      </c>
      <c r="T190" s="30"/>
      <c r="U190" s="32" t="str">
        <f t="shared" si="33"/>
        <v>INR 1815</v>
      </c>
      <c r="V190" s="28" t="str">
        <f t="shared" si="33"/>
        <v>Bharti Airtel</v>
      </c>
    </row>
    <row r="191" spans="1:26" s="5" customFormat="1">
      <c r="B191" s="26"/>
      <c r="C191" s="32" t="str">
        <f t="shared" si="32"/>
        <v>China Mobile</v>
      </c>
      <c r="D191" s="28" t="str">
        <f t="shared" si="32"/>
        <v>HKD 83.9</v>
      </c>
      <c r="E191" s="28" t="str">
        <f t="shared" si="32"/>
        <v>HKD 115.0</v>
      </c>
      <c r="F191" s="29">
        <f t="shared" si="32"/>
        <v>0.37067938021454094</v>
      </c>
      <c r="G191" s="28" t="str">
        <f t="shared" si="32"/>
        <v>Buy</v>
      </c>
      <c r="H191" s="30"/>
      <c r="I191" s="31">
        <f>_CM!$D$41</f>
        <v>0.99840426764671697</v>
      </c>
      <c r="J191" s="31">
        <f>_CM!$E$41</f>
        <v>0.87407801261479923</v>
      </c>
      <c r="K191" s="31">
        <f>_CM!$F$41</f>
        <v>0.7548134647381276</v>
      </c>
      <c r="L191" s="31">
        <f>_CM!$G$41</f>
        <v>0.620236012251413</v>
      </c>
      <c r="M191" s="29">
        <f>_CM!$H$41</f>
        <v>1.2860510929093127E-2</v>
      </c>
      <c r="N191" s="30"/>
      <c r="O191" s="31">
        <f>_CM!$D$37</f>
        <v>1.188928595916555</v>
      </c>
      <c r="P191" s="31">
        <f>_CM!$E$37</f>
        <v>1.0158690794413214</v>
      </c>
      <c r="Q191" s="31">
        <f>_CM!$F$37</f>
        <v>0.90333933846467973</v>
      </c>
      <c r="R191" s="31">
        <f>_CM!$G$37</f>
        <v>0.722896967558603</v>
      </c>
      <c r="S191" s="29">
        <f>_CM!$H$37</f>
        <v>2.0139614496065716E-2</v>
      </c>
      <c r="T191" s="30"/>
      <c r="U191" s="32" t="str">
        <f t="shared" si="33"/>
        <v>HKD 83.9</v>
      </c>
      <c r="V191" s="28" t="str">
        <f t="shared" si="33"/>
        <v>China Mobile</v>
      </c>
    </row>
    <row r="192" spans="1:26" s="5" customFormat="1">
      <c r="B192" s="26"/>
      <c r="C192" s="32" t="str">
        <f t="shared" si="32"/>
        <v>CelcomDigi</v>
      </c>
      <c r="D192" s="28" t="str">
        <f t="shared" si="32"/>
        <v>MYR 3.0</v>
      </c>
      <c r="E192" s="28" t="str">
        <f t="shared" si="32"/>
        <v>MYR 5.6</v>
      </c>
      <c r="F192" s="29">
        <f t="shared" si="32"/>
        <v>0.88552188552188538</v>
      </c>
      <c r="G192" s="28" t="str">
        <f t="shared" si="32"/>
        <v>Buy</v>
      </c>
      <c r="H192" s="30"/>
      <c r="I192" s="31">
        <f>DIGI!$D$41</f>
        <v>1.6587974495280542</v>
      </c>
      <c r="J192" s="31">
        <f>DIGI!$E$41</f>
        <v>1.615552129917776</v>
      </c>
      <c r="K192" s="31">
        <f>DIGI!$F$41</f>
        <v>1.569478857125822</v>
      </c>
      <c r="L192" s="31">
        <f>DIGI!$G$41</f>
        <v>1.5085211634890032</v>
      </c>
      <c r="M192" s="29">
        <f>DIGI!$H$41</f>
        <v>-4.1740259979659577E-2</v>
      </c>
      <c r="N192" s="30"/>
      <c r="O192" s="31">
        <f>DIGI!$D$37</f>
        <v>3.5838131667526167</v>
      </c>
      <c r="P192" s="31">
        <f>DIGI!$E$37</f>
        <v>3.3175874994291923</v>
      </c>
      <c r="Q192" s="31">
        <f>DIGI!$F$37</f>
        <v>3.0182484439917237</v>
      </c>
      <c r="R192" s="31">
        <f>DIGI!$G$37</f>
        <v>2.7097848100704813</v>
      </c>
      <c r="S192" s="29">
        <f>DIGI!$H$37</f>
        <v>1.9074913299414797E-2</v>
      </c>
      <c r="T192" s="30"/>
      <c r="U192" s="32" t="str">
        <f t="shared" si="33"/>
        <v>MYR 3.0</v>
      </c>
      <c r="V192" s="28" t="str">
        <f t="shared" si="33"/>
        <v>CelcomDigi</v>
      </c>
    </row>
    <row r="193" spans="1:22" s="5" customFormat="1">
      <c r="B193" s="26"/>
      <c r="C193" s="32" t="str">
        <f t="shared" si="32"/>
        <v>Vodafone IDEA</v>
      </c>
      <c r="D193" s="28" t="str">
        <f t="shared" si="32"/>
        <v>INR 9.5</v>
      </c>
      <c r="E193" s="28" t="str">
        <f t="shared" si="32"/>
        <v>INR 10.0</v>
      </c>
      <c r="F193" s="29">
        <f t="shared" si="32"/>
        <v>5.0420168067226934E-2</v>
      </c>
      <c r="G193" s="28" t="str">
        <f t="shared" si="32"/>
        <v>Neutral</v>
      </c>
      <c r="H193" s="30"/>
      <c r="I193" s="31">
        <f>IDEA!$D$41</f>
        <v>2.2210480924915497</v>
      </c>
      <c r="J193" s="31">
        <f>IDEA!$E$41</f>
        <v>2.3857504883013396</v>
      </c>
      <c r="K193" s="31">
        <f>IDEA!$F$41</f>
        <v>2.5555553491217635</v>
      </c>
      <c r="L193" s="31">
        <f>IDEA!$G$41</f>
        <v>2.7496311695765803</v>
      </c>
      <c r="M193" s="29">
        <f>IDEA!$H$41</f>
        <v>1.2516634816042149E-2</v>
      </c>
      <c r="N193" s="30"/>
      <c r="O193" s="31">
        <f>IDEA!$D$37</f>
        <v>6.3092802735024263</v>
      </c>
      <c r="P193" s="31">
        <f>IDEA!$E$37</f>
        <v>5.9013306715561065</v>
      </c>
      <c r="Q193" s="31">
        <f>IDEA!$F$37</f>
        <v>5.3158434835618911</v>
      </c>
      <c r="R193" s="31">
        <f>IDEA!$G$37</f>
        <v>4.8404707547135466</v>
      </c>
      <c r="S193" s="29">
        <f>IDEA!$H$37</f>
        <v>0.18760422388902054</v>
      </c>
      <c r="T193" s="30"/>
      <c r="U193" s="32" t="str">
        <f t="shared" si="33"/>
        <v>INR 9.5</v>
      </c>
      <c r="V193" s="28" t="str">
        <f t="shared" si="33"/>
        <v>Vodafone IDEA</v>
      </c>
    </row>
    <row r="194" spans="1:22" s="5" customFormat="1">
      <c r="B194" s="26"/>
      <c r="C194" s="32" t="str">
        <f t="shared" si="32"/>
        <v>Indosat</v>
      </c>
      <c r="D194" s="28" t="str">
        <f t="shared" si="32"/>
        <v>IDR 1,970</v>
      </c>
      <c r="E194" s="28" t="str">
        <f t="shared" si="32"/>
        <v>IDR 2,800</v>
      </c>
      <c r="F194" s="29">
        <f t="shared" si="32"/>
        <v>0.42131979695431476</v>
      </c>
      <c r="G194" s="28" t="str">
        <f t="shared" si="32"/>
        <v>Buy</v>
      </c>
      <c r="H194" s="30"/>
      <c r="I194" s="31">
        <f>INDO!$D$41</f>
        <v>1.2668632509408884</v>
      </c>
      <c r="J194" s="31">
        <f>INDO!$E$41</f>
        <v>1.1823409971925054</v>
      </c>
      <c r="K194" s="31">
        <f>INDO!$F$41</f>
        <v>1.1135781667804023</v>
      </c>
      <c r="L194" s="31">
        <f>INDO!$G$41</f>
        <v>1.0369703256671918</v>
      </c>
      <c r="M194" s="29">
        <f>INDO!$H$41</f>
        <v>4.9159038994948112E-2</v>
      </c>
      <c r="N194" s="30"/>
      <c r="O194" s="31">
        <f>INDO!$D$37</f>
        <v>2.0380343266066192</v>
      </c>
      <c r="P194" s="31">
        <f>INDO!$E$37</f>
        <v>2.0227421191094597</v>
      </c>
      <c r="Q194" s="31">
        <f>INDO!$F$37</f>
        <v>1.8502082074321584</v>
      </c>
      <c r="R194" s="31">
        <f>INDO!$G$37</f>
        <v>1.6835211581908285</v>
      </c>
      <c r="S194" s="29">
        <f>INDO!$H$37</f>
        <v>4.5966628498044004E-2</v>
      </c>
      <c r="T194" s="30"/>
      <c r="U194" s="32" t="str">
        <f t="shared" si="33"/>
        <v>IDR 1,970</v>
      </c>
      <c r="V194" s="28" t="str">
        <f t="shared" si="33"/>
        <v>Indosat</v>
      </c>
    </row>
    <row r="195" spans="1:22" s="5" customFormat="1">
      <c r="B195" s="26"/>
      <c r="C195" s="32" t="str">
        <f t="shared" si="32"/>
        <v>LG Uplus</v>
      </c>
      <c r="D195" s="28" t="str">
        <f t="shared" si="32"/>
        <v>KRW 16,600</v>
      </c>
      <c r="E195" s="28" t="str">
        <f t="shared" si="32"/>
        <v>KRW 19,000</v>
      </c>
      <c r="F195" s="29">
        <f t="shared" si="32"/>
        <v>0.14457831325301207</v>
      </c>
      <c r="G195" s="28" t="str">
        <f t="shared" si="32"/>
        <v>Buy</v>
      </c>
      <c r="H195" s="30"/>
      <c r="I195" s="31">
        <f>_LG!$D$41</f>
        <v>1.0188739789511501</v>
      </c>
      <c r="J195" s="31">
        <f>_LG!$E$41</f>
        <v>0.96365603341697059</v>
      </c>
      <c r="K195" s="31">
        <f>_LG!$F$41</f>
        <v>0.89764179032250535</v>
      </c>
      <c r="L195" s="31">
        <f>_LG!$G$41</f>
        <v>0.82324156954325356</v>
      </c>
      <c r="M195" s="29">
        <f>_LG!$H$41</f>
        <v>9.7500454154819671E-4</v>
      </c>
      <c r="N195" s="30"/>
      <c r="O195" s="31">
        <f>_LG!$D$37</f>
        <v>0.9097663268873476</v>
      </c>
      <c r="P195" s="31">
        <f>_LG!$E$37</f>
        <v>0.84247498212698091</v>
      </c>
      <c r="Q195" s="31">
        <f>_LG!$F$37</f>
        <v>0.77458798633187576</v>
      </c>
      <c r="R195" s="31">
        <f>_LG!$G$37</f>
        <v>0.70577985876227933</v>
      </c>
      <c r="S195" s="29">
        <f>_LG!$H$37</f>
        <v>1.4640918096157085E-2</v>
      </c>
      <c r="T195" s="30"/>
      <c r="U195" s="32" t="str">
        <f t="shared" si="33"/>
        <v>KRW 16,600</v>
      </c>
      <c r="V195" s="28" t="str">
        <f t="shared" si="33"/>
        <v>LG Uplus</v>
      </c>
    </row>
    <row r="196" spans="1:22" s="5" customFormat="1">
      <c r="A196" s="23"/>
      <c r="B196" s="26"/>
      <c r="C196" s="32" t="str">
        <f t="shared" si="32"/>
        <v>Maxis</v>
      </c>
      <c r="D196" s="28" t="str">
        <f t="shared" si="32"/>
        <v>MYR 3.50</v>
      </c>
      <c r="E196" s="28" t="str">
        <f t="shared" si="32"/>
        <v>MYR 5.10</v>
      </c>
      <c r="F196" s="29">
        <f t="shared" si="32"/>
        <v>0.45714285714285707</v>
      </c>
      <c r="G196" s="28" t="str">
        <f t="shared" si="32"/>
        <v>Buy</v>
      </c>
      <c r="H196" s="30"/>
      <c r="I196" s="31">
        <f>MAXI!$D$41</f>
        <v>2.4769626583672171</v>
      </c>
      <c r="J196" s="31">
        <f>MAXI!$E$41</f>
        <v>2.3773116773915892</v>
      </c>
      <c r="K196" s="31">
        <f>MAXI!$F$41</f>
        <v>2.255342912469303</v>
      </c>
      <c r="L196" s="31">
        <f>MAXI!$G$41</f>
        <v>2.1167115078013614</v>
      </c>
      <c r="M196" s="29">
        <f>MAXI!$H$41</f>
        <v>-1.1119534303281831E-2</v>
      </c>
      <c r="N196" s="30"/>
      <c r="O196" s="31">
        <f>MAXI!$D$37</f>
        <v>3.3840969469409337</v>
      </c>
      <c r="P196" s="31">
        <f>MAXI!$E$37</f>
        <v>3.0840278356527353</v>
      </c>
      <c r="Q196" s="31">
        <f>MAXI!$F$37</f>
        <v>2.8133788415565473</v>
      </c>
      <c r="R196" s="31">
        <f>MAXI!$G$37</f>
        <v>2.5504857822660241</v>
      </c>
      <c r="S196" s="29">
        <f>MAXI!$H$37</f>
        <v>3.1172125836712583E-2</v>
      </c>
      <c r="T196" s="30"/>
      <c r="U196" s="32" t="str">
        <f t="shared" si="33"/>
        <v>MYR 3.50</v>
      </c>
      <c r="V196" s="28" t="str">
        <f t="shared" si="33"/>
        <v>Maxis</v>
      </c>
    </row>
    <row r="197" spans="1:22" s="5" customFormat="1">
      <c r="B197" s="26"/>
      <c r="C197" s="32" t="str">
        <f t="shared" si="32"/>
        <v>SK Telecom</v>
      </c>
      <c r="D197" s="28" t="str">
        <f t="shared" si="32"/>
        <v>KRW 100,000</v>
      </c>
      <c r="E197" s="28" t="str">
        <f t="shared" si="32"/>
        <v>KRW 78,000</v>
      </c>
      <c r="F197" s="29">
        <f t="shared" si="32"/>
        <v>-0.21999999999999997</v>
      </c>
      <c r="G197" s="28" t="str">
        <f t="shared" si="32"/>
        <v>Neutral</v>
      </c>
      <c r="H197" s="30"/>
      <c r="I197" s="31">
        <f>SKT!$D$41</f>
        <v>3.6287507124649347</v>
      </c>
      <c r="J197" s="31">
        <f>SKT!$E$41</f>
        <v>3.9267978529081433</v>
      </c>
      <c r="K197" s="31">
        <f>SKT!$F$41</f>
        <v>4.4144952256689862</v>
      </c>
      <c r="L197" s="31">
        <f>SKT!$G$41</f>
        <v>5.2346729388216664</v>
      </c>
      <c r="M197" s="29">
        <f>SKT!$H$41</f>
        <v>-0.16395079312052607</v>
      </c>
      <c r="N197" s="30"/>
      <c r="O197" s="31">
        <f>SKT!$D$37</f>
        <v>1.8424790080287483</v>
      </c>
      <c r="P197" s="31">
        <f>SKT!$E$37</f>
        <v>1.7124140253456301</v>
      </c>
      <c r="Q197" s="31">
        <f>SKT!$F$37</f>
        <v>1.5863482088352858</v>
      </c>
      <c r="R197" s="31">
        <f>SKT!$G$37</f>
        <v>1.4592997894155977</v>
      </c>
      <c r="S197" s="29">
        <f>SKT!$H$37</f>
        <v>2.1006847703146203E-2</v>
      </c>
      <c r="T197" s="30"/>
      <c r="U197" s="32" t="str">
        <f t="shared" si="33"/>
        <v>KRW 100,000</v>
      </c>
      <c r="V197" s="28" t="str">
        <f t="shared" si="33"/>
        <v>SK Telecom</v>
      </c>
    </row>
    <row r="198" spans="1:22" s="5" customFormat="1">
      <c r="B198" s="26"/>
      <c r="C198" s="32" t="str">
        <f t="shared" si="32"/>
        <v>True Corp</v>
      </c>
      <c r="D198" s="28" t="str">
        <f t="shared" si="32"/>
        <v>THB 13.5</v>
      </c>
      <c r="E198" s="28" t="str">
        <f t="shared" si="32"/>
        <v>THB 18.0</v>
      </c>
      <c r="F198" s="29">
        <f t="shared" si="32"/>
        <v>0.33333333333333326</v>
      </c>
      <c r="G198" s="28" t="str">
        <f t="shared" si="32"/>
        <v>Buy</v>
      </c>
      <c r="H198" s="30"/>
      <c r="I198" s="31">
        <f>TRUECORP!$D$41</f>
        <v>1.6674624276055861</v>
      </c>
      <c r="J198" s="31">
        <f>TRUECORP!$E$41</f>
        <v>1.6524140860585821</v>
      </c>
      <c r="K198" s="31">
        <f>TRUECORP!$F$41</f>
        <v>1.6085148366318149</v>
      </c>
      <c r="L198" s="31">
        <f>TRUECORP!$G$41</f>
        <v>1.5397894431118091</v>
      </c>
      <c r="M198" s="29">
        <f>TRUECORP!$H$41</f>
        <v>-4.487401755385767E-2</v>
      </c>
      <c r="N198" s="30"/>
      <c r="O198" s="31">
        <f>TRUECORP!$D$37</f>
        <v>4.4268402335831967</v>
      </c>
      <c r="P198" s="31">
        <f>TRUECORP!$E$37</f>
        <v>4.3505641700134934</v>
      </c>
      <c r="Q198" s="31">
        <f>TRUECORP!$F$37</f>
        <v>3.9521672505818559</v>
      </c>
      <c r="R198" s="31">
        <f>TRUECORP!$G$37</f>
        <v>3.5551183108287456</v>
      </c>
      <c r="S198" s="29">
        <f>TRUECORP!$H$37</f>
        <v>6.3498531630612476E-4</v>
      </c>
      <c r="T198" s="30"/>
      <c r="U198" s="32" t="str">
        <f t="shared" si="33"/>
        <v>THB 13.5</v>
      </c>
      <c r="V198" s="28" t="str">
        <f t="shared" si="33"/>
        <v>True Corp</v>
      </c>
    </row>
    <row r="199" spans="1:22" s="5" customFormat="1">
      <c r="B199" s="26"/>
      <c r="C199" s="32" t="str">
        <f t="shared" si="32"/>
        <v>XL Axiata</v>
      </c>
      <c r="D199" s="28" t="str">
        <f t="shared" si="32"/>
        <v>IDR 3,070</v>
      </c>
      <c r="E199" s="28" t="str">
        <f t="shared" si="32"/>
        <v>IDR 4,500</v>
      </c>
      <c r="F199" s="29">
        <f t="shared" si="32"/>
        <v>0.46579804560260585</v>
      </c>
      <c r="G199" s="28" t="str">
        <f t="shared" si="32"/>
        <v>Buy</v>
      </c>
      <c r="H199" s="30"/>
      <c r="I199" s="31">
        <f>XLAX!$D$41</f>
        <v>1.3753349367350529</v>
      </c>
      <c r="J199" s="31">
        <f>XLAX!$E$41</f>
        <v>1.3656706095496121</v>
      </c>
      <c r="K199" s="31">
        <f>XLAX!$F$41</f>
        <v>1.3294485459318448</v>
      </c>
      <c r="L199" s="31">
        <f>XLAX!$G$41</f>
        <v>1.2660399383781538</v>
      </c>
      <c r="M199" s="29">
        <f>XLAX!$H$41</f>
        <v>-1.2680685653194024E-2</v>
      </c>
      <c r="N199" s="40"/>
      <c r="O199" s="31">
        <f>XLAX!$D$37</f>
        <v>2.7533083928120536</v>
      </c>
      <c r="P199" s="31">
        <f>XLAX!$E$37</f>
        <v>2.4143218800034854</v>
      </c>
      <c r="Q199" s="31">
        <f>XLAX!$F$37</f>
        <v>2.2253888473569305</v>
      </c>
      <c r="R199" s="31">
        <f>XLAX!$G$37</f>
        <v>2.0121455777268111</v>
      </c>
      <c r="S199" s="29">
        <f>XLAX!$H$37</f>
        <v>6.6274680322998991E-2</v>
      </c>
      <c r="T199" s="30"/>
      <c r="U199" s="32" t="str">
        <f t="shared" si="33"/>
        <v>IDR 3,070</v>
      </c>
      <c r="V199" s="28" t="str">
        <f t="shared" si="33"/>
        <v>XL Axiata</v>
      </c>
    </row>
    <row r="200" spans="1:22" s="5" customFormat="1">
      <c r="B200" s="26"/>
      <c r="C200" s="35" t="str">
        <f>C149</f>
        <v>Agg. Emerging Asia Cellular</v>
      </c>
      <c r="D200" s="36"/>
      <c r="E200" s="36"/>
      <c r="F200" s="37"/>
      <c r="G200" s="36"/>
      <c r="H200" s="30"/>
      <c r="I200" s="38">
        <f>'EM ASIA CELLULAR'!$D$41</f>
        <v>1.6501118632693339</v>
      </c>
      <c r="J200" s="38">
        <f>'EM ASIA CELLULAR'!$E$41</f>
        <v>1.5662730569029599</v>
      </c>
      <c r="K200" s="38">
        <f>'EM ASIA CELLULAR'!$F$41</f>
        <v>1.4455912598680991</v>
      </c>
      <c r="L200" s="38">
        <f>'EM ASIA CELLULAR'!$G$41</f>
        <v>1.3267578184786546</v>
      </c>
      <c r="M200" s="39">
        <f>'EM ASIA CELLULAR'!$H$41</f>
        <v>-8.8644524935921343E-4</v>
      </c>
      <c r="N200" s="40"/>
      <c r="O200" s="38">
        <f>'EM ASIA CELLULAR'!$D$37</f>
        <v>2.1630665456653286</v>
      </c>
      <c r="P200" s="38">
        <f>'EM ASIA CELLULAR'!$E$37</f>
        <v>1.9592488478561529</v>
      </c>
      <c r="Q200" s="38">
        <f>'EM ASIA CELLULAR'!$F$37</f>
        <v>1.7776092087885584</v>
      </c>
      <c r="R200" s="38">
        <f>'EM ASIA CELLULAR'!$G$37</f>
        <v>1.5518934889472016</v>
      </c>
      <c r="S200" s="39">
        <f>'EM ASIA CELLULAR'!$H$37</f>
        <v>3.7791869196546202E-2</v>
      </c>
      <c r="T200" s="30"/>
      <c r="U200" s="41"/>
      <c r="V200" s="42" t="str">
        <f>V149</f>
        <v>Agg. Emerging Asia Cellular</v>
      </c>
    </row>
    <row r="201" spans="1:22" s="5" customFormat="1">
      <c r="B201" s="26"/>
      <c r="C201" s="27"/>
      <c r="D201" s="28"/>
      <c r="E201" s="28"/>
      <c r="F201" s="52"/>
      <c r="G201" s="28"/>
      <c r="H201" s="30"/>
      <c r="I201" s="46"/>
      <c r="J201" s="46"/>
      <c r="K201" s="46"/>
      <c r="L201" s="46"/>
      <c r="M201" s="45"/>
      <c r="N201" s="30"/>
      <c r="O201" s="46"/>
      <c r="P201" s="46"/>
      <c r="Q201" s="46"/>
      <c r="R201" s="46"/>
      <c r="S201" s="45"/>
      <c r="T201" s="30"/>
      <c r="U201" s="32"/>
      <c r="V201" s="34"/>
    </row>
    <row r="202" spans="1:22" s="5" customFormat="1">
      <c r="B202" s="26"/>
      <c r="C202" s="35" t="str">
        <f>C151</f>
        <v>Agg. Emerging  Cellular</v>
      </c>
      <c r="D202" s="36"/>
      <c r="E202" s="36"/>
      <c r="F202" s="37"/>
      <c r="G202" s="36"/>
      <c r="H202" s="30"/>
      <c r="I202" s="38">
        <f>'EM CELLULAR'!$D$41</f>
        <v>1.7316281819454988</v>
      </c>
      <c r="J202" s="38">
        <f>'EM CELLULAR'!$E$41</f>
        <v>1.6274347173545567</v>
      </c>
      <c r="K202" s="38">
        <f>'EM CELLULAR'!$F$41</f>
        <v>1.5075313204539067</v>
      </c>
      <c r="L202" s="38">
        <f>'EM CELLULAR'!$G$41</f>
        <v>1.3807838715614738</v>
      </c>
      <c r="M202" s="39">
        <f>'EM CELLULAR'!$H$41</f>
        <v>5.92642475520333E-3</v>
      </c>
      <c r="N202" s="30"/>
      <c r="O202" s="38">
        <f>'EM CELLULAR'!$D$37</f>
        <v>2.239709172657927</v>
      </c>
      <c r="P202" s="38">
        <f>'EM CELLULAR'!$E$37</f>
        <v>1.9919837105195604</v>
      </c>
      <c r="Q202" s="38">
        <f>'EM CELLULAR'!$F$37</f>
        <v>1.7860822104646199</v>
      </c>
      <c r="R202" s="38">
        <f>'EM CELLULAR'!$G$37</f>
        <v>1.5549525143191023</v>
      </c>
      <c r="S202" s="39">
        <f>'EM CELLULAR'!$H$37</f>
        <v>5.3451961576052032E-2</v>
      </c>
      <c r="T202" s="30"/>
      <c r="U202" s="41"/>
      <c r="V202" s="42" t="str">
        <f>V151</f>
        <v>Agg. Emerging  Cellular</v>
      </c>
    </row>
    <row r="203" spans="1:22" s="5" customFormat="1">
      <c r="A203" s="23"/>
      <c r="B203" s="26"/>
      <c r="C203" s="27"/>
      <c r="D203" s="28"/>
      <c r="E203" s="28"/>
      <c r="F203" s="29"/>
      <c r="G203" s="28"/>
      <c r="H203" s="30"/>
      <c r="I203" s="31"/>
      <c r="J203" s="31"/>
      <c r="K203" s="31"/>
      <c r="L203" s="31"/>
      <c r="M203" s="29"/>
      <c r="N203" s="30"/>
      <c r="O203" s="31"/>
      <c r="P203" s="31"/>
      <c r="Q203" s="31"/>
      <c r="R203" s="31"/>
      <c r="S203" s="29"/>
      <c r="T203" s="30"/>
      <c r="U203" s="32"/>
      <c r="V203" s="34"/>
    </row>
    <row r="204" spans="1:22" s="5" customFormat="1">
      <c r="A204" s="23"/>
      <c r="B204" s="26"/>
      <c r="C204" s="51" t="str">
        <f>C153</f>
        <v>Agg. EMEA sector</v>
      </c>
      <c r="D204" s="36"/>
      <c r="E204" s="36"/>
      <c r="F204" s="37"/>
      <c r="G204" s="36"/>
      <c r="H204" s="30"/>
      <c r="I204" s="38">
        <f>'EMEA AGG'!$D$41</f>
        <v>2.4931198659149474</v>
      </c>
      <c r="J204" s="38">
        <f>'EMEA AGG'!$E$41</f>
        <v>2.1495302617941814</v>
      </c>
      <c r="K204" s="38">
        <f>'EMEA AGG'!$F$41</f>
        <v>2.0138651536880712</v>
      </c>
      <c r="L204" s="38">
        <f>'EMEA AGG'!$G$41</f>
        <v>1.7818698478870838</v>
      </c>
      <c r="M204" s="39">
        <f>'EMEA AGG'!$H$41</f>
        <v>5.3449376644030044E-2</v>
      </c>
      <c r="N204" s="40"/>
      <c r="O204" s="38">
        <f>'EMEA AGG'!$D$37</f>
        <v>2.6199275856048252</v>
      </c>
      <c r="P204" s="38">
        <f>'EMEA AGG'!$E$37</f>
        <v>2.1019432698335514</v>
      </c>
      <c r="Q204" s="38">
        <f>'EMEA AGG'!$F$37</f>
        <v>1.7673158441321424</v>
      </c>
      <c r="R204" s="38">
        <f>'EMEA AGG'!$G$37</f>
        <v>1.490977100486143</v>
      </c>
      <c r="S204" s="39">
        <f>'EMEA AGG'!$H$37</f>
        <v>0.13657312279124967</v>
      </c>
      <c r="T204" s="30"/>
      <c r="U204" s="41"/>
      <c r="V204" s="42" t="str">
        <f>V153</f>
        <v>Agg. EMEA sector</v>
      </c>
    </row>
    <row r="205" spans="1:22" s="5" customFormat="1">
      <c r="A205" s="23"/>
      <c r="B205" s="26"/>
      <c r="C205" s="25" t="str">
        <f>C154</f>
        <v>Agg. LatAm sector</v>
      </c>
      <c r="D205" s="28"/>
      <c r="E205" s="28"/>
      <c r="F205" s="29"/>
      <c r="G205" s="28"/>
      <c r="H205" s="30"/>
      <c r="I205" s="44">
        <f>'LATAM AGG'!$D$41</f>
        <v>1.6723863959436305</v>
      </c>
      <c r="J205" s="44">
        <f>'LATAM AGG'!$E$41</f>
        <v>1.5494256542597338</v>
      </c>
      <c r="K205" s="44">
        <f>'LATAM AGG'!$F$41</f>
        <v>1.464290997627411</v>
      </c>
      <c r="L205" s="44">
        <f>'LATAM AGG'!$G$41</f>
        <v>1.3684756058991236</v>
      </c>
      <c r="M205" s="43">
        <f>'LATAM AGG'!$H$41</f>
        <v>-1.0446345757821884E-3</v>
      </c>
      <c r="N205" s="40"/>
      <c r="O205" s="44">
        <f>'LATAM AGG'!$D$37</f>
        <v>2.1828300293693892</v>
      </c>
      <c r="P205" s="44">
        <f>'LATAM AGG'!$E$37</f>
        <v>1.8771086716615852</v>
      </c>
      <c r="Q205" s="44">
        <f>'LATAM AGG'!$F$37</f>
        <v>1.6959820414181259</v>
      </c>
      <c r="R205" s="44">
        <f>'LATAM AGG'!$G$37</f>
        <v>1.5204353043253742</v>
      </c>
      <c r="S205" s="43">
        <f>'LATAM AGG'!$H$37</f>
        <v>5.4055681128372557E-2</v>
      </c>
      <c r="T205" s="30"/>
      <c r="U205" s="32"/>
      <c r="V205" s="34" t="str">
        <f>V154</f>
        <v>Agg. LatAm sector</v>
      </c>
    </row>
    <row r="206" spans="1:22" s="5" customFormat="1">
      <c r="A206" s="23"/>
      <c r="B206" s="26"/>
      <c r="C206" s="51" t="str">
        <f>C155</f>
        <v>Agg. Emerging Asia sector</v>
      </c>
      <c r="D206" s="36"/>
      <c r="E206" s="36"/>
      <c r="F206" s="37"/>
      <c r="G206" s="36"/>
      <c r="H206" s="30"/>
      <c r="I206" s="38">
        <f>'AGG EM ASIA'!$D$41</f>
        <v>1.3206610194348143</v>
      </c>
      <c r="J206" s="38">
        <f>'AGG EM ASIA'!$E$41</f>
        <v>1.2509100995867419</v>
      </c>
      <c r="K206" s="38">
        <f>'AGG EM ASIA'!$F$41</f>
        <v>1.158588996974363</v>
      </c>
      <c r="L206" s="38">
        <f>'AGG EM ASIA'!$G$41</f>
        <v>1.0639275601305647</v>
      </c>
      <c r="M206" s="39">
        <f>'AGG EM ASIA'!$H$41</f>
        <v>-2.0641430894635659E-3</v>
      </c>
      <c r="N206" s="40"/>
      <c r="O206" s="38">
        <f>'AGG EM ASIA'!$D$37</f>
        <v>1.4972597090771853</v>
      </c>
      <c r="P206" s="38">
        <f>'AGG EM ASIA'!$E$37</f>
        <v>1.355940354571983</v>
      </c>
      <c r="Q206" s="38">
        <f>'AGG EM ASIA'!$F$37</f>
        <v>1.2461208845441309</v>
      </c>
      <c r="R206" s="38">
        <f>'AGG EM ASIA'!$G$37</f>
        <v>1.0876364165323436</v>
      </c>
      <c r="S206" s="39">
        <f>'AGG EM ASIA'!$H$37</f>
        <v>3.2953234769394157E-2</v>
      </c>
      <c r="T206" s="30"/>
      <c r="U206" s="41"/>
      <c r="V206" s="42" t="str">
        <f>V155</f>
        <v>Agg. Emerging Asia sector</v>
      </c>
    </row>
    <row r="207" spans="1:22" s="5" customFormat="1">
      <c r="A207" s="23"/>
      <c r="B207" s="26"/>
      <c r="C207" s="25"/>
      <c r="D207" s="28"/>
      <c r="E207" s="28"/>
      <c r="F207" s="29"/>
      <c r="G207" s="28"/>
      <c r="H207" s="30"/>
      <c r="I207" s="44"/>
      <c r="J207" s="44"/>
      <c r="K207" s="44"/>
      <c r="L207" s="44"/>
      <c r="M207" s="43"/>
      <c r="N207" s="40"/>
      <c r="O207" s="44"/>
      <c r="P207" s="44"/>
      <c r="Q207" s="44"/>
      <c r="R207" s="44"/>
      <c r="S207" s="43"/>
      <c r="T207" s="30"/>
      <c r="U207" s="32"/>
      <c r="V207" s="34"/>
    </row>
    <row r="208" spans="1:22" s="5" customFormat="1">
      <c r="A208" s="23"/>
      <c r="B208" s="26"/>
      <c r="C208" s="51" t="str">
        <f>C157</f>
        <v>Agg. Global EM sector</v>
      </c>
      <c r="D208" s="36"/>
      <c r="E208" s="36"/>
      <c r="F208" s="37"/>
      <c r="G208" s="36"/>
      <c r="H208" s="30"/>
      <c r="I208" s="38">
        <f>'AGG EM'!$D$41</f>
        <v>1.4625195225875562</v>
      </c>
      <c r="J208" s="38">
        <f>'AGG EM'!$E$41</f>
        <v>1.3735718831472417</v>
      </c>
      <c r="K208" s="38">
        <f>'AGG EM'!$F$41</f>
        <v>1.2766664356049044</v>
      </c>
      <c r="L208" s="38">
        <f>'AGG EM'!$G$41</f>
        <v>1.1745177743261488</v>
      </c>
      <c r="M208" s="39">
        <f>'AGG EM'!$H$41</f>
        <v>1.9208777252657239E-3</v>
      </c>
      <c r="N208" s="40"/>
      <c r="O208" s="38">
        <f>'AGG EM'!$D$37</f>
        <v>1.6909279088061491</v>
      </c>
      <c r="P208" s="38">
        <f>'AGG EM'!$E$37</f>
        <v>1.5072668921255312</v>
      </c>
      <c r="Q208" s="38">
        <f>'AGG EM'!$F$37</f>
        <v>1.369112787285097</v>
      </c>
      <c r="R208" s="38">
        <f>'AGG EM'!$G$37</f>
        <v>1.1983522723753026</v>
      </c>
      <c r="S208" s="39">
        <f>'AGG EM'!$H$37</f>
        <v>4.4558890265639972E-2</v>
      </c>
      <c r="T208" s="30"/>
      <c r="U208" s="41"/>
      <c r="V208" s="42" t="str">
        <f>V157</f>
        <v>Agg. Global EM sector (ex-consensus)</v>
      </c>
    </row>
    <row r="209" spans="1:29" s="5" customFormat="1">
      <c r="A209" s="23"/>
      <c r="B209" s="26"/>
      <c r="C209" s="25"/>
      <c r="D209" s="53"/>
      <c r="E209" s="10"/>
      <c r="G209" s="10"/>
      <c r="M209" s="53"/>
      <c r="S209" s="53"/>
      <c r="U209" s="47"/>
      <c r="V209" s="47"/>
    </row>
    <row r="210" spans="1:29" s="5" customFormat="1">
      <c r="A210" s="23"/>
      <c r="B210" s="26"/>
      <c r="C210" s="25"/>
      <c r="D210" s="53"/>
      <c r="E210" s="10"/>
      <c r="G210" s="10"/>
      <c r="M210" s="53"/>
      <c r="S210" s="53"/>
      <c r="U210" s="47"/>
      <c r="V210" s="47"/>
    </row>
    <row r="211" spans="1:29" s="25" customFormat="1">
      <c r="B211" s="113"/>
      <c r="C211" s="130"/>
      <c r="D211" s="131" t="s">
        <v>379</v>
      </c>
      <c r="E211" s="131" t="s">
        <v>50</v>
      </c>
      <c r="F211" s="131" t="s">
        <v>52</v>
      </c>
      <c r="G211" s="131" t="s">
        <v>49</v>
      </c>
      <c r="H211" s="105"/>
      <c r="I211" s="132" t="s">
        <v>493</v>
      </c>
      <c r="J211" s="132"/>
      <c r="K211" s="132"/>
      <c r="L211" s="132"/>
      <c r="M211" s="132"/>
      <c r="N211" s="30"/>
      <c r="O211" s="132" t="s">
        <v>240</v>
      </c>
      <c r="P211" s="132"/>
      <c r="Q211" s="132"/>
      <c r="R211" s="132"/>
      <c r="S211" s="132"/>
      <c r="T211" s="30"/>
      <c r="U211" s="133" t="s">
        <v>379</v>
      </c>
      <c r="V211" s="131"/>
      <c r="Z211" s="33"/>
      <c r="AC211" s="106"/>
    </row>
    <row r="212" spans="1:29" s="5" customFormat="1">
      <c r="A212" s="25" t="s">
        <v>415</v>
      </c>
      <c r="B212" s="26"/>
      <c r="C212" s="32" t="str">
        <f t="shared" ref="C212:G213" si="34">C161</f>
        <v>America Movil</v>
      </c>
      <c r="D212" s="28" t="str">
        <f t="shared" si="34"/>
        <v>USD 22.8</v>
      </c>
      <c r="E212" s="28" t="str">
        <f t="shared" si="34"/>
        <v>USD 24.0</v>
      </c>
      <c r="F212" s="29">
        <f t="shared" si="34"/>
        <v>5.2631578947368363E-2</v>
      </c>
      <c r="G212" s="28" t="str">
        <f t="shared" si="34"/>
        <v>Buy</v>
      </c>
      <c r="H212" s="30"/>
      <c r="I212" s="31">
        <f>AMX!$D$42</f>
        <v>3.7037608851052592</v>
      </c>
      <c r="J212" s="31">
        <f>AMX!$E$42</f>
        <v>3.5738752481876976</v>
      </c>
      <c r="K212" s="31">
        <f>AMX!$F$42</f>
        <v>3.7045919135079579</v>
      </c>
      <c r="L212" s="31">
        <f>AMX!$G$42</f>
        <v>3.8933011085206579</v>
      </c>
      <c r="M212" s="29">
        <f>AMX!$H$42</f>
        <v>-8.0312603943817451E-2</v>
      </c>
      <c r="N212" s="30"/>
      <c r="O212" s="29">
        <f>(AMX!$D$23/AMX!$C$23)-1</f>
        <v>4.8437500000000133E-2</v>
      </c>
      <c r="P212" s="29">
        <f>(AMX!$E$23/AMX!$D$23)-1</f>
        <v>0.11419141914191422</v>
      </c>
      <c r="Q212" s="29">
        <f>(AMX!$F$23/AMX!$E$23)-1</f>
        <v>2.4509803921568762E-2</v>
      </c>
      <c r="R212" s="29">
        <f>(AMX!$G$23/AMX!$F$23)-1</f>
        <v>1.9607843137254832E-2</v>
      </c>
      <c r="S212" s="29">
        <f>AMX!$H$23</f>
        <v>5.1888479268892951E-2</v>
      </c>
      <c r="T212" s="30"/>
      <c r="U212" s="32" t="str">
        <f>U161</f>
        <v>USD 22.8</v>
      </c>
      <c r="V212" s="28" t="str">
        <f>V161</f>
        <v>America Movil</v>
      </c>
    </row>
    <row r="213" spans="1:29" s="5" customFormat="1">
      <c r="B213" s="26"/>
      <c r="C213" s="32" t="str">
        <f t="shared" si="34"/>
        <v>Vivo</v>
      </c>
      <c r="D213" s="28" t="str">
        <f t="shared" si="34"/>
        <v>BRL 39.88</v>
      </c>
      <c r="E213" s="28" t="str">
        <f t="shared" si="34"/>
        <v>BRL 43.00</v>
      </c>
      <c r="F213" s="29">
        <f t="shared" si="34"/>
        <v>7.8234704112337017E-2</v>
      </c>
      <c r="G213" s="28" t="str">
        <f t="shared" si="34"/>
        <v>Buy</v>
      </c>
      <c r="H213" s="30"/>
      <c r="I213" s="31">
        <f>VIVO!$D$42</f>
        <v>2.8773332701497432</v>
      </c>
      <c r="J213" s="31">
        <f>VIVO!$E$42</f>
        <v>2.6994329056827722</v>
      </c>
      <c r="K213" s="31">
        <f>VIVO!$F$42</f>
        <v>2.4688573117737116</v>
      </c>
      <c r="L213" s="31">
        <f>VIVO!$G$42</f>
        <v>2.2047316397414733</v>
      </c>
      <c r="M213" s="29">
        <f>VIVO!$H$42</f>
        <v>-1.4126189466505457E-2</v>
      </c>
      <c r="N213" s="30"/>
      <c r="O213" s="29">
        <f>(VIVO!$D$23/VIVO!$C$23)-1</f>
        <v>6.5752595426417981E-2</v>
      </c>
      <c r="P213" s="29">
        <f>(VIVO!$E$23/VIVO!$D$23)-1</f>
        <v>6.6917215898955051E-2</v>
      </c>
      <c r="Q213" s="29">
        <f>(VIVO!$F$23/VIVO!$E$23)-1</f>
        <v>5.8439287984850763E-2</v>
      </c>
      <c r="R213" s="29">
        <f>(VIVO!$G$23/VIVO!$F$23)-1</f>
        <v>5.5768462731259349E-2</v>
      </c>
      <c r="S213" s="29">
        <f>VIVO!$H$23</f>
        <v>6.0364354519763408E-2</v>
      </c>
      <c r="T213" s="30"/>
      <c r="U213" s="32" t="str">
        <f>U162</f>
        <v>BRL 39.88</v>
      </c>
      <c r="V213" s="28" t="str">
        <f>V162</f>
        <v>Telefonica Brasil</v>
      </c>
      <c r="Z213" s="33"/>
    </row>
    <row r="214" spans="1:29" s="5" customFormat="1">
      <c r="B214" s="26"/>
      <c r="C214" s="32" t="s">
        <v>561</v>
      </c>
      <c r="D214" s="28" t="str">
        <f>D163</f>
        <v>USD 3.1</v>
      </c>
      <c r="E214" s="28" t="str">
        <f>E163</f>
        <v>USD 3.7</v>
      </c>
      <c r="F214" s="29">
        <f>F163</f>
        <v>0.21311475409836089</v>
      </c>
      <c r="G214" s="28" t="str">
        <f>G163</f>
        <v>Neutral</v>
      </c>
      <c r="H214" s="30"/>
      <c r="I214" s="31">
        <f>TVIS!$D$42</f>
        <v>0.7868154356220296</v>
      </c>
      <c r="J214" s="31">
        <f>TVIS!$E$42</f>
        <v>0.75932968695025149</v>
      </c>
      <c r="K214" s="31">
        <f>TVIS!$F$42</f>
        <v>0.71413302792309352</v>
      </c>
      <c r="L214" s="31">
        <f>TVIS!$G$42</f>
        <v>0.63679536909330092</v>
      </c>
      <c r="M214" s="29">
        <f>TVIS!$H$42</f>
        <v>-3.9365163029987826E-2</v>
      </c>
      <c r="N214" s="30"/>
      <c r="O214" s="29">
        <f>(TVIS!$D$23/TVIS!$C$23)-1</f>
        <v>-5.2318711696714426E-2</v>
      </c>
      <c r="P214" s="29">
        <f>(TVIS!$E$23/TVIS!$D$23)-1</f>
        <v>-2.5337817791218464E-2</v>
      </c>
      <c r="Q214" s="29">
        <f>(TVIS!$F$23/TVIS!$E$23)-1</f>
        <v>-1.46433267936803E-2</v>
      </c>
      <c r="R214" s="29">
        <f>(TVIS!$G$23/TVIS!$F$23)-1</f>
        <v>-7.1091802249334535E-4</v>
      </c>
      <c r="S214" s="29">
        <f>TVIS!$H$23</f>
        <v>-1.3615498140087889E-2</v>
      </c>
      <c r="T214" s="30"/>
      <c r="U214" s="32" t="str">
        <f>U163</f>
        <v>USD 3.1</v>
      </c>
      <c r="V214" s="28" t="s">
        <v>561</v>
      </c>
      <c r="Z214" s="33"/>
    </row>
    <row r="215" spans="1:29" s="5" customFormat="1">
      <c r="B215" s="26"/>
      <c r="C215" s="35" t="str">
        <f>C164</f>
        <v>Agg. LatAm Incumbent</v>
      </c>
      <c r="D215" s="36"/>
      <c r="E215" s="36"/>
      <c r="F215" s="37"/>
      <c r="G215" s="36"/>
      <c r="H215" s="30"/>
      <c r="I215" s="38">
        <f>'LATAM INCUMB'!$D$42</f>
        <v>3.2920352052567234</v>
      </c>
      <c r="J215" s="38">
        <f>'LATAM INCUMB'!$E$42</f>
        <v>3.1595066804938936</v>
      </c>
      <c r="K215" s="38">
        <f>'LATAM INCUMB'!$F$42</f>
        <v>3.1647101234465342</v>
      </c>
      <c r="L215" s="38">
        <f>'LATAM INCUMB'!$G$42</f>
        <v>3.1722568874000778</v>
      </c>
      <c r="M215" s="39">
        <f>'LATAM INCUMB'!$H$42</f>
        <v>-6.0690912550466325E-2</v>
      </c>
      <c r="N215" s="40"/>
      <c r="O215" s="39">
        <f>('LATAM INCUMB'!$D$23/'LATAM INCUMB'!$C$23)-1</f>
        <v>4.6512648240703891E-2</v>
      </c>
      <c r="P215" s="39">
        <f>('LATAM INCUMB'!$E$23/'LATAM INCUMB'!$D$23)-1</f>
        <v>9.9181751119393979E-2</v>
      </c>
      <c r="Q215" s="39">
        <f>('LATAM INCUMB'!$F$23/'LATAM INCUMB'!$E$23)-1</f>
        <v>2.8982380704435151E-2</v>
      </c>
      <c r="R215" s="39">
        <f>('LATAM INCUMB'!$G$23/'LATAM INCUMB'!$F$23)-1</f>
        <v>2.5454777461759281E-2</v>
      </c>
      <c r="S215" s="39">
        <f>'LATAM INCUMB'!$H$23</f>
        <v>5.0665939566617801E-2</v>
      </c>
      <c r="T215" s="30"/>
      <c r="U215" s="41"/>
      <c r="V215" s="42" t="str">
        <f>V164</f>
        <v>Agg. LatAm Incumbent</v>
      </c>
      <c r="Z215" s="30"/>
    </row>
    <row r="216" spans="1:29" s="5" customFormat="1">
      <c r="A216" s="23"/>
      <c r="B216" s="26"/>
      <c r="C216" s="32"/>
      <c r="D216" s="28"/>
      <c r="E216" s="28"/>
      <c r="F216" s="29"/>
      <c r="G216" s="28"/>
      <c r="H216" s="30"/>
      <c r="I216" s="31"/>
      <c r="J216" s="31"/>
      <c r="K216" s="31"/>
      <c r="L216" s="31"/>
      <c r="M216" s="29"/>
      <c r="N216" s="40"/>
      <c r="O216" s="29"/>
      <c r="P216" s="29"/>
      <c r="Q216" s="29"/>
      <c r="R216" s="29"/>
      <c r="S216" s="29"/>
      <c r="T216" s="30"/>
      <c r="U216" s="32"/>
      <c r="V216" s="34"/>
      <c r="Z216" s="30"/>
    </row>
    <row r="217" spans="1:29">
      <c r="A217" s="5"/>
      <c r="C217" s="32" t="str">
        <f t="shared" ref="C217:G220" si="35">C166</f>
        <v>China Telecom</v>
      </c>
      <c r="D217" s="28" t="str">
        <f t="shared" si="35"/>
        <v>HKD 5.01</v>
      </c>
      <c r="E217" s="28" t="str">
        <f t="shared" si="35"/>
        <v>HKD 8.75</v>
      </c>
      <c r="F217" s="29">
        <f t="shared" si="35"/>
        <v>0.7465069860279443</v>
      </c>
      <c r="G217" s="28" t="str">
        <f t="shared" si="35"/>
        <v>Buy</v>
      </c>
      <c r="H217" s="30"/>
      <c r="I217" s="31">
        <f>_CT!$D$42</f>
        <v>0.56212718904354608</v>
      </c>
      <c r="J217" s="31">
        <f>_CT!$E$42</f>
        <v>0.5428064042988443</v>
      </c>
      <c r="K217" s="31">
        <f>_CT!$F$42</f>
        <v>0.61647644644310462</v>
      </c>
      <c r="L217" s="31">
        <f>_CT!$G$42</f>
        <v>0.58577925323528712</v>
      </c>
      <c r="M217" s="29">
        <f>_CT!$H$42</f>
        <v>-7.6906045933380462E-2</v>
      </c>
      <c r="N217" s="40"/>
      <c r="O217" s="135">
        <f>(_CT!$D$23/_CT!$C$23)-1</f>
        <v>1.1789162210298798E-2</v>
      </c>
      <c r="P217" s="135">
        <f>(_CT!$E$23/_CT!$D$23)-1</f>
        <v>2.5185319885714375E-2</v>
      </c>
      <c r="Q217" s="135">
        <f>(_CT!$F$23/_CT!$E$23)-1</f>
        <v>2.2411760581322548E-2</v>
      </c>
      <c r="R217" s="135">
        <f>(_CT!$G$23/_CT!$F$23)-1</f>
        <v>2.222804861712091E-2</v>
      </c>
      <c r="S217" s="135">
        <f>_CT!$H$23</f>
        <v>2.3274149289574719E-2</v>
      </c>
      <c r="T217" s="30"/>
      <c r="U217" s="32" t="str">
        <f t="shared" ref="U217:V220" si="36">U166</f>
        <v>HKD 5.01</v>
      </c>
      <c r="V217" s="28" t="str">
        <f t="shared" si="36"/>
        <v>China Telecom</v>
      </c>
      <c r="Z217" s="30"/>
      <c r="AC217" s="47"/>
    </row>
    <row r="218" spans="1:29">
      <c r="A218" s="5"/>
      <c r="C218" s="32" t="str">
        <f t="shared" si="35"/>
        <v>China Unicom</v>
      </c>
      <c r="D218" s="28" t="str">
        <f t="shared" si="35"/>
        <v>HKD 7.26</v>
      </c>
      <c r="E218" s="28" t="str">
        <f t="shared" si="35"/>
        <v>HKD 13.20</v>
      </c>
      <c r="F218" s="29">
        <f t="shared" si="35"/>
        <v>0.81818181818181812</v>
      </c>
      <c r="G218" s="28" t="str">
        <f t="shared" si="35"/>
        <v>Buy</v>
      </c>
      <c r="H218" s="30"/>
      <c r="I218" s="31">
        <f>_CU!$D$42</f>
        <v>0.30164653420575899</v>
      </c>
      <c r="J218" s="31">
        <f>_CU!$E$42</f>
        <v>0.26239599327350988</v>
      </c>
      <c r="K218" s="31">
        <f>_CU!$F$42</f>
        <v>0.30304072127225312</v>
      </c>
      <c r="L218" s="31">
        <f>_CU!$G$42</f>
        <v>0.25227171849238056</v>
      </c>
      <c r="M218" s="29">
        <f>_CU!$H$42</f>
        <v>-8.8639573183960096E-2</v>
      </c>
      <c r="N218" s="40"/>
      <c r="O218" s="135">
        <f>(_CU!$D$23/_CU!$C$23)-1</f>
        <v>1.88904125964382E-2</v>
      </c>
      <c r="P218" s="135">
        <f>(_CU!$E$23/_CU!$D$23)-1</f>
        <v>2.7580918314956238E-2</v>
      </c>
      <c r="Q218" s="135">
        <f>(_CU!$F$23/_CU!$E$23)-1</f>
        <v>3.1497858356030584E-2</v>
      </c>
      <c r="R218" s="135">
        <f>(_CU!$G$23/_CU!$F$23)-1</f>
        <v>3.3017495980026457E-2</v>
      </c>
      <c r="S218" s="135">
        <f>_CU!$H$23</f>
        <v>3.0696211174188859E-2</v>
      </c>
      <c r="T218" s="30"/>
      <c r="U218" s="32" t="str">
        <f t="shared" si="36"/>
        <v>HKD 7.26</v>
      </c>
      <c r="V218" s="28" t="str">
        <f t="shared" si="36"/>
        <v>China Unicom</v>
      </c>
      <c r="Z218" s="30"/>
      <c r="AC218" s="47"/>
    </row>
    <row r="219" spans="1:29">
      <c r="C219" s="32" t="str">
        <f t="shared" si="35"/>
        <v>KT Corp</v>
      </c>
      <c r="D219" s="28" t="str">
        <f t="shared" si="35"/>
        <v>KRW 61,700</v>
      </c>
      <c r="E219" s="28" t="str">
        <f t="shared" si="35"/>
        <v>KRW 105,000</v>
      </c>
      <c r="F219" s="29">
        <f t="shared" si="35"/>
        <v>0.70178282009724469</v>
      </c>
      <c r="G219" s="28" t="str">
        <f t="shared" si="35"/>
        <v>Buy</v>
      </c>
      <c r="H219" s="30"/>
      <c r="I219" s="31">
        <f>_KT!$D$42</f>
        <v>1.3368879042292787</v>
      </c>
      <c r="J219" s="31">
        <f>_KT!$E$42</f>
        <v>1.2192177610813719</v>
      </c>
      <c r="K219" s="31">
        <f>_KT!$F$42</f>
        <v>1.0801338968878424</v>
      </c>
      <c r="L219" s="31">
        <f>_KT!$G$42</f>
        <v>0.91568008772851095</v>
      </c>
      <c r="M219" s="29">
        <f>_KT!$H$42</f>
        <v>-3.308059063786517E-2</v>
      </c>
      <c r="N219" s="40"/>
      <c r="O219" s="29">
        <f>(_KT!$D$23/_KT!$C$23)-1</f>
        <v>6.7334914686624669E-2</v>
      </c>
      <c r="P219" s="29">
        <f>(_KT!$E$23/_KT!$D$23)-1</f>
        <v>3.1580738177370282E-3</v>
      </c>
      <c r="Q219" s="29">
        <f>(_KT!$F$23/_KT!$E$23)-1</f>
        <v>2.6584429276584443E-2</v>
      </c>
      <c r="R219" s="29">
        <f>(_KT!$G$23/_KT!$F$23)-1</f>
        <v>2.4748876905985373E-2</v>
      </c>
      <c r="S219" s="29">
        <f>_KT!$H$23</f>
        <v>1.8107958305597638E-2</v>
      </c>
      <c r="T219" s="30"/>
      <c r="U219" s="32" t="str">
        <f t="shared" si="36"/>
        <v>KRW 61,700</v>
      </c>
      <c r="V219" s="28" t="str">
        <f t="shared" si="36"/>
        <v>KT Corp</v>
      </c>
      <c r="Z219" s="30"/>
    </row>
    <row r="220" spans="1:29">
      <c r="C220" s="32" t="str">
        <f t="shared" si="35"/>
        <v>Telkom Indonesia</v>
      </c>
      <c r="D220" s="28" t="str">
        <f t="shared" si="35"/>
        <v>IDR 2,810</v>
      </c>
      <c r="E220" s="28" t="str">
        <f t="shared" si="35"/>
        <v>IDR 3,500</v>
      </c>
      <c r="F220" s="29">
        <f t="shared" si="35"/>
        <v>0.24555160142348753</v>
      </c>
      <c r="G220" s="28" t="str">
        <f t="shared" si="35"/>
        <v>Neutral</v>
      </c>
      <c r="H220" s="30"/>
      <c r="I220" s="31">
        <f>PTT!$D$42</f>
        <v>3.6593354551280535</v>
      </c>
      <c r="J220" s="31">
        <f>PTT!$E$42</f>
        <v>3.8240883028503756</v>
      </c>
      <c r="K220" s="31">
        <f>PTT!$F$42</f>
        <v>3.9555154484046033</v>
      </c>
      <c r="L220" s="31">
        <f>PTT!$G$42</f>
        <v>4.0949192741188387</v>
      </c>
      <c r="M220" s="29">
        <f>PTT!$H$42</f>
        <v>-6.6489874867824317E-2</v>
      </c>
      <c r="N220" s="40"/>
      <c r="O220" s="135">
        <f>(PTT!$D$23/PTT!$C$23)-1</f>
        <v>-1.1941973784974746E-2</v>
      </c>
      <c r="P220" s="135">
        <f>(PTT!$E$23/PTT!$D$23)-1</f>
        <v>3.9419118222071559E-2</v>
      </c>
      <c r="Q220" s="135">
        <f>(PTT!$F$23/PTT!$E$23)-1</f>
        <v>3.6790242844995991E-2</v>
      </c>
      <c r="R220" s="135">
        <f>(PTT!$G$23/PTT!$F$23)-1</f>
        <v>3.7601628624028161E-2</v>
      </c>
      <c r="S220" s="135">
        <f>PTT!$H$23</f>
        <v>3.7936414783997563E-2</v>
      </c>
      <c r="T220" s="30"/>
      <c r="U220" s="32" t="str">
        <f t="shared" si="36"/>
        <v>IDR 2,810</v>
      </c>
      <c r="V220" s="28" t="str">
        <f t="shared" si="36"/>
        <v>PT Telkom</v>
      </c>
      <c r="Z220" s="30"/>
    </row>
    <row r="221" spans="1:29">
      <c r="C221" s="35" t="str">
        <f>C170</f>
        <v>Agg. Emerging Asia Incumbent</v>
      </c>
      <c r="D221" s="36"/>
      <c r="E221" s="36"/>
      <c r="F221" s="37"/>
      <c r="G221" s="36"/>
      <c r="H221" s="30"/>
      <c r="I221" s="38">
        <f>'EM ASIA INCUMB'!$D$42</f>
        <v>0.73684056112923091</v>
      </c>
      <c r="J221" s="38">
        <f>'EM ASIA INCUMB'!$E$42</f>
        <v>0.72025373026583295</v>
      </c>
      <c r="K221" s="38">
        <f>'EM ASIA INCUMB'!$F$42</f>
        <v>0.77403339536929872</v>
      </c>
      <c r="L221" s="38">
        <f>'EM ASIA INCUMB'!$G$42</f>
        <v>0.74392223363746335</v>
      </c>
      <c r="M221" s="39">
        <f>'EM ASIA INCUMB'!$H$42</f>
        <v>-7.7053001291938705E-2</v>
      </c>
      <c r="N221" s="40"/>
      <c r="O221" s="39">
        <f>('EM ASIA INCUMB'!$D$23/'EM ASIA INCUMB'!$C$23)-1</f>
        <v>1.9161540558757739E-2</v>
      </c>
      <c r="P221" s="39">
        <f>('EM ASIA INCUMB'!$E$23/'EM ASIA INCUMB'!$D$23)-1</f>
        <v>2.42293900779047E-2</v>
      </c>
      <c r="Q221" s="39">
        <f>('EM ASIA INCUMB'!$F$23/'EM ASIA INCUMB'!$E$23)-1</f>
        <v>2.6878359413621711E-2</v>
      </c>
      <c r="R221" s="39">
        <f>('EM ASIA INCUMB'!$G$23/'EM ASIA INCUMB'!$F$23)-1</f>
        <v>2.7190262605213178E-2</v>
      </c>
      <c r="S221" s="39">
        <f>'EM ASIA INCUMB'!$H$23</f>
        <v>2.6098477020344735E-2</v>
      </c>
      <c r="T221" s="30"/>
      <c r="U221" s="41"/>
      <c r="V221" s="42" t="str">
        <f>V170</f>
        <v>Agg. Emerging Asia Incumbent</v>
      </c>
      <c r="Z221" s="30"/>
    </row>
    <row r="222" spans="1:29">
      <c r="C222" s="27"/>
      <c r="D222" s="28"/>
      <c r="E222" s="28"/>
      <c r="F222" s="52"/>
      <c r="G222" s="28"/>
      <c r="H222" s="30"/>
      <c r="I222" s="46"/>
      <c r="J222" s="46"/>
      <c r="K222" s="46"/>
      <c r="L222" s="46"/>
      <c r="M222" s="45"/>
      <c r="N222" s="40"/>
      <c r="O222" s="45"/>
      <c r="P222" s="45"/>
      <c r="Q222" s="45"/>
      <c r="R222" s="45"/>
      <c r="S222" s="45"/>
      <c r="T222" s="30"/>
      <c r="U222" s="32"/>
      <c r="V222" s="34"/>
      <c r="Z222" s="30"/>
    </row>
    <row r="223" spans="1:29">
      <c r="C223" s="35" t="str">
        <f>C172</f>
        <v>Agg. Emerging Incumbent</v>
      </c>
      <c r="D223" s="36"/>
      <c r="E223" s="36"/>
      <c r="F223" s="37"/>
      <c r="G223" s="36"/>
      <c r="H223" s="30"/>
      <c r="I223" s="38">
        <f>'EM INCUMB'!$D$42</f>
        <v>1.3694878531362229</v>
      </c>
      <c r="J223" s="38">
        <f>'EM INCUMB'!$E$42</f>
        <v>1.3458387543955599</v>
      </c>
      <c r="K223" s="38">
        <f>'EM INCUMB'!$F$42</f>
        <v>1.3892691442527436</v>
      </c>
      <c r="L223" s="38">
        <f>'EM INCUMB'!$G$42</f>
        <v>1.3693243761126275</v>
      </c>
      <c r="M223" s="39">
        <f>'EM INCUMB'!$H$42</f>
        <v>-7.2947911627430417E-2</v>
      </c>
      <c r="N223" s="40"/>
      <c r="O223" s="39">
        <f>('EM INCUMB'!$D$23/'EM INCUMB'!$C$23)-1</f>
        <v>2.6740922903554232E-2</v>
      </c>
      <c r="P223" s="39">
        <f>('EM INCUMB'!$E$23/'EM INCUMB'!$D$23)-1</f>
        <v>4.5399729636703468E-2</v>
      </c>
      <c r="Q223" s="39">
        <f>('EM INCUMB'!$F$23/'EM INCUMB'!$E$23)-1</f>
        <v>2.7503215151535532E-2</v>
      </c>
      <c r="R223" s="39">
        <f>('EM INCUMB'!$G$23/'EM INCUMB'!$F$23)-1</f>
        <v>2.6674113378304387E-2</v>
      </c>
      <c r="S223" s="39">
        <f>'EM INCUMB'!$H$23</f>
        <v>3.3156379224546617E-2</v>
      </c>
      <c r="T223" s="30"/>
      <c r="U223" s="41"/>
      <c r="V223" s="42" t="str">
        <f>V172</f>
        <v>Agg. Emerging Incumbent</v>
      </c>
      <c r="Z223" s="30"/>
    </row>
    <row r="224" spans="1:29">
      <c r="C224" s="27"/>
      <c r="D224" s="28"/>
      <c r="E224" s="28"/>
      <c r="F224" s="29"/>
      <c r="G224" s="28"/>
      <c r="H224" s="30"/>
      <c r="I224" s="31"/>
      <c r="J224" s="31"/>
      <c r="K224" s="31"/>
      <c r="L224" s="31"/>
      <c r="M224" s="29"/>
      <c r="N224" s="40"/>
      <c r="O224" s="29"/>
      <c r="P224" s="29"/>
      <c r="Q224" s="29"/>
      <c r="R224" s="29"/>
      <c r="S224" s="29"/>
      <c r="T224" s="30"/>
      <c r="U224" s="32"/>
      <c r="V224" s="34"/>
      <c r="Z224" s="30"/>
    </row>
    <row r="225" spans="1:26">
      <c r="A225" s="25" t="s">
        <v>1091</v>
      </c>
      <c r="C225" s="32" t="str">
        <f t="shared" ref="C225:G229" si="37">C174</f>
        <v>Airtel Africa</v>
      </c>
      <c r="D225" s="28" t="str">
        <f t="shared" si="37"/>
        <v>GBP3.60</v>
      </c>
      <c r="E225" s="28" t="str">
        <f t="shared" si="37"/>
        <v>GBP4.60</v>
      </c>
      <c r="F225" s="29">
        <f t="shared" si="37"/>
        <v>0.2791991101223581</v>
      </c>
      <c r="G225" s="28" t="str">
        <f t="shared" si="37"/>
        <v>Buy</v>
      </c>
      <c r="H225" s="30"/>
      <c r="I225" s="31">
        <f>AAF!$D$42</f>
        <v>4.0376553256822412</v>
      </c>
      <c r="J225" s="31">
        <f>AAF!$E$42</f>
        <v>3.7774658215915804</v>
      </c>
      <c r="K225" s="31">
        <f>AAF!$F$42</f>
        <v>3.5099099203034285</v>
      </c>
      <c r="L225" s="31">
        <f>AAF!$G$42</f>
        <v>3.2030385454286252</v>
      </c>
      <c r="M225" s="29">
        <f>AAF!$H$42</f>
        <v>2.9263285647438408E-2</v>
      </c>
      <c r="N225" s="40"/>
      <c r="O225" s="135">
        <f>(AAF!$D$23/AAF!$C$23)-1</f>
        <v>0.24216391720160368</v>
      </c>
      <c r="P225" s="135">
        <f>(AAF!$E$23/AAF!$D$23)-1</f>
        <v>0.17671062795553727</v>
      </c>
      <c r="Q225" s="135">
        <f>(AAF!$F$23/AAF!$E$23)-1</f>
        <v>0.12260013156370131</v>
      </c>
      <c r="R225" s="135">
        <f>(AAF!$G$23/AAF!$F$23)-1</f>
        <v>9.6870636659656784E-2</v>
      </c>
      <c r="S225" s="135">
        <f>AAF!$H$23</f>
        <v>0.13157512450814335</v>
      </c>
      <c r="T225" s="30"/>
      <c r="U225" s="32" t="str">
        <f t="shared" ref="U225:V229" si="38">U174</f>
        <v>GBP3.60</v>
      </c>
      <c r="V225" s="28" t="str">
        <f t="shared" si="38"/>
        <v>Airtel Africa</v>
      </c>
      <c r="Z225" s="30"/>
    </row>
    <row r="226" spans="1:26">
      <c r="C226" s="32" t="str">
        <f t="shared" si="37"/>
        <v>MTN</v>
      </c>
      <c r="D226" s="28" t="str">
        <f t="shared" si="37"/>
        <v>ZAR 206.35</v>
      </c>
      <c r="E226" s="28" t="str">
        <f t="shared" si="37"/>
        <v>ZAR 280.00</v>
      </c>
      <c r="F226" s="29">
        <f t="shared" si="37"/>
        <v>0.35691785800823839</v>
      </c>
      <c r="G226" s="28" t="str">
        <f t="shared" si="37"/>
        <v>Buy</v>
      </c>
      <c r="H226" s="30"/>
      <c r="I226" s="31">
        <f>MTN!$D$42</f>
        <v>2.3113280598244059</v>
      </c>
      <c r="J226" s="31">
        <f>MTN!$E$42</f>
        <v>2.0442255222192474</v>
      </c>
      <c r="K226" s="31">
        <f>MTN!$F$42</f>
        <v>1.7701359817076858</v>
      </c>
      <c r="L226" s="31">
        <f>MTN!$G$42</f>
        <v>1.5120331546295755</v>
      </c>
      <c r="M226" s="29">
        <f>MTN!$H$42</f>
        <v>8.1573071000105468E-2</v>
      </c>
      <c r="N226" s="40"/>
      <c r="O226" s="135">
        <f>(MTN!$D$23/MTN!$C$23)-1</f>
        <v>0.18374029621085142</v>
      </c>
      <c r="P226" s="135">
        <f>(MTN!$E$23/MTN!$D$23)-1</f>
        <v>0.10921960460178348</v>
      </c>
      <c r="Q226" s="135">
        <f>(MTN!$F$23/MTN!$E$23)-1</f>
        <v>0.15833981108598616</v>
      </c>
      <c r="R226" s="135">
        <f>(MTN!$G$23/MTN!$F$23)-1</f>
        <v>0.11764702529168347</v>
      </c>
      <c r="S226" s="135">
        <f>MTN!$H$23</f>
        <v>0.12819991347435811</v>
      </c>
      <c r="T226" s="30"/>
      <c r="U226" s="32" t="str">
        <f t="shared" si="38"/>
        <v>ZAR 206.35</v>
      </c>
      <c r="V226" s="28" t="str">
        <f t="shared" si="38"/>
        <v>MTN</v>
      </c>
      <c r="Z226" s="30"/>
    </row>
    <row r="227" spans="1:26">
      <c r="C227" s="32" t="str">
        <f t="shared" si="37"/>
        <v>Safaricom</v>
      </c>
      <c r="D227" s="28" t="str">
        <f t="shared" si="37"/>
        <v>KES 29.90</v>
      </c>
      <c r="E227" s="28" t="str">
        <f t="shared" si="37"/>
        <v>KES 40.0</v>
      </c>
      <c r="F227" s="29">
        <f t="shared" si="37"/>
        <v>0.33779264214046822</v>
      </c>
      <c r="G227" s="28" t="str">
        <f t="shared" si="37"/>
        <v>Buy</v>
      </c>
      <c r="H227" s="30"/>
      <c r="I227" s="31">
        <f>SAF!$D$42</f>
        <v>4.8907386701161579</v>
      </c>
      <c r="J227" s="31">
        <f>SAF!$E$42</f>
        <v>4.4511856978590041</v>
      </c>
      <c r="K227" s="31">
        <f>SAF!$F$42</f>
        <v>3.9943006473803568</v>
      </c>
      <c r="L227" s="31">
        <f>SAF!$G$42</f>
        <v>3.52103670815093</v>
      </c>
      <c r="M227" s="29">
        <f>SAF!$H$42</f>
        <v>3.0530229025577338E-2</v>
      </c>
      <c r="N227" s="40"/>
      <c r="O227" s="135">
        <f>(SAF!$D$23/SAF!$C$23)-1</f>
        <v>7.7996628803179036E-2</v>
      </c>
      <c r="P227" s="135">
        <f>(SAF!$E$23/SAF!$D$23)-1</f>
        <v>8.4427837042299281E-2</v>
      </c>
      <c r="Q227" s="135">
        <f>(SAF!$F$23/SAF!$E$23)-1</f>
        <v>7.8548722460778597E-2</v>
      </c>
      <c r="R227" s="135">
        <f>(SAF!$G$23/SAF!$F$23)-1</f>
        <v>7.4630259031493784E-2</v>
      </c>
      <c r="S227" s="135">
        <f>SAF!$H$23</f>
        <v>7.9194766009736073E-2</v>
      </c>
      <c r="T227" s="30"/>
      <c r="U227" s="32" t="str">
        <f t="shared" si="38"/>
        <v>KES 29.90</v>
      </c>
      <c r="V227" s="28" t="str">
        <f t="shared" si="38"/>
        <v>Safaricom</v>
      </c>
      <c r="Z227" s="30"/>
    </row>
    <row r="228" spans="1:26">
      <c r="C228" s="32" t="str">
        <f t="shared" si="37"/>
        <v>VEON</v>
      </c>
      <c r="D228" s="28" t="str">
        <f t="shared" si="37"/>
        <v>USD 54.9</v>
      </c>
      <c r="E228" s="28" t="str">
        <f t="shared" si="37"/>
        <v>USD 100.0</v>
      </c>
      <c r="F228" s="29">
        <f t="shared" si="37"/>
        <v>0.82116190129302513</v>
      </c>
      <c r="G228" s="28" t="str">
        <f t="shared" si="37"/>
        <v>Buy</v>
      </c>
      <c r="H228" s="30"/>
      <c r="I228" s="31">
        <f>VIMP!$D$42</f>
        <v>2.4940041929687586</v>
      </c>
      <c r="J228" s="31">
        <f>VIMP!$E$42</f>
        <v>2.169188724853083</v>
      </c>
      <c r="K228" s="31">
        <f>VIMP!$F$42</f>
        <v>1.8716749702420055</v>
      </c>
      <c r="L228" s="31">
        <f>VIMP!$G$42</f>
        <v>1.595412306859479</v>
      </c>
      <c r="M228" s="29">
        <f>VIMP!$H$42</f>
        <v>9.2559710853421517E-2</v>
      </c>
      <c r="N228" s="40"/>
      <c r="O228" s="29">
        <f>(VIMP!$D$23/VIMP!$C$23)-1</f>
        <v>8.5991212155724694E-2</v>
      </c>
      <c r="P228" s="29">
        <f>(VIMP!$E$23/VIMP!$D$23)-1</f>
        <v>7.4713143234850232E-2</v>
      </c>
      <c r="Q228" s="29">
        <f>(VIMP!$F$23/VIMP!$E$23)-1</f>
        <v>6.1372094711477754E-2</v>
      </c>
      <c r="R228" s="29">
        <f>(VIMP!$G$23/VIMP!$F$23)-1</f>
        <v>5.7744166880962178E-2</v>
      </c>
      <c r="S228" s="29">
        <f>VIMP!$H$23</f>
        <v>6.4584866179597578E-2</v>
      </c>
      <c r="T228" s="30"/>
      <c r="U228" s="32" t="str">
        <f t="shared" si="38"/>
        <v>USD 54.9</v>
      </c>
      <c r="V228" s="28" t="str">
        <f t="shared" si="38"/>
        <v>VEON</v>
      </c>
      <c r="Z228" s="30"/>
    </row>
    <row r="229" spans="1:26">
      <c r="C229" s="32" t="str">
        <f t="shared" si="37"/>
        <v>Vodacom</v>
      </c>
      <c r="D229" s="28" t="str">
        <f t="shared" si="37"/>
        <v>ZAR 145.6</v>
      </c>
      <c r="E229" s="28" t="str">
        <f t="shared" si="37"/>
        <v>ZAR 215.0</v>
      </c>
      <c r="F229" s="29">
        <f t="shared" si="37"/>
        <v>0.47685121582634959</v>
      </c>
      <c r="G229" s="28" t="str">
        <f t="shared" si="37"/>
        <v>Buy</v>
      </c>
      <c r="H229" s="30"/>
      <c r="I229" s="31">
        <f>VODA!$D$42</f>
        <v>4.8293743551970723</v>
      </c>
      <c r="J229" s="31">
        <f>VODA!$E$42</f>
        <v>3.1085950644375839</v>
      </c>
      <c r="K229" s="31">
        <f>VODA!$F$42</f>
        <v>2.7310927940902263</v>
      </c>
      <c r="L229" s="31">
        <f>VODA!$G$42</f>
        <v>2.3227466816873208</v>
      </c>
      <c r="M229" s="29">
        <f>VODA!$H$42</f>
        <v>0.20177929756402802</v>
      </c>
      <c r="N229" s="40"/>
      <c r="O229" s="29">
        <f>(VODA!$D$23/VODA!$C$23)-1</f>
        <v>7.0125117671388182E-2</v>
      </c>
      <c r="P229" s="29">
        <f>(VODA!$E$23/VODA!$D$23)-1</f>
        <v>0.47141804313869495</v>
      </c>
      <c r="Q229" s="29">
        <f>(VODA!$F$23/VODA!$E$23)-1</f>
        <v>8.3666743620329331E-2</v>
      </c>
      <c r="R229" s="29">
        <f>(VODA!$G$23/VODA!$F$23)-1</f>
        <v>7.2858459458102987E-2</v>
      </c>
      <c r="S229" s="29">
        <f>VODA!$H$23</f>
        <v>0.19598229614095763</v>
      </c>
      <c r="T229" s="30"/>
      <c r="U229" s="32" t="str">
        <f t="shared" si="38"/>
        <v>ZAR 145.6</v>
      </c>
      <c r="V229" s="28" t="str">
        <f t="shared" si="38"/>
        <v>Vodacom</v>
      </c>
      <c r="Z229" s="30"/>
    </row>
    <row r="230" spans="1:26">
      <c r="C230" s="35" t="str">
        <f>C179</f>
        <v>Agg. EMEA Cellular</v>
      </c>
      <c r="D230" s="36"/>
      <c r="E230" s="36"/>
      <c r="F230" s="37"/>
      <c r="G230" s="36"/>
      <c r="H230" s="30"/>
      <c r="I230" s="38">
        <f>'EMEA CELLULAR'!$D$42</f>
        <v>3.2594845164113617</v>
      </c>
      <c r="J230" s="38">
        <f>'EMEA CELLULAR'!$E$42</f>
        <v>2.7593129191981953</v>
      </c>
      <c r="K230" s="38">
        <f>'EMEA CELLULAR'!$F$42</f>
        <v>2.4319311799132723</v>
      </c>
      <c r="L230" s="38">
        <f>'EMEA CELLULAR'!$G$42</f>
        <v>2.1027645091274914</v>
      </c>
      <c r="M230" s="39">
        <f>'EMEA CELLULAR'!$H$42</f>
        <v>9.004402418470403E-2</v>
      </c>
      <c r="N230" s="40"/>
      <c r="O230" s="39">
        <f>('EMEA CELLULAR'!$D$23/'EMEA CELLULAR'!$C$23)-1</f>
        <v>0.13872072109925426</v>
      </c>
      <c r="P230" s="39">
        <f>('EMEA CELLULAR'!$E$23/'EMEA CELLULAR'!$D$23)-1</f>
        <v>0.21027918887479213</v>
      </c>
      <c r="Q230" s="39">
        <f>('EMEA CELLULAR'!$F$23/'EMEA CELLULAR'!$E$23)-1</f>
        <v>0.11203780011669595</v>
      </c>
      <c r="R230" s="39">
        <f>('EMEA CELLULAR'!$G$23/'EMEA CELLULAR'!$F$23)-1</f>
        <v>9.0905245435966231E-2</v>
      </c>
      <c r="S230" s="39">
        <f>'EMEA CELLULAR'!$H$23</f>
        <v>0.13657312279124967</v>
      </c>
      <c r="T230" s="30"/>
      <c r="U230" s="41"/>
      <c r="V230" s="42" t="str">
        <f>V179</f>
        <v>Agg. EMEA Cellular</v>
      </c>
      <c r="Z230" s="30"/>
    </row>
    <row r="231" spans="1:26">
      <c r="A231" s="5"/>
      <c r="C231" s="27"/>
      <c r="D231" s="28"/>
      <c r="E231" s="28"/>
      <c r="F231" s="29"/>
      <c r="G231" s="28"/>
      <c r="H231" s="30"/>
      <c r="I231" s="31"/>
      <c r="J231" s="31"/>
      <c r="K231" s="31"/>
      <c r="L231" s="31"/>
      <c r="M231" s="29"/>
      <c r="N231" s="40"/>
      <c r="O231" s="29"/>
      <c r="P231" s="29"/>
      <c r="Q231" s="29"/>
      <c r="R231" s="29"/>
      <c r="S231" s="29"/>
      <c r="T231" s="30"/>
      <c r="U231" s="32"/>
      <c r="V231" s="34"/>
      <c r="Z231" s="30"/>
    </row>
    <row r="232" spans="1:26">
      <c r="A232" s="5"/>
      <c r="C232" s="32" t="str">
        <f t="shared" ref="C232:G234" si="39">C181</f>
        <v>Entel</v>
      </c>
      <c r="D232" s="28" t="str">
        <f t="shared" si="39"/>
        <v>CLP 3,643</v>
      </c>
      <c r="E232" s="28" t="str">
        <f t="shared" si="39"/>
        <v>CLP 3,150</v>
      </c>
      <c r="F232" s="29">
        <f t="shared" si="39"/>
        <v>-0.13532802635190777</v>
      </c>
      <c r="G232" s="28" t="str">
        <f t="shared" si="39"/>
        <v>Neutral</v>
      </c>
      <c r="H232" s="30"/>
      <c r="I232" s="31">
        <f>ENTEL!$D$42</f>
        <v>1.2322737418950194</v>
      </c>
      <c r="J232" s="31">
        <f>ENTEL!$E$42</f>
        <v>1.2470154512998488</v>
      </c>
      <c r="K232" s="31">
        <f>ENTEL!$F$42</f>
        <v>1.2494541867099149</v>
      </c>
      <c r="L232" s="31">
        <f>ENTEL!$G$42</f>
        <v>1.2565219911181267</v>
      </c>
      <c r="M232" s="29">
        <f>ENTEL!$H$42</f>
        <v>-9.0337985997450687E-3</v>
      </c>
      <c r="N232" s="40"/>
      <c r="O232" s="135">
        <f>(ENTEL!$D$23/ENTEL!$C$23)-1</f>
        <v>4.6960348250342898E-2</v>
      </c>
      <c r="P232" s="135">
        <f>(ENTEL!$E$23/ENTEL!$D$23)-1</f>
        <v>2.9514750544055612E-2</v>
      </c>
      <c r="Q232" s="135">
        <f>(ENTEL!$F$23/ENTEL!$E$23)-1</f>
        <v>2.3662618358603726E-2</v>
      </c>
      <c r="R232" s="135">
        <f>(ENTEL!$G$23/ENTEL!$F$23)-1</f>
        <v>2.2820244362588227E-2</v>
      </c>
      <c r="S232" s="135">
        <f>ENTEL!$H$23</f>
        <v>2.532822093769016E-2</v>
      </c>
      <c r="T232" s="30"/>
      <c r="U232" s="32" t="str">
        <f t="shared" ref="U232:V234" si="40">U181</f>
        <v>CLP 3,643</v>
      </c>
      <c r="V232" s="28" t="str">
        <f t="shared" si="40"/>
        <v>Entel</v>
      </c>
      <c r="Z232" s="30"/>
    </row>
    <row r="233" spans="1:26">
      <c r="A233" s="5"/>
      <c r="C233" s="32" t="str">
        <f t="shared" si="39"/>
        <v>Millicom</v>
      </c>
      <c r="D233" s="28" t="str">
        <f t="shared" si="39"/>
        <v>USD  83.6</v>
      </c>
      <c r="E233" s="28" t="str">
        <f t="shared" si="39"/>
        <v>USD 70.0</v>
      </c>
      <c r="F233" s="29">
        <f t="shared" si="39"/>
        <v>-0.16292974588938713</v>
      </c>
      <c r="G233" s="28" t="str">
        <f t="shared" si="39"/>
        <v>Buy</v>
      </c>
      <c r="H233" s="30"/>
      <c r="I233" s="31">
        <f>MILLI!$D$42</f>
        <v>2.094450913754081</v>
      </c>
      <c r="J233" s="31">
        <f>MILLI!$E$42</f>
        <v>1.9198424513202397</v>
      </c>
      <c r="K233" s="31">
        <f>MILLI!$F$42</f>
        <v>1.829798917226491</v>
      </c>
      <c r="L233" s="31">
        <f>MILLI!$G$42</f>
        <v>1.7435656623330036</v>
      </c>
      <c r="M233" s="29">
        <f>MILLI!$H$42</f>
        <v>4.1157461715429111E-2</v>
      </c>
      <c r="N233" s="40"/>
      <c r="O233" s="135">
        <f>(MILLI!$D$23/MILLI!$C$23)-1</f>
        <v>1.9691472332046267E-3</v>
      </c>
      <c r="P233" s="135">
        <f>(MILLI!$E$23/MILLI!$D$23)-1</f>
        <v>0.3253187903121757</v>
      </c>
      <c r="Q233" s="135">
        <f>(MILLI!$F$23/MILLI!$E$23)-1</f>
        <v>5.6898953313504697E-2</v>
      </c>
      <c r="R233" s="135">
        <f>(MILLI!$G$23/MILLI!$F$23)-1</f>
        <v>1.7833788896263636E-2</v>
      </c>
      <c r="S233" s="135">
        <f>MILLI!$H$23</f>
        <v>0.12549498034039352</v>
      </c>
      <c r="T233" s="30"/>
      <c r="U233" s="32" t="str">
        <f t="shared" si="40"/>
        <v>USD  83.6</v>
      </c>
      <c r="V233" s="28" t="str">
        <f t="shared" si="40"/>
        <v>Millicom</v>
      </c>
      <c r="Z233" s="30"/>
    </row>
    <row r="234" spans="1:26">
      <c r="A234" s="5"/>
      <c r="C234" s="32" t="str">
        <f t="shared" si="39"/>
        <v>TIM Participacoes</v>
      </c>
      <c r="D234" s="28" t="str">
        <f t="shared" si="39"/>
        <v>BRL 25.99</v>
      </c>
      <c r="E234" s="28" t="str">
        <f t="shared" si="39"/>
        <v>BRL 28.00</v>
      </c>
      <c r="F234" s="29">
        <f t="shared" si="39"/>
        <v>7.7337437475952342E-2</v>
      </c>
      <c r="G234" s="28" t="str">
        <f t="shared" si="39"/>
        <v>Buy</v>
      </c>
      <c r="H234" s="30"/>
      <c r="I234" s="31">
        <f>TIMP!$D$42</f>
        <v>1.8242296364875838</v>
      </c>
      <c r="J234" s="31">
        <f>TIMP!$E$42</f>
        <v>1.5515596002179113</v>
      </c>
      <c r="K234" s="31">
        <f>TIMP!$F$42</f>
        <v>1.250317472162493</v>
      </c>
      <c r="L234" s="31">
        <f>TIMP!$G$42</f>
        <v>0.92938768039698261</v>
      </c>
      <c r="M234" s="29">
        <f>TIMP!$H$42</f>
        <v>2.4316638751595843E-2</v>
      </c>
      <c r="N234" s="40"/>
      <c r="O234" s="29">
        <f>(TIMP!$D$23/TIMP!$C$23)-1</f>
        <v>4.7465362995947391E-2</v>
      </c>
      <c r="P234" s="29">
        <f>(TIMP!$E$23/TIMP!$D$23)-1</f>
        <v>4.9559741944841917E-2</v>
      </c>
      <c r="Q234" s="29">
        <f>(TIMP!$F$23/TIMP!$E$23)-1</f>
        <v>4.8649105763354461E-2</v>
      </c>
      <c r="R234" s="29">
        <f>(TIMP!$G$23/TIMP!$F$23)-1</f>
        <v>4.8057546580560384E-2</v>
      </c>
      <c r="S234" s="29">
        <f>TIMP!$H$23</f>
        <v>4.8755282777350306E-2</v>
      </c>
      <c r="T234" s="30"/>
      <c r="U234" s="32" t="str">
        <f t="shared" si="40"/>
        <v>BRL 25.99</v>
      </c>
      <c r="V234" s="28" t="str">
        <f t="shared" si="40"/>
        <v>TIM Participacoes</v>
      </c>
      <c r="Z234" s="30"/>
    </row>
    <row r="235" spans="1:26">
      <c r="A235" s="25"/>
      <c r="B235" s="26" t="s">
        <v>483</v>
      </c>
      <c r="C235" s="32" t="s">
        <v>688</v>
      </c>
      <c r="D235" s="28" t="str">
        <f>'EM Multiples'!B235&amp;TEXT(Prices!C$115,"0.00")</f>
        <v>MXN59.40</v>
      </c>
      <c r="E235" s="28" t="str">
        <f>'EM Multiples'!B235&amp;TEXT(Prices!E$115,"0.00")</f>
        <v>MXN75.00</v>
      </c>
      <c r="F235" s="29">
        <f>Prices!F$115</f>
        <v>0.26262626262626276</v>
      </c>
      <c r="G235" s="28" t="str">
        <f>Prices!D$115</f>
        <v>Buy</v>
      </c>
      <c r="H235" s="30"/>
      <c r="I235" s="31">
        <f>MEGA!$D$42</f>
        <v>1.42931804427634</v>
      </c>
      <c r="J235" s="31">
        <f>MEGA!$E$42</f>
        <v>1.3206683225318079</v>
      </c>
      <c r="K235" s="31">
        <f>MEGA!$F$42</f>
        <v>1.2019267045860444</v>
      </c>
      <c r="L235" s="31">
        <f>MEGA!$G$42</f>
        <v>1.0666259642321509</v>
      </c>
      <c r="M235" s="29">
        <f>MEGA!$H$42</f>
        <v>2.502519767293121E-2</v>
      </c>
      <c r="N235" s="30"/>
      <c r="O235" s="29">
        <f>(MEGA!$D$23/MEGA!$C$23)-1</f>
        <v>8.0323510160273726E-2</v>
      </c>
      <c r="P235" s="29">
        <f>(MEGA!$E$23/MEGA!$D$23)-1</f>
        <v>8.007751887850123E-2</v>
      </c>
      <c r="Q235" s="29">
        <f>(MEGA!$F$23/MEGA!$E$23)-1</f>
        <v>6.7102617323787417E-2</v>
      </c>
      <c r="R235" s="29">
        <f>(MEGA!$G$23/MEGA!$F$23)-1</f>
        <v>5.8574527060174741E-2</v>
      </c>
      <c r="S235" s="29">
        <f>MEGA!$H$23</f>
        <v>6.8548363771691267E-2</v>
      </c>
      <c r="T235" s="30"/>
      <c r="U235" s="32" t="str">
        <f>D235</f>
        <v>MXN59.40</v>
      </c>
      <c r="V235" s="28" t="str">
        <f>C235</f>
        <v>Megacable</v>
      </c>
      <c r="Z235" s="30"/>
    </row>
    <row r="236" spans="1:26">
      <c r="A236" s="5"/>
      <c r="B236" s="26" t="s">
        <v>331</v>
      </c>
      <c r="C236" s="32" t="s">
        <v>675</v>
      </c>
      <c r="D236" s="28" t="str">
        <f>'EM Multiples'!B236&amp;TEXT(Prices!C$118,"0.00")</f>
        <v>USD8.53</v>
      </c>
      <c r="E236" s="28" t="str">
        <f>'EM Multiples'!B236&amp;TEXT(Prices!E$118,"0.00")</f>
        <v>USD14.90</v>
      </c>
      <c r="F236" s="29">
        <f>Prices!F$118</f>
        <v>0.74780058651026393</v>
      </c>
      <c r="G236" s="28" t="str">
        <f>Prices!D$118</f>
        <v>Buy</v>
      </c>
      <c r="H236" s="30"/>
      <c r="I236" s="31">
        <f>LiLAC!$D$42</f>
        <v>2.8675815018765367</v>
      </c>
      <c r="J236" s="31">
        <f>LiLAC!$E$42</f>
        <v>3.0765680497175296</v>
      </c>
      <c r="K236" s="31">
        <f>LiLAC!$F$42</f>
        <v>3.2918677429921859</v>
      </c>
      <c r="L236" s="31">
        <f>LiLAC!$G$42</f>
        <v>3.4252754897975515</v>
      </c>
      <c r="M236" s="29">
        <f>LiLAC!$H$42</f>
        <v>-7.73915951946893E-2</v>
      </c>
      <c r="N236" s="30"/>
      <c r="O236" s="29">
        <f>(LiLAC!$D$23/LiLAC!$C$23)-1</f>
        <v>-1.034451740577591E-3</v>
      </c>
      <c r="P236" s="29">
        <f>(LiLAC!$E$23/LiLAC!$D$23)-1</f>
        <v>8.2509204416161275E-3</v>
      </c>
      <c r="Q236" s="29">
        <f>(LiLAC!$F$23/LiLAC!$E$23)-1</f>
        <v>2.8532341947463236E-2</v>
      </c>
      <c r="R236" s="29">
        <f>(LiLAC!$G$23/LiLAC!$F$23)-1</f>
        <v>2.9579138092145962E-2</v>
      </c>
      <c r="S236" s="29">
        <f>LiLAC!$H$23</f>
        <v>2.2073444459229208E-2</v>
      </c>
      <c r="T236" s="30"/>
      <c r="U236" s="32" t="str">
        <f>D236</f>
        <v>USD8.53</v>
      </c>
      <c r="V236" s="28" t="str">
        <f>C236</f>
        <v>LiLAC</v>
      </c>
      <c r="Z236" s="30"/>
    </row>
    <row r="237" spans="1:26">
      <c r="A237" s="5"/>
      <c r="C237" s="35" t="str">
        <f>C186</f>
        <v>Agg. LatAm Other</v>
      </c>
      <c r="D237" s="36"/>
      <c r="E237" s="36"/>
      <c r="F237" s="37"/>
      <c r="G237" s="36"/>
      <c r="H237" s="30"/>
      <c r="I237" s="38">
        <f>'LATAM OTHER'!$D$42</f>
        <v>2.0003709392007782</v>
      </c>
      <c r="J237" s="38">
        <f>'LATAM OTHER'!$E$42</f>
        <v>1.8758750356023162</v>
      </c>
      <c r="K237" s="38">
        <f>'LATAM OTHER'!$F$42</f>
        <v>1.771442878106624</v>
      </c>
      <c r="L237" s="38">
        <f>'LATAM OTHER'!$G$42</f>
        <v>1.6500606174643018</v>
      </c>
      <c r="M237" s="39">
        <f>'LATAM OTHER'!$H$42</f>
        <v>1.4831144278901309E-2</v>
      </c>
      <c r="N237" s="40"/>
      <c r="O237" s="39">
        <f>('LATAM OTHER'!$D$23/'LATAM OTHER'!$C$23)-1</f>
        <v>2.6786059623558955E-2</v>
      </c>
      <c r="P237" s="39">
        <f>('LATAM OTHER'!$E$23/'LATAM OTHER'!$D$23)-1</f>
        <v>0.11763116603263946</v>
      </c>
      <c r="Q237" s="39">
        <f>('LATAM OTHER'!$F$23/'LATAM OTHER'!$E$23)-1</f>
        <v>4.5689443784185713E-2</v>
      </c>
      <c r="R237" s="39">
        <f>('LATAM OTHER'!$G$23/'LATAM OTHER'!$F$23)-1</f>
        <v>3.1935529872557655E-2</v>
      </c>
      <c r="S237" s="39">
        <f>'LATAM OTHER'!$H$23</f>
        <v>6.4432021722839572E-2</v>
      </c>
      <c r="T237" s="30"/>
      <c r="U237" s="41"/>
      <c r="V237" s="42" t="str">
        <f>V186</f>
        <v>Agg. LatAm Cellular</v>
      </c>
      <c r="Z237" s="30"/>
    </row>
    <row r="238" spans="1:26">
      <c r="C238" s="27"/>
      <c r="D238" s="28"/>
      <c r="E238" s="28"/>
      <c r="F238" s="29"/>
      <c r="G238" s="28"/>
      <c r="H238" s="30"/>
      <c r="I238" s="31"/>
      <c r="J238" s="31"/>
      <c r="K238" s="31"/>
      <c r="L238" s="31"/>
      <c r="M238" s="29"/>
      <c r="N238" s="30"/>
      <c r="O238" s="29"/>
      <c r="P238" s="29"/>
      <c r="Q238" s="29"/>
      <c r="R238" s="29"/>
      <c r="S238" s="29"/>
      <c r="T238" s="30"/>
      <c r="U238" s="32"/>
      <c r="V238" s="34"/>
      <c r="Z238" s="30"/>
    </row>
    <row r="239" spans="1:26">
      <c r="A239" s="5"/>
      <c r="C239" s="32" t="str">
        <f t="shared" ref="C239:G250" si="41">C188</f>
        <v>AIS</v>
      </c>
      <c r="D239" s="28" t="str">
        <f t="shared" si="41"/>
        <v>THB 349.0</v>
      </c>
      <c r="E239" s="28" t="str">
        <f t="shared" si="41"/>
        <v>THB 330.0</v>
      </c>
      <c r="F239" s="29">
        <f t="shared" si="41"/>
        <v>-5.4441260744985676E-2</v>
      </c>
      <c r="G239" s="28" t="str">
        <f t="shared" si="41"/>
        <v>Buy</v>
      </c>
      <c r="H239" s="30"/>
      <c r="I239" s="31">
        <f>ADVANCED!$D$42</f>
        <v>9.6243449536339316</v>
      </c>
      <c r="J239" s="31">
        <f>ADVANCED!$E$42</f>
        <v>8.8702781224861926</v>
      </c>
      <c r="K239" s="31">
        <f>ADVANCED!$F$42</f>
        <v>8.2021681189850817</v>
      </c>
      <c r="L239" s="31">
        <f>ADVANCED!$G$42</f>
        <v>7.5766733196025911</v>
      </c>
      <c r="M239" s="29">
        <f>ADVANCED!$H$42</f>
        <v>1.3734080062852705E-2</v>
      </c>
      <c r="N239" s="30"/>
      <c r="O239" s="29">
        <f>(ADVANCED!$D$23/ADVANCED!$C$23)-1</f>
        <v>6.8672753766149564E-2</v>
      </c>
      <c r="P239" s="29">
        <f>(ADVANCED!$E$23/ADVANCED!$D$23)-1</f>
        <v>3.3688062069762381E-2</v>
      </c>
      <c r="Q239" s="29">
        <f>(ADVANCED!$F$23/ADVANCED!$E$23)-1</f>
        <v>2.4692985810372159E-2</v>
      </c>
      <c r="R239" s="29">
        <f>(ADVANCED!$G$23/ADVANCED!$F$23)-1</f>
        <v>2.4282342360065767E-2</v>
      </c>
      <c r="S239" s="29">
        <f>ADVANCED!$H$23</f>
        <v>2.7545314735976323E-2</v>
      </c>
      <c r="T239" s="30"/>
      <c r="U239" s="32" t="str">
        <f t="shared" ref="U239:V250" si="42">U188</f>
        <v>THB 349.0</v>
      </c>
      <c r="V239" s="28" t="str">
        <f t="shared" si="42"/>
        <v>AIS</v>
      </c>
      <c r="Z239" s="30"/>
    </row>
    <row r="240" spans="1:26">
      <c r="C240" s="32" t="str">
        <f t="shared" si="41"/>
        <v>Axiata</v>
      </c>
      <c r="D240" s="28" t="str">
        <f t="shared" si="41"/>
        <v>MYR 2.24</v>
      </c>
      <c r="E240" s="28" t="str">
        <f t="shared" si="41"/>
        <v>MYR 4.50</v>
      </c>
      <c r="F240" s="29">
        <f t="shared" si="41"/>
        <v>1.0089285714285712</v>
      </c>
      <c r="G240" s="28" t="str">
        <f t="shared" si="41"/>
        <v>Buy</v>
      </c>
      <c r="H240" s="30"/>
      <c r="I240" s="31">
        <f>AXI!$D$42</f>
        <v>2.2137575046580635</v>
      </c>
      <c r="J240" s="31">
        <f>AXI!$E$42</f>
        <v>2.8084523879285084</v>
      </c>
      <c r="K240" s="31">
        <f>AXI!$F$42</f>
        <v>2.9217677208076527</v>
      </c>
      <c r="L240" s="31">
        <f>AXI!$G$42</f>
        <v>3.0635694170223591</v>
      </c>
      <c r="M240" s="29">
        <f>AXI!$H$42</f>
        <v>-8.4011640981891067E-2</v>
      </c>
      <c r="N240" s="30"/>
      <c r="O240" s="29">
        <f>(AXI!D23/AXI!C23)-1</f>
        <v>-0.49173942243116187</v>
      </c>
      <c r="P240" s="29">
        <f>(AXI!E23/AXI!D23)-1</f>
        <v>3.7085976039464397E-2</v>
      </c>
      <c r="Q240" s="29">
        <f>(AXI!$F$23/AXI!$E$23)-1</f>
        <v>3.1682663722075954E-2</v>
      </c>
      <c r="R240" s="29">
        <f>(AXI!$G$23/AXI!$F$23)-1</f>
        <v>2.9721719084472298E-2</v>
      </c>
      <c r="S240" s="29">
        <f>AXI!$H$23</f>
        <v>3.2825429934682848E-2</v>
      </c>
      <c r="T240" s="30"/>
      <c r="U240" s="32" t="str">
        <f t="shared" si="42"/>
        <v>MYR 2.24</v>
      </c>
      <c r="V240" s="28" t="str">
        <f t="shared" si="42"/>
        <v>Axiata</v>
      </c>
      <c r="Z240" s="30"/>
    </row>
    <row r="241" spans="1:26">
      <c r="C241" s="32" t="str">
        <f t="shared" si="41"/>
        <v>Bharti Airtel</v>
      </c>
      <c r="D241" s="28" t="str">
        <f t="shared" si="41"/>
        <v>INR 1815</v>
      </c>
      <c r="E241" s="28" t="str">
        <f t="shared" si="41"/>
        <v>INR 2750</v>
      </c>
      <c r="F241" s="29">
        <f t="shared" si="41"/>
        <v>0.51540199482008031</v>
      </c>
      <c r="G241" s="28" t="str">
        <f t="shared" si="41"/>
        <v>Buy</v>
      </c>
      <c r="H241" s="30"/>
      <c r="I241" s="31">
        <f>BHART!$D$42</f>
        <v>6.8444679997944604</v>
      </c>
      <c r="J241" s="31">
        <f>BHART!$E$42</f>
        <v>7.1054657016043237</v>
      </c>
      <c r="K241" s="31">
        <f>BHART!$F$42</f>
        <v>7.4034869621268626</v>
      </c>
      <c r="L241" s="31">
        <f>BHART!$G$42</f>
        <v>7.6478614271058953</v>
      </c>
      <c r="M241" s="29">
        <f>BHART!$H$42</f>
        <v>-8.584610798242287E-2</v>
      </c>
      <c r="N241" s="30"/>
      <c r="O241" s="29">
        <f>(BHART!$D$23/BHART!$C$23)-1</f>
        <v>0.19539839589009667</v>
      </c>
      <c r="P241" s="29">
        <f>(BHART!$E$23/BHART!$D$23)-1</f>
        <v>0.15343470618134858</v>
      </c>
      <c r="Q241" s="29">
        <f>(BHART!$F$23/BHART!$E$23)-1</f>
        <v>0.13900683226336019</v>
      </c>
      <c r="R241" s="29">
        <f>(BHART!$G$23/BHART!$F$23)-1</f>
        <v>0.12853443408148868</v>
      </c>
      <c r="S241" s="29">
        <f>BHART!$H$23</f>
        <v>0.14027968303904759</v>
      </c>
      <c r="T241" s="30"/>
      <c r="U241" s="32" t="str">
        <f t="shared" si="42"/>
        <v>INR 1815</v>
      </c>
      <c r="V241" s="28" t="str">
        <f t="shared" si="42"/>
        <v>Bharti Airtel</v>
      </c>
      <c r="Z241" s="30"/>
    </row>
    <row r="242" spans="1:26">
      <c r="A242" s="5"/>
      <c r="C242" s="32" t="str">
        <f t="shared" si="41"/>
        <v>China Mobile</v>
      </c>
      <c r="D242" s="28" t="str">
        <f t="shared" si="41"/>
        <v>HKD 83.9</v>
      </c>
      <c r="E242" s="28" t="str">
        <f t="shared" si="41"/>
        <v>HKD 115.0</v>
      </c>
      <c r="F242" s="29">
        <f t="shared" si="41"/>
        <v>0.37067938021454094</v>
      </c>
      <c r="G242" s="28" t="str">
        <f t="shared" si="41"/>
        <v>Buy</v>
      </c>
      <c r="H242" s="30"/>
      <c r="I242" s="31">
        <f>_CM!$D$42</f>
        <v>1.9391703148646791</v>
      </c>
      <c r="J242" s="31">
        <f>_CM!$E$42</f>
        <v>1.8051512121156328</v>
      </c>
      <c r="K242" s="31">
        <f>_CM!$F$42</f>
        <v>1.7556517004134649</v>
      </c>
      <c r="L242" s="31">
        <f>_CM!$G$42</f>
        <v>1.5405742190230802</v>
      </c>
      <c r="M242" s="29">
        <f>_CM!$H$42</f>
        <v>-6.6865459268141691E-2</v>
      </c>
      <c r="N242" s="30"/>
      <c r="O242" s="29">
        <f>(_CM!$D$23/_CM!$C$23)-1</f>
        <v>2.4772488770767875E-3</v>
      </c>
      <c r="P242" s="29">
        <f>(_CM!$E$23/_CM!$D$23)-1</f>
        <v>1.7259946173311835E-2</v>
      </c>
      <c r="Q242" s="29">
        <f>(_CM!$F$23/_CM!$E$23)-1</f>
        <v>2.0452888673339498E-2</v>
      </c>
      <c r="R242" s="29">
        <f>(_CM!$G$23/_CM!$F$23)-1</f>
        <v>2.2713370058393467E-2</v>
      </c>
      <c r="S242" s="29">
        <f>_CM!$H$23</f>
        <v>2.0139614496065716E-2</v>
      </c>
      <c r="T242" s="30"/>
      <c r="U242" s="32" t="str">
        <f t="shared" si="42"/>
        <v>HKD 83.9</v>
      </c>
      <c r="V242" s="28" t="str">
        <f t="shared" si="42"/>
        <v>China Mobile</v>
      </c>
      <c r="Z242" s="30"/>
    </row>
    <row r="243" spans="1:26">
      <c r="A243" s="5"/>
      <c r="C243" s="32" t="str">
        <f t="shared" si="41"/>
        <v>CelcomDigi</v>
      </c>
      <c r="D243" s="28" t="str">
        <f t="shared" si="41"/>
        <v>MYR 3.0</v>
      </c>
      <c r="E243" s="28" t="str">
        <f t="shared" si="41"/>
        <v>MYR 5.6</v>
      </c>
      <c r="F243" s="29">
        <f t="shared" si="41"/>
        <v>0.88552188552188538</v>
      </c>
      <c r="G243" s="28" t="str">
        <f t="shared" si="41"/>
        <v>Buy</v>
      </c>
      <c r="H243" s="30"/>
      <c r="I243" s="31">
        <f>DIGI!$D$42</f>
        <v>6.8380082248069796</v>
      </c>
      <c r="J243" s="31">
        <f>DIGI!$E$42</f>
        <v>6.3585593295339358</v>
      </c>
      <c r="K243" s="31">
        <f>DIGI!$F$42</f>
        <v>6.0507862389659222</v>
      </c>
      <c r="L243" s="31">
        <f>DIGI!$G$42</f>
        <v>5.6319007412189599</v>
      </c>
      <c r="M243" s="29">
        <f>DIGI!$H$42</f>
        <v>-9.5616058892893374E-3</v>
      </c>
      <c r="N243" s="30"/>
      <c r="O243" s="29">
        <f>(DIGI!$D$23/DIGI!$C$23)-1</f>
        <v>2.8744696580019324E-2</v>
      </c>
      <c r="P243" s="29">
        <f>(DIGI!$E$23/DIGI!$D$23)-1</f>
        <v>1.593699516278857E-2</v>
      </c>
      <c r="Q243" s="29">
        <f>(DIGI!$F$23/DIGI!$E$23)-1</f>
        <v>1.9209299463398333E-2</v>
      </c>
      <c r="R243" s="29">
        <f>(DIGI!$G$23/DIGI!$F$23)-1</f>
        <v>2.2087740036157655E-2</v>
      </c>
      <c r="S243" s="29">
        <f>DIGI!$H$23</f>
        <v>1.9074913299414797E-2</v>
      </c>
      <c r="T243" s="30"/>
      <c r="U243" s="32" t="str">
        <f t="shared" si="42"/>
        <v>MYR 3.0</v>
      </c>
      <c r="V243" s="28" t="str">
        <f t="shared" si="42"/>
        <v>CelcomDigi</v>
      </c>
      <c r="Z243" s="30"/>
    </row>
    <row r="244" spans="1:26">
      <c r="A244" s="5"/>
      <c r="C244" s="32" t="str">
        <f t="shared" si="41"/>
        <v>Vodafone IDEA</v>
      </c>
      <c r="D244" s="28" t="str">
        <f t="shared" si="41"/>
        <v>INR 9.5</v>
      </c>
      <c r="E244" s="28" t="str">
        <f t="shared" si="41"/>
        <v>INR 10.0</v>
      </c>
      <c r="F244" s="29">
        <f t="shared" si="41"/>
        <v>5.0420168067226934E-2</v>
      </c>
      <c r="G244" s="28" t="str">
        <f t="shared" si="41"/>
        <v>Neutral</v>
      </c>
      <c r="H244" s="30"/>
      <c r="I244" s="31">
        <f>IDEA!$D$42</f>
        <v>2.1614906969950116</v>
      </c>
      <c r="J244" s="31">
        <f>IDEA!$E$42</f>
        <v>2.3463601174019599</v>
      </c>
      <c r="K244" s="31">
        <f>IDEA!$F$42</f>
        <v>2.4984105859356389</v>
      </c>
      <c r="L244" s="31">
        <f>IDEA!$G$42</f>
        <v>2.6503835964116527</v>
      </c>
      <c r="M244" s="29">
        <f>IDEA!$H$42</f>
        <v>1.5755553754176477E-2</v>
      </c>
      <c r="N244" s="30"/>
      <c r="O244" s="29">
        <f>(IDEA!$D$23/IDEA!$C$23)-1</f>
        <v>8.5712246696503014E-2</v>
      </c>
      <c r="P244" s="29">
        <f>(IDEA!$E$23/IDEA!$D$23)-1</f>
        <v>0.1782521975957081</v>
      </c>
      <c r="Q244" s="29">
        <f>(IDEA!$F$23/IDEA!$E$23)-1</f>
        <v>0.20717248286641055</v>
      </c>
      <c r="R244" s="29">
        <f>(IDEA!$G$23/IDEA!$F$23)-1</f>
        <v>0.17762662195381052</v>
      </c>
      <c r="S244" s="29">
        <f>IDEA!$H$23</f>
        <v>0.18760422388902054</v>
      </c>
      <c r="T244" s="30"/>
      <c r="U244" s="32" t="str">
        <f t="shared" si="42"/>
        <v>INR 9.5</v>
      </c>
      <c r="V244" s="28" t="str">
        <f t="shared" si="42"/>
        <v>Vodafone IDEA</v>
      </c>
      <c r="Z244" s="30"/>
    </row>
    <row r="245" spans="1:26">
      <c r="A245" s="5"/>
      <c r="C245" s="32" t="str">
        <f t="shared" si="41"/>
        <v>Indosat</v>
      </c>
      <c r="D245" s="28" t="str">
        <f t="shared" si="41"/>
        <v>IDR 1,970</v>
      </c>
      <c r="E245" s="28" t="str">
        <f t="shared" si="41"/>
        <v>IDR 2,800</v>
      </c>
      <c r="F245" s="29">
        <f t="shared" si="41"/>
        <v>0.42131979695431476</v>
      </c>
      <c r="G245" s="28" t="str">
        <f t="shared" si="41"/>
        <v>Buy</v>
      </c>
      <c r="H245" s="30"/>
      <c r="I245" s="31">
        <f>INDO!$D$42</f>
        <v>1.4931396426415104</v>
      </c>
      <c r="J245" s="31">
        <f>INDO!$E$42</f>
        <v>1.5428340735045363</v>
      </c>
      <c r="K245" s="31">
        <f>INDO!$F$42</f>
        <v>1.4575806505560533</v>
      </c>
      <c r="L245" s="31">
        <f>INDO!$G$42</f>
        <v>1.3614411263555612</v>
      </c>
      <c r="M245" s="29">
        <f>INDO!$H$42</f>
        <v>1.2093673682820327E-2</v>
      </c>
      <c r="N245" s="30"/>
      <c r="O245" s="29">
        <f>(INDO!$D$23/INDO!$C$23)-1</f>
        <v>1.0869271146821458E-2</v>
      </c>
      <c r="P245" s="29">
        <f>(INDO!$E$23/INDO!$D$23)-1</f>
        <v>5.3276192345983464E-2</v>
      </c>
      <c r="Q245" s="29">
        <f>(INDO!$F$23/INDO!$E$23)-1</f>
        <v>4.454954644933351E-2</v>
      </c>
      <c r="R245" s="29">
        <f>(INDO!$G$23/INDO!$F$23)-1</f>
        <v>4.0116948689500331E-2</v>
      </c>
      <c r="S245" s="29">
        <f>INDO!$H$23</f>
        <v>4.5966628498044004E-2</v>
      </c>
      <c r="T245" s="30"/>
      <c r="U245" s="32" t="str">
        <f t="shared" si="42"/>
        <v>IDR 1,970</v>
      </c>
      <c r="V245" s="28" t="str">
        <f t="shared" si="42"/>
        <v>Indosat</v>
      </c>
      <c r="Z245" s="30"/>
    </row>
    <row r="246" spans="1:26">
      <c r="A246" s="5"/>
      <c r="C246" s="32" t="str">
        <f t="shared" si="41"/>
        <v>LG Uplus</v>
      </c>
      <c r="D246" s="28" t="str">
        <f t="shared" si="41"/>
        <v>KRW 16,600</v>
      </c>
      <c r="E246" s="28" t="str">
        <f t="shared" si="41"/>
        <v>KRW 19,000</v>
      </c>
      <c r="F246" s="29">
        <f t="shared" si="41"/>
        <v>0.14457831325301207</v>
      </c>
      <c r="G246" s="28" t="str">
        <f t="shared" si="41"/>
        <v>Buy</v>
      </c>
      <c r="H246" s="30"/>
      <c r="I246" s="31">
        <f>_LG!$D$42</f>
        <v>1.383435379623466</v>
      </c>
      <c r="J246" s="31">
        <f>_LG!$E$42</f>
        <v>1.3497400726767097</v>
      </c>
      <c r="K246" s="31">
        <f>_LG!$F$42</f>
        <v>1.2960951088798762</v>
      </c>
      <c r="L246" s="31">
        <f>_LG!$G$42</f>
        <v>1.2242023465348764</v>
      </c>
      <c r="M246" s="29">
        <f>_LG!$H$42</f>
        <v>-2.8907209340590212E-2</v>
      </c>
      <c r="N246" s="30"/>
      <c r="O246" s="29">
        <f>(_LG!$D$23/_LG!$C$23)-1</f>
        <v>6.1713984344770711E-2</v>
      </c>
      <c r="P246" s="29">
        <f>(_LG!$E$23/_LG!$D$23)-1</f>
        <v>1.4712149004637576E-2</v>
      </c>
      <c r="Q246" s="29">
        <f>(_LG!$F$23/_LG!$E$23)-1</f>
        <v>1.4664124041701365E-2</v>
      </c>
      <c r="R246" s="29">
        <f>(_LG!$G$23/_LG!$F$23)-1</f>
        <v>1.4546488402120028E-2</v>
      </c>
      <c r="S246" s="29">
        <f>_LG!$H$23</f>
        <v>1.4640918096157085E-2</v>
      </c>
      <c r="T246" s="30"/>
      <c r="U246" s="32" t="str">
        <f t="shared" si="42"/>
        <v>KRW 16,600</v>
      </c>
      <c r="V246" s="28" t="str">
        <f t="shared" si="42"/>
        <v>LG Uplus</v>
      </c>
      <c r="Z246" s="30"/>
    </row>
    <row r="247" spans="1:26">
      <c r="C247" s="32" t="str">
        <f t="shared" si="41"/>
        <v>Maxis</v>
      </c>
      <c r="D247" s="28" t="str">
        <f t="shared" si="41"/>
        <v>MYR 3.50</v>
      </c>
      <c r="E247" s="28" t="str">
        <f t="shared" si="41"/>
        <v>MYR 5.10</v>
      </c>
      <c r="F247" s="29">
        <f t="shared" si="41"/>
        <v>0.45714285714285707</v>
      </c>
      <c r="G247" s="28" t="str">
        <f t="shared" si="41"/>
        <v>Buy</v>
      </c>
      <c r="H247" s="30"/>
      <c r="I247" s="31">
        <f>MAXI!$D$42</f>
        <v>7.3495824428472236</v>
      </c>
      <c r="J247" s="31">
        <f>MAXI!$E$42</f>
        <v>7.1128226106945309</v>
      </c>
      <c r="K247" s="31">
        <f>MAXI!$F$42</f>
        <v>6.7491053650650121</v>
      </c>
      <c r="L247" s="31">
        <f>MAXI!$G$42</f>
        <v>6.2935035660622809</v>
      </c>
      <c r="M247" s="29">
        <f>MAXI!$H$42</f>
        <v>-1.1792991728192814E-2</v>
      </c>
      <c r="N247" s="30"/>
      <c r="O247" s="29">
        <f>(MAXI!$D$23/MAXI!$C$23)-1</f>
        <v>4.1443422907128102E-3</v>
      </c>
      <c r="P247" s="29">
        <f>(MAXI!$E$23/MAXI!$D$23)-1</f>
        <v>3.6288733922860583E-2</v>
      </c>
      <c r="Q247" s="29">
        <f>(MAXI!$F$23/MAXI!$E$23)-1</f>
        <v>2.9055936421292783E-2</v>
      </c>
      <c r="R247" s="29">
        <f>(MAXI!$G$23/MAXI!$F$23)-1</f>
        <v>2.819085186251824E-2</v>
      </c>
      <c r="S247" s="29">
        <f>MAXI!$H$23</f>
        <v>3.1172125836712583E-2</v>
      </c>
      <c r="T247" s="30"/>
      <c r="U247" s="32" t="str">
        <f t="shared" si="42"/>
        <v>MYR 3.50</v>
      </c>
      <c r="V247" s="28" t="str">
        <f t="shared" si="42"/>
        <v>Maxis</v>
      </c>
      <c r="Z247" s="30"/>
    </row>
    <row r="248" spans="1:26">
      <c r="A248" s="5"/>
      <c r="C248" s="32" t="str">
        <f t="shared" si="41"/>
        <v>SK Telecom</v>
      </c>
      <c r="D248" s="28" t="str">
        <f t="shared" si="41"/>
        <v>KRW 100,000</v>
      </c>
      <c r="E248" s="28" t="str">
        <f t="shared" si="41"/>
        <v>KRW 78,000</v>
      </c>
      <c r="F248" s="29">
        <f t="shared" si="41"/>
        <v>-0.21999999999999997</v>
      </c>
      <c r="G248" s="28" t="str">
        <f t="shared" si="41"/>
        <v>Neutral</v>
      </c>
      <c r="H248" s="30"/>
      <c r="I248" s="31">
        <f>SKT!$D$42</f>
        <v>2.0537816837558962</v>
      </c>
      <c r="J248" s="31">
        <f>SKT!$E$42</f>
        <v>2.119778804806197</v>
      </c>
      <c r="K248" s="31">
        <f>SKT!$F$42</f>
        <v>2.2038780053739502</v>
      </c>
      <c r="L248" s="31">
        <f>SKT!$G$42</f>
        <v>2.2977311694419154</v>
      </c>
      <c r="M248" s="29">
        <f>SKT!$H$42</f>
        <v>-9.0028762050303635E-2</v>
      </c>
      <c r="N248" s="30"/>
      <c r="O248" s="29">
        <f>(SKT!$D$23/SKT!$C$23)-1</f>
        <v>-2.8744860687067053E-2</v>
      </c>
      <c r="P248" s="29">
        <f>(SKT!$E$23/SKT!$D$23)-1</f>
        <v>1.9110988392379236E-2</v>
      </c>
      <c r="Q248" s="29">
        <f>(SKT!$F$23/SKT!$E$23)-1</f>
        <v>2.1802997348325803E-2</v>
      </c>
      <c r="R248" s="29">
        <f>(SKT!$G$23/SKT!$F$23)-1</f>
        <v>2.2109224649552006E-2</v>
      </c>
      <c r="S248" s="29">
        <f>SKT!$H$23</f>
        <v>2.1006847703146203E-2</v>
      </c>
      <c r="T248" s="30"/>
      <c r="U248" s="32" t="str">
        <f t="shared" si="42"/>
        <v>KRW 100,000</v>
      </c>
      <c r="V248" s="28" t="str">
        <f t="shared" si="42"/>
        <v>SK Telecom</v>
      </c>
      <c r="Z248" s="30"/>
    </row>
    <row r="249" spans="1:26" s="5" customFormat="1">
      <c r="B249" s="26"/>
      <c r="C249" s="32" t="str">
        <f t="shared" si="41"/>
        <v>True Corp</v>
      </c>
      <c r="D249" s="28" t="str">
        <f t="shared" si="41"/>
        <v>THB 13.5</v>
      </c>
      <c r="E249" s="28" t="str">
        <f t="shared" si="41"/>
        <v>THB 18.0</v>
      </c>
      <c r="F249" s="29">
        <f t="shared" si="41"/>
        <v>0.33333333333333326</v>
      </c>
      <c r="G249" s="28" t="str">
        <f t="shared" si="41"/>
        <v>Buy</v>
      </c>
      <c r="H249" s="30"/>
      <c r="I249" s="31">
        <f>TRUECORP!$D$42</f>
        <v>4.4732581050310634</v>
      </c>
      <c r="J249" s="31">
        <f>TRUECORP!$E$42</f>
        <v>4.5855018078528369</v>
      </c>
      <c r="K249" s="31">
        <f>TRUECORP!$F$42</f>
        <v>4.5565784030314704</v>
      </c>
      <c r="L249" s="31">
        <f>TRUECORP!$G$42</f>
        <v>4.4208740757357026</v>
      </c>
      <c r="M249" s="29">
        <f>TRUECORP!$H$42</f>
        <v>-6.6241953448104129E-2</v>
      </c>
      <c r="N249" s="30"/>
      <c r="O249" s="29">
        <f>(TRUECORP!$D$23/TRUECORP!$C$23)-1</f>
        <v>-2.4249149291008187E-2</v>
      </c>
      <c r="P249" s="29">
        <f>(TRUECORP!$E$23/TRUECORP!$D$23)-1</f>
        <v>-4.5377547679832042E-2</v>
      </c>
      <c r="Q249" s="29">
        <f>(TRUECORP!$F$23/TRUECORP!$E$23)-1</f>
        <v>2.5533822464980815E-2</v>
      </c>
      <c r="R249" s="29">
        <f>(TRUECORP!$G$23/TRUECORP!$F$23)-1</f>
        <v>2.3400009348133688E-2</v>
      </c>
      <c r="S249" s="29">
        <f>TRUECORP!$H$23</f>
        <v>6.3498531630612476E-4</v>
      </c>
      <c r="T249" s="30"/>
      <c r="U249" s="32" t="str">
        <f t="shared" si="42"/>
        <v>THB 13.5</v>
      </c>
      <c r="V249" s="28" t="str">
        <f t="shared" si="42"/>
        <v>True Corp</v>
      </c>
      <c r="Z249" s="30"/>
    </row>
    <row r="250" spans="1:26" s="5" customFormat="1">
      <c r="B250" s="26"/>
      <c r="C250" s="32" t="str">
        <f t="shared" si="41"/>
        <v>XL Axiata</v>
      </c>
      <c r="D250" s="28" t="str">
        <f t="shared" si="41"/>
        <v>IDR 3,070</v>
      </c>
      <c r="E250" s="28" t="str">
        <f t="shared" si="41"/>
        <v>IDR 4,500</v>
      </c>
      <c r="F250" s="29">
        <f t="shared" si="41"/>
        <v>0.46579804560260585</v>
      </c>
      <c r="G250" s="28" t="str">
        <f t="shared" si="41"/>
        <v>Buy</v>
      </c>
      <c r="H250" s="30"/>
      <c r="I250" s="31">
        <f>XLAX!$D$42</f>
        <v>2.0130973461537067</v>
      </c>
      <c r="J250" s="31">
        <f>XLAX!$E$42</f>
        <v>1.9867785271591014</v>
      </c>
      <c r="K250" s="31">
        <f>XLAX!$F$42</f>
        <v>1.9297711787595393</v>
      </c>
      <c r="L250" s="31">
        <f>XLAX!$G$42</f>
        <v>1.8373873519296784</v>
      </c>
      <c r="M250" s="29">
        <f>XLAX!$H$42</f>
        <v>-9.8705887501655543E-3</v>
      </c>
      <c r="N250" s="40"/>
      <c r="O250" s="29">
        <f>(XLAX!$D$23/XLAX!$C$23)-1</f>
        <v>0.23501405974158063</v>
      </c>
      <c r="P250" s="29">
        <f>(XLAX!$E$23/XLAX!$D$23)-1</f>
        <v>0.11318471580854128</v>
      </c>
      <c r="Q250" s="29">
        <f>(XLAX!$F$23/XLAX!$E$23)-1</f>
        <v>4.3596209993451485E-2</v>
      </c>
      <c r="R250" s="29">
        <f>(XLAX!$G$23/XLAX!$F$23)-1</f>
        <v>4.3536302371558477E-2</v>
      </c>
      <c r="S250" s="29">
        <f>XLAX!$H$23</f>
        <v>6.6274680322998991E-2</v>
      </c>
      <c r="T250" s="30"/>
      <c r="U250" s="32" t="str">
        <f t="shared" si="42"/>
        <v>IDR 3,070</v>
      </c>
      <c r="V250" s="28" t="str">
        <f t="shared" si="42"/>
        <v>XL Axiata</v>
      </c>
      <c r="Z250" s="30"/>
    </row>
    <row r="251" spans="1:26" s="5" customFormat="1">
      <c r="B251" s="26"/>
      <c r="C251" s="35" t="str">
        <f>C200</f>
        <v>Agg. Emerging Asia Cellular</v>
      </c>
      <c r="D251" s="36"/>
      <c r="E251" s="36"/>
      <c r="F251" s="37"/>
      <c r="G251" s="36"/>
      <c r="H251" s="30"/>
      <c r="I251" s="38">
        <f>'EM ASIA CELLULAR'!$D$42</f>
        <v>2.9004753777056664</v>
      </c>
      <c r="J251" s="38">
        <f>'EM ASIA CELLULAR'!$E$42</f>
        <v>2.8744287730690687</v>
      </c>
      <c r="K251" s="38">
        <f>'EM ASIA CELLULAR'!$F$42</f>
        <v>2.8680914112845617</v>
      </c>
      <c r="L251" s="38">
        <f>'EM ASIA CELLULAR'!$G$42</f>
        <v>2.7583700209663404</v>
      </c>
      <c r="M251" s="39">
        <f>'EM ASIA CELLULAR'!$H$42</f>
        <v>-5.5258136463829266E-2</v>
      </c>
      <c r="N251" s="40"/>
      <c r="O251" s="39">
        <f>('EM ASIA CELLULAR'!$D$23/'EM ASIA CELLULAR'!$C$23)-1</f>
        <v>1.2287278343899199E-2</v>
      </c>
      <c r="P251" s="39">
        <f>('EM ASIA CELLULAR'!$E$23/'EM ASIA CELLULAR'!$D$23)-1</f>
        <v>3.4680919667959831E-2</v>
      </c>
      <c r="Q251" s="39">
        <f>('EM ASIA CELLULAR'!$F$23/'EM ASIA CELLULAR'!$E$23)-1</f>
        <v>3.8734384051767545E-2</v>
      </c>
      <c r="R251" s="39">
        <f>('EM ASIA CELLULAR'!$G$23/'EM ASIA CELLULAR'!$F$23)-1</f>
        <v>3.9967681428427548E-2</v>
      </c>
      <c r="S251" s="39">
        <f>'EM ASIA CELLULAR'!$H$23</f>
        <v>3.7791869196546202E-2</v>
      </c>
      <c r="T251" s="30"/>
      <c r="U251" s="41"/>
      <c r="V251" s="42" t="str">
        <f>V200</f>
        <v>Agg. Emerging Asia Cellular</v>
      </c>
      <c r="Z251" s="30"/>
    </row>
    <row r="252" spans="1:26" s="5" customFormat="1">
      <c r="B252" s="26"/>
      <c r="C252" s="27"/>
      <c r="D252" s="28"/>
      <c r="E252" s="28"/>
      <c r="F252" s="52"/>
      <c r="G252" s="28"/>
      <c r="H252" s="30"/>
      <c r="I252" s="46"/>
      <c r="J252" s="46"/>
      <c r="K252" s="46"/>
      <c r="L252" s="46"/>
      <c r="M252" s="45"/>
      <c r="N252" s="30"/>
      <c r="O252" s="45"/>
      <c r="P252" s="45"/>
      <c r="Q252" s="45"/>
      <c r="R252" s="45"/>
      <c r="S252" s="45"/>
      <c r="T252" s="30"/>
      <c r="U252" s="32"/>
      <c r="V252" s="34"/>
      <c r="Z252" s="30"/>
    </row>
    <row r="253" spans="1:26" s="5" customFormat="1">
      <c r="B253" s="26"/>
      <c r="C253" s="35" t="str">
        <f>C202</f>
        <v>Agg. Emerging  Cellular</v>
      </c>
      <c r="D253" s="36"/>
      <c r="E253" s="36"/>
      <c r="F253" s="37"/>
      <c r="G253" s="36"/>
      <c r="H253" s="30"/>
      <c r="I253" s="38">
        <f>'EM CELLULAR'!$D$42</f>
        <v>2.8476078348824898</v>
      </c>
      <c r="J253" s="38">
        <f>'EM CELLULAR'!$E$42</f>
        <v>2.7389386672761598</v>
      </c>
      <c r="K253" s="38">
        <f>'EM CELLULAR'!$F$42</f>
        <v>2.6614191649071781</v>
      </c>
      <c r="L253" s="38">
        <f>'EM CELLULAR'!$G$42</f>
        <v>2.498938826921691</v>
      </c>
      <c r="M253" s="39">
        <f>'EM CELLULAR'!$H$42</f>
        <v>-2.5687917394514592E-2</v>
      </c>
      <c r="N253" s="30"/>
      <c r="O253" s="39">
        <f>('EM CELLULAR'!$D$23/'EM CELLULAR'!$C$23)-1</f>
        <v>2.7982465244399402E-2</v>
      </c>
      <c r="P253" s="39">
        <f>('EM CELLULAR'!$E$23/'EM CELLULAR'!$D$23)-1</f>
        <v>6.321785092157528E-2</v>
      </c>
      <c r="Q253" s="39">
        <f>('EM CELLULAR'!$F$23/'EM CELLULAR'!$E$23)-1</f>
        <v>4.9969543068185018E-2</v>
      </c>
      <c r="R253" s="39">
        <f>('EM CELLULAR'!$G$23/'EM CELLULAR'!$F$23)-1</f>
        <v>4.7237649793372638E-2</v>
      </c>
      <c r="S253" s="39">
        <f>'EM CELLULAR'!$H$23</f>
        <v>5.3451961576052032E-2</v>
      </c>
      <c r="T253" s="30"/>
      <c r="U253" s="41"/>
      <c r="V253" s="42" t="str">
        <f>V202</f>
        <v>Agg. Emerging  Cellular</v>
      </c>
      <c r="Z253" s="30"/>
    </row>
    <row r="254" spans="1:26" s="5" customFormat="1">
      <c r="A254" s="23"/>
      <c r="B254" s="26"/>
      <c r="C254" s="27"/>
      <c r="D254" s="28"/>
      <c r="E254" s="28"/>
      <c r="F254" s="29"/>
      <c r="G254" s="28"/>
      <c r="H254" s="30"/>
      <c r="I254" s="31"/>
      <c r="J254" s="31"/>
      <c r="K254" s="31"/>
      <c r="L254" s="31"/>
      <c r="M254" s="29"/>
      <c r="N254" s="30"/>
      <c r="O254" s="29"/>
      <c r="P254" s="29"/>
      <c r="Q254" s="29"/>
      <c r="R254" s="29"/>
      <c r="S254" s="29"/>
      <c r="T254" s="30"/>
      <c r="U254" s="32"/>
      <c r="V254" s="34"/>
      <c r="Z254" s="30"/>
    </row>
    <row r="255" spans="1:26" s="5" customFormat="1">
      <c r="A255" s="23"/>
      <c r="B255" s="26"/>
      <c r="C255" s="51" t="str">
        <f>C204</f>
        <v>Agg. EMEA sector</v>
      </c>
      <c r="D255" s="36"/>
      <c r="E255" s="36"/>
      <c r="F255" s="37"/>
      <c r="G255" s="36"/>
      <c r="H255" s="30"/>
      <c r="I255" s="38">
        <f>'EMEA AGG'!$D$42</f>
        <v>3.2594845164113617</v>
      </c>
      <c r="J255" s="38">
        <f>'EMEA AGG'!$E$42</f>
        <v>2.7593129191981953</v>
      </c>
      <c r="K255" s="38">
        <f>'EMEA AGG'!$F$42</f>
        <v>2.4319311799132723</v>
      </c>
      <c r="L255" s="38">
        <f>'EMEA AGG'!$G$42</f>
        <v>2.1027645091274914</v>
      </c>
      <c r="M255" s="39">
        <f>'EMEA AGG'!$H$42</f>
        <v>9.004402418470403E-2</v>
      </c>
      <c r="N255" s="40"/>
      <c r="O255" s="39">
        <f>('EMEA AGG'!$D$23/'EMEA AGG'!$C$23)-1</f>
        <v>0.13872072109925426</v>
      </c>
      <c r="P255" s="39">
        <f>('EMEA AGG'!$E$23/'EMEA AGG'!$D$23)-1</f>
        <v>0.21027918887479213</v>
      </c>
      <c r="Q255" s="39">
        <f>('EMEA AGG'!$F$23/'EMEA AGG'!$E$23)-1</f>
        <v>0.11203780011669595</v>
      </c>
      <c r="R255" s="39">
        <f>('EMEA AGG'!$G$23/'EMEA AGG'!$F$23)-1</f>
        <v>9.0905245435966231E-2</v>
      </c>
      <c r="S255" s="39">
        <f>'EMEA AGG'!$H$23</f>
        <v>0.13657312279124967</v>
      </c>
      <c r="T255" s="30"/>
      <c r="U255" s="41"/>
      <c r="V255" s="42" t="str">
        <f>V204</f>
        <v>Agg. EMEA sector</v>
      </c>
      <c r="Z255" s="30"/>
    </row>
    <row r="256" spans="1:26">
      <c r="C256" s="25" t="str">
        <f>C205</f>
        <v>Agg. LatAm sector</v>
      </c>
      <c r="D256" s="28"/>
      <c r="E256" s="28"/>
      <c r="F256" s="29"/>
      <c r="G256" s="28"/>
      <c r="H256" s="30"/>
      <c r="I256" s="44">
        <f>'LATAM AGG'!$D$42</f>
        <v>2.8041933003660917</v>
      </c>
      <c r="J256" s="44">
        <f>'LATAM AGG'!$E$42</f>
        <v>2.6541309342053414</v>
      </c>
      <c r="K256" s="44">
        <f>'LATAM AGG'!$F$42</f>
        <v>2.591035987626225</v>
      </c>
      <c r="L256" s="44">
        <f>'LATAM AGG'!$G$42</f>
        <v>2.5123111059371652</v>
      </c>
      <c r="M256" s="43">
        <f>'LATAM AGG'!$H$42</f>
        <v>-3.077545257662806E-2</v>
      </c>
      <c r="N256" s="40"/>
      <c r="O256" s="43">
        <f>('LATAM AGG'!$D$23/'LATAM AGG'!$C$23)-1</f>
        <v>4.1633256494517212E-2</v>
      </c>
      <c r="P256" s="43">
        <f>('LATAM AGG'!$E$23/'LATAM AGG'!$D$23)-1</f>
        <v>0.10368018585302252</v>
      </c>
      <c r="Q256" s="43">
        <f>('LATAM AGG'!$F$23/'LATAM AGG'!$E$23)-1</f>
        <v>3.3107477999664736E-2</v>
      </c>
      <c r="R256" s="43">
        <f>('LATAM AGG'!$G$23/'LATAM AGG'!$F$23)-1</f>
        <v>2.7074410893848322E-2</v>
      </c>
      <c r="S256" s="43">
        <f>'LATAM AGG'!$H$23</f>
        <v>5.4055681128372557E-2</v>
      </c>
      <c r="T256" s="30"/>
      <c r="U256" s="32"/>
      <c r="V256" s="34" t="str">
        <f>V205</f>
        <v>Agg. LatAm sector</v>
      </c>
      <c r="Z256" s="30"/>
    </row>
    <row r="257" spans="1:29" s="5" customFormat="1">
      <c r="A257" s="23"/>
      <c r="B257" s="26"/>
      <c r="C257" s="51" t="str">
        <f>C206</f>
        <v>Agg. Emerging Asia sector</v>
      </c>
      <c r="D257" s="36"/>
      <c r="E257" s="36"/>
      <c r="F257" s="37"/>
      <c r="G257" s="36"/>
      <c r="H257" s="30"/>
      <c r="I257" s="38">
        <f>'AGG EM ASIA'!$D$42</f>
        <v>1.9849054569829654</v>
      </c>
      <c r="J257" s="38">
        <f>'AGG EM ASIA'!$E$42</f>
        <v>1.9705025802950513</v>
      </c>
      <c r="K257" s="38">
        <f>'AGG EM ASIA'!$F$42</f>
        <v>2.000887747985745</v>
      </c>
      <c r="L257" s="38">
        <f>'AGG EM ASIA'!$G$42</f>
        <v>1.9401623849424656</v>
      </c>
      <c r="M257" s="39">
        <f>'AGG EM ASIA'!$H$42</f>
        <v>-6.4357136904132584E-2</v>
      </c>
      <c r="N257" s="40"/>
      <c r="O257" s="39">
        <f>('AGG EM ASIA'!$D$23/'AGG EM ASIA'!$C$23)-1</f>
        <v>1.5139394675952378E-2</v>
      </c>
      <c r="P257" s="39">
        <f>('AGG EM ASIA'!$E$23/'AGG EM ASIA'!$D$23)-1</f>
        <v>3.0327421753684858E-2</v>
      </c>
      <c r="Q257" s="39">
        <f>('AGG EM ASIA'!$F$23/'AGG EM ASIA'!$E$23)-1</f>
        <v>3.382508424906705E-2</v>
      </c>
      <c r="R257" s="39">
        <f>('AGG EM ASIA'!$G$23/'AGG EM ASIA'!$F$23)-1</f>
        <v>3.4712405447019812E-2</v>
      </c>
      <c r="S257" s="39">
        <f>'AGG EM ASIA'!$H$23</f>
        <v>3.2953234769394157E-2</v>
      </c>
      <c r="T257" s="30"/>
      <c r="U257" s="41"/>
      <c r="V257" s="42" t="str">
        <f>V206</f>
        <v>Agg. Emerging Asia sector</v>
      </c>
      <c r="Z257" s="30"/>
    </row>
    <row r="258" spans="1:29">
      <c r="C258" s="25"/>
      <c r="D258" s="28"/>
      <c r="E258" s="28"/>
      <c r="F258" s="29"/>
      <c r="G258" s="28"/>
      <c r="H258" s="30"/>
      <c r="I258" s="44"/>
      <c r="J258" s="44"/>
      <c r="K258" s="44"/>
      <c r="L258" s="44"/>
      <c r="M258" s="43"/>
      <c r="N258" s="40"/>
      <c r="O258" s="43"/>
      <c r="P258" s="43"/>
      <c r="Q258" s="43"/>
      <c r="R258" s="43"/>
      <c r="S258" s="43"/>
      <c r="T258" s="30"/>
      <c r="U258" s="32"/>
      <c r="V258" s="34"/>
      <c r="Z258" s="30"/>
    </row>
    <row r="259" spans="1:29">
      <c r="C259" s="51" t="str">
        <f>C208</f>
        <v>Agg. Global EM sector</v>
      </c>
      <c r="D259" s="36"/>
      <c r="E259" s="36"/>
      <c r="F259" s="37"/>
      <c r="G259" s="36"/>
      <c r="H259" s="30"/>
      <c r="I259" s="38">
        <f>'AGG EM'!$D$42</f>
        <v>2.2195187033997015</v>
      </c>
      <c r="J259" s="38">
        <f>'AGG EM'!$E$42</f>
        <v>2.1610684054419442</v>
      </c>
      <c r="K259" s="38">
        <f>'AGG EM'!$F$42</f>
        <v>2.1481258120972373</v>
      </c>
      <c r="L259" s="38">
        <f>'AGG EM'!$G$42</f>
        <v>2.0595828850607751</v>
      </c>
      <c r="M259" s="39">
        <f>'AGG EM'!$H$42</f>
        <v>-4.5199630283956016E-2</v>
      </c>
      <c r="N259" s="40"/>
      <c r="O259" s="39">
        <f>('AGG EM'!$D$23/'AGG EM'!$C$23)-1</f>
        <v>2.7432130981939862E-2</v>
      </c>
      <c r="P259" s="39">
        <f>('AGG EM'!$E$23/'AGG EM'!$D$23)-1</f>
        <v>5.53249862570524E-2</v>
      </c>
      <c r="Q259" s="39">
        <f>('AGG EM'!$F$23/'AGG EM'!$E$23)-1</f>
        <v>4.011126641470586E-2</v>
      </c>
      <c r="R259" s="39">
        <f>('AGG EM'!$G$23/'AGG EM'!$F$23)-1</f>
        <v>3.8323701685950118E-2</v>
      </c>
      <c r="S259" s="39">
        <f>'AGG EM'!$H$23</f>
        <v>4.4558890265639972E-2</v>
      </c>
      <c r="T259" s="30"/>
      <c r="U259" s="41"/>
      <c r="V259" s="42" t="str">
        <f>V208</f>
        <v>Agg. Global EM sector (ex-consensus)</v>
      </c>
      <c r="Z259" s="30"/>
    </row>
    <row r="260" spans="1:29" s="5" customFormat="1">
      <c r="A260" s="23"/>
      <c r="B260" s="26"/>
      <c r="C260" s="23"/>
      <c r="D260" s="23"/>
      <c r="H260" s="23"/>
      <c r="I260" s="23"/>
      <c r="J260" s="23"/>
      <c r="K260" s="23"/>
      <c r="L260" s="23"/>
      <c r="M260" s="53"/>
      <c r="N260" s="23"/>
      <c r="O260" s="137"/>
      <c r="P260" s="137"/>
      <c r="Q260" s="137"/>
      <c r="R260" s="137"/>
      <c r="S260" s="53"/>
      <c r="T260" s="30"/>
      <c r="V260" s="47"/>
      <c r="Z260" s="30"/>
    </row>
    <row r="261" spans="1:29" s="5" customFormat="1">
      <c r="A261" s="23"/>
      <c r="B261" s="26"/>
      <c r="C261" s="23"/>
      <c r="D261" s="23"/>
      <c r="H261" s="23"/>
      <c r="I261" s="23"/>
      <c r="J261" s="23"/>
      <c r="K261" s="23"/>
      <c r="L261" s="23"/>
      <c r="M261" s="53"/>
      <c r="N261" s="23"/>
      <c r="O261" s="137"/>
      <c r="P261" s="137"/>
      <c r="Q261" s="137"/>
      <c r="R261" s="137"/>
      <c r="S261" s="53"/>
      <c r="T261" s="30"/>
      <c r="V261" s="47"/>
      <c r="Z261" s="30"/>
    </row>
    <row r="262" spans="1:29" s="25" customFormat="1">
      <c r="B262" s="113"/>
      <c r="C262" s="130"/>
      <c r="D262" s="131" t="s">
        <v>379</v>
      </c>
      <c r="E262" s="131" t="s">
        <v>50</v>
      </c>
      <c r="F262" s="131" t="s">
        <v>52</v>
      </c>
      <c r="G262" s="131" t="s">
        <v>49</v>
      </c>
      <c r="H262" s="105"/>
      <c r="I262" s="132" t="s">
        <v>385</v>
      </c>
      <c r="J262" s="132"/>
      <c r="K262" s="132"/>
      <c r="L262" s="132"/>
      <c r="M262" s="132"/>
      <c r="N262" s="30"/>
      <c r="O262" s="132" t="s">
        <v>386</v>
      </c>
      <c r="P262" s="132"/>
      <c r="Q262" s="132"/>
      <c r="R262" s="132"/>
      <c r="S262" s="132"/>
      <c r="T262" s="30"/>
      <c r="U262" s="133" t="s">
        <v>379</v>
      </c>
      <c r="V262" s="131"/>
      <c r="Z262" s="33"/>
      <c r="AC262" s="106"/>
    </row>
    <row r="263" spans="1:29" s="5" customFormat="1">
      <c r="A263" s="25" t="s">
        <v>415</v>
      </c>
      <c r="B263" s="26"/>
      <c r="C263" s="32" t="str">
        <f t="shared" ref="C263:G264" si="43">C212</f>
        <v>America Movil</v>
      </c>
      <c r="D263" s="28" t="str">
        <f t="shared" si="43"/>
        <v>USD 22.8</v>
      </c>
      <c r="E263" s="28" t="str">
        <f t="shared" si="43"/>
        <v>USD 24.0</v>
      </c>
      <c r="F263" s="29">
        <f t="shared" si="43"/>
        <v>5.2631578947368363E-2</v>
      </c>
      <c r="G263" s="28" t="str">
        <f t="shared" si="43"/>
        <v>Buy</v>
      </c>
      <c r="H263" s="30"/>
      <c r="I263" s="29">
        <f>(AMX!$D$24/AMX!$C$24)-1</f>
        <v>4.3671875000000027E-2</v>
      </c>
      <c r="J263" s="29">
        <f>(AMX!$E$24/AMX!$D$24)-1</f>
        <v>0.11947194719471965</v>
      </c>
      <c r="K263" s="29">
        <f>(AMX!$F$24/AMX!$E$24)-1</f>
        <v>2.941176470588247E-2</v>
      </c>
      <c r="L263" s="29">
        <f>(AMX!$G$24/AMX!$F$24)-1</f>
        <v>2.4509803921568318E-2</v>
      </c>
      <c r="M263" s="29">
        <f>AMX!$H$24</f>
        <v>5.6913601792575985E-2</v>
      </c>
      <c r="N263" s="30"/>
      <c r="O263" s="29">
        <f>(AMX!$D$25/AMX!$C$25)-1</f>
        <v>7.8799343443870518E-2</v>
      </c>
      <c r="P263" s="29">
        <f>(AMX!$E$25/AMX!$D$25)-1</f>
        <v>9.7697192757994156E-2</v>
      </c>
      <c r="Q263" s="29">
        <f>(AMX!$F$25/AMX!$E$25)-1</f>
        <v>3.1458752274974078E-2</v>
      </c>
      <c r="R263" s="29">
        <f>(AMX!$G$25/AMX!$F$25)-1</f>
        <v>5.8251088813698892E-2</v>
      </c>
      <c r="S263" s="29">
        <f>AMX!$H$25</f>
        <v>6.2121942226958327E-2</v>
      </c>
      <c r="T263" s="30"/>
      <c r="U263" s="32" t="str">
        <f>U212</f>
        <v>USD 22.8</v>
      </c>
      <c r="V263" s="28" t="str">
        <f>V212</f>
        <v>America Movil</v>
      </c>
      <c r="Z263" s="30"/>
    </row>
    <row r="264" spans="1:29" s="5" customFormat="1">
      <c r="B264" s="26"/>
      <c r="C264" s="32" t="str">
        <f t="shared" si="43"/>
        <v>Vivo</v>
      </c>
      <c r="D264" s="28" t="str">
        <f t="shared" si="43"/>
        <v>BRL 39.88</v>
      </c>
      <c r="E264" s="28" t="str">
        <f t="shared" si="43"/>
        <v>BRL 43.00</v>
      </c>
      <c r="F264" s="29">
        <f t="shared" si="43"/>
        <v>7.8234704112337017E-2</v>
      </c>
      <c r="G264" s="28" t="str">
        <f t="shared" si="43"/>
        <v>Buy</v>
      </c>
      <c r="H264" s="30"/>
      <c r="I264" s="29">
        <f>(VIVO!$D$24/VIVO!$C$24)-1</f>
        <v>8.430216305978E-2</v>
      </c>
      <c r="J264" s="29">
        <f>(VIVO!$E$24/VIVO!$D$24)-1</f>
        <v>0.15486099436559742</v>
      </c>
      <c r="K264" s="29">
        <f>(VIVO!$F$24/VIVO!$E$24)-1</f>
        <v>7.056492105638279E-2</v>
      </c>
      <c r="L264" s="29">
        <f>(VIVO!$G$24/VIVO!$F$24)-1</f>
        <v>4.3041613043616644E-2</v>
      </c>
      <c r="M264" s="29">
        <f>VIVO!$H$24</f>
        <v>8.8465794746057869E-2</v>
      </c>
      <c r="N264" s="30"/>
      <c r="O264" s="29">
        <f>(VIVO!$D$25/VIVO!$C$25)-1</f>
        <v>0.12305072914060489</v>
      </c>
      <c r="P264" s="29">
        <f>(VIVO!$E$25/VIVO!$D$25)-1</f>
        <v>0.23347966278818766</v>
      </c>
      <c r="Q264" s="29">
        <f>(VIVO!$F$25/VIVO!$E$25)-1</f>
        <v>0.10213916176632254</v>
      </c>
      <c r="R264" s="29">
        <f>(VIVO!$G$25/VIVO!$F$25)-1</f>
        <v>6.1740210520808914E-2</v>
      </c>
      <c r="S264" s="29">
        <f>VIVO!$H$25</f>
        <v>0.13013128543653152</v>
      </c>
      <c r="T264" s="30"/>
      <c r="U264" s="32" t="str">
        <f>U213</f>
        <v>BRL 39.88</v>
      </c>
      <c r="V264" s="28" t="str">
        <f>V213</f>
        <v>Telefonica Brasil</v>
      </c>
      <c r="Z264" s="30"/>
    </row>
    <row r="265" spans="1:29" s="5" customFormat="1">
      <c r="B265" s="26"/>
      <c r="C265" s="32" t="s">
        <v>561</v>
      </c>
      <c r="D265" s="28" t="str">
        <f>D214</f>
        <v>USD 3.1</v>
      </c>
      <c r="E265" s="28" t="str">
        <f>E214</f>
        <v>USD 3.7</v>
      </c>
      <c r="F265" s="29">
        <f>F214</f>
        <v>0.21311475409836089</v>
      </c>
      <c r="G265" s="28" t="str">
        <f>G214</f>
        <v>Neutral</v>
      </c>
      <c r="H265" s="30"/>
      <c r="I265" s="29">
        <f>(TVIS!$D$24/TVIS!$C$24)-1</f>
        <v>0.17552733535158405</v>
      </c>
      <c r="J265" s="29">
        <f>(TVIS!$E$24/TVIS!$D$24)-1</f>
        <v>-1.5937591886215796E-2</v>
      </c>
      <c r="K265" s="29">
        <f>(TVIS!$F$24/TVIS!$E$24)-1</f>
        <v>-4.655999769191288E-3</v>
      </c>
      <c r="L265" s="29">
        <f>(TVIS!$G$24/TVIS!$F$24)-1</f>
        <v>9.9232652797018872E-3</v>
      </c>
      <c r="M265" s="29">
        <f>TVIS!$H$24</f>
        <v>-3.6129511168252471E-3</v>
      </c>
      <c r="N265" s="30"/>
      <c r="O265" s="29">
        <f>(TVIS!$D$25/TVIS!$C$25)-1</f>
        <v>6.2639304518137484E-2</v>
      </c>
      <c r="P265" s="29">
        <f>(TVIS!$E$25/TVIS!$D$25)-1</f>
        <v>-1.7802687570688813E-2</v>
      </c>
      <c r="Q265" s="29">
        <f>(TVIS!$F$25/TVIS!$E$25)-1</f>
        <v>2.5219530375225618E-2</v>
      </c>
      <c r="R265" s="29">
        <f>(TVIS!$G$25/TVIS!$F$25)-1</f>
        <v>4.2330019988386258E-2</v>
      </c>
      <c r="S265" s="29">
        <f>TVIS!$H$25</f>
        <v>1.6264962481800982E-2</v>
      </c>
      <c r="T265" s="30"/>
      <c r="U265" s="32" t="str">
        <f>U214</f>
        <v>USD 3.1</v>
      </c>
      <c r="V265" s="28" t="s">
        <v>561</v>
      </c>
      <c r="Z265" s="30"/>
    </row>
    <row r="266" spans="1:29" s="5" customFormat="1">
      <c r="B266" s="26"/>
      <c r="C266" s="35" t="str">
        <f>C215</f>
        <v>Agg. LatAm Incumbent</v>
      </c>
      <c r="D266" s="36"/>
      <c r="E266" s="36"/>
      <c r="F266" s="37"/>
      <c r="G266" s="36"/>
      <c r="H266" s="30"/>
      <c r="I266" s="39">
        <f>('LATAM INCUMB'!$D$24/'LATAM INCUMB'!$C$24)-1</f>
        <v>5.6107893190625369E-2</v>
      </c>
      <c r="J266" s="39">
        <f>('LATAM INCUMB'!$E$24/'LATAM INCUMB'!$D$24)-1</f>
        <v>0.12084538688937063</v>
      </c>
      <c r="K266" s="39">
        <f>('LATAM INCUMB'!$F$24/'LATAM INCUMB'!$E$24)-1</f>
        <v>3.640213592606778E-2</v>
      </c>
      <c r="L266" s="39">
        <f>('LATAM INCUMB'!$G$24/'LATAM INCUMB'!$F$24)-1</f>
        <v>2.7826603882056933E-2</v>
      </c>
      <c r="M266" s="39">
        <f>'LATAM INCUMB'!$H$24</f>
        <v>6.0875991046259958E-2</v>
      </c>
      <c r="N266" s="40"/>
      <c r="O266" s="39">
        <f>('LATAM INCUMB'!$D$25/'LATAM INCUMB'!$C$25)-1</f>
        <v>8.6304325138204963E-2</v>
      </c>
      <c r="P266" s="39">
        <f>('LATAM INCUMB'!$E$25/'LATAM INCUMB'!$D$25)-1</f>
        <v>0.11975504874163945</v>
      </c>
      <c r="Q266" s="39">
        <f>('LATAM INCUMB'!$F$25/'LATAM INCUMB'!$E$25)-1</f>
        <v>4.579173125419489E-2</v>
      </c>
      <c r="R266" s="39">
        <f>('LATAM INCUMB'!$G$25/'LATAM INCUMB'!$F$25)-1</f>
        <v>5.8625001756976491E-2</v>
      </c>
      <c r="S266" s="39">
        <f>'LATAM INCUMB'!$H$25</f>
        <v>7.4245294052326605E-2</v>
      </c>
      <c r="T266" s="30"/>
      <c r="U266" s="41"/>
      <c r="V266" s="42" t="str">
        <f>V215</f>
        <v>Agg. LatAm Incumbent</v>
      </c>
      <c r="Z266" s="30"/>
    </row>
    <row r="267" spans="1:29" s="5" customFormat="1">
      <c r="A267" s="23"/>
      <c r="B267" s="26"/>
      <c r="C267" s="32"/>
      <c r="D267" s="28"/>
      <c r="E267" s="28"/>
      <c r="F267" s="29"/>
      <c r="G267" s="28"/>
      <c r="H267" s="30"/>
      <c r="I267" s="29"/>
      <c r="J267" s="29"/>
      <c r="K267" s="29"/>
      <c r="L267" s="29"/>
      <c r="M267" s="29"/>
      <c r="N267" s="40"/>
      <c r="O267" s="29"/>
      <c r="P267" s="29"/>
      <c r="Q267" s="29"/>
      <c r="R267" s="29"/>
      <c r="S267" s="29"/>
      <c r="T267" s="30"/>
      <c r="U267" s="32"/>
      <c r="V267" s="34"/>
      <c r="Z267" s="30"/>
    </row>
    <row r="268" spans="1:29" s="5" customFormat="1">
      <c r="B268" s="26"/>
      <c r="C268" s="32" t="str">
        <f t="shared" ref="C268:G271" si="44">C217</f>
        <v>China Telecom</v>
      </c>
      <c r="D268" s="28" t="str">
        <f t="shared" si="44"/>
        <v>HKD 5.01</v>
      </c>
      <c r="E268" s="28" t="str">
        <f t="shared" si="44"/>
        <v>HKD 8.75</v>
      </c>
      <c r="F268" s="29">
        <f t="shared" si="44"/>
        <v>0.7465069860279443</v>
      </c>
      <c r="G268" s="28" t="str">
        <f t="shared" si="44"/>
        <v>Buy</v>
      </c>
      <c r="H268" s="30"/>
      <c r="I268" s="135">
        <f>(_CT!$D$24/_CT!$C$24)-1</f>
        <v>4.7638322180646009E-2</v>
      </c>
      <c r="J268" s="135">
        <f>(_CT!$E$24/_CT!$D$24)-1</f>
        <v>3.3469289188068574E-2</v>
      </c>
      <c r="K268" s="135">
        <f>(_CT!$F$24/_CT!$E$24)-1</f>
        <v>2.8314515688841801E-2</v>
      </c>
      <c r="L268" s="135">
        <f>(_CT!$G$24/_CT!$F$24)-1</f>
        <v>3.4523445408028541E-2</v>
      </c>
      <c r="M268" s="29">
        <f>_CT!$H$24</f>
        <v>3.2098847625984472E-2</v>
      </c>
      <c r="N268" s="40"/>
      <c r="O268" s="135">
        <f>(_CT!$D$25/_CT!$C$25)-1</f>
        <v>0.3708279400661656</v>
      </c>
      <c r="P268" s="135">
        <f>(_CT!$E$25/_CT!$D$25)-1</f>
        <v>0.1200957451241027</v>
      </c>
      <c r="Q268" s="135">
        <f>(_CT!$F$25/_CT!$E$25)-1</f>
        <v>8.2685488975601684E-2</v>
      </c>
      <c r="R268" s="135">
        <f>(_CT!$G$25/_CT!$F$25)-1</f>
        <v>8.0129135148709452E-2</v>
      </c>
      <c r="S268" s="135">
        <f>_CT!$H$25</f>
        <v>9.4152141692996238E-2</v>
      </c>
      <c r="T268" s="30"/>
      <c r="U268" s="32" t="str">
        <f t="shared" ref="U268:V271" si="45">U217</f>
        <v>HKD 5.01</v>
      </c>
      <c r="V268" s="28" t="str">
        <f t="shared" si="45"/>
        <v>China Telecom</v>
      </c>
      <c r="Z268" s="30"/>
    </row>
    <row r="269" spans="1:29" s="5" customFormat="1">
      <c r="B269" s="26"/>
      <c r="C269" s="32" t="str">
        <f t="shared" si="44"/>
        <v>China Unicom</v>
      </c>
      <c r="D269" s="28" t="str">
        <f t="shared" si="44"/>
        <v>HKD 7.26</v>
      </c>
      <c r="E269" s="28" t="str">
        <f t="shared" si="44"/>
        <v>HKD 13.20</v>
      </c>
      <c r="F269" s="29">
        <f t="shared" si="44"/>
        <v>0.81818181818181812</v>
      </c>
      <c r="G269" s="28" t="str">
        <f t="shared" si="44"/>
        <v>Buy</v>
      </c>
      <c r="H269" s="30"/>
      <c r="I269" s="135">
        <f>(_CU!$D$24/_CU!$C$24)-1</f>
        <v>-1.0284372695624433E-2</v>
      </c>
      <c r="J269" s="135">
        <f>(_CU!$E$24/_CU!$D$24)-1</f>
        <v>7.8662401254623315E-3</v>
      </c>
      <c r="K269" s="135">
        <f>(_CU!$F$24/_CU!$E$24)-1</f>
        <v>2.0164503089311614E-2</v>
      </c>
      <c r="L269" s="135">
        <f>(_CU!$G$24/_CU!$F$24)-1</f>
        <v>2.6216771889160384E-2</v>
      </c>
      <c r="M269" s="29">
        <f>_CU!$H$24</f>
        <v>1.8053820733962223E-2</v>
      </c>
      <c r="N269" s="40"/>
      <c r="O269" s="135">
        <f>(_CU!$D$25/_CU!$C$25)-1</f>
        <v>0.10263379186934873</v>
      </c>
      <c r="P269" s="135">
        <f>(_CU!$E$25/_CU!$D$25)-1</f>
        <v>9.2143853639884865E-2</v>
      </c>
      <c r="Q269" s="135">
        <f>(_CU!$F$25/_CU!$E$25)-1</f>
        <v>7.3285457862473313E-2</v>
      </c>
      <c r="R269" s="135">
        <f>(_CU!$G$25/_CU!$F$25)-1</f>
        <v>8.1747694063806442E-2</v>
      </c>
      <c r="S269" s="135">
        <f>_CU!$H$25</f>
        <v>8.2364874161363621E-2</v>
      </c>
      <c r="T269" s="30"/>
      <c r="U269" s="32" t="str">
        <f t="shared" si="45"/>
        <v>HKD 7.26</v>
      </c>
      <c r="V269" s="28" t="str">
        <f t="shared" si="45"/>
        <v>China Unicom</v>
      </c>
      <c r="Z269" s="30"/>
    </row>
    <row r="270" spans="1:29" s="5" customFormat="1">
      <c r="A270" s="23"/>
      <c r="B270" s="26"/>
      <c r="C270" s="32" t="str">
        <f t="shared" si="44"/>
        <v>KT Corp</v>
      </c>
      <c r="D270" s="28" t="str">
        <f t="shared" si="44"/>
        <v>KRW 61,700</v>
      </c>
      <c r="E270" s="28" t="str">
        <f t="shared" si="44"/>
        <v>KRW 105,000</v>
      </c>
      <c r="F270" s="29">
        <f t="shared" si="44"/>
        <v>0.70178282009724469</v>
      </c>
      <c r="G270" s="28" t="str">
        <f t="shared" si="44"/>
        <v>Buy</v>
      </c>
      <c r="H270" s="30"/>
      <c r="I270" s="29">
        <f>(_KT!$D$24/_KT!$C$24)-1</f>
        <v>0.38637602261541115</v>
      </c>
      <c r="J270" s="29">
        <f>(_KT!$E$24/_KT!$D$24)-1</f>
        <v>-2.6792477667659576E-2</v>
      </c>
      <c r="K270" s="29">
        <f>(_KT!$F$24/_KT!$E$24)-1</f>
        <v>3.1729507224954823E-2</v>
      </c>
      <c r="L270" s="29">
        <f>(_KT!$G$24/_KT!$F$24)-1</f>
        <v>3.1461726131518208E-2</v>
      </c>
      <c r="M270" s="29">
        <f>_KT!$H$24</f>
        <v>1.1753717224058491E-2</v>
      </c>
      <c r="N270" s="40"/>
      <c r="O270" s="29">
        <f>(_KT!$D$25/_KT!$C$25)-1</f>
        <v>1.2402664202084361</v>
      </c>
      <c r="P270" s="29">
        <f>(_KT!$E$25/_KT!$D$25)-1</f>
        <v>-4.511555979162496E-2</v>
      </c>
      <c r="Q270" s="29">
        <f>(_KT!$F$25/_KT!$E$25)-1</f>
        <v>5.2308361710810214E-2</v>
      </c>
      <c r="R270" s="29">
        <f>(_KT!$G$25/_KT!$F$25)-1</f>
        <v>5.1564582265462011E-2</v>
      </c>
      <c r="S270" s="29">
        <f>_KT!$H$25</f>
        <v>1.8536498064697149E-2</v>
      </c>
      <c r="T270" s="30"/>
      <c r="U270" s="32" t="str">
        <f t="shared" si="45"/>
        <v>KRW 61,700</v>
      </c>
      <c r="V270" s="28" t="str">
        <f t="shared" si="45"/>
        <v>KT Corp</v>
      </c>
      <c r="Z270" s="30"/>
    </row>
    <row r="271" spans="1:29" s="5" customFormat="1">
      <c r="A271" s="23"/>
      <c r="B271" s="26"/>
      <c r="C271" s="32" t="str">
        <f t="shared" si="44"/>
        <v>Telkom Indonesia</v>
      </c>
      <c r="D271" s="28" t="str">
        <f t="shared" si="44"/>
        <v>IDR 2,810</v>
      </c>
      <c r="E271" s="28" t="str">
        <f t="shared" si="44"/>
        <v>IDR 3,500</v>
      </c>
      <c r="F271" s="29">
        <f t="shared" si="44"/>
        <v>0.24555160142348753</v>
      </c>
      <c r="G271" s="28" t="str">
        <f t="shared" si="44"/>
        <v>Neutral</v>
      </c>
      <c r="H271" s="30"/>
      <c r="I271" s="135">
        <f>(PTT!$D$24/PTT!$C$24)-1</f>
        <v>-1.3679878654732969E-2</v>
      </c>
      <c r="J271" s="135">
        <f>(PTT!$E$24/PTT!$D$24)-1</f>
        <v>4.4528630326756469E-2</v>
      </c>
      <c r="K271" s="135">
        <f>(PTT!$F$24/PTT!$E$24)-1</f>
        <v>4.2015560559726106E-2</v>
      </c>
      <c r="L271" s="135">
        <f>(PTT!$G$24/PTT!$F$24)-1</f>
        <v>4.3126798972358049E-2</v>
      </c>
      <c r="M271" s="29">
        <f>PTT!$H$24</f>
        <v>4.3223156596814194E-2</v>
      </c>
      <c r="N271" s="40"/>
      <c r="O271" s="135">
        <f>(PTT!$D$25/PTT!$C$25)-1</f>
        <v>-3.4896446394008351E-2</v>
      </c>
      <c r="P271" s="135">
        <f>(PTT!$E$25/PTT!$D$25)-1</f>
        <v>2.0750865977549271E-2</v>
      </c>
      <c r="Q271" s="135">
        <f>(PTT!$F$25/PTT!$E$25)-1</f>
        <v>4.6326055886247941E-2</v>
      </c>
      <c r="R271" s="135">
        <f>(PTT!$G$25/PTT!$F$25)-1</f>
        <v>4.4245845896870195E-2</v>
      </c>
      <c r="S271" s="135">
        <f>PTT!$H$25</f>
        <v>3.7042411450392665E-2</v>
      </c>
      <c r="T271" s="30"/>
      <c r="U271" s="32" t="str">
        <f t="shared" si="45"/>
        <v>IDR 2,810</v>
      </c>
      <c r="V271" s="28" t="str">
        <f t="shared" si="45"/>
        <v>PT Telkom</v>
      </c>
      <c r="Z271" s="30"/>
    </row>
    <row r="272" spans="1:29" s="5" customFormat="1">
      <c r="A272" s="23"/>
      <c r="B272" s="26"/>
      <c r="C272" s="35" t="str">
        <f>C221</f>
        <v>Agg. Emerging Asia Incumbent</v>
      </c>
      <c r="D272" s="36"/>
      <c r="E272" s="36"/>
      <c r="F272" s="37"/>
      <c r="G272" s="36"/>
      <c r="H272" s="30"/>
      <c r="I272" s="39">
        <f>('EM ASIA INCUMB'!$D$24/'EM ASIA INCUMB'!$C$24)-1</f>
        <v>4.6689476537983055E-2</v>
      </c>
      <c r="J272" s="39">
        <f>('EM ASIA INCUMB'!$E$24/'EM ASIA INCUMB'!$D$24)-1</f>
        <v>2.0376482427679532E-2</v>
      </c>
      <c r="K272" s="39">
        <f>('EM ASIA INCUMB'!$F$24/'EM ASIA INCUMB'!$E$24)-1</f>
        <v>2.7390531431700227E-2</v>
      </c>
      <c r="L272" s="39">
        <f>('EM ASIA INCUMB'!$G$24/'EM ASIA INCUMB'!$F$24)-1</f>
        <v>3.2470797394318573E-2</v>
      </c>
      <c r="M272" s="39">
        <f>'EM ASIA INCUMB'!$H$24</f>
        <v>2.673395649564414E-2</v>
      </c>
      <c r="N272" s="40"/>
      <c r="O272" s="39">
        <f>('EM ASIA INCUMB'!$D$25/'EM ASIA INCUMB'!$C$25)-1</f>
        <v>0.26357365993324366</v>
      </c>
      <c r="P272" s="39">
        <f>('EM ASIA INCUMB'!$E$25/'EM ASIA INCUMB'!$D$25)-1</f>
        <v>7.9615164202970323E-2</v>
      </c>
      <c r="Q272" s="39">
        <f>('EM ASIA INCUMB'!$F$25/'EM ASIA INCUMB'!$E$25)-1</f>
        <v>7.2160937037111461E-2</v>
      </c>
      <c r="R272" s="39">
        <f>('EM ASIA INCUMB'!$G$25/'EM ASIA INCUMB'!$F$25)-1</f>
        <v>7.3298009342545933E-2</v>
      </c>
      <c r="S272" s="39">
        <f>'EM ASIA INCUMB'!$H$25</f>
        <v>7.501970939731506E-2</v>
      </c>
      <c r="T272" s="30"/>
      <c r="U272" s="41"/>
      <c r="V272" s="42" t="str">
        <f>V221</f>
        <v>Agg. Emerging Asia Incumbent</v>
      </c>
      <c r="Z272" s="30"/>
    </row>
    <row r="273" spans="1:26" s="5" customFormat="1">
      <c r="A273" s="23"/>
      <c r="B273" s="26"/>
      <c r="C273" s="27"/>
      <c r="D273" s="28"/>
      <c r="E273" s="28"/>
      <c r="F273" s="52"/>
      <c r="G273" s="28"/>
      <c r="H273" s="30"/>
      <c r="I273" s="45"/>
      <c r="J273" s="45"/>
      <c r="K273" s="45"/>
      <c r="L273" s="45"/>
      <c r="M273" s="45"/>
      <c r="N273" s="40"/>
      <c r="O273" s="45"/>
      <c r="P273" s="45"/>
      <c r="Q273" s="45"/>
      <c r="R273" s="45"/>
      <c r="S273" s="45"/>
      <c r="T273" s="30"/>
      <c r="U273" s="32"/>
      <c r="V273" s="34"/>
      <c r="Z273" s="30"/>
    </row>
    <row r="274" spans="1:26" s="5" customFormat="1">
      <c r="A274" s="23"/>
      <c r="B274" s="26"/>
      <c r="C274" s="35" t="str">
        <f>C223</f>
        <v>Agg. Emerging Incumbent</v>
      </c>
      <c r="D274" s="36"/>
      <c r="E274" s="36"/>
      <c r="F274" s="37"/>
      <c r="G274" s="36"/>
      <c r="H274" s="30"/>
      <c r="I274" s="39">
        <f>('EM INCUMB'!$D$24/'EM INCUMB'!$C$24)-1</f>
        <v>5.0098462171644265E-2</v>
      </c>
      <c r="J274" s="39">
        <f>('EM INCUMB'!$E$24/'EM INCUMB'!$D$24)-1</f>
        <v>5.694919768745077E-2</v>
      </c>
      <c r="K274" s="39">
        <f>('EM INCUMB'!$F$24/'EM INCUMB'!$E$24)-1</f>
        <v>3.0869249687939471E-2</v>
      </c>
      <c r="L274" s="39">
        <f>('EM INCUMB'!$G$24/'EM INCUMB'!$F$24)-1</f>
        <v>3.0668393341797495E-2</v>
      </c>
      <c r="M274" s="39">
        <f>'EM INCUMB'!$H$24</f>
        <v>3.9422751898065433E-2</v>
      </c>
      <c r="N274" s="40"/>
      <c r="O274" s="39">
        <f>('EM INCUMB'!$D$25/'EM INCUMB'!$C$25)-1</f>
        <v>0.17856823525452237</v>
      </c>
      <c r="P274" s="39">
        <f>('EM INCUMB'!$E$25/'EM INCUMB'!$D$25)-1</f>
        <v>9.7356483910661318E-2</v>
      </c>
      <c r="Q274" s="39">
        <f>('EM INCUMB'!$F$25/'EM INCUMB'!$E$25)-1</f>
        <v>6.0268190918134623E-2</v>
      </c>
      <c r="R274" s="39">
        <f>('EM INCUMB'!$G$25/'EM INCUMB'!$F$25)-1</f>
        <v>6.6770707266276874E-2</v>
      </c>
      <c r="S274" s="39">
        <f>'EM INCUMB'!$H$25</f>
        <v>7.4677565269395396E-2</v>
      </c>
      <c r="T274" s="30"/>
      <c r="U274" s="41"/>
      <c r="V274" s="42" t="str">
        <f>V223</f>
        <v>Agg. Emerging Incumbent</v>
      </c>
      <c r="Z274" s="30"/>
    </row>
    <row r="275" spans="1:26" s="5" customFormat="1">
      <c r="A275" s="23"/>
      <c r="B275" s="26"/>
      <c r="C275" s="27"/>
      <c r="D275" s="28"/>
      <c r="E275" s="28"/>
      <c r="F275" s="29"/>
      <c r="G275" s="28"/>
      <c r="H275" s="30"/>
      <c r="I275" s="29"/>
      <c r="J275" s="29"/>
      <c r="K275" s="29"/>
      <c r="L275" s="29"/>
      <c r="M275" s="29"/>
      <c r="N275" s="40"/>
      <c r="O275" s="29"/>
      <c r="P275" s="29"/>
      <c r="Q275" s="29"/>
      <c r="R275" s="29"/>
      <c r="S275" s="29"/>
      <c r="T275" s="30"/>
      <c r="U275" s="32"/>
      <c r="V275" s="34"/>
      <c r="Z275" s="30"/>
    </row>
    <row r="276" spans="1:26" s="5" customFormat="1">
      <c r="A276" s="25" t="s">
        <v>1091</v>
      </c>
      <c r="B276" s="26"/>
      <c r="C276" s="32" t="str">
        <f t="shared" ref="C276:G280" si="46">C225</f>
        <v>Airtel Africa</v>
      </c>
      <c r="D276" s="28" t="str">
        <f t="shared" si="46"/>
        <v>GBP3.60</v>
      </c>
      <c r="E276" s="28" t="str">
        <f t="shared" si="46"/>
        <v>GBP4.60</v>
      </c>
      <c r="F276" s="29">
        <f t="shared" si="46"/>
        <v>0.2791991101223581</v>
      </c>
      <c r="G276" s="28" t="str">
        <f t="shared" si="46"/>
        <v>Buy</v>
      </c>
      <c r="H276" s="30"/>
      <c r="I276" s="135">
        <f>(AAF!$D$24/AAF!$C$24)-1</f>
        <v>0.31803095439526796</v>
      </c>
      <c r="J276" s="135">
        <f>(AAF!$E$24/AAF!$D$24)-1</f>
        <v>0.33948084399077239</v>
      </c>
      <c r="K276" s="135">
        <f>(AAF!$F$24/AAF!$E$24)-1</f>
        <v>0.1786760941634471</v>
      </c>
      <c r="L276" s="135">
        <f>(AAF!$G$24/AAF!$F$24)-1</f>
        <v>0.14106722112405556</v>
      </c>
      <c r="M276" s="29">
        <f>AAF!$H$24</f>
        <v>0.21678562603739793</v>
      </c>
      <c r="N276" s="40"/>
      <c r="O276" s="135">
        <f>(AAF!$D$25/AAF!$C$25)-1</f>
        <v>0.35098555597010761</v>
      </c>
      <c r="P276" s="135">
        <f>(AAF!$E$25/AAF!$D$25)-1</f>
        <v>0.47659456286847868</v>
      </c>
      <c r="Q276" s="135">
        <f>(AAF!$F$25/AAF!$E$25)-1</f>
        <v>0.27604407184643009</v>
      </c>
      <c r="R276" s="135">
        <f>(AAF!$G$25/AAF!$F$25)-1</f>
        <v>0.17450066282641141</v>
      </c>
      <c r="S276" s="135">
        <f>AAF!$H$25</f>
        <v>0.3031469796818087</v>
      </c>
      <c r="T276" s="30"/>
      <c r="U276" s="32" t="str">
        <f t="shared" ref="U276:V280" si="47">U225</f>
        <v>GBP3.60</v>
      </c>
      <c r="V276" s="28" t="str">
        <f t="shared" si="47"/>
        <v>Airtel Africa</v>
      </c>
      <c r="Z276" s="30"/>
    </row>
    <row r="277" spans="1:26" s="5" customFormat="1">
      <c r="A277" s="23"/>
      <c r="B277" s="26"/>
      <c r="C277" s="32" t="str">
        <f t="shared" si="46"/>
        <v>MTN</v>
      </c>
      <c r="D277" s="28" t="str">
        <f t="shared" si="46"/>
        <v>ZAR 206.35</v>
      </c>
      <c r="E277" s="28" t="str">
        <f t="shared" si="46"/>
        <v>ZAR 280.00</v>
      </c>
      <c r="F277" s="29">
        <f t="shared" si="46"/>
        <v>0.35691785800823839</v>
      </c>
      <c r="G277" s="28" t="str">
        <f t="shared" si="46"/>
        <v>Buy</v>
      </c>
      <c r="H277" s="30"/>
      <c r="I277" s="135">
        <f>(MTN!$D$24/MTN!$C$24)-1</f>
        <v>0.75815324969239173</v>
      </c>
      <c r="J277" s="135">
        <f>(MTN!$E$24/MTN!$D$24)-1</f>
        <v>0.20877046775673502</v>
      </c>
      <c r="K277" s="135">
        <f>(MTN!$F$24/MTN!$E$24)-1</f>
        <v>0.2124167029809354</v>
      </c>
      <c r="L277" s="135">
        <f>(MTN!$G$24/MTN!$F$24)-1</f>
        <v>0.14530257507315181</v>
      </c>
      <c r="M277" s="29">
        <f>MTN!$H$24</f>
        <v>0.18842559425876937</v>
      </c>
      <c r="N277" s="40"/>
      <c r="O277" s="135">
        <f>(MTN!$D$25/MTN!$C$25)-1</f>
        <v>1.9622574329338041</v>
      </c>
      <c r="P277" s="135">
        <f>(MTN!$E$25/MTN!$D$25)-1</f>
        <v>0.33010090260064984</v>
      </c>
      <c r="Q277" s="135">
        <f>(MTN!$F$25/MTN!$E$25)-1</f>
        <v>0.27382297458299476</v>
      </c>
      <c r="R277" s="135">
        <f>(MTN!$G$25/MTN!$F$25)-1</f>
        <v>0.17967053154330292</v>
      </c>
      <c r="S277" s="135">
        <f>MTN!$H$25</f>
        <v>0.25965456672718101</v>
      </c>
      <c r="T277" s="30"/>
      <c r="U277" s="32" t="str">
        <f t="shared" si="47"/>
        <v>ZAR 206.35</v>
      </c>
      <c r="V277" s="28" t="str">
        <f t="shared" si="47"/>
        <v>MTN</v>
      </c>
      <c r="Z277" s="30"/>
    </row>
    <row r="278" spans="1:26" s="5" customFormat="1">
      <c r="A278" s="23"/>
      <c r="B278" s="26"/>
      <c r="C278" s="32" t="str">
        <f t="shared" si="46"/>
        <v>Safaricom</v>
      </c>
      <c r="D278" s="28" t="str">
        <f t="shared" si="46"/>
        <v>KES 29.90</v>
      </c>
      <c r="E278" s="28" t="str">
        <f t="shared" si="46"/>
        <v>KES 40.0</v>
      </c>
      <c r="F278" s="29">
        <f t="shared" si="46"/>
        <v>0.33779264214046822</v>
      </c>
      <c r="G278" s="28" t="str">
        <f t="shared" si="46"/>
        <v>Buy</v>
      </c>
      <c r="H278" s="30"/>
      <c r="I278" s="135">
        <f>(SAF!$D$24/SAF!$C$24)-1</f>
        <v>0.27056012341711644</v>
      </c>
      <c r="J278" s="135">
        <f>(SAF!$E$24/SAF!$D$24)-1</f>
        <v>0.1248901360274417</v>
      </c>
      <c r="K278" s="135">
        <f>(SAF!$F$24/SAF!$E$24)-1</f>
        <v>8.1896102357258416E-2</v>
      </c>
      <c r="L278" s="135">
        <f>(SAF!$G$24/SAF!$F$24)-1</f>
        <v>8.0574548585745642E-2</v>
      </c>
      <c r="M278" s="29">
        <f>SAF!$H$24</f>
        <v>9.5595230508708662E-2</v>
      </c>
      <c r="N278" s="40"/>
      <c r="O278" s="135">
        <f>(SAF!$D$25/SAF!$C$25)-1</f>
        <v>0.83692964836871142</v>
      </c>
      <c r="P278" s="135">
        <f>(SAF!$E$25/SAF!$D$25)-1</f>
        <v>0.1878284808112578</v>
      </c>
      <c r="Q278" s="135">
        <f>(SAF!$F$25/SAF!$E$25)-1</f>
        <v>9.9073147350730473E-2</v>
      </c>
      <c r="R278" s="135">
        <f>(SAF!$G$25/SAF!$F$25)-1</f>
        <v>0.10061945133091643</v>
      </c>
      <c r="S278" s="135">
        <f>SAF!$H$25</f>
        <v>0.12842449551270874</v>
      </c>
      <c r="T278" s="30"/>
      <c r="U278" s="32" t="str">
        <f t="shared" si="47"/>
        <v>KES 29.90</v>
      </c>
      <c r="V278" s="28" t="str">
        <f t="shared" si="47"/>
        <v>Safaricom</v>
      </c>
      <c r="Z278" s="30"/>
    </row>
    <row r="279" spans="1:26" s="5" customFormat="1">
      <c r="A279" s="23"/>
      <c r="B279" s="26"/>
      <c r="C279" s="32" t="str">
        <f t="shared" si="46"/>
        <v>VEON</v>
      </c>
      <c r="D279" s="28" t="str">
        <f t="shared" si="46"/>
        <v>USD 54.9</v>
      </c>
      <c r="E279" s="28" t="str">
        <f t="shared" si="46"/>
        <v>USD 100.0</v>
      </c>
      <c r="F279" s="29">
        <f t="shared" si="46"/>
        <v>0.82116190129302513</v>
      </c>
      <c r="G279" s="28" t="str">
        <f t="shared" si="46"/>
        <v>Buy</v>
      </c>
      <c r="H279" s="30"/>
      <c r="I279" s="29">
        <f>(VIMP!$D$24/VIMP!$C$24)-1</f>
        <v>0.14467605467298683</v>
      </c>
      <c r="J279" s="29">
        <f>(VIMP!$E$24/VIMP!$D$24)-1</f>
        <v>7.1148890068697401E-2</v>
      </c>
      <c r="K279" s="29">
        <f>(VIMP!$F$24/VIMP!$E$24)-1</f>
        <v>7.6079888385329975E-2</v>
      </c>
      <c r="L279" s="29">
        <f>(VIMP!$G$24/VIMP!$F$24)-1</f>
        <v>6.3672365346199022E-2</v>
      </c>
      <c r="M279" s="29">
        <f>VIMP!$H$24</f>
        <v>7.0288217253233753E-2</v>
      </c>
      <c r="N279" s="40"/>
      <c r="O279" s="29">
        <f>(VIMP!$D$25/VIMP!$C$25)-1</f>
        <v>0.2734551925370714</v>
      </c>
      <c r="P279" s="29">
        <f>(VIMP!$E$25/VIMP!$D$25)-1</f>
        <v>0.13679665300726196</v>
      </c>
      <c r="Q279" s="29">
        <f>(VIMP!$F$25/VIMP!$E$25)-1</f>
        <v>0.10906537052549625</v>
      </c>
      <c r="R279" s="29">
        <f>(VIMP!$G$25/VIMP!$F$25)-1</f>
        <v>8.1143133341209595E-2</v>
      </c>
      <c r="S279" s="29">
        <f>VIMP!$H$25</f>
        <v>0.10876891540378608</v>
      </c>
      <c r="T279" s="30"/>
      <c r="U279" s="32" t="str">
        <f t="shared" si="47"/>
        <v>USD 54.9</v>
      </c>
      <c r="V279" s="28" t="str">
        <f t="shared" si="47"/>
        <v>VEON</v>
      </c>
      <c r="Z279" s="30"/>
    </row>
    <row r="280" spans="1:26" s="5" customFormat="1">
      <c r="A280" s="23"/>
      <c r="B280" s="26"/>
      <c r="C280" s="32" t="str">
        <f t="shared" si="46"/>
        <v>Vodacom</v>
      </c>
      <c r="D280" s="28" t="str">
        <f t="shared" si="46"/>
        <v>ZAR 145.6</v>
      </c>
      <c r="E280" s="28" t="str">
        <f t="shared" si="46"/>
        <v>ZAR 215.0</v>
      </c>
      <c r="F280" s="29">
        <f t="shared" si="46"/>
        <v>0.47685121582634959</v>
      </c>
      <c r="G280" s="28" t="str">
        <f t="shared" si="46"/>
        <v>Buy</v>
      </c>
      <c r="H280" s="30"/>
      <c r="I280" s="29">
        <f>(VODA!$D$24/VODA!$C$24)-1</f>
        <v>-2.5725033369736638E-2</v>
      </c>
      <c r="J280" s="29">
        <f>(VODA!$E$24/VODA!$D$24)-1</f>
        <v>6.2413593072184304E-2</v>
      </c>
      <c r="K280" s="29">
        <f>(VODA!$F$24/VODA!$E$24)-1</f>
        <v>0.76622214537715294</v>
      </c>
      <c r="L280" s="29">
        <f>(VODA!$G$24/VODA!$F$24)-1</f>
        <v>0.1006540383046215</v>
      </c>
      <c r="M280" s="29">
        <f>VODA!$H$24</f>
        <v>0.27349308738585476</v>
      </c>
      <c r="N280" s="40"/>
      <c r="O280" s="29">
        <f>(VODA!$D$25/VODA!$C$25)-1</f>
        <v>-0.10045712520182992</v>
      </c>
      <c r="P280" s="29">
        <f>(VODA!$E$25/VODA!$D$25)-1</f>
        <v>-0.37732681136959723</v>
      </c>
      <c r="Q280" s="29">
        <f>(VODA!$F$25/VODA!$E$25)-1</f>
        <v>2.2548515279286172</v>
      </c>
      <c r="R280" s="29">
        <f>(VODA!$G$25/VODA!$F$25)-1</f>
        <v>0.1331150674041166</v>
      </c>
      <c r="S280" s="29">
        <f>VODA!$H$25</f>
        <v>0.31933511342100629</v>
      </c>
      <c r="T280" s="30"/>
      <c r="U280" s="32" t="str">
        <f t="shared" si="47"/>
        <v>ZAR 145.6</v>
      </c>
      <c r="V280" s="28" t="str">
        <f t="shared" si="47"/>
        <v>Vodacom</v>
      </c>
      <c r="Z280" s="30"/>
    </row>
    <row r="281" spans="1:26" s="5" customFormat="1">
      <c r="A281" s="23"/>
      <c r="B281" s="26"/>
      <c r="C281" s="35" t="str">
        <f>C230</f>
        <v>Agg. EMEA Cellular</v>
      </c>
      <c r="D281" s="36"/>
      <c r="E281" s="36"/>
      <c r="F281" s="37"/>
      <c r="G281" s="36"/>
      <c r="H281" s="30"/>
      <c r="I281" s="39">
        <f>('EMEA CELLULAR'!$D$24/'EMEA CELLULAR'!$C$24)-1</f>
        <v>0.29220623984230643</v>
      </c>
      <c r="J281" s="39">
        <f>('EMEA CELLULAR'!$E$24/'EMEA CELLULAR'!$D$24)-1</f>
        <v>0.16791033185742421</v>
      </c>
      <c r="K281" s="39">
        <f>('EMEA CELLULAR'!$F$24/'EMEA CELLULAR'!$E$24)-1</f>
        <v>0.2838194441054176</v>
      </c>
      <c r="L281" s="39">
        <f>('EMEA CELLULAR'!$G$24/'EMEA CELLULAR'!$F$24)-1</f>
        <v>0.11651893902671384</v>
      </c>
      <c r="M281" s="39">
        <f>'EMEA CELLULAR'!$H$24</f>
        <v>0.18738943723674595</v>
      </c>
      <c r="N281" s="40"/>
      <c r="O281" s="39">
        <f>('EMEA CELLULAR'!$D$25/'EMEA CELLULAR'!$C$25)-1</f>
        <v>0.47315965043069341</v>
      </c>
      <c r="P281" s="39">
        <f>('EMEA CELLULAR'!$E$25/'EMEA CELLULAR'!$D$25)-1</f>
        <v>0.146004910418986</v>
      </c>
      <c r="Q281" s="39">
        <f>('EMEA CELLULAR'!$F$25/'EMEA CELLULAR'!$E$25)-1</f>
        <v>0.46498189627562736</v>
      </c>
      <c r="R281" s="39">
        <f>('EMEA CELLULAR'!$G$25/'EMEA CELLULAR'!$F$25)-1</f>
        <v>0.14588094218598169</v>
      </c>
      <c r="S281" s="39">
        <f>'EMEA CELLULAR'!$H$25</f>
        <v>0.24371081525857741</v>
      </c>
      <c r="T281" s="30"/>
      <c r="U281" s="41"/>
      <c r="V281" s="42" t="str">
        <f>V230</f>
        <v>Agg. EMEA Cellular</v>
      </c>
      <c r="Z281" s="30"/>
    </row>
    <row r="282" spans="1:26" s="5" customFormat="1">
      <c r="B282" s="26"/>
      <c r="C282" s="27"/>
      <c r="D282" s="28"/>
      <c r="E282" s="28"/>
      <c r="F282" s="29"/>
      <c r="G282" s="28"/>
      <c r="H282" s="30"/>
      <c r="I282" s="29"/>
      <c r="J282" s="29"/>
      <c r="K282" s="29"/>
      <c r="L282" s="29"/>
      <c r="M282" s="29"/>
      <c r="N282" s="40"/>
      <c r="O282" s="29"/>
      <c r="P282" s="29"/>
      <c r="Q282" s="29"/>
      <c r="R282" s="29"/>
      <c r="S282" s="29"/>
      <c r="T282" s="30"/>
      <c r="U282" s="32"/>
      <c r="V282" s="34"/>
      <c r="Z282" s="30"/>
    </row>
    <row r="283" spans="1:26" s="5" customFormat="1">
      <c r="B283" s="26"/>
      <c r="C283" s="32" t="str">
        <f t="shared" ref="C283:G285" si="48">C232</f>
        <v>Entel</v>
      </c>
      <c r="D283" s="28" t="str">
        <f t="shared" si="48"/>
        <v>CLP 3,643</v>
      </c>
      <c r="E283" s="28" t="str">
        <f t="shared" si="48"/>
        <v>CLP 3,150</v>
      </c>
      <c r="F283" s="29">
        <f t="shared" si="48"/>
        <v>-0.13532802635190777</v>
      </c>
      <c r="G283" s="28" t="str">
        <f t="shared" si="48"/>
        <v>Neutral</v>
      </c>
      <c r="H283" s="30"/>
      <c r="I283" s="135">
        <f>(ENTEL!$D$24/ENTEL!$C$24)-1</f>
        <v>2.9553356428897004E-2</v>
      </c>
      <c r="J283" s="135">
        <f>(ENTEL!$E$24/ENTEL!$D$24)-1</f>
        <v>4.718403130269011E-2</v>
      </c>
      <c r="K283" s="135">
        <f>(ENTEL!$F$24/ENTEL!$E$24)-1</f>
        <v>4.0162345248403009E-2</v>
      </c>
      <c r="L283" s="135">
        <f>(ENTEL!$G$24/ENTEL!$F$24)-1</f>
        <v>3.0998266429919541E-2</v>
      </c>
      <c r="M283" s="29">
        <f>ENTEL!$H$24</f>
        <v>3.9427073789041867E-2</v>
      </c>
      <c r="N283" s="40"/>
      <c r="O283" s="135">
        <f>(ENTEL!$D$25/ENTEL!$C$25)-1</f>
        <v>-0.41265040501419092</v>
      </c>
      <c r="P283" s="135">
        <f>(ENTEL!$E$25/ENTEL!$D$25)-1</f>
        <v>0.61913281160127198</v>
      </c>
      <c r="Q283" s="135">
        <f>(ENTEL!$F$25/ENTEL!$E$25)-1</f>
        <v>0.33131531227532229</v>
      </c>
      <c r="R283" s="135">
        <f>(ENTEL!$G$25/ENTEL!$F$25)-1</f>
        <v>0.28021949523555567</v>
      </c>
      <c r="S283" s="135">
        <f>ENTEL!$H$25</f>
        <v>0.40264988066055385</v>
      </c>
      <c r="T283" s="30"/>
      <c r="U283" s="32" t="str">
        <f t="shared" ref="U283:V285" si="49">U232</f>
        <v>CLP 3,643</v>
      </c>
      <c r="V283" s="28" t="str">
        <f t="shared" si="49"/>
        <v>Entel</v>
      </c>
      <c r="Z283" s="30"/>
    </row>
    <row r="284" spans="1:26" s="5" customFormat="1">
      <c r="B284" s="26"/>
      <c r="C284" s="32" t="str">
        <f t="shared" si="48"/>
        <v>Millicom</v>
      </c>
      <c r="D284" s="28" t="str">
        <f t="shared" si="48"/>
        <v>USD  83.6</v>
      </c>
      <c r="E284" s="28" t="str">
        <f t="shared" si="48"/>
        <v>USD 70.0</v>
      </c>
      <c r="F284" s="29">
        <f t="shared" si="48"/>
        <v>-0.16292974588938713</v>
      </c>
      <c r="G284" s="28" t="str">
        <f t="shared" si="48"/>
        <v>Buy</v>
      </c>
      <c r="H284" s="30"/>
      <c r="I284" s="135">
        <f>(MILLI!$D$24/MILLI!$C$24)-1</f>
        <v>3.1862775625318029E-2</v>
      </c>
      <c r="J284" s="135">
        <f>(MILLI!$E$24/MILLI!$D$24)-1</f>
        <v>0.20049900302523938</v>
      </c>
      <c r="K284" s="135">
        <f>(MILLI!$F$24/MILLI!$E$24)-1</f>
        <v>8.8669890323236356E-2</v>
      </c>
      <c r="L284" s="135">
        <f>(MILLI!$G$24/MILLI!$F$24)-1</f>
        <v>3.3906728088125559E-2</v>
      </c>
      <c r="M284" s="29">
        <f>MILLI!$H$24</f>
        <v>0.10555357247238728</v>
      </c>
      <c r="N284" s="40"/>
      <c r="O284" s="135">
        <f>(MILLI!$D$25/MILLI!$C$25)-1</f>
        <v>2.0248764949273745E-2</v>
      </c>
      <c r="P284" s="135">
        <f>(MILLI!$E$25/MILLI!$D$25)-1</f>
        <v>0.16215387187658958</v>
      </c>
      <c r="Q284" s="135">
        <f>(MILLI!$F$25/MILLI!$E$25)-1</f>
        <v>0.11752044844302523</v>
      </c>
      <c r="R284" s="135">
        <f>(MILLI!$G$25/MILLI!$F$25)-1</f>
        <v>5.7493874167399595E-2</v>
      </c>
      <c r="S284" s="135">
        <f>MILLI!$H$25</f>
        <v>0.11155850021021685</v>
      </c>
      <c r="T284" s="30"/>
      <c r="U284" s="32" t="str">
        <f t="shared" si="49"/>
        <v>USD  83.6</v>
      </c>
      <c r="V284" s="28" t="str">
        <f t="shared" si="49"/>
        <v>Millicom</v>
      </c>
      <c r="Z284" s="30"/>
    </row>
    <row r="285" spans="1:26" s="5" customFormat="1">
      <c r="B285" s="26"/>
      <c r="C285" s="32" t="str">
        <f t="shared" si="48"/>
        <v>TIM Participacoes</v>
      </c>
      <c r="D285" s="28" t="str">
        <f t="shared" si="48"/>
        <v>BRL 25.99</v>
      </c>
      <c r="E285" s="28" t="str">
        <f t="shared" si="48"/>
        <v>BRL 28.00</v>
      </c>
      <c r="F285" s="29">
        <f t="shared" si="48"/>
        <v>7.7337437475952342E-2</v>
      </c>
      <c r="G285" s="28" t="str">
        <f t="shared" si="48"/>
        <v>Buy</v>
      </c>
      <c r="H285" s="30"/>
      <c r="I285" s="29">
        <f>(TIMP!$D$24/TIMP!$C$24)-1</f>
        <v>6.9486358224729594E-2</v>
      </c>
      <c r="J285" s="29">
        <f>(TIMP!$E$24/TIMP!$D$24)-1</f>
        <v>7.5614986097336301E-2</v>
      </c>
      <c r="K285" s="29">
        <f>(TIMP!$F$24/TIMP!$E$24)-1</f>
        <v>7.461064926248473E-2</v>
      </c>
      <c r="L285" s="29">
        <f>(TIMP!$G$24/TIMP!$F$24)-1</f>
        <v>6.9032127100184582E-2</v>
      </c>
      <c r="M285" s="29">
        <f>TIMP!$H$24</f>
        <v>7.3082009446664209E-2</v>
      </c>
      <c r="N285" s="40"/>
      <c r="O285" s="29">
        <f>(TIMP!$D$25/TIMP!$C$25)-1</f>
        <v>0.11432509800965529</v>
      </c>
      <c r="P285" s="29">
        <f>(TIMP!$E$25/TIMP!$D$25)-1</f>
        <v>0.11096545920849055</v>
      </c>
      <c r="Q285" s="29">
        <f>(TIMP!$F$25/TIMP!$E$25)-1</f>
        <v>0.10387022084860553</v>
      </c>
      <c r="R285" s="29">
        <f>(TIMP!$G$25/TIMP!$F$25)-1</f>
        <v>9.5563831072813077E-2</v>
      </c>
      <c r="S285" s="29">
        <f>TIMP!$H$25</f>
        <v>0.10344854592968744</v>
      </c>
      <c r="T285" s="30"/>
      <c r="U285" s="32" t="str">
        <f t="shared" si="49"/>
        <v>BRL 25.99</v>
      </c>
      <c r="V285" s="28" t="str">
        <f t="shared" si="49"/>
        <v>TIM Participacoes</v>
      </c>
      <c r="Z285" s="30"/>
    </row>
    <row r="286" spans="1:26">
      <c r="A286" s="25"/>
      <c r="B286" s="26" t="s">
        <v>483</v>
      </c>
      <c r="C286" s="32" t="s">
        <v>688</v>
      </c>
      <c r="D286" s="28" t="str">
        <f>'EM Multiples'!B286&amp;TEXT(Prices!C$115,"0.00")</f>
        <v>MXN59.40</v>
      </c>
      <c r="E286" s="28" t="str">
        <f>'EM Multiples'!B286&amp;TEXT(Prices!E$115,"0.00")</f>
        <v>MXN75.00</v>
      </c>
      <c r="F286" s="29">
        <f>Prices!F$115</f>
        <v>0.26262626262626276</v>
      </c>
      <c r="G286" s="28" t="str">
        <f>Prices!D$115</f>
        <v>Buy</v>
      </c>
      <c r="H286" s="30"/>
      <c r="I286" s="29">
        <f>(MEGA!$D$24/MEGA!$C$24)-1</f>
        <v>0.10351487966591355</v>
      </c>
      <c r="J286" s="29">
        <f>(MEGA!$E$24/MEGA!$D$24)-1</f>
        <v>0.10511582882898063</v>
      </c>
      <c r="K286" s="29">
        <f>(MEGA!$F$24/MEGA!$E$24)-1</f>
        <v>8.2008372543830976E-2</v>
      </c>
      <c r="L286" s="29">
        <f>(MEGA!$G$24/MEGA!$F$24)-1</f>
        <v>8.5984255728979608E-2</v>
      </c>
      <c r="M286" s="29">
        <f>MEGA!$H$24</f>
        <v>9.0989698729420976E-2</v>
      </c>
      <c r="N286" s="30"/>
      <c r="O286" s="29">
        <f>(MEGA!$D$25/MEGA!$C$25)-1</f>
        <v>0.44765175407758795</v>
      </c>
      <c r="P286" s="29">
        <f>(MEGA!$E$25/MEGA!$D$25)-1</f>
        <v>0.26857681022953073</v>
      </c>
      <c r="Q286" s="29">
        <f>(MEGA!$F$25/MEGA!$E$25)-1</f>
        <v>0.20466830053863694</v>
      </c>
      <c r="R286" s="29">
        <f>(MEGA!$G$25/MEGA!$F$25)-1</f>
        <v>0.15993781378249872</v>
      </c>
      <c r="S286" s="29">
        <f>MEGA!$H$25</f>
        <v>0.21024413247389551</v>
      </c>
      <c r="T286" s="30"/>
      <c r="U286" s="32" t="str">
        <f>D286</f>
        <v>MXN59.40</v>
      </c>
      <c r="V286" s="28" t="str">
        <f>C286</f>
        <v>Megacable</v>
      </c>
      <c r="Z286" s="30"/>
    </row>
    <row r="287" spans="1:26">
      <c r="A287" s="5"/>
      <c r="B287" s="26" t="s">
        <v>331</v>
      </c>
      <c r="C287" s="32" t="s">
        <v>675</v>
      </c>
      <c r="D287" s="28" t="str">
        <f>'EM Multiples'!B287&amp;TEXT(Prices!C$118,"0.00")</f>
        <v>USD8.53</v>
      </c>
      <c r="E287" s="28" t="str">
        <f>'EM Multiples'!B287&amp;TEXT(Prices!E$118,"0.00")</f>
        <v>USD14.90</v>
      </c>
      <c r="F287" s="29">
        <f>Prices!F$118</f>
        <v>0.74780058651026393</v>
      </c>
      <c r="G287" s="28" t="str">
        <f>Prices!D$118</f>
        <v>Buy</v>
      </c>
      <c r="H287" s="30"/>
      <c r="I287" s="29">
        <f>(LiLAC!$D$24/LiLAC!$C$24)-1</f>
        <v>9.0148223869153998E-2</v>
      </c>
      <c r="J287" s="29">
        <f>(LiLAC!$E$24/LiLAC!$D$24)-1</f>
        <v>2.0545661991231645E-2</v>
      </c>
      <c r="K287" s="29">
        <f>(LiLAC!$F$24/LiLAC!$E$24)-1</f>
        <v>3.8345962321280957E-2</v>
      </c>
      <c r="L287" s="29">
        <f>(LiLAC!$G$24/LiLAC!$F$24)-1</f>
        <v>3.5505072471070154E-2</v>
      </c>
      <c r="M287" s="29">
        <f>LiLAC!$H$24</f>
        <v>3.143591594908024E-2</v>
      </c>
      <c r="N287" s="30"/>
      <c r="O287" s="29">
        <f>(LiLAC!$D$25/LiLAC!$C$25)-1</f>
        <v>0.26943683771877569</v>
      </c>
      <c r="P287" s="29">
        <f>(LiLAC!$E$25/LiLAC!$D$25)-1</f>
        <v>2.0545848085091745E-3</v>
      </c>
      <c r="Q287" s="29">
        <f>(LiLAC!$F$25/LiLAC!$E$25)-1</f>
        <v>9.070667533909571E-2</v>
      </c>
      <c r="R287" s="29">
        <f>(LiLAC!$G$25/LiLAC!$F$25)-1</f>
        <v>5.2462002405874841E-2</v>
      </c>
      <c r="S287" s="29">
        <f>LiLAC!$H$25</f>
        <v>4.7776351044717114E-2</v>
      </c>
      <c r="T287" s="30"/>
      <c r="U287" s="32" t="str">
        <f>D287</f>
        <v>USD8.53</v>
      </c>
      <c r="V287" s="28" t="str">
        <f>C287</f>
        <v>LiLAC</v>
      </c>
      <c r="Z287" s="30"/>
    </row>
    <row r="288" spans="1:26" s="5" customFormat="1">
      <c r="B288" s="26"/>
      <c r="C288" s="35" t="str">
        <f>C237</f>
        <v>Agg. LatAm Other</v>
      </c>
      <c r="D288" s="36"/>
      <c r="E288" s="36"/>
      <c r="F288" s="37"/>
      <c r="G288" s="36"/>
      <c r="H288" s="30"/>
      <c r="I288" s="39">
        <f>('LATAM OTHER'!$D$24/'LATAM OTHER'!$C$24)-1</f>
        <v>6.2094798246369765E-2</v>
      </c>
      <c r="J288" s="39">
        <f>('LATAM OTHER'!$E$24/'LATAM OTHER'!$D$24)-1</f>
        <v>0.10253610509835442</v>
      </c>
      <c r="K288" s="39">
        <f>('LATAM OTHER'!$F$24/'LATAM OTHER'!$E$24)-1</f>
        <v>7.0554389859833977E-2</v>
      </c>
      <c r="L288" s="39">
        <f>('LATAM OTHER'!$G$24/'LATAM OTHER'!$F$24)-1</f>
        <v>5.0436075377915612E-2</v>
      </c>
      <c r="M288" s="39">
        <f>'LATAM OTHER'!$H$24</f>
        <v>7.4295430516063243E-2</v>
      </c>
      <c r="N288" s="40"/>
      <c r="O288" s="39">
        <f>('LATAM OTHER'!$D$25/'LATAM OTHER'!$C$25)-1</f>
        <v>0.10518513652232553</v>
      </c>
      <c r="P288" s="39">
        <f>('LATAM OTHER'!$E$25/'LATAM OTHER'!$D$25)-1</f>
        <v>0.12699375569549076</v>
      </c>
      <c r="Q288" s="39">
        <f>('LATAM OTHER'!$F$25/'LATAM OTHER'!$E$25)-1</f>
        <v>0.12041605918494924</v>
      </c>
      <c r="R288" s="39">
        <f>('LATAM OTHER'!$G$25/'LATAM OTHER'!$F$25)-1</f>
        <v>8.5186046167202933E-2</v>
      </c>
      <c r="S288" s="39">
        <f>'LATAM OTHER'!$H$25</f>
        <v>0.11071254875259684</v>
      </c>
      <c r="T288" s="30"/>
      <c r="U288" s="41"/>
      <c r="V288" s="42" t="str">
        <f>V237</f>
        <v>Agg. LatAm Cellular</v>
      </c>
      <c r="Z288" s="30"/>
    </row>
    <row r="289" spans="1:26" s="5" customFormat="1">
      <c r="A289" s="23"/>
      <c r="B289" s="26"/>
      <c r="C289" s="27"/>
      <c r="D289" s="28"/>
      <c r="E289" s="28"/>
      <c r="F289" s="29"/>
      <c r="G289" s="28"/>
      <c r="H289" s="30"/>
      <c r="I289" s="29"/>
      <c r="J289" s="29"/>
      <c r="K289" s="29"/>
      <c r="L289" s="29"/>
      <c r="M289" s="29"/>
      <c r="N289" s="30"/>
      <c r="O289" s="29"/>
      <c r="P289" s="29"/>
      <c r="Q289" s="29"/>
      <c r="R289" s="29"/>
      <c r="S289" s="29"/>
      <c r="T289" s="30"/>
      <c r="U289" s="32"/>
      <c r="V289" s="34"/>
      <c r="Z289" s="30"/>
    </row>
    <row r="290" spans="1:26" s="5" customFormat="1">
      <c r="B290" s="26"/>
      <c r="C290" s="32" t="str">
        <f t="shared" ref="C290:G301" si="50">C239</f>
        <v>AIS</v>
      </c>
      <c r="D290" s="28" t="str">
        <f t="shared" si="50"/>
        <v>THB 349.0</v>
      </c>
      <c r="E290" s="28" t="str">
        <f t="shared" si="50"/>
        <v>THB 330.0</v>
      </c>
      <c r="F290" s="29">
        <f t="shared" si="50"/>
        <v>-5.4441260744985676E-2</v>
      </c>
      <c r="G290" s="28" t="str">
        <f t="shared" si="50"/>
        <v>Buy</v>
      </c>
      <c r="H290" s="30"/>
      <c r="I290" s="29">
        <f>(ADVANCED!$D$24/ADVANCED!$C$24)-1</f>
        <v>5.9743958211047277E-2</v>
      </c>
      <c r="J290" s="29">
        <f>(ADVANCED!$E$24/ADVANCED!$D$24)-1</f>
        <v>3.6727230933952804E-2</v>
      </c>
      <c r="K290" s="29">
        <f>(ADVANCED!$F$24/ADVANCED!$E$24)-1</f>
        <v>2.6144187156077914E-2</v>
      </c>
      <c r="L290" s="29">
        <f>(ADVANCED!$G$24/ADVANCED!$F$24)-1</f>
        <v>2.5612621628397836E-2</v>
      </c>
      <c r="M290" s="29">
        <f>ADVANCED!$H$24</f>
        <v>2.94819836797513E-2</v>
      </c>
      <c r="N290" s="30"/>
      <c r="O290" s="29">
        <f>(ADVANCED!$D$25/ADVANCED!$C$25)-1</f>
        <v>6.5406759334248443E-2</v>
      </c>
      <c r="P290" s="29">
        <f>(ADVANCED!$E$25/ADVANCED!$D$25)-1</f>
        <v>2.2342035974461716E-2</v>
      </c>
      <c r="Q290" s="29">
        <f>(ADVANCED!$F$25/ADVANCED!$E$25)-1</f>
        <v>3.9113565407299822E-2</v>
      </c>
      <c r="R290" s="29">
        <f>(ADVANCED!$G$25/ADVANCED!$F$25)-1</f>
        <v>3.8345967956169735E-2</v>
      </c>
      <c r="S290" s="29">
        <f>ADVANCED!$H$25</f>
        <v>3.3238161140883182E-2</v>
      </c>
      <c r="T290" s="30"/>
      <c r="U290" s="32" t="str">
        <f t="shared" ref="U290:V301" si="51">U239</f>
        <v>THB 349.0</v>
      </c>
      <c r="V290" s="28" t="str">
        <f t="shared" si="51"/>
        <v>AIS</v>
      </c>
      <c r="Z290" s="30"/>
    </row>
    <row r="291" spans="1:26" s="5" customFormat="1">
      <c r="A291" s="23"/>
      <c r="B291" s="26"/>
      <c r="C291" s="32" t="str">
        <f t="shared" si="50"/>
        <v>Axiata</v>
      </c>
      <c r="D291" s="28" t="str">
        <f t="shared" si="50"/>
        <v>MYR 2.24</v>
      </c>
      <c r="E291" s="28" t="str">
        <f t="shared" si="50"/>
        <v>MYR 4.50</v>
      </c>
      <c r="F291" s="29">
        <f t="shared" si="50"/>
        <v>1.0089285714285712</v>
      </c>
      <c r="G291" s="28" t="str">
        <f t="shared" si="50"/>
        <v>Buy</v>
      </c>
      <c r="H291" s="30"/>
      <c r="I291" s="29">
        <f>(AXI!$D$24/AXI!$C$24)-1</f>
        <v>-0.5363464821637165</v>
      </c>
      <c r="J291" s="29">
        <f>(AXI!$E$24/AXI!$D$24)-1</f>
        <v>5.058139534883721E-2</v>
      </c>
      <c r="K291" s="29">
        <f>(AXI!$F$24/AXI!$E$24)-1</f>
        <v>4.095185390149414E-2</v>
      </c>
      <c r="L291" s="29">
        <f>(AXI!$G$24/AXI!$F$24)-1</f>
        <v>3.7391458444089976E-2</v>
      </c>
      <c r="M291" s="29">
        <f>AXI!$H$24</f>
        <v>4.296004716232682E-2</v>
      </c>
      <c r="N291" s="30"/>
      <c r="O291" s="29">
        <f>(AXI!$D$25/AXI!$C$25)-1</f>
        <v>-0.58067171550872576</v>
      </c>
      <c r="P291" s="29">
        <f>(AXI!$E$25/AXI!$D$25)-1</f>
        <v>0.1417353749509227</v>
      </c>
      <c r="Q291" s="29">
        <f>(AXI!$F$25/AXI!$E$25)-1</f>
        <v>0.15440165061898203</v>
      </c>
      <c r="R291" s="29">
        <f>(AXI!$G$25/AXI!$F$25)-1</f>
        <v>4.7959487637771803E-2</v>
      </c>
      <c r="S291" s="29">
        <f>AXI!$H$25</f>
        <v>0.11366771581485469</v>
      </c>
      <c r="T291" s="30"/>
      <c r="U291" s="32" t="str">
        <f t="shared" si="51"/>
        <v>MYR 2.24</v>
      </c>
      <c r="V291" s="28" t="str">
        <f t="shared" si="51"/>
        <v>Axiata</v>
      </c>
      <c r="Z291" s="30"/>
    </row>
    <row r="292" spans="1:26" s="5" customFormat="1">
      <c r="A292" s="23"/>
      <c r="B292" s="26"/>
      <c r="C292" s="32" t="str">
        <f t="shared" si="50"/>
        <v>Bharti Airtel</v>
      </c>
      <c r="D292" s="28" t="str">
        <f t="shared" si="50"/>
        <v>INR 1815</v>
      </c>
      <c r="E292" s="28" t="str">
        <f t="shared" si="50"/>
        <v>INR 2750</v>
      </c>
      <c r="F292" s="29">
        <f t="shared" si="50"/>
        <v>0.51540199482008031</v>
      </c>
      <c r="G292" s="28" t="str">
        <f t="shared" si="50"/>
        <v>Buy</v>
      </c>
      <c r="H292" s="30"/>
      <c r="I292" s="29">
        <f>(BHART!$D$24/BHART!$C$24)-1</f>
        <v>0.27949698079209728</v>
      </c>
      <c r="J292" s="29">
        <f>(BHART!$E$24/BHART!$D$24)-1</f>
        <v>0.18528988334549346</v>
      </c>
      <c r="K292" s="29">
        <f>(BHART!$F$24/BHART!$E$24)-1</f>
        <v>0.16091691203165492</v>
      </c>
      <c r="L292" s="29">
        <f>(BHART!$G$24/BHART!$F$24)-1</f>
        <v>0.14274043792219837</v>
      </c>
      <c r="M292" s="29">
        <f>BHART!$H$24</f>
        <v>0.16285198132244516</v>
      </c>
      <c r="N292" s="30"/>
      <c r="O292" s="29">
        <f>(BHART!$D$25/BHART!$C$25)-1</f>
        <v>0.45738055105789144</v>
      </c>
      <c r="P292" s="29">
        <f>(BHART!$E$25/BHART!$D$25)-1</f>
        <v>0.23867506834708241</v>
      </c>
      <c r="Q292" s="29">
        <f>(BHART!$F$25/BHART!$E$25)-1</f>
        <v>0.20843093677667035</v>
      </c>
      <c r="R292" s="29">
        <f>(BHART!$G$25/BHART!$F$25)-1</f>
        <v>0.15355667277357199</v>
      </c>
      <c r="S292" s="29">
        <f>BHART!$H$25</f>
        <v>0.19970017543376728</v>
      </c>
      <c r="T292" s="30"/>
      <c r="U292" s="32" t="str">
        <f t="shared" si="51"/>
        <v>INR 1815</v>
      </c>
      <c r="V292" s="28" t="str">
        <f t="shared" si="51"/>
        <v>Bharti Airtel</v>
      </c>
      <c r="Z292" s="30"/>
    </row>
    <row r="293" spans="1:26" s="5" customFormat="1">
      <c r="B293" s="26"/>
      <c r="C293" s="32" t="str">
        <f t="shared" si="50"/>
        <v>China Mobile</v>
      </c>
      <c r="D293" s="28" t="str">
        <f t="shared" si="50"/>
        <v>HKD 83.9</v>
      </c>
      <c r="E293" s="28" t="str">
        <f t="shared" si="50"/>
        <v>HKD 115.0</v>
      </c>
      <c r="F293" s="29">
        <f t="shared" si="50"/>
        <v>0.37067938021454094</v>
      </c>
      <c r="G293" s="28" t="str">
        <f t="shared" si="50"/>
        <v>Buy</v>
      </c>
      <c r="H293" s="30"/>
      <c r="I293" s="29">
        <f>(_CM!$D$24/_CM!$C$24)-1</f>
        <v>1.0913949813871282E-2</v>
      </c>
      <c r="J293" s="29">
        <f>(_CM!$E$24/_CM!$D$24)-1</f>
        <v>2.0458081799071826E-2</v>
      </c>
      <c r="K293" s="29">
        <f>(_CM!$F$24/_CM!$E$24)-1</f>
        <v>2.2861982833260797E-2</v>
      </c>
      <c r="L293" s="29">
        <f>(_CM!$G$24/_CM!$F$24)-1</f>
        <v>2.7553807516327966E-2</v>
      </c>
      <c r="M293" s="29">
        <f>_CM!$H$24</f>
        <v>2.3620386060051457E-2</v>
      </c>
      <c r="N293" s="30"/>
      <c r="O293" s="29">
        <f>(_CM!$D$25/_CM!$C$25)-1</f>
        <v>0.12636865790515595</v>
      </c>
      <c r="P293" s="29">
        <f>(_CM!$E$25/_CM!$D$25)-1</f>
        <v>5.0627824565905533E-2</v>
      </c>
      <c r="Q293" s="29">
        <f>(_CM!$F$25/_CM!$E$25)-1</f>
        <v>5.1485251711714808E-2</v>
      </c>
      <c r="R293" s="29">
        <f>(_CM!$G$25/_CM!$F$25)-1</f>
        <v>5.6794787209127007E-2</v>
      </c>
      <c r="S293" s="29">
        <f>_CM!$H$25</f>
        <v>5.2965759064201645E-2</v>
      </c>
      <c r="T293" s="30"/>
      <c r="U293" s="32" t="str">
        <f t="shared" si="51"/>
        <v>HKD 83.9</v>
      </c>
      <c r="V293" s="28" t="str">
        <f t="shared" si="51"/>
        <v>China Mobile</v>
      </c>
      <c r="Z293" s="30"/>
    </row>
    <row r="294" spans="1:26" s="5" customFormat="1">
      <c r="B294" s="26"/>
      <c r="C294" s="32" t="str">
        <f t="shared" si="50"/>
        <v>CelcomDigi</v>
      </c>
      <c r="D294" s="28" t="str">
        <f t="shared" si="50"/>
        <v>MYR 3.0</v>
      </c>
      <c r="E294" s="28" t="str">
        <f t="shared" si="50"/>
        <v>MYR 5.6</v>
      </c>
      <c r="F294" s="29">
        <f t="shared" si="50"/>
        <v>0.88552188552188538</v>
      </c>
      <c r="G294" s="28" t="str">
        <f t="shared" si="50"/>
        <v>Buy</v>
      </c>
      <c r="H294" s="30"/>
      <c r="I294" s="29">
        <f>(DIGI!$D$24/DIGI!$C$24)-1</f>
        <v>1.9751965757575318E-2</v>
      </c>
      <c r="J294" s="29">
        <f>(DIGI!$E$24/DIGI!$D$24)-1</f>
        <v>2.5544676875177474E-2</v>
      </c>
      <c r="K294" s="29">
        <f>(DIGI!$F$24/DIGI!$E$24)-1</f>
        <v>2.8911970789180508E-2</v>
      </c>
      <c r="L294" s="29">
        <f>(DIGI!$G$24/DIGI!$F$24)-1</f>
        <v>3.2560511067461384E-2</v>
      </c>
      <c r="M294" s="29">
        <f>DIGI!$H$24</f>
        <v>2.90017315849318E-2</v>
      </c>
      <c r="N294" s="30"/>
      <c r="O294" s="29">
        <f>(DIGI!$D$25/DIGI!$C$25)-1</f>
        <v>0.15463965446925387</v>
      </c>
      <c r="P294" s="29">
        <f>(DIGI!$E$25/DIGI!$D$25)-1</f>
        <v>6.3785381155216037E-2</v>
      </c>
      <c r="Q294" s="29">
        <f>(DIGI!$F$25/DIGI!$E$25)-1</f>
        <v>9.7361706636524437E-2</v>
      </c>
      <c r="R294" s="29">
        <f>(DIGI!$G$25/DIGI!$F$25)-1</f>
        <v>3.62351741896354E-2</v>
      </c>
      <c r="S294" s="29">
        <f>DIGI!$H$25</f>
        <v>6.5501461177984721E-2</v>
      </c>
      <c r="T294" s="30"/>
      <c r="U294" s="32" t="str">
        <f t="shared" si="51"/>
        <v>MYR 3.0</v>
      </c>
      <c r="V294" s="28" t="str">
        <f t="shared" si="51"/>
        <v>CelcomDigi</v>
      </c>
      <c r="Z294" s="30"/>
    </row>
    <row r="295" spans="1:26" s="5" customFormat="1">
      <c r="B295" s="26"/>
      <c r="C295" s="32" t="str">
        <f t="shared" si="50"/>
        <v>Vodafone IDEA</v>
      </c>
      <c r="D295" s="28" t="str">
        <f t="shared" si="50"/>
        <v>INR 9.5</v>
      </c>
      <c r="E295" s="28" t="str">
        <f t="shared" si="50"/>
        <v>INR 10.0</v>
      </c>
      <c r="F295" s="29">
        <f t="shared" si="50"/>
        <v>5.0420168067226934E-2</v>
      </c>
      <c r="G295" s="28" t="str">
        <f t="shared" si="50"/>
        <v>Neutral</v>
      </c>
      <c r="H295" s="30"/>
      <c r="I295" s="29">
        <f>(IDEA!$D$24/IDEA!$C$24)-1</f>
        <v>0.10272625444175287</v>
      </c>
      <c r="J295" s="29">
        <f>(IDEA!$E$24/IDEA!$D$24)-1</f>
        <v>0.22069491447559608</v>
      </c>
      <c r="K295" s="29">
        <f>(IDEA!$F$24/IDEA!$E$24)-1</f>
        <v>0.2489615916232617</v>
      </c>
      <c r="L295" s="29">
        <f>(IDEA!$G$24/IDEA!$F$24)-1</f>
        <v>0.20564866509777424</v>
      </c>
      <c r="M295" s="29">
        <f>IDEA!$H$24</f>
        <v>0.22497059193329783</v>
      </c>
      <c r="N295" s="30"/>
      <c r="O295" s="29">
        <f>(IDEA!$D$25/IDEA!$C$25)-1</f>
        <v>-0.76508323042295789</v>
      </c>
      <c r="P295" s="29">
        <f>(IDEA!$E$25/IDEA!$D$25)-1</f>
        <v>1.9846618716669195</v>
      </c>
      <c r="Q295" s="29">
        <f>(IDEA!$F$25/IDEA!$E$25)-1</f>
        <v>0.71300043805002788</v>
      </c>
      <c r="R295" s="29">
        <f>(IDEA!$G$25/IDEA!$F$25)-1</f>
        <v>0.64568139256198864</v>
      </c>
      <c r="S295" s="29">
        <f>IDEA!$H$25</f>
        <v>1.0339149572837707</v>
      </c>
      <c r="T295" s="30"/>
      <c r="U295" s="32" t="str">
        <f t="shared" si="51"/>
        <v>INR 9.5</v>
      </c>
      <c r="V295" s="28" t="str">
        <f t="shared" si="51"/>
        <v>Vodafone IDEA</v>
      </c>
      <c r="Z295" s="30"/>
    </row>
    <row r="296" spans="1:26" s="5" customFormat="1">
      <c r="B296" s="26"/>
      <c r="C296" s="32" t="str">
        <f t="shared" si="50"/>
        <v>Indosat</v>
      </c>
      <c r="D296" s="28" t="str">
        <f t="shared" si="50"/>
        <v>IDR 1,970</v>
      </c>
      <c r="E296" s="28" t="str">
        <f t="shared" si="50"/>
        <v>IDR 2,800</v>
      </c>
      <c r="F296" s="29">
        <f t="shared" si="50"/>
        <v>0.42131979695431476</v>
      </c>
      <c r="G296" s="28" t="str">
        <f t="shared" si="50"/>
        <v>Buy</v>
      </c>
      <c r="H296" s="30"/>
      <c r="I296" s="29">
        <f>(INDO!$D$24/INDO!$C$24)-1</f>
        <v>-8.2319141675071261E-3</v>
      </c>
      <c r="J296" s="29">
        <f>(INDO!$E$24/INDO!$D$24)-1</f>
        <v>7.7785329514883372E-2</v>
      </c>
      <c r="K296" s="29">
        <f>(INDO!$F$24/INDO!$E$24)-1</f>
        <v>7.024258007115014E-2</v>
      </c>
      <c r="L296" s="29">
        <f>(INDO!$G$24/INDO!$F$24)-1</f>
        <v>4.7745708305632073E-2</v>
      </c>
      <c r="M296" s="29">
        <f>INDO!$H$24</f>
        <v>6.5181123004306674E-2</v>
      </c>
      <c r="N296" s="30"/>
      <c r="O296" s="29">
        <f>(INDO!$D$25/INDO!$C$25)-1</f>
        <v>-0.19604904330283135</v>
      </c>
      <c r="P296" s="29">
        <f>(INDO!$E$25/INDO!$D$25)-1</f>
        <v>0.28310868627673891</v>
      </c>
      <c r="Q296" s="29">
        <f>(INDO!$F$25/INDO!$E$25)-1</f>
        <v>0.12179602866001327</v>
      </c>
      <c r="R296" s="29">
        <f>(INDO!$G$25/INDO!$F$25)-1</f>
        <v>7.0474534809584988E-2</v>
      </c>
      <c r="S296" s="29">
        <f>INDO!$H$25</f>
        <v>0.15500685352320409</v>
      </c>
      <c r="T296" s="30"/>
      <c r="U296" s="32" t="str">
        <f t="shared" si="51"/>
        <v>IDR 1,970</v>
      </c>
      <c r="V296" s="28" t="str">
        <f t="shared" si="51"/>
        <v>Indosat</v>
      </c>
      <c r="Z296" s="30"/>
    </row>
    <row r="297" spans="1:26" s="5" customFormat="1">
      <c r="B297" s="26"/>
      <c r="C297" s="32" t="str">
        <f t="shared" si="50"/>
        <v>LG Uplus</v>
      </c>
      <c r="D297" s="28" t="str">
        <f t="shared" si="50"/>
        <v>KRW 16,600</v>
      </c>
      <c r="E297" s="28" t="str">
        <f t="shared" si="50"/>
        <v>KRW 19,000</v>
      </c>
      <c r="F297" s="29">
        <f t="shared" si="50"/>
        <v>0.14457831325301207</v>
      </c>
      <c r="G297" s="28" t="str">
        <f t="shared" si="50"/>
        <v>Buy</v>
      </c>
      <c r="H297" s="30"/>
      <c r="I297" s="29">
        <f>(_LG!$D$24/_LG!$C$24)-1</f>
        <v>3.9899453012427477E-2</v>
      </c>
      <c r="J297" s="29">
        <f>(_LG!$E$24/_LG!$D$24)-1</f>
        <v>3.1554270899561754E-2</v>
      </c>
      <c r="K297" s="29">
        <f>(_LG!$F$24/_LG!$E$24)-1</f>
        <v>2.1131564364326838E-2</v>
      </c>
      <c r="L297" s="29">
        <f>(_LG!$G$24/_LG!$F$24)-1</f>
        <v>2.0981937061215206E-2</v>
      </c>
      <c r="M297" s="29">
        <f>_LG!$H$24</f>
        <v>2.4543998593794969E-2</v>
      </c>
      <c r="N297" s="30"/>
      <c r="O297" s="29">
        <f>(_LG!$D$25/_LG!$C$25)-1</f>
        <v>0.11682417432008196</v>
      </c>
      <c r="P297" s="29">
        <f>(_LG!$E$25/_LG!$D$25)-1</f>
        <v>5.2411603786783889E-2</v>
      </c>
      <c r="Q297" s="29">
        <f>(_LG!$F$25/_LG!$E$25)-1</f>
        <v>3.0791507984561095E-2</v>
      </c>
      <c r="R297" s="29">
        <f>(_LG!$G$25/_LG!$F$25)-1</f>
        <v>3.0483765822913567E-2</v>
      </c>
      <c r="S297" s="29">
        <f>_LG!$H$25</f>
        <v>3.7845097303092379E-2</v>
      </c>
      <c r="T297" s="30"/>
      <c r="U297" s="32" t="str">
        <f t="shared" si="51"/>
        <v>KRW 16,600</v>
      </c>
      <c r="V297" s="28" t="str">
        <f t="shared" si="51"/>
        <v>LG Uplus</v>
      </c>
      <c r="Z297" s="30"/>
    </row>
    <row r="298" spans="1:26" s="5" customFormat="1">
      <c r="A298" s="23"/>
      <c r="B298" s="26"/>
      <c r="C298" s="32" t="str">
        <f t="shared" si="50"/>
        <v>Maxis</v>
      </c>
      <c r="D298" s="28" t="str">
        <f t="shared" si="50"/>
        <v>MYR 3.50</v>
      </c>
      <c r="E298" s="28" t="str">
        <f t="shared" si="50"/>
        <v>MYR 5.10</v>
      </c>
      <c r="F298" s="29">
        <f t="shared" si="50"/>
        <v>0.45714285714285707</v>
      </c>
      <c r="G298" s="28" t="str">
        <f t="shared" si="50"/>
        <v>Buy</v>
      </c>
      <c r="H298" s="30"/>
      <c r="I298" s="29">
        <f>(MAXI!$D$24/MAXI!$C$24)-1</f>
        <v>3.0633280952719222E-2</v>
      </c>
      <c r="J298" s="29">
        <f>(MAXI!$E$24/MAXI!$D$24)-1</f>
        <v>4.0358964850287116E-2</v>
      </c>
      <c r="K298" s="29">
        <f>(MAXI!$F$24/MAXI!$E$24)-1</f>
        <v>3.2964428891750996E-2</v>
      </c>
      <c r="L298" s="29">
        <f>(MAXI!$G$24/MAXI!$F$24)-1</f>
        <v>3.2052705853113039E-2</v>
      </c>
      <c r="M298" s="29">
        <f>MAXI!$H$24</f>
        <v>3.5118695106065356E-2</v>
      </c>
      <c r="N298" s="30"/>
      <c r="O298" s="29">
        <f>(MAXI!$D$25/MAXI!$C$25)-1</f>
        <v>-0.10542132913402991</v>
      </c>
      <c r="P298" s="29">
        <f>(MAXI!$E$25/MAXI!$D$25)-1</f>
        <v>4.1894634659622509E-2</v>
      </c>
      <c r="Q298" s="29">
        <f>(MAXI!$F$25/MAXI!$E$25)-1</f>
        <v>3.4431141587229819E-2</v>
      </c>
      <c r="R298" s="29">
        <f>(MAXI!$G$25/MAXI!$F$25)-1</f>
        <v>3.3494386329724568E-2</v>
      </c>
      <c r="S298" s="29">
        <f>MAXI!$H$25</f>
        <v>3.6599917732347942E-2</v>
      </c>
      <c r="T298" s="30"/>
      <c r="U298" s="32" t="str">
        <f t="shared" si="51"/>
        <v>MYR 3.50</v>
      </c>
      <c r="V298" s="28" t="str">
        <f t="shared" si="51"/>
        <v>Maxis</v>
      </c>
      <c r="Z298" s="30"/>
    </row>
    <row r="299" spans="1:26" s="5" customFormat="1">
      <c r="B299" s="26"/>
      <c r="C299" s="32" t="str">
        <f t="shared" si="50"/>
        <v>SK Telecom</v>
      </c>
      <c r="D299" s="28" t="str">
        <f t="shared" si="50"/>
        <v>KRW 100,000</v>
      </c>
      <c r="E299" s="28" t="str">
        <f t="shared" si="50"/>
        <v>KRW 78,000</v>
      </c>
      <c r="F299" s="29">
        <f t="shared" si="50"/>
        <v>-0.21999999999999997</v>
      </c>
      <c r="G299" s="28" t="str">
        <f t="shared" si="50"/>
        <v>Neutral</v>
      </c>
      <c r="H299" s="30"/>
      <c r="I299" s="29">
        <f>(SKT!$D$24/SKT!$C$24)-1</f>
        <v>-9.5547245399426939E-2</v>
      </c>
      <c r="J299" s="29">
        <f>(SKT!$E$24/SKT!$D$24)-1</f>
        <v>5.9682633924341921E-2</v>
      </c>
      <c r="K299" s="29">
        <f>(SKT!$F$24/SKT!$E$24)-1</f>
        <v>1.7124693131915558E-2</v>
      </c>
      <c r="L299" s="29">
        <f>(SKT!$G$24/SKT!$F$24)-1</f>
        <v>1.7092976177502717E-2</v>
      </c>
      <c r="M299" s="29">
        <f>SKT!$H$24</f>
        <v>3.1106576354476889E-2</v>
      </c>
      <c r="N299" s="30"/>
      <c r="O299" s="29">
        <f>(SKT!$D$25/SKT!$C$25)-1</f>
        <v>-0.14416979539433084</v>
      </c>
      <c r="P299" s="29">
        <f>(SKT!$E$25/SKT!$D$25)-1</f>
        <v>0.10635420634745696</v>
      </c>
      <c r="Q299" s="29">
        <f>(SKT!$F$25/SKT!$E$25)-1</f>
        <v>3.0443219840240232E-2</v>
      </c>
      <c r="R299" s="29">
        <f>(SKT!$G$25/SKT!$F$25)-1</f>
        <v>3.0085394431097257E-2</v>
      </c>
      <c r="S299" s="29">
        <f>SKT!$H$25</f>
        <v>5.5027618916880128E-2</v>
      </c>
      <c r="T299" s="30"/>
      <c r="U299" s="32" t="str">
        <f t="shared" si="51"/>
        <v>KRW 100,000</v>
      </c>
      <c r="V299" s="28" t="str">
        <f t="shared" si="51"/>
        <v>SK Telecom</v>
      </c>
      <c r="Z299" s="30"/>
    </row>
    <row r="300" spans="1:26" s="5" customFormat="1">
      <c r="B300" s="26"/>
      <c r="C300" s="32" t="str">
        <f t="shared" si="50"/>
        <v>True Corp</v>
      </c>
      <c r="D300" s="28" t="str">
        <f t="shared" si="50"/>
        <v>THB 13.5</v>
      </c>
      <c r="E300" s="28" t="str">
        <f t="shared" si="50"/>
        <v>THB 18.0</v>
      </c>
      <c r="F300" s="29">
        <f t="shared" si="50"/>
        <v>0.33333333333333326</v>
      </c>
      <c r="G300" s="28" t="str">
        <f t="shared" si="50"/>
        <v>Buy</v>
      </c>
      <c r="H300" s="30"/>
      <c r="I300" s="29">
        <f>(TRUECORP!$D$24/TRUECORP!$C$24)-1</f>
        <v>8.4068651823851148E-2</v>
      </c>
      <c r="J300" s="29">
        <f>(TRUECORP!$E$24/TRUECORP!$D$24)-1</f>
        <v>6.3282300551561921E-2</v>
      </c>
      <c r="K300" s="29">
        <f>(TRUECORP!$F$24/TRUECORP!$E$24)-1</f>
        <v>3.5295927386756354E-2</v>
      </c>
      <c r="L300" s="29">
        <f>(TRUECORP!$G$24/TRUECORP!$F$24)-1</f>
        <v>2.4854034873192266E-2</v>
      </c>
      <c r="M300" s="29">
        <f>TRUECORP!$H$24</f>
        <v>4.1018310776815392E-2</v>
      </c>
      <c r="N300" s="30"/>
      <c r="O300" s="29">
        <f>(TRUECORP!$D$25/TRUECORP!$C$25)-1</f>
        <v>0.16522141630382547</v>
      </c>
      <c r="P300" s="29">
        <f>(TRUECORP!$E$25/TRUECORP!$D$25)-1</f>
        <v>7.7838780566771071E-2</v>
      </c>
      <c r="Q300" s="29">
        <f>(TRUECORP!$F$25/TRUECORP!$E$25)-1</f>
        <v>3.862773983286516E-2</v>
      </c>
      <c r="R300" s="29">
        <f>(TRUECORP!$G$25/TRUECORP!$F$25)-1</f>
        <v>5.9832399878445575E-2</v>
      </c>
      <c r="S300" s="29">
        <f>TRUECORP!$H$25</f>
        <v>5.8644888772578563E-2</v>
      </c>
      <c r="T300" s="30"/>
      <c r="U300" s="32" t="str">
        <f t="shared" si="51"/>
        <v>THB 13.5</v>
      </c>
      <c r="V300" s="28" t="str">
        <f t="shared" si="51"/>
        <v>True Corp</v>
      </c>
      <c r="Z300" s="30"/>
    </row>
    <row r="301" spans="1:26" s="5" customFormat="1">
      <c r="B301" s="26"/>
      <c r="C301" s="32" t="str">
        <f t="shared" si="50"/>
        <v>XL Axiata</v>
      </c>
      <c r="D301" s="28" t="str">
        <f t="shared" si="50"/>
        <v>IDR 3,070</v>
      </c>
      <c r="E301" s="28" t="str">
        <f t="shared" si="50"/>
        <v>IDR 4,500</v>
      </c>
      <c r="F301" s="29">
        <f t="shared" si="50"/>
        <v>0.46579804560260585</v>
      </c>
      <c r="G301" s="28" t="str">
        <f t="shared" si="50"/>
        <v>Buy</v>
      </c>
      <c r="H301" s="30"/>
      <c r="I301" s="29">
        <f>(XLAX!$D$24/XLAX!$C$24)-1</f>
        <v>3.7405780674988787E-2</v>
      </c>
      <c r="J301" s="29">
        <f>(XLAX!$E$24/XLAX!$D$24)-1</f>
        <v>0.18753324201351673</v>
      </c>
      <c r="K301" s="29">
        <f>(XLAX!$F$24/XLAX!$E$24)-1</f>
        <v>0.1017296270370327</v>
      </c>
      <c r="L301" s="29">
        <f>(XLAX!$G$24/XLAX!$F$24)-1</f>
        <v>9.7006967351235707E-2</v>
      </c>
      <c r="M301" s="29">
        <f>XLAX!$H$24</f>
        <v>0.1280025027504621</v>
      </c>
      <c r="N301" s="40"/>
      <c r="O301" s="29">
        <f>(XLAX!$D$25/XLAX!$C$25)-1</f>
        <v>-0.20415427712525513</v>
      </c>
      <c r="P301" s="29">
        <f>(XLAX!$E$25/XLAX!$D$25)-1</f>
        <v>0.39145052093136057</v>
      </c>
      <c r="Q301" s="29">
        <f>(XLAX!$F$25/XLAX!$E$25)-1</f>
        <v>0.19619904063184634</v>
      </c>
      <c r="R301" s="29">
        <f>(XLAX!$G$25/XLAX!$F$25)-1</f>
        <v>0.17388484430437279</v>
      </c>
      <c r="S301" s="29">
        <f>XLAX!$H$25</f>
        <v>0.25015991906699364</v>
      </c>
      <c r="T301" s="30"/>
      <c r="U301" s="32" t="str">
        <f t="shared" si="51"/>
        <v>IDR 3,070</v>
      </c>
      <c r="V301" s="28" t="str">
        <f t="shared" si="51"/>
        <v>XL Axiata</v>
      </c>
      <c r="Z301" s="30"/>
    </row>
    <row r="302" spans="1:26" s="5" customFormat="1">
      <c r="B302" s="26"/>
      <c r="C302" s="35" t="str">
        <f>C251</f>
        <v>Agg. Emerging Asia Cellular</v>
      </c>
      <c r="D302" s="36"/>
      <c r="E302" s="36"/>
      <c r="F302" s="37"/>
      <c r="G302" s="36"/>
      <c r="H302" s="30"/>
      <c r="I302" s="39">
        <f>('EM ASIA CELLULAR'!$D$24/'EM ASIA CELLULAR'!$C$24)-1</f>
        <v>2.8431699882657258E-2</v>
      </c>
      <c r="J302" s="39">
        <f>('EM ASIA CELLULAR'!$E$24/'EM ASIA CELLULAR'!$D$24)-1</f>
        <v>5.9105594328537459E-2</v>
      </c>
      <c r="K302" s="39">
        <f>('EM ASIA CELLULAR'!$F$24/'EM ASIA CELLULAR'!$E$24)-1</f>
        <v>5.6016831417963431E-2</v>
      </c>
      <c r="L302" s="39">
        <f>('EM ASIA CELLULAR'!$G$24/'EM ASIA CELLULAR'!$F$24)-1</f>
        <v>5.6358174228817504E-2</v>
      </c>
      <c r="M302" s="39">
        <f>'EM ASIA CELLULAR'!$H$24</f>
        <v>5.7159296356091849E-2</v>
      </c>
      <c r="N302" s="40"/>
      <c r="O302" s="39">
        <f>('EM ASIA CELLULAR'!$D$25/'EM ASIA CELLULAR'!$C$25)-1</f>
        <v>9.7604524806620185E-2</v>
      </c>
      <c r="P302" s="39">
        <f>('EM ASIA CELLULAR'!$E$25/'EM ASIA CELLULAR'!$D$25)-1</f>
        <v>0.10146614952912913</v>
      </c>
      <c r="Q302" s="39">
        <f>('EM ASIA CELLULAR'!$F$25/'EM ASIA CELLULAR'!$E$25)-1</f>
        <v>9.2275218485621924E-2</v>
      </c>
      <c r="R302" s="39">
        <f>('EM ASIA CELLULAR'!$G$25/'EM ASIA CELLULAR'!$F$25)-1</f>
        <v>8.7063930139453127E-2</v>
      </c>
      <c r="S302" s="39">
        <f>'EM ASIA CELLULAR'!$H$25</f>
        <v>9.3585576673929971E-2</v>
      </c>
      <c r="T302" s="30"/>
      <c r="U302" s="41"/>
      <c r="V302" s="42" t="str">
        <f>V251</f>
        <v>Agg. Emerging Asia Cellular</v>
      </c>
      <c r="Z302" s="30"/>
    </row>
    <row r="303" spans="1:26" s="5" customFormat="1">
      <c r="B303" s="26"/>
      <c r="C303" s="27"/>
      <c r="D303" s="28"/>
      <c r="E303" s="28"/>
      <c r="F303" s="52"/>
      <c r="G303" s="28"/>
      <c r="H303" s="30"/>
      <c r="I303" s="45"/>
      <c r="J303" s="45"/>
      <c r="K303" s="45"/>
      <c r="L303" s="45"/>
      <c r="M303" s="45"/>
      <c r="N303" s="30"/>
      <c r="O303" s="45"/>
      <c r="P303" s="45"/>
      <c r="Q303" s="45"/>
      <c r="R303" s="45"/>
      <c r="S303" s="45"/>
      <c r="T303" s="30"/>
      <c r="U303" s="32"/>
      <c r="V303" s="34"/>
      <c r="Z303" s="30"/>
    </row>
    <row r="304" spans="1:26" s="5" customFormat="1">
      <c r="B304" s="26"/>
      <c r="C304" s="35" t="str">
        <f>C253</f>
        <v>Agg. Emerging  Cellular</v>
      </c>
      <c r="D304" s="36"/>
      <c r="E304" s="36"/>
      <c r="F304" s="37"/>
      <c r="G304" s="36"/>
      <c r="H304" s="30"/>
      <c r="I304" s="39">
        <f>('EM CELLULAR'!$D$24/'EM CELLULAR'!$C$24)-1</f>
        <v>5.796428945379728E-2</v>
      </c>
      <c r="J304" s="39">
        <f>('EM CELLULAR'!$E$24/'EM CELLULAR'!$D$24)-1</f>
        <v>7.6150245118493221E-2</v>
      </c>
      <c r="K304" s="39">
        <f>('EM CELLULAR'!$F$24/'EM CELLULAR'!$E$24)-1</f>
        <v>8.7908061197802256E-2</v>
      </c>
      <c r="L304" s="39">
        <f>('EM CELLULAR'!$G$24/'EM CELLULAR'!$F$24)-1</f>
        <v>6.5431035089527745E-2</v>
      </c>
      <c r="M304" s="39">
        <f>'EM CELLULAR'!$H$24</f>
        <v>7.6457320810068063E-2</v>
      </c>
      <c r="N304" s="30"/>
      <c r="O304" s="39">
        <f>('EM CELLULAR'!$D$25/'EM CELLULAR'!$C$25)-1</f>
        <v>0.131022630593014</v>
      </c>
      <c r="P304" s="39">
        <f>('EM CELLULAR'!$E$25/'EM CELLULAR'!$D$25)-1</f>
        <v>0.10865369741176156</v>
      </c>
      <c r="Q304" s="39">
        <f>('EM CELLULAR'!$F$25/'EM CELLULAR'!$E$25)-1</f>
        <v>0.13844614549787648</v>
      </c>
      <c r="R304" s="39">
        <f>('EM CELLULAR'!$G$25/'EM CELLULAR'!$F$25)-1</f>
        <v>9.5800032460224394E-2</v>
      </c>
      <c r="S304" s="39">
        <f>'EM CELLULAR'!$H$25</f>
        <v>0.11415745332884453</v>
      </c>
      <c r="T304" s="30"/>
      <c r="U304" s="41"/>
      <c r="V304" s="42" t="str">
        <f>V253</f>
        <v>Agg. Emerging  Cellular</v>
      </c>
      <c r="Z304" s="30"/>
    </row>
    <row r="305" spans="1:29" s="5" customFormat="1">
      <c r="A305" s="23"/>
      <c r="B305" s="26"/>
      <c r="C305" s="27"/>
      <c r="D305" s="28"/>
      <c r="E305" s="28"/>
      <c r="F305" s="29"/>
      <c r="G305" s="28"/>
      <c r="H305" s="30"/>
      <c r="I305" s="29"/>
      <c r="J305" s="29"/>
      <c r="K305" s="29"/>
      <c r="L305" s="29"/>
      <c r="M305" s="29"/>
      <c r="N305" s="30"/>
      <c r="O305" s="29"/>
      <c r="P305" s="29"/>
      <c r="Q305" s="29"/>
      <c r="R305" s="29"/>
      <c r="S305" s="29"/>
      <c r="T305" s="30"/>
      <c r="U305" s="32"/>
      <c r="V305" s="34"/>
      <c r="Z305" s="30"/>
    </row>
    <row r="306" spans="1:29" s="5" customFormat="1">
      <c r="A306" s="23"/>
      <c r="B306" s="26"/>
      <c r="C306" s="51" t="str">
        <f>C255</f>
        <v>Agg. EMEA sector</v>
      </c>
      <c r="D306" s="36"/>
      <c r="E306" s="36"/>
      <c r="F306" s="37"/>
      <c r="G306" s="36"/>
      <c r="H306" s="30"/>
      <c r="I306" s="39">
        <f>('EMEA AGG'!$D$24/'EMEA AGG'!$C$24)-1</f>
        <v>0.29220623984230643</v>
      </c>
      <c r="J306" s="39">
        <f>('EMEA AGG'!$E$24/'EMEA AGG'!$D$24)-1</f>
        <v>0.16791033185742421</v>
      </c>
      <c r="K306" s="39">
        <f>('EMEA AGG'!$F$24/'EMEA AGG'!$E$24)-1</f>
        <v>0.2838194441054176</v>
      </c>
      <c r="L306" s="39">
        <f>('EMEA AGG'!$G$24/'EMEA AGG'!$F$24)-1</f>
        <v>0.11651893902671384</v>
      </c>
      <c r="M306" s="39">
        <f>'EMEA AGG'!$H$24</f>
        <v>0.18738943723674595</v>
      </c>
      <c r="N306" s="40"/>
      <c r="O306" s="39">
        <f>('EMEA AGG'!$D$25/'EMEA AGG'!$C$25)-1</f>
        <v>0.47315965043069341</v>
      </c>
      <c r="P306" s="39">
        <f>('EMEA AGG'!$E$25/'EMEA AGG'!$D$25)-1</f>
        <v>0.146004910418986</v>
      </c>
      <c r="Q306" s="39">
        <f>('EMEA AGG'!$F$25/'EMEA AGG'!$E$25)-1</f>
        <v>0.46498189627562736</v>
      </c>
      <c r="R306" s="39">
        <f>('EMEA AGG'!$G$25/'EMEA AGG'!$F$25)-1</f>
        <v>0.14588094218598169</v>
      </c>
      <c r="S306" s="39">
        <f>'EMEA AGG'!$H$25</f>
        <v>0.24371081525857741</v>
      </c>
      <c r="T306" s="30"/>
      <c r="U306" s="41"/>
      <c r="V306" s="42" t="str">
        <f>V255</f>
        <v>Agg. EMEA sector</v>
      </c>
      <c r="Z306" s="30"/>
    </row>
    <row r="307" spans="1:29" s="5" customFormat="1">
      <c r="A307" s="23"/>
      <c r="B307" s="26"/>
      <c r="C307" s="25" t="str">
        <f>C256</f>
        <v>Agg. LatAm sector</v>
      </c>
      <c r="D307" s="28"/>
      <c r="E307" s="28"/>
      <c r="F307" s="29"/>
      <c r="G307" s="28"/>
      <c r="H307" s="30"/>
      <c r="I307" s="43">
        <f>('LATAM AGG'!$D$24/'LATAM AGG'!$C$24)-1</f>
        <v>5.760641925890142E-2</v>
      </c>
      <c r="J307" s="43">
        <f>('LATAM AGG'!$E$24/'LATAM AGG'!$D$24)-1</f>
        <v>0.11624311317830105</v>
      </c>
      <c r="K307" s="43">
        <f>('LATAM AGG'!$F$24/'LATAM AGG'!$E$24)-1</f>
        <v>4.4881329186260199E-2</v>
      </c>
      <c r="L307" s="43">
        <f>('LATAM AGG'!$G$24/'LATAM AGG'!$F$24)-1</f>
        <v>3.3577921356411133E-2</v>
      </c>
      <c r="M307" s="43">
        <f>'LATAM AGG'!$H$24</f>
        <v>6.4281047352787501E-2</v>
      </c>
      <c r="N307" s="40"/>
      <c r="O307" s="43">
        <f>('LATAM AGG'!$D$25/'LATAM AGG'!$C$25)-1</f>
        <v>9.07303987638024E-2</v>
      </c>
      <c r="P307" s="43">
        <f>('LATAM AGG'!$E$25/'LATAM AGG'!$D$25)-1</f>
        <v>0.12147444744117442</v>
      </c>
      <c r="Q307" s="43">
        <f>('LATAM AGG'!$F$25/'LATAM AGG'!$E$25)-1</f>
        <v>6.3604365830598253E-2</v>
      </c>
      <c r="R307" s="43">
        <f>('LATAM AGG'!$G$25/'LATAM AGG'!$F$25)-1</f>
        <v>6.5303704085975189E-2</v>
      </c>
      <c r="S307" s="43">
        <f>'LATAM AGG'!$H$25</f>
        <v>8.3130978070602657E-2</v>
      </c>
      <c r="T307" s="30"/>
      <c r="U307" s="32"/>
      <c r="V307" s="34" t="str">
        <f>V256</f>
        <v>Agg. LatAm sector</v>
      </c>
      <c r="Z307" s="30"/>
    </row>
    <row r="308" spans="1:29" s="5" customFormat="1">
      <c r="A308" s="23"/>
      <c r="B308" s="26"/>
      <c r="C308" s="51" t="str">
        <f>C257</f>
        <v>Agg. Emerging Asia sector</v>
      </c>
      <c r="D308" s="36"/>
      <c r="E308" s="36"/>
      <c r="F308" s="37"/>
      <c r="G308" s="36"/>
      <c r="H308" s="30"/>
      <c r="I308" s="39">
        <f>('AGG EM ASIA'!$D$24/'AGG EM ASIA'!$C$24)-1</f>
        <v>3.4719228185955853E-2</v>
      </c>
      <c r="J308" s="39">
        <f>('AGG EM ASIA'!$E$24/'AGG EM ASIA'!$D$24)-1</f>
        <v>4.5613948270387228E-2</v>
      </c>
      <c r="K308" s="39">
        <f>('AGG EM ASIA'!$F$24/'AGG EM ASIA'!$E$24)-1</f>
        <v>4.6285288739680075E-2</v>
      </c>
      <c r="L308" s="39">
        <f>('AGG EM ASIA'!$G$24/'AGG EM ASIA'!$F$24)-1</f>
        <v>4.8384281769328741E-2</v>
      </c>
      <c r="M308" s="39">
        <f>'AGG EM ASIA'!$H$24</f>
        <v>4.6760508116739707E-2</v>
      </c>
      <c r="N308" s="40"/>
      <c r="O308" s="39">
        <f>('AGG EM ASIA'!$D$25/'AGG EM ASIA'!$C$25)-1</f>
        <v>0.14197921133474534</v>
      </c>
      <c r="P308" s="39">
        <f>('AGG EM ASIA'!$E$25/'AGG EM ASIA'!$D$25)-1</f>
        <v>9.5001851680655225E-2</v>
      </c>
      <c r="Q308" s="39">
        <f>('AGG EM ASIA'!$F$25/'AGG EM ASIA'!$E$25)-1</f>
        <v>8.6408314532321118E-2</v>
      </c>
      <c r="R308" s="39">
        <f>('AGG EM ASIA'!$G$25/'AGG EM ASIA'!$F$25)-1</f>
        <v>8.3101363109591153E-2</v>
      </c>
      <c r="S308" s="39">
        <f>'AGG EM ASIA'!$H$25</f>
        <v>8.8158967855370252E-2</v>
      </c>
      <c r="T308" s="30"/>
      <c r="U308" s="41"/>
      <c r="V308" s="42" t="str">
        <f>V257</f>
        <v>Agg. Emerging Asia sector</v>
      </c>
      <c r="Z308" s="30"/>
    </row>
    <row r="309" spans="1:29" s="5" customFormat="1">
      <c r="A309" s="23"/>
      <c r="B309" s="26"/>
      <c r="C309" s="25"/>
      <c r="D309" s="28"/>
      <c r="E309" s="28"/>
      <c r="F309" s="29"/>
      <c r="G309" s="28"/>
      <c r="H309" s="30"/>
      <c r="I309" s="43"/>
      <c r="J309" s="43"/>
      <c r="K309" s="43"/>
      <c r="L309" s="43"/>
      <c r="M309" s="43"/>
      <c r="N309" s="40"/>
      <c r="O309" s="43"/>
      <c r="P309" s="43"/>
      <c r="Q309" s="43"/>
      <c r="R309" s="43"/>
      <c r="S309" s="43"/>
      <c r="T309" s="30"/>
      <c r="U309" s="32"/>
      <c r="V309" s="34"/>
      <c r="Z309" s="30"/>
    </row>
    <row r="310" spans="1:29" s="5" customFormat="1">
      <c r="A310" s="23"/>
      <c r="B310" s="26"/>
      <c r="C310" s="51" t="str">
        <f>C259</f>
        <v>Agg. Global EM sector</v>
      </c>
      <c r="D310" s="36"/>
      <c r="E310" s="36"/>
      <c r="F310" s="37"/>
      <c r="G310" s="36"/>
      <c r="H310" s="30"/>
      <c r="I310" s="39">
        <f>('AGG EM'!$D$24/'AGG EM'!$C$24)-1</f>
        <v>5.4800988929679884E-2</v>
      </c>
      <c r="J310" s="39">
        <f>('AGG EM'!$E$24/'AGG EM'!$D$24)-1</f>
        <v>6.8462827725905173E-2</v>
      </c>
      <c r="K310" s="39">
        <f>('AGG EM'!$F$24/'AGG EM'!$E$24)-1</f>
        <v>6.5317828462817973E-2</v>
      </c>
      <c r="L310" s="39">
        <f>('AGG EM'!$G$24/'AGG EM'!$F$24)-1</f>
        <v>5.2108483823110507E-2</v>
      </c>
      <c r="M310" s="39">
        <f>'AGG EM'!$H$24</f>
        <v>6.193934493836073E-2</v>
      </c>
      <c r="N310" s="40"/>
      <c r="O310" s="39">
        <f>('AGG EM'!$D$25/'AGG EM'!$C$25)-1</f>
        <v>0.14848074044393478</v>
      </c>
      <c r="P310" s="39">
        <f>('AGG EM'!$E$25/'AGG EM'!$D$25)-1</f>
        <v>0.10439683906633412</v>
      </c>
      <c r="Q310" s="39">
        <f>('AGG EM'!$F$25/'AGG EM'!$E$25)-1</f>
        <v>0.10917600919918491</v>
      </c>
      <c r="R310" s="39">
        <f>('AGG EM'!$G$25/'AGG EM'!$F$25)-1</f>
        <v>8.5410580325250951E-2</v>
      </c>
      <c r="S310" s="39">
        <f>'AGG EM'!$H$25</f>
        <v>9.9613064453166533E-2</v>
      </c>
      <c r="T310" s="30"/>
      <c r="U310" s="41"/>
      <c r="V310" s="42" t="str">
        <f>V259</f>
        <v>Agg. Global EM sector (ex-consensus)</v>
      </c>
      <c r="Z310" s="30"/>
    </row>
    <row r="311" spans="1:29" s="5" customFormat="1">
      <c r="A311" s="23"/>
      <c r="B311" s="26"/>
      <c r="C311" s="27"/>
      <c r="D311" s="28"/>
      <c r="E311" s="28"/>
      <c r="F311" s="29"/>
      <c r="G311" s="28"/>
      <c r="H311" s="105"/>
      <c r="I311" s="29"/>
      <c r="J311" s="29"/>
      <c r="K311" s="29"/>
      <c r="L311" s="29"/>
      <c r="M311" s="29"/>
      <c r="N311" s="30"/>
      <c r="O311" s="29"/>
      <c r="P311" s="29"/>
      <c r="Q311" s="29"/>
      <c r="R311" s="29"/>
      <c r="S311" s="29"/>
      <c r="T311" s="30"/>
      <c r="U311" s="32"/>
      <c r="V311" s="34"/>
      <c r="Z311" s="30"/>
    </row>
    <row r="312" spans="1:29" s="5" customFormat="1">
      <c r="A312" s="23"/>
      <c r="B312" s="26"/>
      <c r="C312" s="27"/>
      <c r="D312" s="28"/>
      <c r="E312" s="28"/>
      <c r="F312" s="29"/>
      <c r="G312" s="28"/>
      <c r="H312" s="105"/>
      <c r="I312" s="29"/>
      <c r="J312" s="29"/>
      <c r="K312" s="29"/>
      <c r="L312" s="29"/>
      <c r="M312" s="29"/>
      <c r="N312" s="30"/>
      <c r="O312" s="29"/>
      <c r="P312" s="29"/>
      <c r="Q312" s="29"/>
      <c r="R312" s="29"/>
      <c r="S312" s="29"/>
      <c r="T312" s="30"/>
      <c r="U312" s="32"/>
      <c r="V312" s="34"/>
      <c r="Z312" s="30"/>
    </row>
    <row r="313" spans="1:29" s="25" customFormat="1">
      <c r="B313" s="113"/>
      <c r="C313" s="130"/>
      <c r="D313" s="131" t="s">
        <v>379</v>
      </c>
      <c r="E313" s="131" t="s">
        <v>50</v>
      </c>
      <c r="F313" s="131" t="s">
        <v>52</v>
      </c>
      <c r="G313" s="131" t="s">
        <v>49</v>
      </c>
      <c r="H313" s="105"/>
      <c r="I313" s="132" t="s">
        <v>383</v>
      </c>
      <c r="J313" s="132"/>
      <c r="K313" s="132"/>
      <c r="L313" s="132"/>
      <c r="M313" s="132"/>
      <c r="N313" s="30"/>
      <c r="O313" s="132" t="s">
        <v>384</v>
      </c>
      <c r="P313" s="132"/>
      <c r="Q313" s="132"/>
      <c r="R313" s="132"/>
      <c r="S313" s="132"/>
      <c r="T313" s="30"/>
      <c r="U313" s="133" t="s">
        <v>379</v>
      </c>
      <c r="V313" s="131"/>
      <c r="Z313" s="33"/>
      <c r="AC313" s="106"/>
    </row>
    <row r="314" spans="1:29" s="5" customFormat="1">
      <c r="A314" s="25" t="s">
        <v>415</v>
      </c>
      <c r="B314" s="26"/>
      <c r="C314" s="32" t="str">
        <f t="shared" ref="C314:G315" si="52">C263</f>
        <v>America Movil</v>
      </c>
      <c r="D314" s="28" t="str">
        <f t="shared" si="52"/>
        <v>USD 22.8</v>
      </c>
      <c r="E314" s="28" t="str">
        <f t="shared" si="52"/>
        <v>USD 24.0</v>
      </c>
      <c r="F314" s="29">
        <f t="shared" si="52"/>
        <v>5.2631578947368363E-2</v>
      </c>
      <c r="G314" s="28" t="str">
        <f t="shared" si="52"/>
        <v>Buy</v>
      </c>
      <c r="H314" s="30"/>
      <c r="I314" s="29">
        <f>AMX!$D$24/AMX!$D$23</f>
        <v>0.39342752669553333</v>
      </c>
      <c r="J314" s="29">
        <f>AMX!$E$24/AMX!$E$23</f>
        <v>0.39529211213010934</v>
      </c>
      <c r="K314" s="29">
        <f>AMX!$F$24/AMX!$F$23</f>
        <v>0.39718346194891369</v>
      </c>
      <c r="L314" s="29">
        <f>AMX!$G$24/AMX!$G$23</f>
        <v>0.39909299782366803</v>
      </c>
      <c r="M314" s="29">
        <f t="shared" ref="M314:M317" si="53">L314-I314</f>
        <v>5.6654711281347025E-3</v>
      </c>
      <c r="N314" s="30"/>
      <c r="O314" s="29">
        <f>AMX!$D$25/AMX!$D$23</f>
        <v>0.26045576336847481</v>
      </c>
      <c r="P314" s="29">
        <f>AMX!$E$25/AMX!$E$23</f>
        <v>0.25660003781702079</v>
      </c>
      <c r="Q314" s="29">
        <f>AMX!$F$25/AMX!$F$23</f>
        <v>0.2583404803227411</v>
      </c>
      <c r="R314" s="29">
        <f>AMX!$G$25/AMX!$G$23</f>
        <v>0.26813161199799868</v>
      </c>
      <c r="S314" s="29">
        <f t="shared" ref="S314:S317" si="54">R314-O314</f>
        <v>7.6758486295238626E-3</v>
      </c>
      <c r="T314" s="30"/>
      <c r="U314" s="32" t="str">
        <f>U263</f>
        <v>USD 22.8</v>
      </c>
      <c r="V314" s="28" t="str">
        <f>V263</f>
        <v>America Movil</v>
      </c>
      <c r="Z314" s="30"/>
    </row>
    <row r="315" spans="1:29" s="5" customFormat="1">
      <c r="B315" s="26"/>
      <c r="C315" s="32" t="str">
        <f t="shared" si="52"/>
        <v>Vivo</v>
      </c>
      <c r="D315" s="28" t="str">
        <f t="shared" si="52"/>
        <v>BRL 39.88</v>
      </c>
      <c r="E315" s="28" t="str">
        <f t="shared" si="52"/>
        <v>BRL 43.00</v>
      </c>
      <c r="F315" s="29">
        <f t="shared" si="52"/>
        <v>7.8234704112337017E-2</v>
      </c>
      <c r="G315" s="28" t="str">
        <f t="shared" si="52"/>
        <v>Buy</v>
      </c>
      <c r="H315" s="30"/>
      <c r="I315" s="29">
        <f>VIVO!$D$24/VIVO!$D$23</f>
        <v>0.41683641302216157</v>
      </c>
      <c r="J315" s="29">
        <f>VIVO!$E$24/VIVO!$E$23</f>
        <v>0.45119537603951587</v>
      </c>
      <c r="K315" s="29">
        <f>VIVO!$F$24/VIVO!$F$23</f>
        <v>0.45636433531335702</v>
      </c>
      <c r="L315" s="29">
        <f>VIVO!$G$24/VIVO!$G$23</f>
        <v>0.45086305306884988</v>
      </c>
      <c r="M315" s="29">
        <f t="shared" si="53"/>
        <v>3.4026640046688317E-2</v>
      </c>
      <c r="N315" s="30"/>
      <c r="O315" s="29">
        <f>VIVO!$D$25/VIVO!$D$23</f>
        <v>0.25877530256745973</v>
      </c>
      <c r="P315" s="29">
        <f>VIVO!$E$25/VIVO!$E$23</f>
        <v>0.29917417039697625</v>
      </c>
      <c r="Q315" s="29">
        <f>VIVO!$F$25/VIVO!$F$23</f>
        <v>0.31152620006314213</v>
      </c>
      <c r="R315" s="29">
        <f>VIVO!$G$25/VIVO!$G$23</f>
        <v>0.3132882870758581</v>
      </c>
      <c r="S315" s="29">
        <f t="shared" si="54"/>
        <v>5.4512984508398366E-2</v>
      </c>
      <c r="T315" s="30"/>
      <c r="U315" s="32" t="str">
        <f>U264</f>
        <v>BRL 39.88</v>
      </c>
      <c r="V315" s="28" t="str">
        <f>V264</f>
        <v>Telefonica Brasil</v>
      </c>
    </row>
    <row r="316" spans="1:29" s="5" customFormat="1">
      <c r="B316" s="26"/>
      <c r="C316" s="32" t="s">
        <v>561</v>
      </c>
      <c r="D316" s="28" t="str">
        <f>D265</f>
        <v>USD 3.1</v>
      </c>
      <c r="E316" s="28" t="str">
        <f>E265</f>
        <v>USD 3.7</v>
      </c>
      <c r="F316" s="29">
        <f>F265</f>
        <v>0.21311475409836089</v>
      </c>
      <c r="G316" s="28" t="str">
        <f>G265</f>
        <v>Neutral</v>
      </c>
      <c r="H316" s="30"/>
      <c r="I316" s="29">
        <f>TVIS!$D$24/TVIS!$D$23</f>
        <v>0.35248337158280646</v>
      </c>
      <c r="J316" s="29">
        <f>TVIS!$E$24/TVIS!$E$23</f>
        <v>0.35588293235485413</v>
      </c>
      <c r="K316" s="29">
        <f>TVIS!$F$24/TVIS!$F$23</f>
        <v>0.35949007210892553</v>
      </c>
      <c r="L316" s="29">
        <f>TVIS!$G$24/TVIS!$G$23</f>
        <v>0.36331567512117952</v>
      </c>
      <c r="M316" s="29">
        <f>L316-I316</f>
        <v>1.0832303538373056E-2</v>
      </c>
      <c r="N316" s="30"/>
      <c r="O316" s="29">
        <f>TVIS!$D$25/TVIS!$D$23</f>
        <v>0.15614905541945792</v>
      </c>
      <c r="P316" s="29">
        <f>TVIS!$E$25/TVIS!$E$23</f>
        <v>0.15735624647280516</v>
      </c>
      <c r="Q316" s="29">
        <f>TVIS!$F$25/TVIS!$F$23</f>
        <v>0.1637221338193327</v>
      </c>
      <c r="R316" s="29">
        <f>TVIS!$G$25/TVIS!$G$23</f>
        <v>0.170773901260624</v>
      </c>
      <c r="S316" s="29">
        <f>R316-O316</f>
        <v>1.4624845841166079E-2</v>
      </c>
      <c r="T316" s="30"/>
      <c r="U316" s="32" t="str">
        <f>U265</f>
        <v>USD 3.1</v>
      </c>
      <c r="V316" s="28" t="s">
        <v>561</v>
      </c>
    </row>
    <row r="317" spans="1:29" s="5" customFormat="1">
      <c r="B317" s="26"/>
      <c r="C317" s="35" t="str">
        <f>C266</f>
        <v>Agg. LatAm Incumbent</v>
      </c>
      <c r="D317" s="36"/>
      <c r="E317" s="36"/>
      <c r="F317" s="37"/>
      <c r="G317" s="36"/>
      <c r="H317" s="30"/>
      <c r="I317" s="39">
        <f>'LATAM INCUMB'!D26/'LATAM INCUMB'!D25</f>
        <v>0.69311307758914498</v>
      </c>
      <c r="J317" s="39">
        <f>'LATAM INCUMB'!E26/'LATAM INCUMB'!E25</f>
        <v>0.69228916706141308</v>
      </c>
      <c r="K317" s="39">
        <f>'LATAM INCUMB'!F26/'LATAM INCUMB'!F25</f>
        <v>0.69183792444305703</v>
      </c>
      <c r="L317" s="39">
        <f>'LATAM INCUMB'!G26/'LATAM INCUMB'!G25</f>
        <v>0.69180516159911842</v>
      </c>
      <c r="M317" s="39">
        <f t="shared" si="53"/>
        <v>-1.3079159900265536E-3</v>
      </c>
      <c r="N317" s="40"/>
      <c r="O317" s="39">
        <f>'LATAM INCUMB'!D30/'LATAM INCUMB'!D28</f>
        <v>0.1453122280023508</v>
      </c>
      <c r="P317" s="39">
        <f>'LATAM INCUMB'!E30/'LATAM INCUMB'!E28</f>
        <v>0.19056475804596579</v>
      </c>
      <c r="Q317" s="39">
        <f>'LATAM INCUMB'!F30/'LATAM INCUMB'!F28</f>
        <v>0.23113522110417029</v>
      </c>
      <c r="R317" s="39">
        <f>'LATAM INCUMB'!G30/'LATAM INCUMB'!G28</f>
        <v>0.27418776293862301</v>
      </c>
      <c r="S317" s="39">
        <f t="shared" si="54"/>
        <v>0.12887553493627221</v>
      </c>
      <c r="T317" s="30"/>
      <c r="U317" s="41"/>
      <c r="V317" s="42" t="str">
        <f>V266</f>
        <v>Agg. LatAm Incumbent</v>
      </c>
    </row>
    <row r="318" spans="1:29" s="5" customFormat="1">
      <c r="A318" s="23"/>
      <c r="B318" s="26"/>
      <c r="C318" s="32"/>
      <c r="D318" s="28"/>
      <c r="E318" s="28"/>
      <c r="F318" s="29"/>
      <c r="G318" s="28"/>
      <c r="H318" s="30"/>
      <c r="I318" s="29"/>
      <c r="J318" s="29"/>
      <c r="K318" s="29"/>
      <c r="L318" s="29"/>
      <c r="M318" s="29"/>
      <c r="N318" s="40"/>
      <c r="O318" s="29"/>
      <c r="P318" s="29"/>
      <c r="Q318" s="29"/>
      <c r="R318" s="29"/>
      <c r="S318" s="29"/>
      <c r="T318" s="30"/>
      <c r="U318" s="32"/>
      <c r="V318" s="34"/>
    </row>
    <row r="319" spans="1:29" s="5" customFormat="1">
      <c r="B319" s="26"/>
      <c r="C319" s="32" t="str">
        <f t="shared" ref="C319:G322" si="55">C268</f>
        <v>China Telecom</v>
      </c>
      <c r="D319" s="28" t="str">
        <f t="shared" si="55"/>
        <v>HKD 5.01</v>
      </c>
      <c r="E319" s="28" t="str">
        <f t="shared" si="55"/>
        <v>HKD 8.75</v>
      </c>
      <c r="F319" s="29">
        <f t="shared" si="55"/>
        <v>0.7465069860279443</v>
      </c>
      <c r="G319" s="28" t="str">
        <f t="shared" si="55"/>
        <v>Buy</v>
      </c>
      <c r="H319" s="30"/>
      <c r="I319" s="135">
        <f>_CT!$D$24/_CT!$D$23</f>
        <v>0.27546794650744649</v>
      </c>
      <c r="J319" s="135">
        <f>_CT!$E$24/_CT!$E$23</f>
        <v>0.27769385431980637</v>
      </c>
      <c r="K319" s="135">
        <f>_CT!$F$24/_CT!$F$23</f>
        <v>0.27929708198219255</v>
      </c>
      <c r="L319" s="135">
        <f>_CT!$G$24/_CT!$G$23</f>
        <v>0.2826564776181853</v>
      </c>
      <c r="M319" s="29">
        <f t="shared" ref="M319:M323" si="56">L319-I319</f>
        <v>7.188531110738805E-3</v>
      </c>
      <c r="N319" s="40"/>
      <c r="O319" s="135">
        <f>_CT!$D$25/_CT!$D$23</f>
        <v>0.12113461076633621</v>
      </c>
      <c r="P319" s="135">
        <f>_CT!$E$25/_CT!$E$23</f>
        <v>0.13234910749771867</v>
      </c>
      <c r="Q319" s="135">
        <f>_CT!$F$25/_CT!$F$23</f>
        <v>0.14015141813820572</v>
      </c>
      <c r="R319" s="135">
        <f>_CT!$G$25/_CT!$G$23</f>
        <v>0.14808988098915471</v>
      </c>
      <c r="S319" s="135">
        <f t="shared" ref="S319:S323" si="57">R319-O319</f>
        <v>2.6955270222818503E-2</v>
      </c>
      <c r="T319" s="30"/>
      <c r="U319" s="32" t="str">
        <f t="shared" ref="U319:V322" si="58">U268</f>
        <v>HKD 5.01</v>
      </c>
      <c r="V319" s="28" t="str">
        <f t="shared" si="58"/>
        <v>China Telecom</v>
      </c>
    </row>
    <row r="320" spans="1:29" s="5" customFormat="1">
      <c r="B320" s="26"/>
      <c r="C320" s="32" t="str">
        <f t="shared" si="55"/>
        <v>China Unicom</v>
      </c>
      <c r="D320" s="28" t="str">
        <f t="shared" si="55"/>
        <v>HKD 7.26</v>
      </c>
      <c r="E320" s="28" t="str">
        <f t="shared" si="55"/>
        <v>HKD 13.20</v>
      </c>
      <c r="F320" s="29">
        <f t="shared" si="55"/>
        <v>0.81818181818181812</v>
      </c>
      <c r="G320" s="28" t="str">
        <f t="shared" si="55"/>
        <v>Buy</v>
      </c>
      <c r="H320" s="30"/>
      <c r="I320" s="135">
        <f>_CU!$D$24/_CU!$D$23</f>
        <v>0.24789484601765083</v>
      </c>
      <c r="J320" s="135">
        <f>_CU!$E$24/_CU!$E$23</f>
        <v>0.24313885354351439</v>
      </c>
      <c r="K320" s="135">
        <f>_CU!$F$24/_CU!$F$23</f>
        <v>0.24046741900389917</v>
      </c>
      <c r="L320" s="135">
        <f>_CU!$G$24/_CU!$G$23</f>
        <v>0.23888433587524729</v>
      </c>
      <c r="M320" s="29">
        <f t="shared" si="56"/>
        <v>-9.0105101424035328E-3</v>
      </c>
      <c r="N320" s="40"/>
      <c r="O320" s="135">
        <f>_CU!$D$25/_CU!$D$23</f>
        <v>0.10570546717742274</v>
      </c>
      <c r="P320" s="135">
        <f>_CU!$E$25/_CU!$E$23</f>
        <v>0.11234694437812678</v>
      </c>
      <c r="Q320" s="135">
        <f>_CU!$F$25/_CU!$F$23</f>
        <v>0.11689829567703111</v>
      </c>
      <c r="R320" s="135">
        <f>_CU!$G$25/_CU!$G$23</f>
        <v>0.12241270092782869</v>
      </c>
      <c r="S320" s="135">
        <f t="shared" si="57"/>
        <v>1.6707233750405948E-2</v>
      </c>
      <c r="T320" s="30"/>
      <c r="U320" s="32" t="str">
        <f t="shared" si="58"/>
        <v>HKD 7.26</v>
      </c>
      <c r="V320" s="28" t="str">
        <f t="shared" si="58"/>
        <v>China Unicom</v>
      </c>
    </row>
    <row r="321" spans="1:22" s="5" customFormat="1">
      <c r="A321" s="23"/>
      <c r="B321" s="26"/>
      <c r="C321" s="32" t="str">
        <f t="shared" si="55"/>
        <v>KT Corp</v>
      </c>
      <c r="D321" s="28" t="str">
        <f t="shared" si="55"/>
        <v>KRW 61,700</v>
      </c>
      <c r="E321" s="28" t="str">
        <f t="shared" si="55"/>
        <v>KRW 105,000</v>
      </c>
      <c r="F321" s="29">
        <f t="shared" si="55"/>
        <v>0.70178282009724469</v>
      </c>
      <c r="G321" s="28" t="str">
        <f t="shared" si="55"/>
        <v>Buy</v>
      </c>
      <c r="H321" s="30"/>
      <c r="I321" s="29">
        <f>_KT!$D$24/_KT!$D$23</f>
        <v>0.23034892607527638</v>
      </c>
      <c r="J321" s="29">
        <f>_KT!$E$24/_KT!$E$23</f>
        <v>0.22347156791000994</v>
      </c>
      <c r="K321" s="29">
        <f>_KT!$F$24/_KT!$F$23</f>
        <v>0.2245915718798264</v>
      </c>
      <c r="L321" s="29">
        <f>_KT!$G$24/_KT!$G$23</f>
        <v>0.22606280975413054</v>
      </c>
      <c r="M321" s="29">
        <f t="shared" si="56"/>
        <v>-4.2861163211458386E-3</v>
      </c>
      <c r="N321" s="40"/>
      <c r="O321" s="29">
        <f>_KT!$D$25/_KT!$D$23</f>
        <v>0.12422302973657597</v>
      </c>
      <c r="P321" s="29">
        <f>_KT!$E$25/_KT!$E$23</f>
        <v>0.11824521110573288</v>
      </c>
      <c r="Q321" s="29">
        <f>_KT!$F$25/_KT!$F$23</f>
        <v>0.1212081742429179</v>
      </c>
      <c r="R321" s="29">
        <f>_KT!$G$25/_KT!$G$23</f>
        <v>0.12437995882439677</v>
      </c>
      <c r="S321" s="29">
        <f t="shared" si="57"/>
        <v>1.5692908782080628E-4</v>
      </c>
      <c r="T321" s="30"/>
      <c r="U321" s="32" t="str">
        <f t="shared" si="58"/>
        <v>KRW 61,700</v>
      </c>
      <c r="V321" s="28" t="str">
        <f t="shared" si="58"/>
        <v>KT Corp</v>
      </c>
    </row>
    <row r="322" spans="1:22" s="5" customFormat="1">
      <c r="A322" s="23"/>
      <c r="B322" s="26"/>
      <c r="C322" s="32" t="str">
        <f t="shared" si="55"/>
        <v>Telkom Indonesia</v>
      </c>
      <c r="D322" s="28" t="str">
        <f t="shared" si="55"/>
        <v>IDR 2,810</v>
      </c>
      <c r="E322" s="28" t="str">
        <f t="shared" si="55"/>
        <v>IDR 3,500</v>
      </c>
      <c r="F322" s="29">
        <f t="shared" si="55"/>
        <v>0.24555160142348753</v>
      </c>
      <c r="G322" s="28" t="str">
        <f t="shared" si="55"/>
        <v>Neutral</v>
      </c>
      <c r="H322" s="30"/>
      <c r="I322" s="135">
        <f>PTT!$D$24/PTT!$D$23</f>
        <v>0.49942341156621439</v>
      </c>
      <c r="J322" s="135">
        <f>PTT!$E$24/PTT!$E$23</f>
        <v>0.50187844623127376</v>
      </c>
      <c r="K322" s="135">
        <f>PTT!$F$24/PTT!$F$23</f>
        <v>0.50440786272012628</v>
      </c>
      <c r="L322" s="135">
        <f>PTT!$G$24/PTT!$G$23</f>
        <v>0.50709380623609923</v>
      </c>
      <c r="M322" s="29">
        <f t="shared" si="56"/>
        <v>7.6703946698848391E-3</v>
      </c>
      <c r="N322" s="40"/>
      <c r="O322" s="135">
        <f>PTT!$D$25/PTT!$D$23</f>
        <v>0.32868314377840746</v>
      </c>
      <c r="P322" s="135">
        <f>PTT!$E$25/PTT!$E$23</f>
        <v>0.32277990443153703</v>
      </c>
      <c r="Q322" s="135">
        <f>PTT!$F$25/PTT!$F$23</f>
        <v>0.32574865229869115</v>
      </c>
      <c r="R322" s="135">
        <f>PTT!$G$25/PTT!$G$23</f>
        <v>0.32783456346392148</v>
      </c>
      <c r="S322" s="135">
        <f t="shared" si="57"/>
        <v>-8.4858031448598048E-4</v>
      </c>
      <c r="T322" s="30"/>
      <c r="U322" s="32" t="str">
        <f t="shared" si="58"/>
        <v>IDR 2,810</v>
      </c>
      <c r="V322" s="28" t="str">
        <f t="shared" si="58"/>
        <v>PT Telkom</v>
      </c>
    </row>
    <row r="323" spans="1:22" s="5" customFormat="1">
      <c r="A323" s="23"/>
      <c r="B323" s="26"/>
      <c r="C323" s="35" t="str">
        <f>C272</f>
        <v>Agg. Emerging Asia Incumbent</v>
      </c>
      <c r="D323" s="36"/>
      <c r="E323" s="36"/>
      <c r="F323" s="37"/>
      <c r="G323" s="36"/>
      <c r="H323" s="30"/>
      <c r="I323" s="39">
        <f>'EM ASIA INCUMB'!$D$24/'EM ASIA INCUMB'!$D$23</f>
        <v>0.27224483295167468</v>
      </c>
      <c r="J323" s="39">
        <f>'EM ASIA INCUMB'!$E$24/'EM ASIA INCUMB'!$E$23</f>
        <v>0.2712207125644106</v>
      </c>
      <c r="K323" s="39">
        <f>'EM ASIA INCUMB'!$F$24/'EM ASIA INCUMB'!$F$23</f>
        <v>0.27135598823598889</v>
      </c>
      <c r="L323" s="39">
        <f>'EM ASIA INCUMB'!$G$24/'EM ASIA INCUMB'!$G$23</f>
        <v>0.27275096323553571</v>
      </c>
      <c r="M323" s="39">
        <f t="shared" si="56"/>
        <v>5.0613028386103931E-4</v>
      </c>
      <c r="N323" s="40"/>
      <c r="O323" s="39">
        <f>'EM ASIA INCUMB'!$D$25/'EM ASIA INCUMB'!$D$23</f>
        <v>0.12693249838641968</v>
      </c>
      <c r="P323" s="39">
        <f>'EM ASIA INCUMB'!$E$25/'EM ASIA INCUMB'!$E$23</f>
        <v>0.13379644385885506</v>
      </c>
      <c r="Q323" s="39">
        <f>'EM ASIA INCUMB'!$F$25/'EM ASIA INCUMB'!$F$23</f>
        <v>0.13969650767775291</v>
      </c>
      <c r="R323" s="39">
        <f>'EM ASIA INCUMB'!$G$25/'EM ASIA INCUMB'!$G$23</f>
        <v>0.14596709982663042</v>
      </c>
      <c r="S323" s="39">
        <f t="shared" si="57"/>
        <v>1.9034601440210741E-2</v>
      </c>
      <c r="T323" s="30"/>
      <c r="U323" s="41"/>
      <c r="V323" s="42" t="str">
        <f>V272</f>
        <v>Agg. Emerging Asia Incumbent</v>
      </c>
    </row>
    <row r="324" spans="1:22" s="5" customFormat="1">
      <c r="A324" s="23"/>
      <c r="B324" s="26"/>
      <c r="C324" s="27"/>
      <c r="D324" s="28"/>
      <c r="E324" s="28"/>
      <c r="F324" s="52"/>
      <c r="G324" s="28"/>
      <c r="H324" s="30"/>
      <c r="I324" s="45"/>
      <c r="J324" s="45"/>
      <c r="K324" s="45"/>
      <c r="L324" s="45"/>
      <c r="M324" s="45"/>
      <c r="N324" s="40"/>
      <c r="O324" s="45"/>
      <c r="P324" s="45"/>
      <c r="Q324" s="45"/>
      <c r="R324" s="45"/>
      <c r="S324" s="45"/>
      <c r="T324" s="30"/>
      <c r="U324" s="32"/>
      <c r="V324" s="34"/>
    </row>
    <row r="325" spans="1:22" s="5" customFormat="1">
      <c r="A325" s="23"/>
      <c r="B325" s="26"/>
      <c r="C325" s="35" t="str">
        <f>C274</f>
        <v>Agg. Emerging Incumbent</v>
      </c>
      <c r="D325" s="36"/>
      <c r="E325" s="36"/>
      <c r="F325" s="37"/>
      <c r="G325" s="36"/>
      <c r="H325" s="30"/>
      <c r="I325" s="39">
        <f>'EM INCUMB'!$D$24/'EM INCUMB'!$D$23</f>
        <v>0.30716247548018477</v>
      </c>
      <c r="J325" s="39">
        <f>'EM INCUMB'!$E$24/'EM INCUMB'!$E$23</f>
        <v>0.31055597472872554</v>
      </c>
      <c r="K325" s="39">
        <f>'EM INCUMB'!$F$24/'EM INCUMB'!$F$23</f>
        <v>0.31157333615495658</v>
      </c>
      <c r="L325" s="39">
        <f>'EM INCUMB'!$G$24/'EM INCUMB'!$G$23</f>
        <v>0.31278551353193096</v>
      </c>
      <c r="M325" s="39">
        <f t="shared" ref="M325" si="59">L325-I325</f>
        <v>5.6230380517461875E-3</v>
      </c>
      <c r="N325" s="40"/>
      <c r="O325" s="39">
        <f>'EM INCUMB'!$D$25/'EM INCUMB'!$D$23</f>
        <v>0.16322270049927598</v>
      </c>
      <c r="P325" s="39">
        <f>'EM INCUMB'!$E$25/'EM INCUMB'!$E$23</f>
        <v>0.17133492924905752</v>
      </c>
      <c r="Q325" s="39">
        <f>'EM INCUMB'!$F$25/'EM INCUMB'!$F$23</f>
        <v>0.17679844967608552</v>
      </c>
      <c r="R325" s="39">
        <f>'EM INCUMB'!$G$25/'EM INCUMB'!$G$23</f>
        <v>0.18370328495371663</v>
      </c>
      <c r="S325" s="39">
        <f t="shared" ref="S325" si="60">R325-O325</f>
        <v>2.0480584454440648E-2</v>
      </c>
      <c r="T325" s="30"/>
      <c r="U325" s="41"/>
      <c r="V325" s="42" t="str">
        <f>V274</f>
        <v>Agg. Emerging Incumbent</v>
      </c>
    </row>
    <row r="326" spans="1:22" s="5" customFormat="1">
      <c r="A326" s="23"/>
      <c r="B326" s="26"/>
      <c r="C326" s="27"/>
      <c r="D326" s="28"/>
      <c r="E326" s="28"/>
      <c r="F326" s="29"/>
      <c r="G326" s="28"/>
      <c r="H326" s="30"/>
      <c r="I326" s="29"/>
      <c r="J326" s="29"/>
      <c r="K326" s="29"/>
      <c r="L326" s="29"/>
      <c r="M326" s="29"/>
      <c r="N326" s="40"/>
      <c r="O326" s="29"/>
      <c r="P326" s="29"/>
      <c r="Q326" s="29"/>
      <c r="R326" s="29"/>
      <c r="S326" s="29"/>
      <c r="T326" s="30"/>
      <c r="U326" s="32"/>
      <c r="V326" s="34"/>
    </row>
    <row r="327" spans="1:22" s="5" customFormat="1">
      <c r="A327" s="25" t="s">
        <v>1091</v>
      </c>
      <c r="B327" s="26"/>
      <c r="C327" s="32" t="str">
        <f t="shared" ref="C327:G331" si="61">C276</f>
        <v>Airtel Africa</v>
      </c>
      <c r="D327" s="28" t="str">
        <f t="shared" si="61"/>
        <v>GBP3.60</v>
      </c>
      <c r="E327" s="28" t="str">
        <f t="shared" si="61"/>
        <v>GBP4.60</v>
      </c>
      <c r="F327" s="29">
        <f t="shared" si="61"/>
        <v>0.2791991101223581</v>
      </c>
      <c r="G327" s="28" t="str">
        <f t="shared" si="61"/>
        <v>Buy</v>
      </c>
      <c r="H327" s="30"/>
      <c r="I327" s="135">
        <f>AAF!$D$24/AAF!$D$23</f>
        <v>0.35868883039993843</v>
      </c>
      <c r="J327" s="135">
        <f>AAF!$E$24/AAF!$E$23</f>
        <v>0.40830498668048648</v>
      </c>
      <c r="K327" s="135">
        <f>AAF!$F$24/AAF!$F$23</f>
        <v>0.42870057948207652</v>
      </c>
      <c r="L327" s="135">
        <f>AAF!$G$24/AAF!$G$23</f>
        <v>0.44597435884836223</v>
      </c>
      <c r="M327" s="29">
        <f t="shared" ref="M327" si="62">L327-I327</f>
        <v>8.7285528448423799E-2</v>
      </c>
      <c r="N327" s="40"/>
      <c r="O327" s="135">
        <f>AAF!$D$25/AAF!$D$23</f>
        <v>0.19359615276390987</v>
      </c>
      <c r="P327" s="135">
        <f>AAF!$E$25/AAF!$E$23</f>
        <v>0.24293400583974861</v>
      </c>
      <c r="Q327" s="135">
        <f>AAF!$F$25/AAF!$F$23</f>
        <v>0.27613973068925013</v>
      </c>
      <c r="R327" s="135">
        <f>AAF!$G$25/AAF!$G$23</f>
        <v>0.29568327010276674</v>
      </c>
      <c r="S327" s="135">
        <f t="shared" ref="S327" si="63">R327-O327</f>
        <v>0.10208711733885686</v>
      </c>
      <c r="T327" s="30"/>
      <c r="U327" s="32" t="str">
        <f t="shared" ref="U327:V331" si="64">U276</f>
        <v>GBP3.60</v>
      </c>
      <c r="V327" s="28" t="str">
        <f t="shared" si="64"/>
        <v>Airtel Africa</v>
      </c>
    </row>
    <row r="328" spans="1:22" s="5" customFormat="1">
      <c r="A328" s="23"/>
      <c r="B328" s="26"/>
      <c r="C328" s="32" t="str">
        <f t="shared" si="61"/>
        <v>MTN</v>
      </c>
      <c r="D328" s="28" t="str">
        <f t="shared" si="61"/>
        <v>ZAR 206.35</v>
      </c>
      <c r="E328" s="28" t="str">
        <f t="shared" si="61"/>
        <v>ZAR 280.00</v>
      </c>
      <c r="F328" s="29">
        <f t="shared" si="61"/>
        <v>0.35691785800823839</v>
      </c>
      <c r="G328" s="28" t="str">
        <f t="shared" si="61"/>
        <v>Buy</v>
      </c>
      <c r="H328" s="30"/>
      <c r="I328" s="135">
        <f>MTN!$D$24/MTN!$D$23</f>
        <v>0.3323392825813653</v>
      </c>
      <c r="J328" s="135">
        <f>MTN!$E$24/MTN!$E$23</f>
        <v>0.36216625489957444</v>
      </c>
      <c r="K328" s="135">
        <f>MTN!$F$24/MTN!$F$23</f>
        <v>0.3790739232942586</v>
      </c>
      <c r="L328" s="135">
        <f>MTN!$G$24/MTN!$G$23</f>
        <v>0.38845389525256535</v>
      </c>
      <c r="M328" s="29">
        <f t="shared" ref="M328:M332" si="65">L328-I328</f>
        <v>5.6114612671200048E-2</v>
      </c>
      <c r="N328" s="40"/>
      <c r="O328" s="135">
        <f>MTN!$D$25/MTN!$D$23</f>
        <v>0.16233928258136532</v>
      </c>
      <c r="P328" s="135">
        <f>MTN!$E$25/MTN!$E$23</f>
        <v>0.19466625489957445</v>
      </c>
      <c r="Q328" s="135">
        <f>MTN!$F$25/MTN!$F$23</f>
        <v>0.21407392329425859</v>
      </c>
      <c r="R328" s="135">
        <f>MTN!$G$25/MTN!$G$23</f>
        <v>0.22595389525256537</v>
      </c>
      <c r="S328" s="135">
        <f t="shared" ref="S328:S332" si="66">R328-O328</f>
        <v>6.3614612671200055E-2</v>
      </c>
      <c r="T328" s="30"/>
      <c r="U328" s="32" t="str">
        <f t="shared" si="64"/>
        <v>ZAR 206.35</v>
      </c>
      <c r="V328" s="28" t="str">
        <f t="shared" si="64"/>
        <v>MTN</v>
      </c>
    </row>
    <row r="329" spans="1:22" s="5" customFormat="1">
      <c r="A329" s="23"/>
      <c r="B329" s="26"/>
      <c r="C329" s="32" t="str">
        <f t="shared" si="61"/>
        <v>Safaricom</v>
      </c>
      <c r="D329" s="28" t="str">
        <f t="shared" si="61"/>
        <v>KES 29.90</v>
      </c>
      <c r="E329" s="28" t="str">
        <f t="shared" si="61"/>
        <v>KES 40.0</v>
      </c>
      <c r="F329" s="29">
        <f t="shared" si="61"/>
        <v>0.33779264214046822</v>
      </c>
      <c r="G329" s="28" t="str">
        <f t="shared" si="61"/>
        <v>Buy</v>
      </c>
      <c r="H329" s="30"/>
      <c r="I329" s="135">
        <f>SAF!$D$24/SAF!$D$23</f>
        <v>0.48583266896375688</v>
      </c>
      <c r="J329" s="135">
        <f>SAF!$E$24/SAF!$E$23</f>
        <v>0.50396011464237089</v>
      </c>
      <c r="K329" s="135">
        <f>SAF!$F$24/SAF!$F$23</f>
        <v>0.50552420342320281</v>
      </c>
      <c r="L329" s="135">
        <f>SAF!$G$24/SAF!$G$23</f>
        <v>0.50832049751279818</v>
      </c>
      <c r="M329" s="29">
        <f>L329-I329</f>
        <v>2.24878285490413E-2</v>
      </c>
      <c r="N329" s="40"/>
      <c r="O329" s="135">
        <f>SAF!$D$25/SAF!$D$23</f>
        <v>0.30213776915555146</v>
      </c>
      <c r="P329" s="135">
        <f>SAF!$E$25/SAF!$E$23</f>
        <v>0.33094673068388075</v>
      </c>
      <c r="Q329" s="135">
        <f>SAF!$F$25/SAF!$F$23</f>
        <v>0.33724453733372678</v>
      </c>
      <c r="R329" s="135">
        <f>SAF!$G$25/SAF!$G$23</f>
        <v>0.3454005640778417</v>
      </c>
      <c r="S329" s="135">
        <f>R329-O329</f>
        <v>4.3262794922290237E-2</v>
      </c>
      <c r="T329" s="30"/>
      <c r="U329" s="32" t="str">
        <f t="shared" si="64"/>
        <v>KES 29.90</v>
      </c>
      <c r="V329" s="28" t="str">
        <f t="shared" si="64"/>
        <v>Safaricom</v>
      </c>
    </row>
    <row r="330" spans="1:22" s="5" customFormat="1">
      <c r="A330" s="23"/>
      <c r="B330" s="26"/>
      <c r="C330" s="32" t="str">
        <f t="shared" si="61"/>
        <v>VEON</v>
      </c>
      <c r="D330" s="28" t="str">
        <f t="shared" si="61"/>
        <v>USD 54.9</v>
      </c>
      <c r="E330" s="28" t="str">
        <f t="shared" si="61"/>
        <v>USD 100.0</v>
      </c>
      <c r="F330" s="29">
        <f t="shared" si="61"/>
        <v>0.82116190129302513</v>
      </c>
      <c r="G330" s="28" t="str">
        <f t="shared" si="61"/>
        <v>Buy</v>
      </c>
      <c r="H330" s="30"/>
      <c r="I330" s="29">
        <f>VIMP!$D$24/VIMP!$D$23</f>
        <v>0.44513536456799807</v>
      </c>
      <c r="J330" s="29">
        <f>VIMP!$E$24/VIMP!$E$23</f>
        <v>0.44365908678865262</v>
      </c>
      <c r="K330" s="29">
        <f>VIMP!$F$24/VIMP!$F$23</f>
        <v>0.44980702146917678</v>
      </c>
      <c r="L330" s="29">
        <f>VIMP!$G$24/VIMP!$G$23</f>
        <v>0.45232799523373968</v>
      </c>
      <c r="M330" s="29">
        <f t="shared" si="65"/>
        <v>7.1926306657416061E-3</v>
      </c>
      <c r="N330" s="40"/>
      <c r="O330" s="29">
        <f>VIMP!$D$25/VIMP!$D$23</f>
        <v>0.25314622221855199</v>
      </c>
      <c r="P330" s="29">
        <f>VIMP!$E$25/VIMP!$E$23</f>
        <v>0.26776985091415845</v>
      </c>
      <c r="Q330" s="29">
        <f>VIMP!$F$25/VIMP!$F$23</f>
        <v>0.27980222054019355</v>
      </c>
      <c r="R330" s="29">
        <f>VIMP!$G$25/VIMP!$G$23</f>
        <v>0.28599188622582766</v>
      </c>
      <c r="S330" s="29">
        <f t="shared" si="66"/>
        <v>3.2845664007275677E-2</v>
      </c>
      <c r="T330" s="30"/>
      <c r="U330" s="32" t="str">
        <f t="shared" si="64"/>
        <v>USD 54.9</v>
      </c>
      <c r="V330" s="28" t="str">
        <f t="shared" si="64"/>
        <v>VEON</v>
      </c>
    </row>
    <row r="331" spans="1:22" s="5" customFormat="1">
      <c r="A331" s="23"/>
      <c r="B331" s="26"/>
      <c r="C331" s="32" t="str">
        <f t="shared" si="61"/>
        <v>Vodacom</v>
      </c>
      <c r="D331" s="28" t="str">
        <f t="shared" si="61"/>
        <v>ZAR 145.6</v>
      </c>
      <c r="E331" s="28" t="str">
        <f t="shared" si="61"/>
        <v>ZAR 215.0</v>
      </c>
      <c r="F331" s="29">
        <f t="shared" si="61"/>
        <v>0.47685121582634959</v>
      </c>
      <c r="G331" s="28" t="str">
        <f t="shared" si="61"/>
        <v>Buy</v>
      </c>
      <c r="H331" s="30"/>
      <c r="I331" s="29">
        <f>VODA!$D$24/VODA!$D$23</f>
        <v>0.29572392506680684</v>
      </c>
      <c r="J331" s="29">
        <f>VODA!$E$24/VODA!$E$23</f>
        <v>0.2135226757974594</v>
      </c>
      <c r="K331" s="29">
        <f>VODA!$F$24/VODA!$F$23</f>
        <v>0.34801149039024931</v>
      </c>
      <c r="L331" s="29">
        <f>VODA!$G$24/VODA!$G$23</f>
        <v>0.35702775971763334</v>
      </c>
      <c r="M331" s="29">
        <f t="shared" si="65"/>
        <v>6.1303834650826505E-2</v>
      </c>
      <c r="N331" s="40"/>
      <c r="O331" s="29">
        <f>VODA!$D$25/VODA!$D$23</f>
        <v>0.16097705456240316</v>
      </c>
      <c r="P331" s="29">
        <f>VODA!$E$25/VODA!$E$23</f>
        <v>6.8122105969889699E-2</v>
      </c>
      <c r="Q331" s="29">
        <f>VODA!$F$25/VODA!$F$23</f>
        <v>0.20460842044581046</v>
      </c>
      <c r="R331" s="29">
        <f>VODA!$G$25/VODA!$G$23</f>
        <v>0.2161001594208507</v>
      </c>
      <c r="S331" s="29">
        <f t="shared" si="66"/>
        <v>5.5123104858447541E-2</v>
      </c>
      <c r="T331" s="30"/>
      <c r="U331" s="32" t="str">
        <f t="shared" si="64"/>
        <v>ZAR 145.6</v>
      </c>
      <c r="V331" s="28" t="str">
        <f t="shared" si="64"/>
        <v>Vodacom</v>
      </c>
    </row>
    <row r="332" spans="1:22" s="5" customFormat="1">
      <c r="A332" s="23"/>
      <c r="B332" s="26"/>
      <c r="C332" s="35" t="str">
        <f>C281</f>
        <v>Agg. EMEA Cellular</v>
      </c>
      <c r="D332" s="36"/>
      <c r="E332" s="36"/>
      <c r="F332" s="37"/>
      <c r="G332" s="36"/>
      <c r="H332" s="30"/>
      <c r="I332" s="39">
        <f>'EMEA CELLULAR'!$D$24/'EMEA CELLULAR'!$D$23</f>
        <v>0.35380792827774882</v>
      </c>
      <c r="J332" s="39">
        <f>'EMEA CELLULAR'!$E$24/'EMEA CELLULAR'!$E$23</f>
        <v>0.34142199479842672</v>
      </c>
      <c r="K332" s="39">
        <f>'EMEA CELLULAR'!$F$24/'EMEA CELLULAR'!$F$23</f>
        <v>0.39416303611395376</v>
      </c>
      <c r="L332" s="39">
        <f>'EMEA CELLULAR'!$G$24/'EMEA CELLULAR'!$G$23</f>
        <v>0.40341770903266994</v>
      </c>
      <c r="M332" s="39">
        <f t="shared" si="65"/>
        <v>4.9609780754921118E-2</v>
      </c>
      <c r="N332" s="40"/>
      <c r="O332" s="39">
        <f>'EMEA CELLULAR'!$D$25/'EMEA CELLULAR'!$D$23</f>
        <v>0.19017970721802427</v>
      </c>
      <c r="P332" s="39">
        <f>'EMEA CELLULAR'!$E$25/'EMEA CELLULAR'!$E$23</f>
        <v>0.18007983640248176</v>
      </c>
      <c r="Q332" s="39">
        <f>'EMEA CELLULAR'!$F$25/'EMEA CELLULAR'!$F$23</f>
        <v>0.23723447187337351</v>
      </c>
      <c r="R332" s="39">
        <f>'EMEA CELLULAR'!$G$25/'EMEA CELLULAR'!$G$23</f>
        <v>0.24918980020177342</v>
      </c>
      <c r="S332" s="39">
        <f t="shared" si="66"/>
        <v>5.9010092983749152E-2</v>
      </c>
      <c r="T332" s="30"/>
      <c r="U332" s="41"/>
      <c r="V332" s="42" t="str">
        <f>V281</f>
        <v>Agg. EMEA Cellular</v>
      </c>
    </row>
    <row r="333" spans="1:22" s="5" customFormat="1">
      <c r="B333" s="26"/>
      <c r="C333" s="27"/>
      <c r="D333" s="28"/>
      <c r="E333" s="28"/>
      <c r="F333" s="29"/>
      <c r="G333" s="28"/>
      <c r="H333" s="30"/>
      <c r="I333" s="29"/>
      <c r="J333" s="29"/>
      <c r="K333" s="29"/>
      <c r="L333" s="29"/>
      <c r="M333" s="29"/>
      <c r="N333" s="40"/>
      <c r="O333" s="29"/>
      <c r="P333" s="29"/>
      <c r="Q333" s="29"/>
      <c r="R333" s="29"/>
      <c r="S333" s="29"/>
      <c r="T333" s="30"/>
      <c r="U333" s="32"/>
      <c r="V333" s="34"/>
    </row>
    <row r="334" spans="1:22" s="5" customFormat="1">
      <c r="B334" s="26"/>
      <c r="C334" s="32" t="str">
        <f t="shared" ref="C334:G336" si="67">C283</f>
        <v>Entel</v>
      </c>
      <c r="D334" s="28" t="str">
        <f t="shared" si="67"/>
        <v>CLP 3,643</v>
      </c>
      <c r="E334" s="28" t="str">
        <f t="shared" si="67"/>
        <v>CLP 3,150</v>
      </c>
      <c r="F334" s="29">
        <f t="shared" si="67"/>
        <v>-0.13532802635190777</v>
      </c>
      <c r="G334" s="28" t="str">
        <f t="shared" si="67"/>
        <v>Neutral</v>
      </c>
      <c r="H334" s="30"/>
      <c r="I334" s="135">
        <f>ENTEL!$D$24/ENTEL!$D$23</f>
        <v>0.22192455155417443</v>
      </c>
      <c r="J334" s="135">
        <f>ENTEL!$E$24/ENTEL!$E$23</f>
        <v>0.22573338207998531</v>
      </c>
      <c r="K334" s="135">
        <f>ENTEL!$F$24/ENTEL!$F$23</f>
        <v>0.22937182612144358</v>
      </c>
      <c r="L334" s="135">
        <f>ENTEL!$G$24/ENTEL!$G$23</f>
        <v>0.23120578264115857</v>
      </c>
      <c r="M334" s="29">
        <f t="shared" ref="M334:M339" si="68">L334-I334</f>
        <v>9.281231086984143E-3</v>
      </c>
      <c r="N334" s="40"/>
      <c r="O334" s="135">
        <f>ENTEL!$D$25/ENTEL!$D$23</f>
        <v>2.98064229866493E-2</v>
      </c>
      <c r="P334" s="135">
        <f>ENTEL!$E$25/ENTEL!$E$23</f>
        <v>4.6876994650777541E-2</v>
      </c>
      <c r="Q334" s="135">
        <f>ENTEL!$F$25/ENTEL!$F$23</f>
        <v>6.0965458396924743E-2</v>
      </c>
      <c r="R334" s="135">
        <f>ENTEL!$G$25/ENTEL!$G$23</f>
        <v>7.6307805605035472E-2</v>
      </c>
      <c r="S334" s="135">
        <f t="shared" ref="S334:S339" si="69">R334-O334</f>
        <v>4.6501382618386169E-2</v>
      </c>
      <c r="T334" s="30"/>
      <c r="U334" s="32" t="str">
        <f t="shared" ref="U334:V336" si="70">U283</f>
        <v>CLP 3,643</v>
      </c>
      <c r="V334" s="28" t="str">
        <f t="shared" si="70"/>
        <v>Entel</v>
      </c>
    </row>
    <row r="335" spans="1:22" s="5" customFormat="1">
      <c r="B335" s="26"/>
      <c r="C335" s="32" t="str">
        <f t="shared" si="67"/>
        <v>Millicom</v>
      </c>
      <c r="D335" s="28" t="str">
        <f t="shared" si="67"/>
        <v>USD  83.6</v>
      </c>
      <c r="E335" s="28" t="str">
        <f t="shared" si="67"/>
        <v>USD 70.0</v>
      </c>
      <c r="F335" s="29">
        <f t="shared" si="67"/>
        <v>-0.16292974588938713</v>
      </c>
      <c r="G335" s="28" t="str">
        <f t="shared" si="67"/>
        <v>Buy</v>
      </c>
      <c r="H335" s="30"/>
      <c r="I335" s="135">
        <f>MILLI!$D$24/MILLI!$D$23</f>
        <v>0.43800551654190606</v>
      </c>
      <c r="J335" s="135">
        <f>MILLI!$E$24/MILLI!$E$23</f>
        <v>0.39675373938088987</v>
      </c>
      <c r="K335" s="135">
        <f>MILLI!$F$24/MILLI!$F$23</f>
        <v>0.40868036493267684</v>
      </c>
      <c r="L335" s="135">
        <f>MILLI!$G$24/MILLI!$G$23</f>
        <v>0.41513396740307035</v>
      </c>
      <c r="M335" s="29">
        <f t="shared" si="68"/>
        <v>-2.2871549138835712E-2</v>
      </c>
      <c r="N335" s="40"/>
      <c r="O335" s="135">
        <f>MILLI!$D$25/MILLI!$D$23</f>
        <v>0.31430919492617365</v>
      </c>
      <c r="P335" s="135">
        <f>MILLI!$E$25/MILLI!$E$23</f>
        <v>0.27561342261194877</v>
      </c>
      <c r="Q335" s="135">
        <f>MILLI!$F$25/MILLI!$F$23</f>
        <v>0.29142202730790279</v>
      </c>
      <c r="R335" s="135">
        <f>MILLI!$G$25/MILLI!$G$23</f>
        <v>0.30277734148493757</v>
      </c>
      <c r="S335" s="135">
        <f t="shared" si="69"/>
        <v>-1.1531853441236084E-2</v>
      </c>
      <c r="T335" s="30"/>
      <c r="U335" s="32" t="str">
        <f t="shared" si="70"/>
        <v>USD  83.6</v>
      </c>
      <c r="V335" s="28" t="str">
        <f t="shared" si="70"/>
        <v>Millicom</v>
      </c>
    </row>
    <row r="336" spans="1:22" s="5" customFormat="1">
      <c r="B336" s="26"/>
      <c r="C336" s="32" t="str">
        <f t="shared" si="67"/>
        <v>TIM Participacoes</v>
      </c>
      <c r="D336" s="28" t="str">
        <f t="shared" si="67"/>
        <v>BRL 25.99</v>
      </c>
      <c r="E336" s="28" t="str">
        <f t="shared" si="67"/>
        <v>BRL 28.00</v>
      </c>
      <c r="F336" s="29">
        <f t="shared" si="67"/>
        <v>7.7337437475952342E-2</v>
      </c>
      <c r="G336" s="28" t="str">
        <f t="shared" si="67"/>
        <v>Buy</v>
      </c>
      <c r="H336" s="30"/>
      <c r="I336" s="29">
        <f>TIMP!$D$24/TIMP!$D$23</f>
        <v>0.50655143837520322</v>
      </c>
      <c r="J336" s="29">
        <f>TIMP!$E$24/TIMP!$E$23</f>
        <v>0.51912654093983335</v>
      </c>
      <c r="K336" s="29">
        <f>TIMP!$F$24/TIMP!$F$23</f>
        <v>0.53197862482575031</v>
      </c>
      <c r="L336" s="29">
        <f>TIMP!$G$24/TIMP!$G$23</f>
        <v>0.54262501398398999</v>
      </c>
      <c r="M336" s="29">
        <f t="shared" si="68"/>
        <v>3.6073575608786768E-2</v>
      </c>
      <c r="N336" s="40"/>
      <c r="O336" s="29">
        <f>TIMP!$D$25/TIMP!$D$23</f>
        <v>0.33756398590291375</v>
      </c>
      <c r="P336" s="29">
        <f>TIMP!$E$25/TIMP!$E$23</f>
        <v>0.35731356074687143</v>
      </c>
      <c r="Q336" s="29">
        <f>TIMP!$F$25/TIMP!$F$23</f>
        <v>0.37612943838514074</v>
      </c>
      <c r="R336" s="29">
        <f>TIMP!$G$25/TIMP!$G$23</f>
        <v>0.39317860917173952</v>
      </c>
      <c r="S336" s="29">
        <f t="shared" si="69"/>
        <v>5.5614623268825769E-2</v>
      </c>
      <c r="T336" s="30"/>
      <c r="U336" s="32" t="str">
        <f t="shared" si="70"/>
        <v>BRL 25.99</v>
      </c>
      <c r="V336" s="28" t="str">
        <f t="shared" si="70"/>
        <v>TIM Participacoes</v>
      </c>
    </row>
    <row r="337" spans="1:26">
      <c r="A337" s="25"/>
      <c r="B337" s="26" t="s">
        <v>483</v>
      </c>
      <c r="C337" s="32" t="s">
        <v>688</v>
      </c>
      <c r="D337" s="28" t="str">
        <f>'EM Multiples'!B337&amp;TEXT(Prices!C$115,"0.00")</f>
        <v>MXN59.40</v>
      </c>
      <c r="E337" s="28" t="str">
        <f>'EM Multiples'!B337&amp;TEXT(Prices!E$115,"0.00")</f>
        <v>MXN75.00</v>
      </c>
      <c r="F337" s="29">
        <f>Prices!F$115</f>
        <v>0.26262626262626276</v>
      </c>
      <c r="G337" s="28" t="str">
        <f>Prices!D$115</f>
        <v>Buy</v>
      </c>
      <c r="H337" s="30"/>
      <c r="I337" s="29">
        <f>MEGA!$D$24/MEGA!$D$23</f>
        <v>0.45504040975743237</v>
      </c>
      <c r="J337" s="29">
        <f>MEGA!$E$24/MEGA!$E$23</f>
        <v>0.46558913669633778</v>
      </c>
      <c r="K337" s="29">
        <f>MEGA!$F$24/MEGA!$F$23</f>
        <v>0.47209268901833645</v>
      </c>
      <c r="L337" s="29">
        <f>MEGA!$G$24/MEGA!$G$23</f>
        <v>0.48431661107742408</v>
      </c>
      <c r="M337" s="29">
        <f t="shared" si="68"/>
        <v>2.9276201319991701E-2</v>
      </c>
      <c r="N337" s="30"/>
      <c r="O337" s="29">
        <f>MEGA!$D$25/MEGA!$D$23</f>
        <v>0.17504040975743232</v>
      </c>
      <c r="P337" s="29">
        <f>MEGA!$E$25/MEGA!$E$23</f>
        <v>0.20558913669633774</v>
      </c>
      <c r="Q337" s="29">
        <f>MEGA!$F$25/MEGA!$F$23</f>
        <v>0.23209268901833649</v>
      </c>
      <c r="R337" s="29">
        <f>MEGA!$G$25/MEGA!$G$23</f>
        <v>0.25431661107742409</v>
      </c>
      <c r="S337" s="29">
        <f t="shared" si="69"/>
        <v>7.9276201319991774E-2</v>
      </c>
      <c r="T337" s="30"/>
      <c r="U337" s="32" t="str">
        <f>D337</f>
        <v>MXN59.40</v>
      </c>
      <c r="V337" s="28" t="str">
        <f>C337</f>
        <v>Megacable</v>
      </c>
      <c r="Z337" s="30"/>
    </row>
    <row r="338" spans="1:26">
      <c r="A338" s="5"/>
      <c r="B338" s="26" t="s">
        <v>331</v>
      </c>
      <c r="C338" s="32" t="s">
        <v>675</v>
      </c>
      <c r="D338" s="28" t="str">
        <f>'EM Multiples'!B338&amp;TEXT(Prices!C$118,"0.00")</f>
        <v>USD8.53</v>
      </c>
      <c r="E338" s="28" t="str">
        <f>'EM Multiples'!B338&amp;TEXT(Prices!E$118,"0.00")</f>
        <v>USD14.90</v>
      </c>
      <c r="F338" s="29">
        <f>Prices!F$118</f>
        <v>0.74780058651026393</v>
      </c>
      <c r="G338" s="28" t="str">
        <f>Prices!D$118</f>
        <v>Buy</v>
      </c>
      <c r="H338" s="30"/>
      <c r="I338" s="29">
        <f>LiLAC!$D$24/LiLAC!$D$23</f>
        <v>0.38411147629552927</v>
      </c>
      <c r="J338" s="29">
        <f>LiLAC!$E$24/LiLAC!$E$23</f>
        <v>0.38879538109695139</v>
      </c>
      <c r="K338" s="29">
        <f>LiLAC!$F$24/LiLAC!$F$23</f>
        <v>0.39250502649901509</v>
      </c>
      <c r="L338" s="29">
        <f>LiLAC!$G$24/LiLAC!$G$23</f>
        <v>0.39476416224135452</v>
      </c>
      <c r="M338" s="29">
        <f t="shared" si="68"/>
        <v>1.0652685945825247E-2</v>
      </c>
      <c r="N338" s="30"/>
      <c r="O338" s="29">
        <f>LiLAC!$D$25/LiLAC!$D$23</f>
        <v>0.24001620818513347</v>
      </c>
      <c r="P338" s="29">
        <f>LiLAC!$E$25/LiLAC!$E$23</f>
        <v>0.23854115772581985</v>
      </c>
      <c r="Q338" s="29">
        <f>LiLAC!$F$25/LiLAC!$F$23</f>
        <v>0.25296086711482096</v>
      </c>
      <c r="R338" s="29">
        <f>LiLAC!$G$25/LiLAC!$G$23</f>
        <v>0.2585830373635285</v>
      </c>
      <c r="S338" s="29">
        <f t="shared" si="69"/>
        <v>1.8566829178395028E-2</v>
      </c>
      <c r="T338" s="30"/>
      <c r="U338" s="32" t="str">
        <f>D338</f>
        <v>USD8.53</v>
      </c>
      <c r="V338" s="28" t="str">
        <f>C338</f>
        <v>LiLAC</v>
      </c>
      <c r="Z338" s="30"/>
    </row>
    <row r="339" spans="1:26" s="5" customFormat="1">
      <c r="B339" s="26"/>
      <c r="C339" s="35" t="str">
        <f>C288</f>
        <v>Agg. LatAm Other</v>
      </c>
      <c r="D339" s="36"/>
      <c r="E339" s="36"/>
      <c r="F339" s="37"/>
      <c r="G339" s="36"/>
      <c r="H339" s="30"/>
      <c r="I339" s="39">
        <f>'LATAM OTHER'!$D$24/'LATAM OTHER'!$D$23</f>
        <v>0.41221544894518053</v>
      </c>
      <c r="J339" s="39">
        <f>'LATAM OTHER'!$E$24/'LATAM OTHER'!$E$23</f>
        <v>0.40664794375295382</v>
      </c>
      <c r="K339" s="39">
        <f>'LATAM OTHER'!$F$24/'LATAM OTHER'!$F$23</f>
        <v>0.4163174295197789</v>
      </c>
      <c r="L339" s="39">
        <f>'LATAM OTHER'!$G$24/'LATAM OTHER'!$G$23</f>
        <v>0.42378117054481707</v>
      </c>
      <c r="M339" s="39">
        <f t="shared" si="68"/>
        <v>1.1565721599636536E-2</v>
      </c>
      <c r="N339" s="40"/>
      <c r="O339" s="39">
        <f>'LATAM OTHER'!$D$25/'LATAM OTHER'!$D$23</f>
        <v>0.24676473661111906</v>
      </c>
      <c r="P339" s="39">
        <f>'LATAM OTHER'!$E$25/'LATAM OTHER'!$E$23</f>
        <v>0.24883192750769431</v>
      </c>
      <c r="Q339" s="39">
        <f>'LATAM OTHER'!$F$25/'LATAM OTHER'!$F$23</f>
        <v>0.26661384914497133</v>
      </c>
      <c r="R339" s="39">
        <f>'LATAM OTHER'!$G$25/'LATAM OTHER'!$G$23</f>
        <v>0.28037180660189276</v>
      </c>
      <c r="S339" s="39">
        <f t="shared" si="69"/>
        <v>3.3607069990773702E-2</v>
      </c>
      <c r="T339" s="30"/>
      <c r="U339" s="41"/>
      <c r="V339" s="42" t="str">
        <f>V288</f>
        <v>Agg. LatAm Cellular</v>
      </c>
    </row>
    <row r="340" spans="1:26" s="5" customFormat="1">
      <c r="A340" s="23"/>
      <c r="B340" s="26"/>
      <c r="C340" s="27"/>
      <c r="D340" s="28"/>
      <c r="E340" s="28"/>
      <c r="F340" s="29"/>
      <c r="G340" s="28"/>
      <c r="H340" s="30"/>
      <c r="I340" s="29"/>
      <c r="J340" s="29"/>
      <c r="K340" s="29"/>
      <c r="L340" s="29"/>
      <c r="M340" s="29"/>
      <c r="N340" s="30"/>
      <c r="O340" s="29"/>
      <c r="P340" s="29"/>
      <c r="Q340" s="29"/>
      <c r="R340" s="29"/>
      <c r="S340" s="29"/>
      <c r="T340" s="30"/>
      <c r="U340" s="32"/>
      <c r="V340" s="34"/>
    </row>
    <row r="341" spans="1:26" s="5" customFormat="1">
      <c r="B341" s="26"/>
      <c r="C341" s="32" t="str">
        <f t="shared" ref="C341:G352" si="71">C290</f>
        <v>AIS</v>
      </c>
      <c r="D341" s="28" t="str">
        <f t="shared" si="71"/>
        <v>THB 349.0</v>
      </c>
      <c r="E341" s="28" t="str">
        <f t="shared" si="71"/>
        <v>THB 330.0</v>
      </c>
      <c r="F341" s="29">
        <f t="shared" si="71"/>
        <v>-5.4441260744985676E-2</v>
      </c>
      <c r="G341" s="28" t="str">
        <f t="shared" si="71"/>
        <v>Buy</v>
      </c>
      <c r="H341" s="30"/>
      <c r="I341" s="29">
        <f>ADVANCED!$D$24/ADVANCED!$D$23</f>
        <v>0.52692133883624759</v>
      </c>
      <c r="J341" s="29">
        <f>ADVANCED!$E$24/ADVANCED!$E$23</f>
        <v>0.52847055178126523</v>
      </c>
      <c r="K341" s="29">
        <f>ADVANCED!$F$24/ADVANCED!$F$23</f>
        <v>0.5292189878362894</v>
      </c>
      <c r="L341" s="29">
        <f>ADVANCED!$G$24/ADVANCED!$G$23</f>
        <v>0.52990630716106091</v>
      </c>
      <c r="M341" s="29">
        <f t="shared" ref="M341:M353" si="72">L341-I341</f>
        <v>2.9849683248133196E-3</v>
      </c>
      <c r="N341" s="30"/>
      <c r="O341" s="29">
        <f>ADVANCED!$D$25/ADVANCED!$D$23</f>
        <v>0.41300378760312462</v>
      </c>
      <c r="P341" s="29">
        <f>ADVANCED!$E$25/ADVANCED!$E$23</f>
        <v>0.40847055178126529</v>
      </c>
      <c r="Q341" s="29">
        <f>ADVANCED!$F$25/ADVANCED!$F$23</f>
        <v>0.41421898783628941</v>
      </c>
      <c r="R341" s="29">
        <f>ADVANCED!$G$25/ADVANCED!$G$23</f>
        <v>0.41990630716106098</v>
      </c>
      <c r="S341" s="29">
        <f t="shared" ref="S341:S353" si="73">R341-O341</f>
        <v>6.9025195579363596E-3</v>
      </c>
      <c r="T341" s="30"/>
      <c r="U341" s="32" t="str">
        <f t="shared" ref="U341:V352" si="74">U290</f>
        <v>THB 349.0</v>
      </c>
      <c r="V341" s="28" t="str">
        <f t="shared" si="74"/>
        <v>AIS</v>
      </c>
    </row>
    <row r="342" spans="1:26" s="5" customFormat="1">
      <c r="A342" s="23"/>
      <c r="B342" s="26"/>
      <c r="C342" s="32" t="str">
        <f t="shared" si="71"/>
        <v>Axiata</v>
      </c>
      <c r="D342" s="28" t="str">
        <f t="shared" si="71"/>
        <v>MYR 2.24</v>
      </c>
      <c r="E342" s="28" t="str">
        <f t="shared" si="71"/>
        <v>MYR 4.50</v>
      </c>
      <c r="F342" s="29">
        <f t="shared" si="71"/>
        <v>1.0089285714285712</v>
      </c>
      <c r="G342" s="28" t="str">
        <f t="shared" si="71"/>
        <v>Buy</v>
      </c>
      <c r="H342" s="30"/>
      <c r="I342" s="29">
        <f>AXI!$D$24/AXI!$D$23</f>
        <v>0.45454545454545453</v>
      </c>
      <c r="J342" s="29">
        <f>AXI!$E$24/AXI!$E$23</f>
        <v>0.46046037543531809</v>
      </c>
      <c r="K342" s="29">
        <f>AXI!$F$24/AXI!$F$23</f>
        <v>0.46459739832043473</v>
      </c>
      <c r="L342" s="29">
        <f>AXI!$G$24/AXI!$G$23</f>
        <v>0.46805788758295352</v>
      </c>
      <c r="M342" s="29">
        <f t="shared" si="72"/>
        <v>1.3512433037498994E-2</v>
      </c>
      <c r="N342" s="30"/>
      <c r="O342" s="29">
        <f>AXI!$D$25/AXI!$D$23</f>
        <v>0.22436575052854121</v>
      </c>
      <c r="P342" s="29">
        <f>AXI!$E$25/AXI!$E$23</f>
        <v>0.24700586086808798</v>
      </c>
      <c r="Q342" s="29">
        <f>AXI!$F$25/AXI!$F$23</f>
        <v>0.27638728799604806</v>
      </c>
      <c r="R342" s="29">
        <f>AXI!$G$25/AXI!$G$23</f>
        <v>0.28128248181018628</v>
      </c>
      <c r="S342" s="29">
        <f t="shared" si="73"/>
        <v>5.6916731281645067E-2</v>
      </c>
      <c r="T342" s="30"/>
      <c r="U342" s="32" t="str">
        <f t="shared" si="74"/>
        <v>MYR 2.24</v>
      </c>
      <c r="V342" s="28" t="str">
        <f t="shared" si="74"/>
        <v>Axiata</v>
      </c>
    </row>
    <row r="343" spans="1:26" s="5" customFormat="1">
      <c r="A343" s="23"/>
      <c r="B343" s="26"/>
      <c r="C343" s="32" t="str">
        <f t="shared" si="71"/>
        <v>Bharti Airtel</v>
      </c>
      <c r="D343" s="28" t="str">
        <f t="shared" si="71"/>
        <v>INR 1815</v>
      </c>
      <c r="E343" s="28" t="str">
        <f t="shared" si="71"/>
        <v>INR 2750</v>
      </c>
      <c r="F343" s="29">
        <f t="shared" si="71"/>
        <v>0.51540199482008031</v>
      </c>
      <c r="G343" s="28" t="str">
        <f t="shared" si="71"/>
        <v>Buy</v>
      </c>
      <c r="H343" s="30"/>
      <c r="I343" s="29">
        <f>BHART!$D$24/BHART!$D$23</f>
        <v>0.57791397196699268</v>
      </c>
      <c r="J343" s="29">
        <f>BHART!$E$24/BHART!$E$23</f>
        <v>0.59387460837231754</v>
      </c>
      <c r="K343" s="29">
        <f>BHART!$F$24/BHART!$F$23</f>
        <v>0.60529845559889306</v>
      </c>
      <c r="L343" s="29">
        <f>BHART!$G$24/BHART!$G$23</f>
        <v>0.61291795920049297</v>
      </c>
      <c r="M343" s="29">
        <f t="shared" si="72"/>
        <v>3.5003987233500289E-2</v>
      </c>
      <c r="N343" s="30"/>
      <c r="O343" s="29">
        <f>BHART!$D$25/BHART!$D$23</f>
        <v>0.387221748965075</v>
      </c>
      <c r="P343" s="29">
        <f>BHART!$E$25/BHART!$E$23</f>
        <v>0.41583795232998605</v>
      </c>
      <c r="Q343" s="29">
        <f>BHART!$F$25/BHART!$F$23</f>
        <v>0.44118387357067868</v>
      </c>
      <c r="R343" s="29">
        <f>BHART!$G$25/BHART!$G$23</f>
        <v>0.45096594832019071</v>
      </c>
      <c r="S343" s="29">
        <f t="shared" si="73"/>
        <v>6.3744199355115716E-2</v>
      </c>
      <c r="T343" s="30"/>
      <c r="U343" s="32" t="str">
        <f t="shared" si="74"/>
        <v>INR 1815</v>
      </c>
      <c r="V343" s="28" t="str">
        <f t="shared" si="74"/>
        <v>Bharti Airtel</v>
      </c>
    </row>
    <row r="344" spans="1:26" s="5" customFormat="1">
      <c r="B344" s="26"/>
      <c r="C344" s="32" t="str">
        <f t="shared" si="71"/>
        <v>China Mobile</v>
      </c>
      <c r="D344" s="28" t="str">
        <f t="shared" si="71"/>
        <v>HKD 83.9</v>
      </c>
      <c r="E344" s="28" t="str">
        <f t="shared" si="71"/>
        <v>HKD 115.0</v>
      </c>
      <c r="F344" s="29">
        <f t="shared" si="71"/>
        <v>0.37067938021454094</v>
      </c>
      <c r="G344" s="28" t="str">
        <f t="shared" si="71"/>
        <v>Buy</v>
      </c>
      <c r="H344" s="30"/>
      <c r="I344" s="29">
        <f>_CM!$D$24/_CM!$D$23</f>
        <v>0.32332105158670593</v>
      </c>
      <c r="J344" s="29">
        <f>_CM!$E$24/_CM!$E$23</f>
        <v>0.32433753176714303</v>
      </c>
      <c r="K344" s="29">
        <f>_CM!$F$24/_CM!$F$23</f>
        <v>0.32510323066642227</v>
      </c>
      <c r="L344" s="29">
        <f>_CM!$G$24/_CM!$G$23</f>
        <v>0.3266419236193886</v>
      </c>
      <c r="M344" s="29">
        <f t="shared" si="72"/>
        <v>3.3208720326826646E-3</v>
      </c>
      <c r="N344" s="30"/>
      <c r="O344" s="29">
        <f>_CM!$D$25/_CM!$D$23</f>
        <v>0.18856096817369808</v>
      </c>
      <c r="P344" s="29">
        <f>_CM!$E$25/_CM!$E$23</f>
        <v>0.19474609271268956</v>
      </c>
      <c r="Q344" s="29">
        <f>_CM!$F$25/_CM!$F$23</f>
        <v>0.20066839595318717</v>
      </c>
      <c r="R344" s="29">
        <f>_CM!$G$25/_CM!$G$23</f>
        <v>0.20735557098352694</v>
      </c>
      <c r="S344" s="29">
        <f t="shared" si="73"/>
        <v>1.8794602809828864E-2</v>
      </c>
      <c r="T344" s="30"/>
      <c r="U344" s="32" t="str">
        <f t="shared" si="74"/>
        <v>HKD 83.9</v>
      </c>
      <c r="V344" s="28" t="str">
        <f t="shared" si="74"/>
        <v>China Mobile</v>
      </c>
    </row>
    <row r="345" spans="1:26" s="5" customFormat="1">
      <c r="B345" s="26"/>
      <c r="C345" s="32" t="str">
        <f t="shared" si="71"/>
        <v>CelcomDigi</v>
      </c>
      <c r="D345" s="28" t="str">
        <f t="shared" si="71"/>
        <v>MYR 3.0</v>
      </c>
      <c r="E345" s="28" t="str">
        <f t="shared" si="71"/>
        <v>MYR 5.6</v>
      </c>
      <c r="F345" s="29">
        <f t="shared" si="71"/>
        <v>0.88552188552188538</v>
      </c>
      <c r="G345" s="28" t="str">
        <f t="shared" si="71"/>
        <v>Buy</v>
      </c>
      <c r="H345" s="30"/>
      <c r="I345" s="29">
        <f>DIGI!$D$24/DIGI!$D$23</f>
        <v>0.45335534940818606</v>
      </c>
      <c r="J345" s="29">
        <f>DIGI!$E$24/DIGI!$E$23</f>
        <v>0.45764271557406211</v>
      </c>
      <c r="K345" s="29">
        <f>DIGI!$F$24/DIGI!$F$23</f>
        <v>0.46199938388173095</v>
      </c>
      <c r="L345" s="29">
        <f>DIGI!$G$24/DIGI!$G$23</f>
        <v>0.46673323751725698</v>
      </c>
      <c r="M345" s="29">
        <f t="shared" si="72"/>
        <v>1.3377888109070923E-2</v>
      </c>
      <c r="N345" s="30"/>
      <c r="O345" s="29">
        <f>DIGI!$D$25/DIGI!$D$23</f>
        <v>0.30335534940818609</v>
      </c>
      <c r="P345" s="29">
        <f>DIGI!$E$25/DIGI!$E$23</f>
        <v>0.3176427155740621</v>
      </c>
      <c r="Q345" s="29">
        <f>DIGI!$F$25/DIGI!$F$23</f>
        <v>0.34199938388173101</v>
      </c>
      <c r="R345" s="29">
        <f>DIGI!$G$25/DIGI!$G$23</f>
        <v>0.34673323751725699</v>
      </c>
      <c r="S345" s="29">
        <f t="shared" si="73"/>
        <v>4.3377888109070895E-2</v>
      </c>
      <c r="T345" s="30"/>
      <c r="U345" s="32" t="str">
        <f t="shared" si="74"/>
        <v>MYR 3.0</v>
      </c>
      <c r="V345" s="28" t="str">
        <f t="shared" si="74"/>
        <v>CelcomDigi</v>
      </c>
    </row>
    <row r="346" spans="1:26" s="5" customFormat="1">
      <c r="B346" s="26"/>
      <c r="C346" s="32" t="str">
        <f t="shared" si="71"/>
        <v>Vodafone IDEA</v>
      </c>
      <c r="D346" s="28" t="str">
        <f t="shared" si="71"/>
        <v>INR 9.5</v>
      </c>
      <c r="E346" s="28" t="str">
        <f t="shared" si="71"/>
        <v>INR 10.0</v>
      </c>
      <c r="F346" s="29">
        <f t="shared" si="71"/>
        <v>5.0420168067226934E-2</v>
      </c>
      <c r="G346" s="28" t="str">
        <f t="shared" si="71"/>
        <v>Neutral</v>
      </c>
      <c r="H346" s="30"/>
      <c r="I346" s="29">
        <f>IDEA!$D$24/IDEA!$D$23</f>
        <v>0.42254095689730298</v>
      </c>
      <c r="J346" s="29">
        <f>IDEA!$E$24/IDEA!$E$23</f>
        <v>0.4377616254777173</v>
      </c>
      <c r="K346" s="29">
        <f>IDEA!$F$24/IDEA!$F$23</f>
        <v>0.45291577158053953</v>
      </c>
      <c r="L346" s="29">
        <f>IDEA!$G$24/IDEA!$G$23</f>
        <v>0.46369306300314234</v>
      </c>
      <c r="M346" s="29">
        <f t="shared" si="72"/>
        <v>4.1152106105839359E-2</v>
      </c>
      <c r="N346" s="30"/>
      <c r="O346" s="29">
        <f>IDEA!$D$25/IDEA!$D$23</f>
        <v>4.2540956897302987E-2</v>
      </c>
      <c r="P346" s="29">
        <f>IDEA!$E$25/IDEA!$E$23</f>
        <v>0.10776162547771731</v>
      </c>
      <c r="Q346" s="29">
        <f>IDEA!$F$25/IDEA!$F$23</f>
        <v>0.15291577158053954</v>
      </c>
      <c r="R346" s="29">
        <f>IDEA!$G$25/IDEA!$G$23</f>
        <v>0.21369306300314231</v>
      </c>
      <c r="S346" s="29">
        <f t="shared" si="73"/>
        <v>0.17115210610583931</v>
      </c>
      <c r="T346" s="30"/>
      <c r="U346" s="32" t="str">
        <f t="shared" si="74"/>
        <v>INR 9.5</v>
      </c>
      <c r="V346" s="28" t="str">
        <f t="shared" si="74"/>
        <v>Vodafone IDEA</v>
      </c>
    </row>
    <row r="347" spans="1:26">
      <c r="A347" s="5"/>
      <c r="C347" s="32" t="str">
        <f t="shared" si="71"/>
        <v>Indosat</v>
      </c>
      <c r="D347" s="28" t="str">
        <f t="shared" si="71"/>
        <v>IDR 1,970</v>
      </c>
      <c r="E347" s="28" t="str">
        <f t="shared" si="71"/>
        <v>IDR 2,800</v>
      </c>
      <c r="F347" s="29">
        <f t="shared" si="71"/>
        <v>0.42131979695431476</v>
      </c>
      <c r="G347" s="28" t="str">
        <f t="shared" si="71"/>
        <v>Buy</v>
      </c>
      <c r="H347" s="30"/>
      <c r="I347" s="29">
        <f>INDO!$D$24/INDO!$D$23</f>
        <v>0.46301853068584969</v>
      </c>
      <c r="J347" s="29">
        <f>INDO!$E$24/INDO!$E$23</f>
        <v>0.47379270821192282</v>
      </c>
      <c r="K347" s="29">
        <f>INDO!$F$24/INDO!$F$23</f>
        <v>0.48544670013910329</v>
      </c>
      <c r="L347" s="29">
        <f>INDO!$G$24/INDO!$G$23</f>
        <v>0.48900721916196105</v>
      </c>
      <c r="M347" s="29">
        <f t="shared" si="72"/>
        <v>2.5988688476111355E-2</v>
      </c>
      <c r="N347" s="30"/>
      <c r="O347" s="29">
        <f>INDO!$D$25/INDO!$D$23</f>
        <v>0.23391119449045861</v>
      </c>
      <c r="P347" s="29">
        <f>INDO!$E$25/INDO!$E$23</f>
        <v>0.28495231132071985</v>
      </c>
      <c r="Q347" s="29">
        <f>INDO!$F$25/INDO!$F$23</f>
        <v>0.30602509214011753</v>
      </c>
      <c r="R347" s="29">
        <f>INDO!$G$25/INDO!$G$23</f>
        <v>0.31495695610143043</v>
      </c>
      <c r="S347" s="29">
        <f t="shared" si="73"/>
        <v>8.1045761610971823E-2</v>
      </c>
      <c r="T347" s="30"/>
      <c r="U347" s="32" t="str">
        <f t="shared" si="74"/>
        <v>IDR 1,970</v>
      </c>
      <c r="V347" s="28" t="str">
        <f t="shared" si="74"/>
        <v>Indosat</v>
      </c>
    </row>
    <row r="348" spans="1:26">
      <c r="A348" s="5"/>
      <c r="C348" s="32" t="str">
        <f t="shared" si="71"/>
        <v>LG Uplus</v>
      </c>
      <c r="D348" s="28" t="str">
        <f t="shared" si="71"/>
        <v>KRW 16,600</v>
      </c>
      <c r="E348" s="28" t="str">
        <f t="shared" si="71"/>
        <v>KRW 19,000</v>
      </c>
      <c r="F348" s="29">
        <f t="shared" si="71"/>
        <v>0.14457831325301207</v>
      </c>
      <c r="G348" s="28" t="str">
        <f t="shared" si="71"/>
        <v>Buy</v>
      </c>
      <c r="H348" s="30"/>
      <c r="I348" s="29">
        <f>_LG!$D$24/_LG!$D$23</f>
        <v>0.23619623930966149</v>
      </c>
      <c r="J348" s="29">
        <f>_LG!$E$24/_LG!$E$23</f>
        <v>0.24011660811324603</v>
      </c>
      <c r="K348" s="29">
        <f>_LG!$F$24/_LG!$F$23</f>
        <v>0.24164710455699323</v>
      </c>
      <c r="L348" s="29">
        <f>_LG!$G$24/_LG!$G$23</f>
        <v>0.2431799150814718</v>
      </c>
      <c r="M348" s="29">
        <f t="shared" si="72"/>
        <v>6.9836757718103049E-3</v>
      </c>
      <c r="N348" s="30"/>
      <c r="O348" s="29">
        <f>_LG!$D$25/_LG!$D$23</f>
        <v>0.11548743863173894</v>
      </c>
      <c r="P348" s="29">
        <f>_LG!$E$25/_LG!$E$23</f>
        <v>0.11977812685782742</v>
      </c>
      <c r="Q348" s="29">
        <f>_LG!$F$25/_LG!$F$23</f>
        <v>0.12168191727873853</v>
      </c>
      <c r="R348" s="29">
        <f>_LG!$G$25/_LG!$G$23</f>
        <v>0.12359339052805174</v>
      </c>
      <c r="S348" s="29">
        <f t="shared" si="73"/>
        <v>8.1059518963128019E-3</v>
      </c>
      <c r="T348" s="30"/>
      <c r="U348" s="32" t="str">
        <f t="shared" si="74"/>
        <v>KRW 16,600</v>
      </c>
      <c r="V348" s="28" t="str">
        <f t="shared" si="74"/>
        <v>LG Uplus</v>
      </c>
    </row>
    <row r="349" spans="1:26">
      <c r="C349" s="32" t="str">
        <f t="shared" si="71"/>
        <v>Maxis</v>
      </c>
      <c r="D349" s="28" t="str">
        <f t="shared" si="71"/>
        <v>MYR 3.50</v>
      </c>
      <c r="E349" s="28" t="str">
        <f t="shared" si="71"/>
        <v>MYR 5.10</v>
      </c>
      <c r="F349" s="29">
        <f t="shared" si="71"/>
        <v>0.45714285714285707</v>
      </c>
      <c r="G349" s="28" t="str">
        <f t="shared" si="71"/>
        <v>Buy</v>
      </c>
      <c r="H349" s="30"/>
      <c r="I349" s="29">
        <f>MAXI!$D$24/MAXI!$D$23</f>
        <v>0.40155056594534583</v>
      </c>
      <c r="J349" s="29">
        <f>MAXI!$E$24/MAXI!$E$23</f>
        <v>0.40312773597425211</v>
      </c>
      <c r="K349" s="29">
        <f>MAXI!$F$24/MAXI!$F$23</f>
        <v>0.4046588691856961</v>
      </c>
      <c r="L349" s="29">
        <f>MAXI!$G$24/MAXI!$G$23</f>
        <v>0.40617875575730245</v>
      </c>
      <c r="M349" s="29">
        <f t="shared" si="72"/>
        <v>4.6281898119566178E-3</v>
      </c>
      <c r="N349" s="30"/>
      <c r="O349" s="29">
        <f>MAXI!$D$25/MAXI!$D$23</f>
        <v>0.29155056594534584</v>
      </c>
      <c r="P349" s="29">
        <f>MAXI!$E$25/MAXI!$E$23</f>
        <v>0.29312773597425207</v>
      </c>
      <c r="Q349" s="29">
        <f>MAXI!$F$25/MAXI!$F$23</f>
        <v>0.29465886918569606</v>
      </c>
      <c r="R349" s="29">
        <f>MAXI!$G$25/MAXI!$G$23</f>
        <v>0.29617875575730246</v>
      </c>
      <c r="S349" s="29">
        <f t="shared" si="73"/>
        <v>4.6281898119566178E-3</v>
      </c>
      <c r="T349" s="30"/>
      <c r="U349" s="32" t="str">
        <f t="shared" si="74"/>
        <v>MYR 3.50</v>
      </c>
      <c r="V349" s="28" t="str">
        <f t="shared" si="74"/>
        <v>Maxis</v>
      </c>
    </row>
    <row r="350" spans="1:26">
      <c r="A350" s="5"/>
      <c r="C350" s="32" t="str">
        <f t="shared" si="71"/>
        <v>SK Telecom</v>
      </c>
      <c r="D350" s="28" t="str">
        <f t="shared" si="71"/>
        <v>KRW 100,000</v>
      </c>
      <c r="E350" s="28" t="str">
        <f t="shared" si="71"/>
        <v>KRW 78,000</v>
      </c>
      <c r="F350" s="29">
        <f t="shared" si="71"/>
        <v>-0.21999999999999997</v>
      </c>
      <c r="G350" s="28" t="str">
        <f t="shared" si="71"/>
        <v>Neutral</v>
      </c>
      <c r="H350" s="30"/>
      <c r="I350" s="29">
        <f>SKT!$D$24/SKT!$D$23</f>
        <v>0.2864216913316544</v>
      </c>
      <c r="J350" s="29">
        <f>SKT!$E$24/SKT!$E$23</f>
        <v>0.29782437412649343</v>
      </c>
      <c r="K350" s="29">
        <f>SKT!$F$24/SKT!$F$23</f>
        <v>0.2964607912941456</v>
      </c>
      <c r="L350" s="29">
        <f>SKT!$G$24/SKT!$G$23</f>
        <v>0.29500583818787496</v>
      </c>
      <c r="M350" s="29">
        <f t="shared" si="72"/>
        <v>8.5841468562205536E-3</v>
      </c>
      <c r="N350" s="30"/>
      <c r="O350" s="29">
        <f>SKT!$D$25/SKT!$D$23</f>
        <v>0.15349092989527127</v>
      </c>
      <c r="P350" s="29">
        <f>SKT!$E$25/SKT!$E$23</f>
        <v>0.16663085557903287</v>
      </c>
      <c r="Q350" s="29">
        <f>SKT!$F$25/SKT!$F$23</f>
        <v>0.16803986266744145</v>
      </c>
      <c r="R350" s="29">
        <f>SKT!$G$25/SKT!$G$23</f>
        <v>0.16935118482595399</v>
      </c>
      <c r="S350" s="29">
        <f t="shared" si="73"/>
        <v>1.5860254930682716E-2</v>
      </c>
      <c r="T350" s="30"/>
      <c r="U350" s="32" t="str">
        <f t="shared" si="74"/>
        <v>KRW 100,000</v>
      </c>
      <c r="V350" s="28" t="str">
        <f t="shared" si="74"/>
        <v>SK Telecom</v>
      </c>
    </row>
    <row r="351" spans="1:26" s="5" customFormat="1">
      <c r="B351" s="26"/>
      <c r="C351" s="32" t="str">
        <f t="shared" si="71"/>
        <v>True Corp</v>
      </c>
      <c r="D351" s="28" t="str">
        <f t="shared" si="71"/>
        <v>THB 13.5</v>
      </c>
      <c r="E351" s="28" t="str">
        <f t="shared" si="71"/>
        <v>THB 18.0</v>
      </c>
      <c r="F351" s="29">
        <f t="shared" si="71"/>
        <v>0.33333333333333326</v>
      </c>
      <c r="G351" s="28" t="str">
        <f t="shared" si="71"/>
        <v>Buy</v>
      </c>
      <c r="H351" s="30"/>
      <c r="I351" s="29">
        <f>TRUECORP!$D$24/TRUECORP!$D$23</f>
        <v>0.52925304903886272</v>
      </c>
      <c r="J351" s="29">
        <f>TRUECORP!$E$24/TRUECORP!$E$23</f>
        <v>0.58949524829239297</v>
      </c>
      <c r="K351" s="29">
        <f>TRUECORP!$F$24/TRUECORP!$F$23</f>
        <v>0.59510668141986056</v>
      </c>
      <c r="L351" s="29">
        <f>TRUECORP!$G$24/TRUECORP!$G$23</f>
        <v>0.59595219666024901</v>
      </c>
      <c r="M351" s="29">
        <f>L351-I351</f>
        <v>6.669914762138629E-2</v>
      </c>
      <c r="N351" s="30"/>
      <c r="O351" s="29">
        <f>TRUECORP!$D$25/TRUECORP!$D$23</f>
        <v>0.38925304903886271</v>
      </c>
      <c r="P351" s="29">
        <f>TRUECORP!$E$25/TRUECORP!$E$23</f>
        <v>0.43949524829239306</v>
      </c>
      <c r="Q351" s="29">
        <f>TRUECORP!$F$25/TRUECORP!$F$23</f>
        <v>0.44510668141986059</v>
      </c>
      <c r="R351" s="29">
        <f>TRUECORP!$G$25/TRUECORP!$G$23</f>
        <v>0.46095219666024895</v>
      </c>
      <c r="S351" s="29">
        <f>R351-O351</f>
        <v>7.1699147621386239E-2</v>
      </c>
      <c r="T351" s="30"/>
      <c r="U351" s="32" t="str">
        <f t="shared" si="74"/>
        <v>THB 13.5</v>
      </c>
      <c r="V351" s="28" t="str">
        <f t="shared" si="74"/>
        <v>True Corp</v>
      </c>
    </row>
    <row r="352" spans="1:26" s="5" customFormat="1">
      <c r="B352" s="26"/>
      <c r="C352" s="32" t="str">
        <f t="shared" si="71"/>
        <v>XL Axiata</v>
      </c>
      <c r="D352" s="28" t="str">
        <f t="shared" si="71"/>
        <v>IDR 3,070</v>
      </c>
      <c r="E352" s="28" t="str">
        <f t="shared" si="71"/>
        <v>IDR 4,500</v>
      </c>
      <c r="F352" s="29">
        <f t="shared" si="71"/>
        <v>0.46579804560260585</v>
      </c>
      <c r="G352" s="28" t="str">
        <f t="shared" si="71"/>
        <v>Buy</v>
      </c>
      <c r="H352" s="30"/>
      <c r="I352" s="29">
        <f>XLAX!$D$24/XLAX!$D$23</f>
        <v>0.43668436543586781</v>
      </c>
      <c r="J352" s="29">
        <f>XLAX!$E$24/XLAX!$E$23</f>
        <v>0.46585009015867812</v>
      </c>
      <c r="K352" s="29">
        <f>XLAX!$F$24/XLAX!$F$23</f>
        <v>0.49180022040220817</v>
      </c>
      <c r="L352" s="29">
        <f>XLAX!$G$24/XLAX!$G$23</f>
        <v>0.51700000000000002</v>
      </c>
      <c r="M352" s="29">
        <f t="shared" si="72"/>
        <v>8.031563456413221E-2</v>
      </c>
      <c r="N352" s="40"/>
      <c r="O352" s="29">
        <f>XLAX!$D$25/XLAX!$D$23</f>
        <v>0.19668436543586781</v>
      </c>
      <c r="P352" s="29">
        <f>XLAX!$E$25/XLAX!$E$23</f>
        <v>0.24585009015867812</v>
      </c>
      <c r="Q352" s="29">
        <f>XLAX!$F$25/XLAX!$F$23</f>
        <v>0.28180022040220815</v>
      </c>
      <c r="R352" s="29">
        <f>XLAX!$G$25/XLAX!$G$23</f>
        <v>0.317</v>
      </c>
      <c r="S352" s="29">
        <f t="shared" si="73"/>
        <v>0.12031563456413219</v>
      </c>
      <c r="T352" s="30"/>
      <c r="U352" s="32" t="str">
        <f t="shared" si="74"/>
        <v>IDR 3,070</v>
      </c>
      <c r="V352" s="28" t="str">
        <f t="shared" si="74"/>
        <v>XL Axiata</v>
      </c>
    </row>
    <row r="353" spans="1:29" s="5" customFormat="1">
      <c r="B353" s="26"/>
      <c r="C353" s="35" t="str">
        <f>C302</f>
        <v>Agg. Emerging Asia Cellular</v>
      </c>
      <c r="D353" s="36"/>
      <c r="E353" s="36"/>
      <c r="F353" s="37"/>
      <c r="G353" s="36"/>
      <c r="H353" s="30"/>
      <c r="I353" s="39">
        <f>'EM ASIA CELLULAR'!$D$24/'EM ASIA CELLULAR'!$D$23</f>
        <v>0.36357090017308247</v>
      </c>
      <c r="J353" s="39">
        <f>'EM ASIA CELLULAR'!$E$24/'EM ASIA CELLULAR'!$E$23</f>
        <v>0.37215335374304936</v>
      </c>
      <c r="K353" s="39">
        <f>'EM ASIA CELLULAR'!$F$24/'EM ASIA CELLULAR'!$F$23</f>
        <v>0.37834523575539736</v>
      </c>
      <c r="L353" s="39">
        <f>'EM ASIA CELLULAR'!$G$24/'EM ASIA CELLULAR'!$G$23</f>
        <v>0.38430817573271764</v>
      </c>
      <c r="M353" s="39">
        <f t="shared" si="72"/>
        <v>2.0737275559635171E-2</v>
      </c>
      <c r="N353" s="40"/>
      <c r="O353" s="39">
        <f>'EM ASIA CELLULAR'!$D$25/'EM ASIA CELLULAR'!$D$23</f>
        <v>0.21569757728165495</v>
      </c>
      <c r="P353" s="39">
        <f>'EM ASIA CELLULAR'!$E$25/'EM ASIA CELLULAR'!$E$23</f>
        <v>0.22962014220522145</v>
      </c>
      <c r="Q353" s="39">
        <f>'EM ASIA CELLULAR'!$F$25/'EM ASIA CELLULAR'!$F$23</f>
        <v>0.24145575119751522</v>
      </c>
      <c r="R353" s="39">
        <f>'EM ASIA CELLULAR'!$G$25/'EM ASIA CELLULAR'!$G$23</f>
        <v>0.25239037956547217</v>
      </c>
      <c r="S353" s="39">
        <f t="shared" si="73"/>
        <v>3.6692802283817216E-2</v>
      </c>
      <c r="T353" s="30"/>
      <c r="U353" s="41"/>
      <c r="V353" s="42" t="str">
        <f>V302</f>
        <v>Agg. Emerging Asia Cellular</v>
      </c>
    </row>
    <row r="354" spans="1:29" s="5" customFormat="1">
      <c r="B354" s="26"/>
      <c r="C354" s="27"/>
      <c r="D354" s="28"/>
      <c r="E354" s="28"/>
      <c r="F354" s="52"/>
      <c r="G354" s="28"/>
      <c r="H354" s="30"/>
      <c r="I354" s="45"/>
      <c r="J354" s="45"/>
      <c r="K354" s="45"/>
      <c r="L354" s="45"/>
      <c r="M354" s="45"/>
      <c r="N354" s="30"/>
      <c r="O354" s="45"/>
      <c r="P354" s="45"/>
      <c r="Q354" s="45"/>
      <c r="R354" s="45"/>
      <c r="S354" s="45"/>
      <c r="T354" s="30"/>
      <c r="U354" s="32"/>
      <c r="V354" s="34"/>
    </row>
    <row r="355" spans="1:29" s="5" customFormat="1">
      <c r="B355" s="26"/>
      <c r="C355" s="35" t="str">
        <f>C304</f>
        <v>Agg. Emerging  Cellular</v>
      </c>
      <c r="D355" s="36"/>
      <c r="E355" s="36"/>
      <c r="F355" s="37"/>
      <c r="G355" s="36"/>
      <c r="H355" s="30"/>
      <c r="I355" s="39">
        <f>'EM CELLULAR'!$D$24/'EM CELLULAR'!$D$23</f>
        <v>0.3658414243431436</v>
      </c>
      <c r="J355" s="39">
        <f>'EM CELLULAR'!$E$24/'EM CELLULAR'!$E$23</f>
        <v>0.37029131719348146</v>
      </c>
      <c r="K355" s="39">
        <f>'EM CELLULAR'!$F$24/'EM CELLULAR'!$F$23</f>
        <v>0.38367104229439558</v>
      </c>
      <c r="L355" s="39">
        <f>'EM CELLULAR'!$G$24/'EM CELLULAR'!$G$23</f>
        <v>0.39033645878397327</v>
      </c>
      <c r="M355" s="39">
        <f t="shared" ref="M355" si="75">L355-I355</f>
        <v>2.4495034440829677E-2</v>
      </c>
      <c r="N355" s="30"/>
      <c r="O355" s="39">
        <f>'EM CELLULAR'!$D$25/'EM CELLULAR'!$D$23</f>
        <v>0.21467369932021224</v>
      </c>
      <c r="P355" s="39">
        <f>'EM CELLULAR'!$E$25/'EM CELLULAR'!$E$23</f>
        <v>0.22384762471973327</v>
      </c>
      <c r="Q355" s="39">
        <f>'EM CELLULAR'!$F$25/'EM CELLULAR'!$F$23</f>
        <v>0.2427103407174605</v>
      </c>
      <c r="R355" s="39">
        <f>'EM CELLULAR'!$G$25/'EM CELLULAR'!$G$23</f>
        <v>0.25396527644809325</v>
      </c>
      <c r="S355" s="39">
        <f t="shared" ref="S355" si="76">R355-O355</f>
        <v>3.9291577127881006E-2</v>
      </c>
      <c r="T355" s="30"/>
      <c r="U355" s="41"/>
      <c r="V355" s="42" t="str">
        <f>V304</f>
        <v>Agg. Emerging  Cellular</v>
      </c>
    </row>
    <row r="356" spans="1:29" s="5" customFormat="1">
      <c r="A356" s="23"/>
      <c r="B356" s="26"/>
      <c r="C356" s="27"/>
      <c r="D356" s="28"/>
      <c r="E356" s="28"/>
      <c r="F356" s="29"/>
      <c r="G356" s="28"/>
      <c r="H356" s="30"/>
      <c r="I356" s="29"/>
      <c r="J356" s="29"/>
      <c r="K356" s="29"/>
      <c r="L356" s="29"/>
      <c r="M356" s="29"/>
      <c r="N356" s="30"/>
      <c r="O356" s="29"/>
      <c r="P356" s="29"/>
      <c r="Q356" s="29"/>
      <c r="R356" s="29"/>
      <c r="S356" s="29"/>
      <c r="T356" s="30"/>
      <c r="U356" s="32"/>
      <c r="V356" s="34"/>
    </row>
    <row r="357" spans="1:29" s="5" customFormat="1">
      <c r="A357" s="23"/>
      <c r="B357" s="26"/>
      <c r="C357" s="51" t="str">
        <f>C306</f>
        <v>Agg. EMEA sector</v>
      </c>
      <c r="D357" s="36"/>
      <c r="E357" s="36"/>
      <c r="F357" s="37"/>
      <c r="G357" s="36"/>
      <c r="H357" s="30"/>
      <c r="I357" s="39">
        <f>'EMEA AGG'!$D$24/'EMEA AGG'!$D$23</f>
        <v>0.35380792827774882</v>
      </c>
      <c r="J357" s="39">
        <f>'EMEA AGG'!$E$24/'EMEA AGG'!$E$23</f>
        <v>0.34142199479842672</v>
      </c>
      <c r="K357" s="39">
        <f>'EMEA AGG'!$F$24/'EMEA AGG'!$F$23</f>
        <v>0.39416303611395376</v>
      </c>
      <c r="L357" s="39">
        <f>'EMEA AGG'!$G$24/'EMEA AGG'!$G$23</f>
        <v>0.40341770903266994</v>
      </c>
      <c r="M357" s="39">
        <f>L357-I357</f>
        <v>4.9609780754921118E-2</v>
      </c>
      <c r="N357" s="40"/>
      <c r="O357" s="39">
        <f>'EMEA AGG'!$D$25/'EMEA AGG'!$D$23</f>
        <v>0.19017970721802427</v>
      </c>
      <c r="P357" s="39">
        <f>'EMEA AGG'!$E$25/'EMEA AGG'!$E$23</f>
        <v>0.18007983640248176</v>
      </c>
      <c r="Q357" s="39">
        <f>'EMEA AGG'!$F$25/'EMEA AGG'!$F$23</f>
        <v>0.23723447187337351</v>
      </c>
      <c r="R357" s="39">
        <f>'EMEA AGG'!$G$25/'EMEA AGG'!$G$23</f>
        <v>0.24918980020177342</v>
      </c>
      <c r="S357" s="39">
        <f>R357-O357</f>
        <v>5.9010092983749152E-2</v>
      </c>
      <c r="T357" s="30"/>
      <c r="U357" s="41"/>
      <c r="V357" s="42" t="str">
        <f>V306</f>
        <v>Agg. EMEA sector</v>
      </c>
    </row>
    <row r="358" spans="1:29">
      <c r="C358" s="25" t="str">
        <f>C307</f>
        <v>Agg. LatAm sector</v>
      </c>
      <c r="D358" s="28"/>
      <c r="E358" s="28"/>
      <c r="F358" s="29"/>
      <c r="G358" s="28"/>
      <c r="H358" s="30"/>
      <c r="I358" s="43">
        <f>'LATAM AGG'!$D$24/'LATAM AGG'!$D$23</f>
        <v>0.39985446959644683</v>
      </c>
      <c r="J358" s="43">
        <f>'LATAM AGG'!$E$24/'LATAM AGG'!$E$23</f>
        <v>0.40440591729535191</v>
      </c>
      <c r="K358" s="43">
        <f>'LATAM AGG'!$F$24/'LATAM AGG'!$F$23</f>
        <v>0.40901474569956919</v>
      </c>
      <c r="L358" s="43">
        <f>'LATAM AGG'!$G$24/'LATAM AGG'!$G$23</f>
        <v>0.41160465705339661</v>
      </c>
      <c r="M358" s="43">
        <f>L358-I358</f>
        <v>1.1750187456949779E-2</v>
      </c>
      <c r="N358" s="40"/>
      <c r="O358" s="43">
        <f>'LATAM AGG'!$D$25/'LATAM AGG'!$D$23</f>
        <v>0.25330649474548711</v>
      </c>
      <c r="P358" s="43">
        <f>'LATAM AGG'!$E$25/'LATAM AGG'!$E$23</f>
        <v>0.2573904695121404</v>
      </c>
      <c r="Q358" s="43">
        <f>'LATAM AGG'!$F$25/'LATAM AGG'!$F$23</f>
        <v>0.26498852532397299</v>
      </c>
      <c r="R358" s="43">
        <f>'LATAM AGG'!$G$25/'LATAM AGG'!$G$23</f>
        <v>0.27485180681527527</v>
      </c>
      <c r="S358" s="43">
        <f>R358-O358</f>
        <v>2.1545312069788158E-2</v>
      </c>
      <c r="T358" s="30"/>
      <c r="U358" s="32"/>
      <c r="V358" s="34" t="str">
        <f>V307</f>
        <v>Agg. LatAm sector</v>
      </c>
    </row>
    <row r="359" spans="1:29" s="5" customFormat="1">
      <c r="A359" s="23"/>
      <c r="B359" s="26"/>
      <c r="C359" s="51" t="str">
        <f>C308</f>
        <v>Agg. Emerging Asia sector</v>
      </c>
      <c r="D359" s="36"/>
      <c r="E359" s="36"/>
      <c r="F359" s="37"/>
      <c r="G359" s="36"/>
      <c r="H359" s="30"/>
      <c r="I359" s="39">
        <f>'AGG EM ASIA'!$D$24/'AGG EM ASIA'!$D$23</f>
        <v>0.32552978478020833</v>
      </c>
      <c r="J359" s="39">
        <f>'AGG EM ASIA'!$E$24/'AGG EM ASIA'!$E$23</f>
        <v>0.33035953072499663</v>
      </c>
      <c r="K359" s="39">
        <f>'AGG EM ASIA'!$F$24/'AGG EM ASIA'!$F$23</f>
        <v>0.3343411978086952</v>
      </c>
      <c r="L359" s="39">
        <f>'AGG EM ASIA'!$G$24/'AGG EM ASIA'!$G$23</f>
        <v>0.3387589195658034</v>
      </c>
      <c r="M359" s="39">
        <f>L359-I359</f>
        <v>1.3229134785595065E-2</v>
      </c>
      <c r="N359" s="40"/>
      <c r="O359" s="39">
        <f>'AGG EM ASIA'!$D$25/'AGG EM ASIA'!$D$23</f>
        <v>0.17872322032259738</v>
      </c>
      <c r="P359" s="39">
        <f>'AGG EM ASIA'!$E$25/'AGG EM ASIA'!$E$23</f>
        <v>0.18994181175773789</v>
      </c>
      <c r="Q359" s="39">
        <f>'AGG EM ASIA'!$F$25/'AGG EM ASIA'!$F$23</f>
        <v>0.19960278263206174</v>
      </c>
      <c r="R359" s="39">
        <f>'AGG EM ASIA'!$G$25/'AGG EM ASIA'!$G$23</f>
        <v>0.20893732868299222</v>
      </c>
      <c r="S359" s="39">
        <f>R359-O359</f>
        <v>3.0214108360394842E-2</v>
      </c>
      <c r="T359" s="30"/>
      <c r="U359" s="41"/>
      <c r="V359" s="42" t="str">
        <f>V308</f>
        <v>Agg. Emerging Asia sector</v>
      </c>
    </row>
    <row r="360" spans="1:29">
      <c r="C360" s="25"/>
      <c r="D360" s="28"/>
      <c r="E360" s="28"/>
      <c r="F360" s="29"/>
      <c r="G360" s="28"/>
      <c r="H360" s="30"/>
      <c r="I360" s="43"/>
      <c r="J360" s="43"/>
      <c r="K360" s="43"/>
      <c r="L360" s="43"/>
      <c r="M360" s="43"/>
      <c r="N360" s="40"/>
      <c r="O360" s="43"/>
      <c r="P360" s="43"/>
      <c r="Q360" s="43"/>
      <c r="R360" s="43"/>
      <c r="S360" s="43"/>
      <c r="T360" s="30"/>
      <c r="U360" s="32"/>
      <c r="V360" s="34"/>
    </row>
    <row r="361" spans="1:29">
      <c r="C361" s="51" t="str">
        <f>C310</f>
        <v>Agg. Global EM sector</v>
      </c>
      <c r="D361" s="36"/>
      <c r="E361" s="36"/>
      <c r="F361" s="37"/>
      <c r="G361" s="36"/>
      <c r="H361" s="30"/>
      <c r="I361" s="39">
        <f>'AGG EM'!$D$24/'AGG EM'!$D$23</f>
        <v>0.33984850429129654</v>
      </c>
      <c r="J361" s="39">
        <f>'AGG EM'!$E$24/'AGG EM'!$E$23</f>
        <v>0.34407931075466047</v>
      </c>
      <c r="K361" s="39">
        <f>'AGG EM'!$F$24/'AGG EM'!$F$23</f>
        <v>0.3524178960349692</v>
      </c>
      <c r="L361" s="39">
        <f>'AGG EM'!$G$24/'AGG EM'!$G$23</f>
        <v>0.3570965948937071</v>
      </c>
      <c r="M361" s="39">
        <f>L361-I361</f>
        <v>1.724809060241056E-2</v>
      </c>
      <c r="N361" s="40"/>
      <c r="O361" s="39">
        <f>'AGG EM'!$D$25/'AGG EM'!$D$23</f>
        <v>0.19188253272887468</v>
      </c>
      <c r="P361" s="39">
        <f>'AGG EM'!$E$25/'AGG EM'!$E$23</f>
        <v>0.20080493248758749</v>
      </c>
      <c r="Q361" s="39">
        <f>'AGG EM'!$F$25/'AGG EM'!$F$23</f>
        <v>0.21413864154346104</v>
      </c>
      <c r="R361" s="39">
        <f>'AGG EM'!$G$25/'AGG EM'!$G$23</f>
        <v>0.22384960182489305</v>
      </c>
      <c r="S361" s="39">
        <f>R361-O361</f>
        <v>3.1967069096018375E-2</v>
      </c>
      <c r="T361" s="30"/>
      <c r="U361" s="41"/>
      <c r="V361" s="42" t="str">
        <f>V310</f>
        <v>Agg. Global EM sector (ex-consensus)</v>
      </c>
    </row>
    <row r="362" spans="1:29" s="5" customFormat="1">
      <c r="A362" s="23"/>
      <c r="B362" s="26"/>
      <c r="C362" s="27"/>
      <c r="D362" s="28"/>
      <c r="E362" s="28"/>
      <c r="F362" s="29"/>
      <c r="G362" s="28"/>
      <c r="H362" s="105"/>
      <c r="I362" s="43"/>
      <c r="J362" s="43"/>
      <c r="K362" s="43"/>
      <c r="L362" s="43"/>
      <c r="M362" s="43"/>
      <c r="N362" s="40"/>
      <c r="O362" s="43"/>
      <c r="P362" s="43"/>
      <c r="Q362" s="43"/>
      <c r="R362" s="43"/>
      <c r="S362" s="43"/>
      <c r="T362" s="40"/>
      <c r="U362" s="32"/>
      <c r="V362" s="34"/>
    </row>
    <row r="363" spans="1:29" s="5" customFormat="1">
      <c r="A363" s="23"/>
      <c r="B363" s="26"/>
      <c r="C363" s="27"/>
      <c r="D363" s="28"/>
      <c r="E363" s="28"/>
      <c r="F363" s="29"/>
      <c r="G363" s="28"/>
      <c r="H363" s="105"/>
      <c r="I363" s="43"/>
      <c r="J363" s="43"/>
      <c r="K363" s="43"/>
      <c r="L363" s="43"/>
      <c r="M363" s="43"/>
      <c r="N363" s="40"/>
      <c r="O363" s="43"/>
      <c r="P363" s="43"/>
      <c r="Q363" s="43"/>
      <c r="R363" s="43"/>
      <c r="S363" s="43"/>
      <c r="T363" s="40"/>
      <c r="U363" s="32"/>
      <c r="V363" s="34"/>
    </row>
    <row r="364" spans="1:29" s="25" customFormat="1">
      <c r="B364" s="113"/>
      <c r="C364" s="130"/>
      <c r="D364" s="131" t="s">
        <v>379</v>
      </c>
      <c r="E364" s="131" t="s">
        <v>50</v>
      </c>
      <c r="F364" s="131" t="s">
        <v>52</v>
      </c>
      <c r="G364" s="131" t="s">
        <v>49</v>
      </c>
      <c r="H364" s="105"/>
      <c r="I364" s="132" t="s">
        <v>387</v>
      </c>
      <c r="J364" s="132"/>
      <c r="K364" s="132"/>
      <c r="L364" s="132"/>
      <c r="M364" s="132"/>
      <c r="N364" s="30"/>
      <c r="O364" s="132" t="s">
        <v>241</v>
      </c>
      <c r="P364" s="132"/>
      <c r="Q364" s="132"/>
      <c r="R364" s="132"/>
      <c r="S364" s="132"/>
      <c r="T364" s="30"/>
      <c r="U364" s="133" t="s">
        <v>379</v>
      </c>
      <c r="V364" s="131"/>
      <c r="Z364" s="33"/>
      <c r="AC364" s="106"/>
    </row>
    <row r="365" spans="1:29" s="5" customFormat="1">
      <c r="A365" s="25" t="s">
        <v>415</v>
      </c>
      <c r="B365" s="26"/>
      <c r="C365" s="32" t="str">
        <f t="shared" ref="C365:G366" si="77">C314</f>
        <v>America Movil</v>
      </c>
      <c r="D365" s="28" t="str">
        <f t="shared" si="77"/>
        <v>USD 22.8</v>
      </c>
      <c r="E365" s="28" t="str">
        <f t="shared" si="77"/>
        <v>USD 24.0</v>
      </c>
      <c r="F365" s="29">
        <f t="shared" si="77"/>
        <v>5.2631578947368363E-2</v>
      </c>
      <c r="G365" s="28" t="str">
        <f t="shared" si="77"/>
        <v>Buy</v>
      </c>
      <c r="H365" s="30"/>
      <c r="I365" s="29">
        <f>AMX!$D$30/AMX!$D$23</f>
        <v>9.3309593073008748E-2</v>
      </c>
      <c r="J365" s="29">
        <f>AMX!$E$30/AMX!$E$23</f>
        <v>0.10425028723806938</v>
      </c>
      <c r="K365" s="29">
        <f>AMX!$F$30/AMX!$F$23</f>
        <v>0.11224835121538623</v>
      </c>
      <c r="L365" s="29">
        <f>AMX!$G$30/AMX!$G$23</f>
        <v>0.11827512305043818</v>
      </c>
      <c r="M365" s="29">
        <f t="shared" ref="M365:M368" si="78">L365-I365</f>
        <v>2.4965529977429429E-2</v>
      </c>
      <c r="N365" s="30"/>
      <c r="O365" s="31">
        <f>AMX!$D$12/AMX!$D$24</f>
        <v>1.8377235275262669</v>
      </c>
      <c r="P365" s="31">
        <f>AMX!$E$12/AMX!$E$24</f>
        <v>1.5314976090000549</v>
      </c>
      <c r="Q365" s="31">
        <f>AMX!$F$12/AMX!$F$24</f>
        <v>1.3763332965176402</v>
      </c>
      <c r="R365" s="31">
        <f>AMX!$G$12/AMX!$G$24</f>
        <v>1.214179284032064</v>
      </c>
      <c r="S365" s="29">
        <f t="shared" ref="S365:S368" si="79">R365-O365</f>
        <v>-0.6235442434942029</v>
      </c>
      <c r="T365" s="30"/>
      <c r="U365" s="32" t="str">
        <f>U314</f>
        <v>USD 22.8</v>
      </c>
      <c r="V365" s="28" t="str">
        <f>V314</f>
        <v>America Movil</v>
      </c>
    </row>
    <row r="366" spans="1:29">
      <c r="A366" s="5"/>
      <c r="C366" s="32" t="str">
        <f t="shared" si="77"/>
        <v>Vivo</v>
      </c>
      <c r="D366" s="28" t="str">
        <f t="shared" si="77"/>
        <v>BRL 39.88</v>
      </c>
      <c r="E366" s="28" t="str">
        <f t="shared" si="77"/>
        <v>BRL 43.00</v>
      </c>
      <c r="F366" s="29">
        <f t="shared" si="77"/>
        <v>7.8234704112337017E-2</v>
      </c>
      <c r="G366" s="28" t="str">
        <f t="shared" si="77"/>
        <v>Buy</v>
      </c>
      <c r="H366" s="30"/>
      <c r="I366" s="29">
        <f>VIVO!$D$30/VIVO!$D$23</f>
        <v>0.11631599514400927</v>
      </c>
      <c r="J366" s="29">
        <f>VIVO!$E$30/VIVO!$E$23</f>
        <v>0.15226884217439071</v>
      </c>
      <c r="K366" s="29">
        <f>VIVO!$F$30/VIVO!$F$23</f>
        <v>0.16996714018776188</v>
      </c>
      <c r="L366" s="29">
        <f>VIVO!$G$30/VIVO!$G$23</f>
        <v>0.17620033789125381</v>
      </c>
      <c r="M366" s="29">
        <f t="shared" si="78"/>
        <v>5.9884342747244537E-2</v>
      </c>
      <c r="N366" s="30"/>
      <c r="O366" s="31">
        <f>VIVO!$D$12/VIVO!$D$24</f>
        <v>0.56095133862825208</v>
      </c>
      <c r="P366" s="31">
        <f>VIVO!$E$12/VIVO!$E$24</f>
        <v>0.42851285382197307</v>
      </c>
      <c r="Q366" s="31">
        <f>VIVO!$F$12/VIVO!$F$24</f>
        <v>0.35070976746941473</v>
      </c>
      <c r="R366" s="31">
        <f>VIVO!$G$12/VIVO!$G$24</f>
        <v>0.29076090649982322</v>
      </c>
      <c r="S366" s="29">
        <f t="shared" si="79"/>
        <v>-0.27019043212842886</v>
      </c>
      <c r="T366" s="30"/>
      <c r="U366" s="32" t="str">
        <f>U315</f>
        <v>BRL 39.88</v>
      </c>
      <c r="V366" s="28" t="str">
        <f>V315</f>
        <v>Telefonica Brasil</v>
      </c>
    </row>
    <row r="367" spans="1:29" s="5" customFormat="1">
      <c r="B367" s="26"/>
      <c r="C367" s="32" t="s">
        <v>561</v>
      </c>
      <c r="D367" s="28" t="str">
        <f>D316</f>
        <v>USD 3.1</v>
      </c>
      <c r="E367" s="28" t="str">
        <f>E316</f>
        <v>USD 3.7</v>
      </c>
      <c r="F367" s="29">
        <f>F316</f>
        <v>0.21311475409836089</v>
      </c>
      <c r="G367" s="28" t="str">
        <f>G316</f>
        <v>Neutral</v>
      </c>
      <c r="H367" s="30"/>
      <c r="I367" s="29">
        <f>TVIS!$D$30/TVIS!$D$23</f>
        <v>-4.6676125278796565E-3</v>
      </c>
      <c r="J367" s="29">
        <f>TVIS!$E$30/TVIS!$E$23</f>
        <v>-2.7928491061060272E-3</v>
      </c>
      <c r="K367" s="29">
        <f>TVIS!$F$30/TVIS!$F$23</f>
        <v>3.7098423427855041E-3</v>
      </c>
      <c r="L367" s="29">
        <f>TVIS!$G$30/TVIS!$G$23</f>
        <v>1.9740024431390463E-2</v>
      </c>
      <c r="M367" s="29">
        <f>L367-I367</f>
        <v>2.4407636959270118E-2</v>
      </c>
      <c r="N367" s="30"/>
      <c r="O367" s="31">
        <f>TVIS!$D$12/TVIS!$D$24</f>
        <v>2.686293257220159</v>
      </c>
      <c r="P367" s="31">
        <f>TVIS!$E$12/TVIS!$E$24</f>
        <v>2.6214685220483616</v>
      </c>
      <c r="Q367" s="31">
        <f>TVIS!$F$12/TVIS!$F$24</f>
        <v>2.4726039775040896</v>
      </c>
      <c r="R367" s="31">
        <f>TVIS!$G$12/TVIS!$G$24</f>
        <v>2.2111159486064449</v>
      </c>
      <c r="S367" s="29">
        <f>R367-O367</f>
        <v>-0.4751773086137141</v>
      </c>
      <c r="T367" s="30"/>
      <c r="U367" s="32" t="str">
        <f>U316</f>
        <v>USD 3.1</v>
      </c>
      <c r="V367" s="28" t="s">
        <v>561</v>
      </c>
    </row>
    <row r="368" spans="1:29" s="5" customFormat="1">
      <c r="B368" s="26"/>
      <c r="C368" s="35" t="str">
        <f>C317</f>
        <v>Agg. LatAm Incumbent</v>
      </c>
      <c r="D368" s="36"/>
      <c r="E368" s="36"/>
      <c r="F368" s="37"/>
      <c r="G368" s="36"/>
      <c r="H368" s="30"/>
      <c r="I368" s="39">
        <f>'LATAM INCUMB'!D33/'LATAM INCUMB'!D25</f>
        <v>-0.1227253263705121</v>
      </c>
      <c r="J368" s="39">
        <f>'LATAM INCUMB'!E33/'LATAM INCUMB'!E25</f>
        <v>-0.10238894497645869</v>
      </c>
      <c r="K368" s="39">
        <f>'LATAM INCUMB'!F33/'LATAM INCUMB'!F25</f>
        <v>-8.5301000838825983E-2</v>
      </c>
      <c r="L368" s="39">
        <f>'LATAM INCUMB'!G33/'LATAM INCUMB'!G25</f>
        <v>-7.378748885326597E-2</v>
      </c>
      <c r="M368" s="39">
        <f t="shared" si="78"/>
        <v>4.8937837517246133E-2</v>
      </c>
      <c r="N368" s="40"/>
      <c r="O368" s="38">
        <f>'LATAM INCUMB'!$D$12/'LATAM INCUMB'!$D$24</f>
        <v>1.6251332591415051</v>
      </c>
      <c r="P368" s="38">
        <f>'LATAM INCUMB'!$E$12/'LATAM INCUMB'!$E$24</f>
        <v>1.3504144657173436</v>
      </c>
      <c r="Q368" s="38">
        <f>'LATAM INCUMB'!$F$12/'LATAM INCUMB'!$F$24</f>
        <v>1.2026101698969394</v>
      </c>
      <c r="R368" s="38">
        <f>'LATAM INCUMB'!$G$12/'LATAM INCUMB'!$G$24</f>
        <v>1.0547011702983857</v>
      </c>
      <c r="S368" s="39">
        <f t="shared" si="79"/>
        <v>-0.57043208884311936</v>
      </c>
      <c r="T368" s="30"/>
      <c r="U368" s="41"/>
      <c r="V368" s="42" t="str">
        <f>V317</f>
        <v>Agg. LatAm Incumbent</v>
      </c>
    </row>
    <row r="369" spans="1:22" s="5" customFormat="1">
      <c r="A369" s="23"/>
      <c r="B369" s="26"/>
      <c r="C369" s="32"/>
      <c r="D369" s="28"/>
      <c r="E369" s="28"/>
      <c r="F369" s="29"/>
      <c r="G369" s="28"/>
      <c r="H369" s="30"/>
      <c r="I369" s="29"/>
      <c r="J369" s="29"/>
      <c r="K369" s="29"/>
      <c r="L369" s="29"/>
      <c r="M369" s="29"/>
      <c r="N369" s="40"/>
      <c r="O369" s="31"/>
      <c r="P369" s="31"/>
      <c r="Q369" s="31"/>
      <c r="R369" s="31"/>
      <c r="S369" s="29"/>
      <c r="T369" s="30"/>
      <c r="U369" s="32"/>
      <c r="V369" s="34"/>
    </row>
    <row r="370" spans="1:22" s="5" customFormat="1">
      <c r="B370" s="26"/>
      <c r="C370" s="32" t="str">
        <f t="shared" ref="C370:G373" si="80">C319</f>
        <v>China Telecom</v>
      </c>
      <c r="D370" s="28" t="str">
        <f t="shared" si="80"/>
        <v>HKD 5.01</v>
      </c>
      <c r="E370" s="28" t="str">
        <f t="shared" si="80"/>
        <v>HKD 8.75</v>
      </c>
      <c r="F370" s="29">
        <f t="shared" si="80"/>
        <v>0.7465069860279443</v>
      </c>
      <c r="G370" s="28" t="str">
        <f t="shared" si="80"/>
        <v>Buy</v>
      </c>
      <c r="H370" s="30"/>
      <c r="I370" s="29">
        <f>_CT!$D$30/_CT!$D$23</f>
        <v>6.5535570708345078E-2</v>
      </c>
      <c r="J370" s="29">
        <f>_CT!$E$30/_CT!$E$23</f>
        <v>6.740597593180031E-2</v>
      </c>
      <c r="K370" s="29">
        <f>_CT!$F$30/_CT!$F$23</f>
        <v>7.0370630898060088E-2</v>
      </c>
      <c r="L370" s="29">
        <f>_CT!$G$30/_CT!$G$23</f>
        <v>7.3978122953987535E-2</v>
      </c>
      <c r="M370" s="29">
        <f t="shared" ref="M370:M374" si="81">L370-I370</f>
        <v>8.4425522456424568E-3</v>
      </c>
      <c r="N370" s="40"/>
      <c r="O370" s="31">
        <f>_CT!$D$12/_CT!$D$24</f>
        <v>-0.37255875106169645</v>
      </c>
      <c r="P370" s="31">
        <f>_CT!$E$12/_CT!$E$24</f>
        <v>-0.50524220408300224</v>
      </c>
      <c r="Q370" s="31">
        <f>_CT!$F$12/_CT!$F$24</f>
        <v>-0.42654947102352614</v>
      </c>
      <c r="R370" s="31">
        <f>_CT!$G$12/_CT!$G$24</f>
        <v>-0.5929825129189733</v>
      </c>
      <c r="S370" s="135">
        <f t="shared" ref="S370:S374" si="82">R370-O370</f>
        <v>-0.22042376185727686</v>
      </c>
      <c r="T370" s="30"/>
      <c r="U370" s="32" t="str">
        <f t="shared" ref="U370:V373" si="83">U319</f>
        <v>HKD 5.01</v>
      </c>
      <c r="V370" s="28" t="str">
        <f t="shared" si="83"/>
        <v>China Telecom</v>
      </c>
    </row>
    <row r="371" spans="1:22" s="5" customFormat="1">
      <c r="B371" s="26"/>
      <c r="C371" s="32" t="str">
        <f t="shared" si="80"/>
        <v>China Unicom</v>
      </c>
      <c r="D371" s="28" t="str">
        <f t="shared" si="80"/>
        <v>HKD 7.26</v>
      </c>
      <c r="E371" s="28" t="str">
        <f t="shared" si="80"/>
        <v>HKD 13.20</v>
      </c>
      <c r="F371" s="29">
        <f t="shared" si="80"/>
        <v>0.81818181818181812</v>
      </c>
      <c r="G371" s="28" t="str">
        <f t="shared" si="80"/>
        <v>Buy</v>
      </c>
      <c r="H371" s="30"/>
      <c r="I371" s="29">
        <f>_CU!$D$30/_CU!$D$23</f>
        <v>5.1343526733783944E-2</v>
      </c>
      <c r="J371" s="29">
        <f>_CU!$E$30/_CU!$E$23</f>
        <v>5.5890945365109121E-2</v>
      </c>
      <c r="K371" s="29">
        <f>_CU!$F$30/_CU!$F$23</f>
        <v>6.1695959790470267E-2</v>
      </c>
      <c r="L371" s="29">
        <f>_CU!$G$30/_CU!$G$23</f>
        <v>6.8035762774789121E-2</v>
      </c>
      <c r="M371" s="29">
        <f t="shared" si="81"/>
        <v>1.6692236041005178E-2</v>
      </c>
      <c r="N371" s="40"/>
      <c r="O371" s="31">
        <f>_CU!$D$12/_CU!$D$24</f>
        <v>-8.5851216667848687E-2</v>
      </c>
      <c r="P371" s="31">
        <f>_CU!$E$12/_CU!$E$24</f>
        <v>-0.28449928798864943</v>
      </c>
      <c r="Q371" s="31">
        <f>_CU!$F$12/_CU!$F$24</f>
        <v>-0.23731095126289481</v>
      </c>
      <c r="R371" s="31">
        <f>_CU!$G$12/_CU!$G$24</f>
        <v>-0.43009790873274129</v>
      </c>
      <c r="S371" s="135">
        <f t="shared" si="82"/>
        <v>-0.34424669206489261</v>
      </c>
      <c r="T371" s="30"/>
      <c r="U371" s="32" t="str">
        <f t="shared" si="83"/>
        <v>HKD 7.26</v>
      </c>
      <c r="V371" s="28" t="str">
        <f t="shared" si="83"/>
        <v>China Unicom</v>
      </c>
    </row>
    <row r="372" spans="1:22" s="5" customFormat="1">
      <c r="A372" s="23"/>
      <c r="B372" s="26"/>
      <c r="C372" s="32" t="str">
        <f t="shared" si="80"/>
        <v>KT Corp</v>
      </c>
      <c r="D372" s="28" t="str">
        <f t="shared" si="80"/>
        <v>KRW 61,700</v>
      </c>
      <c r="E372" s="28" t="str">
        <f t="shared" si="80"/>
        <v>KRW 105,000</v>
      </c>
      <c r="F372" s="29">
        <f t="shared" si="80"/>
        <v>0.70178282009724469</v>
      </c>
      <c r="G372" s="28" t="str">
        <f t="shared" si="80"/>
        <v>Buy</v>
      </c>
      <c r="H372" s="30"/>
      <c r="I372" s="29">
        <f>_KT!$D$30/_KT!$D$23</f>
        <v>6.7508942410021214E-2</v>
      </c>
      <c r="J372" s="29">
        <f>_KT!$E$30/_KT!$E$23</f>
        <v>6.4847405583624756E-2</v>
      </c>
      <c r="K372" s="29">
        <f>_KT!$F$30/_KT!$F$23</f>
        <v>7.0425109164984012E-2</v>
      </c>
      <c r="L372" s="29">
        <f>_KT!$G$30/_KT!$G$23</f>
        <v>7.5798459712010297E-2</v>
      </c>
      <c r="M372" s="29">
        <f t="shared" si="81"/>
        <v>8.2895173019890828E-3</v>
      </c>
      <c r="N372" s="40"/>
      <c r="O372" s="31">
        <f>_KT!$D$12/_KT!$D$24</f>
        <v>0.89324249945817591</v>
      </c>
      <c r="P372" s="31">
        <f>_KT!$E$12/_KT!$E$24</f>
        <v>0.70758444727046987</v>
      </c>
      <c r="Q372" s="31">
        <f>_KT!$F$12/_KT!$F$24</f>
        <v>0.45902716548708089</v>
      </c>
      <c r="R372" s="31">
        <f>_KT!$G$12/_KT!$G$24</f>
        <v>0.21769608941924981</v>
      </c>
      <c r="S372" s="29">
        <f t="shared" si="82"/>
        <v>-0.67554641003892613</v>
      </c>
      <c r="T372" s="30"/>
      <c r="U372" s="32" t="str">
        <f t="shared" si="83"/>
        <v>KRW 61,700</v>
      </c>
      <c r="V372" s="28" t="str">
        <f t="shared" si="83"/>
        <v>KT Corp</v>
      </c>
    </row>
    <row r="373" spans="1:22" s="5" customFormat="1">
      <c r="A373" s="23"/>
      <c r="B373" s="26"/>
      <c r="C373" s="32" t="str">
        <f t="shared" si="80"/>
        <v>Telkom Indonesia</v>
      </c>
      <c r="D373" s="28" t="str">
        <f t="shared" si="80"/>
        <v>IDR 2,810</v>
      </c>
      <c r="E373" s="28" t="str">
        <f t="shared" si="80"/>
        <v>IDR 3,500</v>
      </c>
      <c r="F373" s="29">
        <f t="shared" si="80"/>
        <v>0.24555160142348753</v>
      </c>
      <c r="G373" s="28" t="str">
        <f t="shared" si="80"/>
        <v>Neutral</v>
      </c>
      <c r="H373" s="30"/>
      <c r="I373" s="29">
        <f>PTT!$D$30/PTT!$D$23</f>
        <v>0.1481836202386479</v>
      </c>
      <c r="J373" s="29">
        <f>PTT!$E$30/PTT!$E$23</f>
        <v>0.14562640607951549</v>
      </c>
      <c r="K373" s="29">
        <f>PTT!$F$30/PTT!$F$23</f>
        <v>0.1465677380636464</v>
      </c>
      <c r="L373" s="29">
        <f>PTT!$G$30/PTT!$G$23</f>
        <v>0.15018368700983581</v>
      </c>
      <c r="M373" s="29">
        <f t="shared" si="81"/>
        <v>2.0000667711879139E-3</v>
      </c>
      <c r="N373" s="40"/>
      <c r="O373" s="31">
        <f>PTT!$D$12/PTT!$D$24</f>
        <v>1.2087213259007024</v>
      </c>
      <c r="P373" s="31">
        <f>PTT!$E$12/PTT!$E$24</f>
        <v>1.285009717023474</v>
      </c>
      <c r="Q373" s="31">
        <f>PTT!$F$12/PTT!$F$24</f>
        <v>1.2545765647938578</v>
      </c>
      <c r="R373" s="31">
        <f>PTT!$G$12/PTT!$G$24</f>
        <v>1.2296682208586365</v>
      </c>
      <c r="S373" s="135">
        <f t="shared" si="82"/>
        <v>2.0946894957934115E-2</v>
      </c>
      <c r="T373" s="30"/>
      <c r="U373" s="32" t="str">
        <f t="shared" si="83"/>
        <v>IDR 2,810</v>
      </c>
      <c r="V373" s="28" t="str">
        <f t="shared" si="83"/>
        <v>PT Telkom</v>
      </c>
    </row>
    <row r="374" spans="1:22" s="5" customFormat="1">
      <c r="A374" s="23"/>
      <c r="B374" s="26"/>
      <c r="C374" s="35" t="str">
        <f>C323</f>
        <v>Agg. Emerging Asia Incumbent</v>
      </c>
      <c r="D374" s="36"/>
      <c r="E374" s="36"/>
      <c r="F374" s="37"/>
      <c r="G374" s="36"/>
      <c r="H374" s="30"/>
      <c r="I374" s="39">
        <f>'EM ASIA INCUMB'!$D$30/'EM ASIA INCUMB'!$D$23</f>
        <v>6.5081707407338055E-2</v>
      </c>
      <c r="J374" s="39">
        <f>'EM ASIA INCUMB'!$E$30/'EM ASIA INCUMB'!$E$23</f>
        <v>6.7195868600422343E-2</v>
      </c>
      <c r="K374" s="39">
        <f>'EM ASIA INCUMB'!$F$30/'EM ASIA INCUMB'!$F$23</f>
        <v>7.1383173787913881E-2</v>
      </c>
      <c r="L374" s="39">
        <f>'EM ASIA INCUMB'!$G$30/'EM ASIA INCUMB'!$G$23</f>
        <v>7.6195153081419664E-2</v>
      </c>
      <c r="M374" s="39">
        <f t="shared" si="81"/>
        <v>1.111344567408161E-2</v>
      </c>
      <c r="N374" s="40"/>
      <c r="O374" s="38">
        <f>'EM ASIA INCUMB'!$D$12/'EM ASIA INCUMB'!$D$24</f>
        <v>-3.7214039664731982E-3</v>
      </c>
      <c r="P374" s="38">
        <f>'EM ASIA INCUMB'!$E$12/'EM ASIA INCUMB'!$E$24</f>
        <v>-0.14500650328693893</v>
      </c>
      <c r="Q374" s="38">
        <f>'EM ASIA INCUMB'!$F$12/'EM ASIA INCUMB'!$F$24</f>
        <v>-0.11541212987849783</v>
      </c>
      <c r="R374" s="38">
        <f>'EM ASIA INCUMB'!$G$12/'EM ASIA INCUMB'!$G$24</f>
        <v>-0.28155323931072518</v>
      </c>
      <c r="S374" s="39">
        <f t="shared" si="82"/>
        <v>-0.27783183534425199</v>
      </c>
      <c r="T374" s="30"/>
      <c r="U374" s="41"/>
      <c r="V374" s="42" t="str">
        <f>V323</f>
        <v>Agg. Emerging Asia Incumbent</v>
      </c>
    </row>
    <row r="375" spans="1:22" s="5" customFormat="1">
      <c r="A375" s="23"/>
      <c r="B375" s="26"/>
      <c r="C375" s="27"/>
      <c r="D375" s="28"/>
      <c r="E375" s="28"/>
      <c r="F375" s="52"/>
      <c r="G375" s="28"/>
      <c r="H375" s="30"/>
      <c r="I375" s="45"/>
      <c r="J375" s="45"/>
      <c r="K375" s="45"/>
      <c r="L375" s="45"/>
      <c r="M375" s="45"/>
      <c r="N375" s="40"/>
      <c r="O375" s="46"/>
      <c r="P375" s="46"/>
      <c r="Q375" s="46"/>
      <c r="R375" s="46"/>
      <c r="S375" s="45"/>
      <c r="T375" s="30"/>
      <c r="U375" s="32"/>
      <c r="V375" s="34"/>
    </row>
    <row r="376" spans="1:22" s="5" customFormat="1">
      <c r="A376" s="23"/>
      <c r="B376" s="26"/>
      <c r="C376" s="35" t="str">
        <f>C325</f>
        <v>Agg. Emerging Incumbent</v>
      </c>
      <c r="D376" s="36"/>
      <c r="E376" s="36"/>
      <c r="F376" s="37"/>
      <c r="G376" s="36"/>
      <c r="H376" s="30"/>
      <c r="I376" s="39">
        <f>'EM INCUMB'!$D$30/'EM INCUMB'!$D$23</f>
        <v>7.2992631325780322E-2</v>
      </c>
      <c r="J376" s="39">
        <f>'EM INCUMB'!$E$30/'EM INCUMB'!$E$23</f>
        <v>7.9463442793283948E-2</v>
      </c>
      <c r="K376" s="39">
        <f>'EM INCUMB'!$F$30/'EM INCUMB'!$F$23</f>
        <v>8.5440700575318759E-2</v>
      </c>
      <c r="L376" s="39">
        <f>'EM INCUMB'!$G$30/'EM INCUMB'!$G$23</f>
        <v>9.0844563204351969E-2</v>
      </c>
      <c r="M376" s="39">
        <f t="shared" ref="M376" si="84">L376-I376</f>
        <v>1.7851931878571647E-2</v>
      </c>
      <c r="N376" s="40"/>
      <c r="O376" s="38">
        <f>'EM INCUMB'!$D$12/'EM INCUMB'!$D$24</f>
        <v>0.58921467026049223</v>
      </c>
      <c r="P376" s="38">
        <f>'EM INCUMB'!$E$12/'EM INCUMB'!$E$24</f>
        <v>0.43226563830442932</v>
      </c>
      <c r="Q376" s="38">
        <f>'EM INCUMB'!$F$12/'EM INCUMB'!$F$24</f>
        <v>0.3961102104710833</v>
      </c>
      <c r="R376" s="38">
        <f>'EM INCUMB'!$G$12/'EM INCUMB'!$G$24</f>
        <v>0.23561505930266302</v>
      </c>
      <c r="S376" s="39">
        <f t="shared" ref="S376" si="85">R376-O376</f>
        <v>-0.35359961095782921</v>
      </c>
      <c r="T376" s="30"/>
      <c r="U376" s="41"/>
      <c r="V376" s="42" t="str">
        <f>V325</f>
        <v>Agg. Emerging Incumbent</v>
      </c>
    </row>
    <row r="377" spans="1:22" s="5" customFormat="1">
      <c r="A377" s="23"/>
      <c r="B377" s="26"/>
      <c r="C377" s="27"/>
      <c r="D377" s="28"/>
      <c r="E377" s="28"/>
      <c r="F377" s="29"/>
      <c r="G377" s="28"/>
      <c r="H377" s="30"/>
      <c r="I377" s="29"/>
      <c r="J377" s="29"/>
      <c r="K377" s="29"/>
      <c r="L377" s="29"/>
      <c r="M377" s="29"/>
      <c r="N377" s="40"/>
      <c r="O377" s="31"/>
      <c r="P377" s="31"/>
      <c r="Q377" s="31"/>
      <c r="R377" s="31"/>
      <c r="S377" s="29"/>
      <c r="T377" s="30"/>
      <c r="U377" s="32"/>
      <c r="V377" s="34"/>
    </row>
    <row r="378" spans="1:22" s="5" customFormat="1">
      <c r="A378" s="25" t="s">
        <v>1091</v>
      </c>
      <c r="B378" s="26"/>
      <c r="C378" s="32" t="str">
        <f t="shared" ref="C378:G382" si="86">C327</f>
        <v>Airtel Africa</v>
      </c>
      <c r="D378" s="28" t="str">
        <f t="shared" si="86"/>
        <v>GBP3.60</v>
      </c>
      <c r="E378" s="28" t="str">
        <f t="shared" si="86"/>
        <v>GBP4.60</v>
      </c>
      <c r="F378" s="29">
        <f t="shared" si="86"/>
        <v>0.2791991101223581</v>
      </c>
      <c r="G378" s="28" t="str">
        <f t="shared" si="86"/>
        <v>Buy</v>
      </c>
      <c r="H378" s="30"/>
      <c r="I378" s="29">
        <f>AAF!$D$30/AAF!$D$23</f>
        <v>0.16559597745381524</v>
      </c>
      <c r="J378" s="29">
        <f>AAF!$E$30/AAF!$E$23</f>
        <v>0.16386275955993637</v>
      </c>
      <c r="K378" s="29">
        <f>AAF!$F$30/AAF!$F$23</f>
        <v>0.19486058271307871</v>
      </c>
      <c r="L378" s="29">
        <f>AAF!$G$30/AAF!$G$23</f>
        <v>0.20905006281496474</v>
      </c>
      <c r="M378" s="29">
        <f t="shared" ref="M378" si="87">L378-I378</f>
        <v>4.3454085361149503E-2</v>
      </c>
      <c r="N378" s="40"/>
      <c r="O378" s="31">
        <f>AAF!$D$12/AAF!$D$24</f>
        <v>0.85654455276014774</v>
      </c>
      <c r="P378" s="31">
        <f>AAF!$E$12/AAF!$E$24</f>
        <v>0.53147489923547886</v>
      </c>
      <c r="Q378" s="31">
        <f>AAF!$F$12/AAF!$F$24</f>
        <v>0.31556119795549442</v>
      </c>
      <c r="R378" s="31">
        <f>AAF!$G$12/AAF!$G$24</f>
        <v>0.14244033177458462</v>
      </c>
      <c r="S378" s="135">
        <f t="shared" ref="S378" si="88">R378-O378</f>
        <v>-0.71410422098556314</v>
      </c>
      <c r="T378" s="30"/>
      <c r="U378" s="32" t="str">
        <f t="shared" ref="U378:V382" si="89">U327</f>
        <v>GBP3.60</v>
      </c>
      <c r="V378" s="28" t="str">
        <f t="shared" si="89"/>
        <v>Airtel Africa</v>
      </c>
    </row>
    <row r="379" spans="1:22" s="5" customFormat="1">
      <c r="A379" s="23"/>
      <c r="B379" s="26"/>
      <c r="C379" s="32" t="str">
        <f t="shared" si="86"/>
        <v>MTN</v>
      </c>
      <c r="D379" s="28" t="str">
        <f t="shared" si="86"/>
        <v>ZAR 206.35</v>
      </c>
      <c r="E379" s="28" t="str">
        <f t="shared" si="86"/>
        <v>ZAR 280.00</v>
      </c>
      <c r="F379" s="29">
        <f t="shared" si="86"/>
        <v>0.35691785800823839</v>
      </c>
      <c r="G379" s="28" t="str">
        <f t="shared" si="86"/>
        <v>Buy</v>
      </c>
      <c r="H379" s="30"/>
      <c r="I379" s="29">
        <f>MTN!$D$30/MTN!$D$23</f>
        <v>0.1182778731713944</v>
      </c>
      <c r="J379" s="29">
        <f>MTN!$E$30/MTN!$E$23</f>
        <v>0.14057579521264921</v>
      </c>
      <c r="K379" s="29">
        <f>MTN!$F$30/MTN!$F$23</f>
        <v>0.15930609101177232</v>
      </c>
      <c r="L379" s="29">
        <f>MTN!$G$30/MTN!$G$23</f>
        <v>0.16940807996181437</v>
      </c>
      <c r="M379" s="29">
        <f t="shared" ref="M379:M383" si="90">L379-I379</f>
        <v>5.1130206790419963E-2</v>
      </c>
      <c r="N379" s="40"/>
      <c r="O379" s="31">
        <f>MTN!$D$12/MTN!$D$24</f>
        <v>0.51035662615031419</v>
      </c>
      <c r="P379" s="31">
        <f>MTN!$E$12/MTN!$E$24</f>
        <v>0.22611511225684386</v>
      </c>
      <c r="Q379" s="31">
        <f>MTN!$F$12/MTN!$F$24</f>
        <v>-1.0020828060149438E-2</v>
      </c>
      <c r="R379" s="31">
        <f>MTN!$G$12/MTN!$G$24</f>
        <v>-0.17946863060017401</v>
      </c>
      <c r="S379" s="135">
        <f t="shared" ref="S379:S383" si="91">R379-O379</f>
        <v>-0.68982525675048822</v>
      </c>
      <c r="T379" s="30"/>
      <c r="U379" s="32" t="str">
        <f t="shared" si="89"/>
        <v>ZAR 206.35</v>
      </c>
      <c r="V379" s="28" t="str">
        <f t="shared" si="89"/>
        <v>MTN</v>
      </c>
    </row>
    <row r="380" spans="1:22" s="5" customFormat="1">
      <c r="A380" s="23"/>
      <c r="B380" s="26"/>
      <c r="C380" s="32" t="str">
        <f t="shared" si="86"/>
        <v>Safaricom</v>
      </c>
      <c r="D380" s="28" t="str">
        <f t="shared" si="86"/>
        <v>KES 29.90</v>
      </c>
      <c r="E380" s="28" t="str">
        <f t="shared" si="86"/>
        <v>KES 40.0</v>
      </c>
      <c r="F380" s="29">
        <f t="shared" si="86"/>
        <v>0.33779264214046822</v>
      </c>
      <c r="G380" s="28" t="str">
        <f t="shared" si="86"/>
        <v>Buy</v>
      </c>
      <c r="H380" s="30"/>
      <c r="I380" s="29">
        <f>SAF!$D$30/SAF!$D$23</f>
        <v>0.23491973812606848</v>
      </c>
      <c r="J380" s="29">
        <f>SAF!$E$30/SAF!$E$23</f>
        <v>0.25284796661608222</v>
      </c>
      <c r="K380" s="29">
        <f>SAF!$F$30/SAF!$F$23</f>
        <v>0.26138920147620676</v>
      </c>
      <c r="L380" s="29">
        <f>SAF!$G$30/SAF!$G$23</f>
        <v>0.26986346144929024</v>
      </c>
      <c r="M380" s="29">
        <f>L380-I380</f>
        <v>3.4943723323221765E-2</v>
      </c>
      <c r="N380" s="40"/>
      <c r="O380" s="31">
        <f>SAF!$D$12/SAF!$D$24</f>
        <v>0.42150771175022211</v>
      </c>
      <c r="P380" s="31">
        <f>SAF!$E$12/SAF!$E$24</f>
        <v>0.37034876462389971</v>
      </c>
      <c r="Q380" s="31">
        <f>SAF!$F$12/SAF!$F$24</f>
        <v>0.3379965603992735</v>
      </c>
      <c r="R380" s="31">
        <f>SAF!$G$12/SAF!$G$24</f>
        <v>0.2919499119660543</v>
      </c>
      <c r="S380" s="135">
        <f>R380-O380</f>
        <v>-0.12955779978416782</v>
      </c>
      <c r="T380" s="30"/>
      <c r="U380" s="32" t="str">
        <f t="shared" si="89"/>
        <v>KES 29.90</v>
      </c>
      <c r="V380" s="28" t="str">
        <f t="shared" si="89"/>
        <v>Safaricom</v>
      </c>
    </row>
    <row r="381" spans="1:22" s="5" customFormat="1">
      <c r="A381" s="23"/>
      <c r="B381" s="26"/>
      <c r="C381" s="32" t="str">
        <f t="shared" si="86"/>
        <v>VEON</v>
      </c>
      <c r="D381" s="28" t="str">
        <f t="shared" si="86"/>
        <v>USD 54.9</v>
      </c>
      <c r="E381" s="28" t="str">
        <f t="shared" si="86"/>
        <v>USD 100.0</v>
      </c>
      <c r="F381" s="29">
        <f t="shared" si="86"/>
        <v>0.82116190129302513</v>
      </c>
      <c r="G381" s="28" t="str">
        <f t="shared" si="86"/>
        <v>Buy</v>
      </c>
      <c r="H381" s="30"/>
      <c r="I381" s="29">
        <f>VIMP!$D$30/VIMP!$D$23</f>
        <v>0.12093132821341915</v>
      </c>
      <c r="J381" s="29">
        <f>VIMP!$E$30/VIMP!$E$23</f>
        <v>0.11481483626532622</v>
      </c>
      <c r="K381" s="29">
        <f>VIMP!$F$30/VIMP!$F$23</f>
        <v>0.12823983744791173</v>
      </c>
      <c r="L381" s="29">
        <f>VIMP!$G$30/VIMP!$G$23</f>
        <v>0.1442289804875454</v>
      </c>
      <c r="M381" s="29">
        <f t="shared" si="90"/>
        <v>2.3297652274126252E-2</v>
      </c>
      <c r="N381" s="40"/>
      <c r="O381" s="31">
        <f>VIMP!$D$12/VIMP!$D$24</f>
        <v>1.2991635124370817</v>
      </c>
      <c r="P381" s="31">
        <f>VIMP!$E$12/VIMP!$E$24</f>
        <v>1.0493087960524685</v>
      </c>
      <c r="Q381" s="31">
        <f>VIMP!$F$12/VIMP!$F$24</f>
        <v>0.77754469932966841</v>
      </c>
      <c r="R381" s="31">
        <f>VIMP!$G$12/VIMP!$G$24</f>
        <v>0.5066570732007607</v>
      </c>
      <c r="S381" s="29">
        <f t="shared" si="91"/>
        <v>-0.79250643923632103</v>
      </c>
      <c r="T381" s="30"/>
      <c r="U381" s="32" t="str">
        <f t="shared" si="89"/>
        <v>USD 54.9</v>
      </c>
      <c r="V381" s="28" t="str">
        <f t="shared" si="89"/>
        <v>VEON</v>
      </c>
    </row>
    <row r="382" spans="1:22">
      <c r="C382" s="32" t="str">
        <f t="shared" si="86"/>
        <v>Vodacom</v>
      </c>
      <c r="D382" s="28" t="str">
        <f t="shared" si="86"/>
        <v>ZAR 145.6</v>
      </c>
      <c r="E382" s="28" t="str">
        <f t="shared" si="86"/>
        <v>ZAR 215.0</v>
      </c>
      <c r="F382" s="29">
        <f t="shared" si="86"/>
        <v>0.47685121582634959</v>
      </c>
      <c r="G382" s="28" t="str">
        <f t="shared" si="86"/>
        <v>Buy</v>
      </c>
      <c r="H382" s="30"/>
      <c r="I382" s="29">
        <f>VODA!$D$30/VODA!$D$23</f>
        <v>0.12368199180943594</v>
      </c>
      <c r="J382" s="29">
        <f>VODA!$E$30/VODA!$E$23</f>
        <v>0.14580467324748411</v>
      </c>
      <c r="K382" s="29">
        <f>VODA!$F$30/VODA!$F$23</f>
        <v>0.16444206983844151</v>
      </c>
      <c r="L382" s="29">
        <f>VODA!$G$30/VODA!$G$23</f>
        <v>0.18083087107644169</v>
      </c>
      <c r="M382" s="29">
        <f t="shared" si="90"/>
        <v>5.714887926700575E-2</v>
      </c>
      <c r="N382" s="40"/>
      <c r="O382" s="31">
        <f>VODA!$D$12/VODA!$D$24</f>
        <v>1.0132659182376882</v>
      </c>
      <c r="P382" s="31">
        <f>VODA!$E$12/VODA!$E$24</f>
        <v>1.4667873730242942</v>
      </c>
      <c r="Q382" s="31">
        <f>VODA!$F$12/VODA!$F$24</f>
        <v>0.7773735623415442</v>
      </c>
      <c r="R382" s="31">
        <f>VODA!$G$12/VODA!$G$24</f>
        <v>0.65505366325015213</v>
      </c>
      <c r="S382" s="29">
        <f t="shared" si="91"/>
        <v>-0.35821225498753606</v>
      </c>
      <c r="T382" s="30"/>
      <c r="U382" s="32" t="str">
        <f t="shared" si="89"/>
        <v>ZAR 145.6</v>
      </c>
      <c r="V382" s="28" t="str">
        <f t="shared" si="89"/>
        <v>Vodacom</v>
      </c>
    </row>
    <row r="383" spans="1:22" s="5" customFormat="1">
      <c r="A383" s="23"/>
      <c r="B383" s="26"/>
      <c r="C383" s="35" t="str">
        <f>C332</f>
        <v>Agg. EMEA Cellular</v>
      </c>
      <c r="D383" s="36"/>
      <c r="E383" s="36"/>
      <c r="F383" s="37"/>
      <c r="G383" s="36"/>
      <c r="H383" s="30"/>
      <c r="I383" s="39">
        <f>'EMEA CELLULAR'!$D$30/'EMEA CELLULAR'!$D$23</f>
        <v>0.13816706204056659</v>
      </c>
      <c r="J383" s="39">
        <f>'EMEA CELLULAR'!$E$30/'EMEA CELLULAR'!$E$23</f>
        <v>0.15218203627976415</v>
      </c>
      <c r="K383" s="39">
        <f>'EMEA CELLULAR'!$F$30/'EMEA CELLULAR'!$F$23</f>
        <v>0.17143336085222077</v>
      </c>
      <c r="L383" s="39">
        <f>'EMEA CELLULAR'!$G$30/'EMEA CELLULAR'!$G$23</f>
        <v>0.18458168732282482</v>
      </c>
      <c r="M383" s="39">
        <f t="shared" si="90"/>
        <v>4.6414625282258232E-2</v>
      </c>
      <c r="N383" s="40"/>
      <c r="O383" s="38">
        <f>'EMEA CELLULAR'!$D$12/'EMEA CELLULAR'!$D$24</f>
        <v>0.78662438937927126</v>
      </c>
      <c r="P383" s="38">
        <f>'EMEA CELLULAR'!$E$12/'EMEA CELLULAR'!$E$24</f>
        <v>0.66421192333605383</v>
      </c>
      <c r="Q383" s="38">
        <f>'EMEA CELLULAR'!$F$12/'EMEA CELLULAR'!$F$24</f>
        <v>0.39023295055066037</v>
      </c>
      <c r="R383" s="38">
        <f>'EMEA CELLULAR'!$G$12/'EMEA CELLULAR'!$G$24</f>
        <v>0.22650790345125293</v>
      </c>
      <c r="S383" s="39">
        <f t="shared" si="91"/>
        <v>-0.56011648592801833</v>
      </c>
      <c r="T383" s="30"/>
      <c r="U383" s="41"/>
      <c r="V383" s="42" t="str">
        <f>V332</f>
        <v>Agg. EMEA Cellular</v>
      </c>
    </row>
    <row r="384" spans="1:22">
      <c r="A384" s="5"/>
      <c r="C384" s="27"/>
      <c r="D384" s="28"/>
      <c r="E384" s="28"/>
      <c r="F384" s="29"/>
      <c r="G384" s="28"/>
      <c r="H384" s="30"/>
      <c r="I384" s="29"/>
      <c r="J384" s="29"/>
      <c r="K384" s="29"/>
      <c r="L384" s="29"/>
      <c r="M384" s="29"/>
      <c r="N384" s="40"/>
      <c r="O384" s="31"/>
      <c r="P384" s="31"/>
      <c r="Q384" s="31"/>
      <c r="R384" s="31"/>
      <c r="S384" s="29"/>
      <c r="T384" s="30"/>
      <c r="U384" s="32"/>
      <c r="V384" s="34"/>
    </row>
    <row r="385" spans="1:26">
      <c r="A385" s="5"/>
      <c r="C385" s="32" t="str">
        <f t="shared" ref="C385:G387" si="92">C334</f>
        <v>Entel</v>
      </c>
      <c r="D385" s="28" t="str">
        <f t="shared" si="92"/>
        <v>CLP 3,643</v>
      </c>
      <c r="E385" s="28" t="str">
        <f t="shared" si="92"/>
        <v>CLP 3,150</v>
      </c>
      <c r="F385" s="29">
        <f t="shared" si="92"/>
        <v>-0.13532802635190777</v>
      </c>
      <c r="G385" s="28" t="str">
        <f t="shared" si="92"/>
        <v>Neutral</v>
      </c>
      <c r="H385" s="30"/>
      <c r="I385" s="29">
        <f>ENTEL!$D$30/ENTEL!$D$23</f>
        <v>3.3205519293319379E-2</v>
      </c>
      <c r="J385" s="29">
        <f>ENTEL!$E$30/ENTEL!$E$23</f>
        <v>4.5866341257994846E-2</v>
      </c>
      <c r="K385" s="29">
        <f>ENTEL!$F$30/ENTEL!$F$23</f>
        <v>5.5972937184281896E-2</v>
      </c>
      <c r="L385" s="29">
        <f>ENTEL!$G$30/ENTEL!$G$23</f>
        <v>5.7962999780950597E-2</v>
      </c>
      <c r="M385" s="29">
        <f t="shared" ref="M385:M390" si="93">L385-I385</f>
        <v>2.4757480487631219E-2</v>
      </c>
      <c r="N385" s="40"/>
      <c r="O385" s="31">
        <f>ENTEL!$D$12/ENTEL!$D$24</f>
        <v>2.243488137989329</v>
      </c>
      <c r="P385" s="31">
        <f>ENTEL!$E$12/ENTEL!$E$24</f>
        <v>2.2627672709482964</v>
      </c>
      <c r="Q385" s="31">
        <f>ENTEL!$F$12/ENTEL!$F$24</f>
        <v>2.2600689607139035</v>
      </c>
      <c r="R385" s="31">
        <f>ENTEL!$G$12/ENTEL!$G$24</f>
        <v>2.2221108410185368</v>
      </c>
      <c r="S385" s="135">
        <f t="shared" ref="S385:S390" si="94">R385-O385</f>
        <v>-2.1377296970792159E-2</v>
      </c>
      <c r="T385" s="30"/>
      <c r="U385" s="32" t="str">
        <f t="shared" ref="U385:V387" si="95">U334</f>
        <v>CLP 3,643</v>
      </c>
      <c r="V385" s="28" t="str">
        <f t="shared" si="95"/>
        <v>Entel</v>
      </c>
    </row>
    <row r="386" spans="1:26">
      <c r="A386" s="5"/>
      <c r="C386" s="32" t="str">
        <f t="shared" si="92"/>
        <v>Millicom</v>
      </c>
      <c r="D386" s="28" t="str">
        <f t="shared" si="92"/>
        <v>USD  83.6</v>
      </c>
      <c r="E386" s="28" t="str">
        <f t="shared" si="92"/>
        <v>USD 70.0</v>
      </c>
      <c r="F386" s="29">
        <f t="shared" si="92"/>
        <v>-0.16292974588938713</v>
      </c>
      <c r="G386" s="28" t="str">
        <f t="shared" si="92"/>
        <v>Buy</v>
      </c>
      <c r="H386" s="30"/>
      <c r="I386" s="29">
        <f>MILLI!$D$30/MILLI!$D$23</f>
        <v>8.6962152107191978E-2</v>
      </c>
      <c r="J386" s="29">
        <f>MILLI!$E$30/MILLI!$E$23</f>
        <v>0.10575323002237931</v>
      </c>
      <c r="K386" s="29">
        <f>MILLI!$F$30/MILLI!$F$23</f>
        <v>0.11478251541790853</v>
      </c>
      <c r="L386" s="29">
        <f>MILLI!$G$30/MILLI!$G$23</f>
        <v>0.12026955754757594</v>
      </c>
      <c r="M386" s="29">
        <f t="shared" si="93"/>
        <v>3.3307405440383964E-2</v>
      </c>
      <c r="N386" s="40"/>
      <c r="O386" s="31">
        <f>MILLI!$D$12/MILLI!$D$24</f>
        <v>2.6250925435352577</v>
      </c>
      <c r="P386" s="31">
        <f>MILLI!$E$12/MILLI!$E$24</f>
        <v>2.659196972037237</v>
      </c>
      <c r="Q386" s="31">
        <f>MILLI!$F$12/MILLI!$F$24</f>
        <v>2.4252101184428998</v>
      </c>
      <c r="R386" s="31">
        <f>MILLI!$G$12/MILLI!$G$24</f>
        <v>2.328241533646644</v>
      </c>
      <c r="S386" s="135">
        <f t="shared" si="94"/>
        <v>-0.29685100988861368</v>
      </c>
      <c r="T386" s="30"/>
      <c r="U386" s="32" t="str">
        <f t="shared" si="95"/>
        <v>USD  83.6</v>
      </c>
      <c r="V386" s="28" t="str">
        <f t="shared" si="95"/>
        <v>Millicom</v>
      </c>
    </row>
    <row r="387" spans="1:26" s="5" customFormat="1">
      <c r="B387" s="26"/>
      <c r="C387" s="32" t="str">
        <f t="shared" si="92"/>
        <v>TIM Participacoes</v>
      </c>
      <c r="D387" s="28" t="str">
        <f t="shared" si="92"/>
        <v>BRL 25.99</v>
      </c>
      <c r="E387" s="28" t="str">
        <f t="shared" si="92"/>
        <v>BRL 28.00</v>
      </c>
      <c r="F387" s="29">
        <f t="shared" si="92"/>
        <v>7.7337437475952342E-2</v>
      </c>
      <c r="G387" s="28" t="str">
        <f t="shared" si="92"/>
        <v>Buy</v>
      </c>
      <c r="H387" s="30"/>
      <c r="I387" s="29">
        <f>TIMP!$D$30/TIMP!$D$23</f>
        <v>0.16727390275209694</v>
      </c>
      <c r="J387" s="29">
        <f>TIMP!$E$30/TIMP!$E$23</f>
        <v>0.17258244676769785</v>
      </c>
      <c r="K387" s="29">
        <f>TIMP!$F$30/TIMP!$F$23</f>
        <v>0.19432377472415632</v>
      </c>
      <c r="L387" s="29">
        <f>TIMP!$G$30/TIMP!$G$23</f>
        <v>0.21268572570765124</v>
      </c>
      <c r="M387" s="29">
        <f t="shared" si="93"/>
        <v>4.5411822955554293E-2</v>
      </c>
      <c r="N387" s="40"/>
      <c r="O387" s="31">
        <f>TIMP!$D$12/TIMP!$D$24</f>
        <v>0.76241211190148284</v>
      </c>
      <c r="P387" s="31">
        <f>TIMP!$E$12/TIMP!$E$24</f>
        <v>0.68181071867617105</v>
      </c>
      <c r="Q387" s="31">
        <f>TIMP!$F$12/TIMP!$F$24</f>
        <v>0.59993221968492649</v>
      </c>
      <c r="R387" s="31">
        <f>TIMP!$G$12/TIMP!$G$24</f>
        <v>0.48935616595470582</v>
      </c>
      <c r="S387" s="29">
        <f t="shared" si="94"/>
        <v>-0.27305594594677701</v>
      </c>
      <c r="T387" s="30"/>
      <c r="U387" s="32" t="str">
        <f t="shared" si="95"/>
        <v>BRL 25.99</v>
      </c>
      <c r="V387" s="28" t="str">
        <f t="shared" si="95"/>
        <v>TIM Participacoes</v>
      </c>
    </row>
    <row r="388" spans="1:26">
      <c r="A388" s="25"/>
      <c r="B388" s="26" t="s">
        <v>483</v>
      </c>
      <c r="C388" s="32" t="s">
        <v>688</v>
      </c>
      <c r="D388" s="28" t="str">
        <f>'EM Multiples'!B388&amp;TEXT(Prices!C$115,"0.00")</f>
        <v>MXN59.40</v>
      </c>
      <c r="E388" s="28" t="str">
        <f>'EM Multiples'!B388&amp;TEXT(Prices!E$115,"0.00")</f>
        <v>MXN75.00</v>
      </c>
      <c r="F388" s="29">
        <f>Prices!F$115</f>
        <v>0.26262626262626276</v>
      </c>
      <c r="G388" s="28" t="str">
        <f>Prices!D$115</f>
        <v>Buy</v>
      </c>
      <c r="H388" s="30"/>
      <c r="I388" s="29">
        <f>MEGA!$D$30/MEGA!$D$23</f>
        <v>0.19570608498143205</v>
      </c>
      <c r="J388" s="29">
        <f>MEGA!$E$30/MEGA!$E$23</f>
        <v>0.21074619860113236</v>
      </c>
      <c r="K388" s="29">
        <f>MEGA!$F$30/MEGA!$F$23</f>
        <v>0.20901566429042862</v>
      </c>
      <c r="L388" s="29">
        <f>MEGA!$G$30/MEGA!$G$23</f>
        <v>0.21078719890936301</v>
      </c>
      <c r="M388" s="29">
        <f t="shared" si="93"/>
        <v>1.5081113927930961E-2</v>
      </c>
      <c r="N388" s="30"/>
      <c r="O388" s="31">
        <f>MEGA!$D$12/MEGA!$D$24</f>
        <v>1.371024385837637</v>
      </c>
      <c r="P388" s="31">
        <f>MEGA!$E$12/MEGA!$E$24</f>
        <v>1.2117798429837356</v>
      </c>
      <c r="Q388" s="31">
        <f>MEGA!$F$12/MEGA!$F$24</f>
        <v>1.0352877012704569</v>
      </c>
      <c r="R388" s="31">
        <f>MEGA!$G$12/MEGA!$G$24</f>
        <v>0.82869823877994253</v>
      </c>
      <c r="S388" s="29">
        <f t="shared" si="94"/>
        <v>-0.54232614705769444</v>
      </c>
      <c r="T388" s="30"/>
      <c r="U388" s="32" t="str">
        <f>D388</f>
        <v>MXN59.40</v>
      </c>
      <c r="V388" s="28" t="str">
        <f>C388</f>
        <v>Megacable</v>
      </c>
      <c r="Z388" s="30"/>
    </row>
    <row r="389" spans="1:26">
      <c r="A389" s="5"/>
      <c r="B389" s="26" t="s">
        <v>331</v>
      </c>
      <c r="C389" s="32" t="s">
        <v>675</v>
      </c>
      <c r="D389" s="28" t="str">
        <f>'EM Multiples'!B389&amp;TEXT(Prices!C$118,"0.00")</f>
        <v>USD8.53</v>
      </c>
      <c r="E389" s="28" t="str">
        <f>'EM Multiples'!B389&amp;TEXT(Prices!E$118,"0.00")</f>
        <v>USD14.90</v>
      </c>
      <c r="F389" s="29">
        <f>Prices!F$118</f>
        <v>0.74780058651026393</v>
      </c>
      <c r="G389" s="28" t="str">
        <f>Prices!D$118</f>
        <v>Buy</v>
      </c>
      <c r="H389" s="30"/>
      <c r="I389" s="29">
        <f>LiLAC!$D$30/LiLAC!$D$23</f>
        <v>4.2006213137634509E-2</v>
      </c>
      <c r="J389" s="29">
        <f>LiLAC!$E$30/LiLAC!$E$23</f>
        <v>1.1302067342970042E-2</v>
      </c>
      <c r="K389" s="29">
        <f>LiLAC!$F$30/LiLAC!$F$23</f>
        <v>2.4047658830634755E-2</v>
      </c>
      <c r="L389" s="29">
        <f>LiLAC!$G$30/LiLAC!$G$23</f>
        <v>4.0162560552072436E-2</v>
      </c>
      <c r="M389" s="29">
        <f t="shared" si="93"/>
        <v>-1.8436525855620722E-3</v>
      </c>
      <c r="N389" s="30"/>
      <c r="O389" s="31">
        <f>LiLAC!$D$12/LiLAC!$D$24</f>
        <v>4.4391959209986522</v>
      </c>
      <c r="P389" s="31">
        <f>LiLAC!$E$12/LiLAC!$E$24</f>
        <v>4.3029412082865397</v>
      </c>
      <c r="Q389" s="31">
        <f>LiLAC!$F$12/LiLAC!$F$24</f>
        <v>4.0442467221743534</v>
      </c>
      <c r="R389" s="31">
        <f>LiLAC!$G$12/LiLAC!$G$24</f>
        <v>3.748843688718154</v>
      </c>
      <c r="S389" s="29">
        <f t="shared" si="94"/>
        <v>-0.69035223228049825</v>
      </c>
      <c r="T389" s="30"/>
      <c r="U389" s="32" t="str">
        <f>D389</f>
        <v>USD8.53</v>
      </c>
      <c r="V389" s="28" t="str">
        <f>C389</f>
        <v>LiLAC</v>
      </c>
      <c r="Z389" s="30"/>
    </row>
    <row r="390" spans="1:26" s="5" customFormat="1">
      <c r="B390" s="26"/>
      <c r="C390" s="35" t="str">
        <f>C339</f>
        <v>Agg. LatAm Other</v>
      </c>
      <c r="D390" s="36"/>
      <c r="E390" s="36"/>
      <c r="F390" s="37"/>
      <c r="G390" s="36"/>
      <c r="H390" s="30"/>
      <c r="I390" s="39">
        <f>'LATAM OTHER'!$D$30/'LATAM OTHER'!$D$23</f>
        <v>0.10015603296726533</v>
      </c>
      <c r="J390" s="39">
        <f>'LATAM OTHER'!$E$30/'LATAM OTHER'!$E$23</f>
        <v>0.10495599755399637</v>
      </c>
      <c r="K390" s="39">
        <f>'LATAM OTHER'!$F$30/'LATAM OTHER'!$F$23</f>
        <v>0.11758237010182068</v>
      </c>
      <c r="L390" s="39">
        <f>'LATAM OTHER'!$G$30/'LATAM OTHER'!$G$23</f>
        <v>0.12801075677265314</v>
      </c>
      <c r="M390" s="39">
        <f t="shared" si="93"/>
        <v>2.785472380538781E-2</v>
      </c>
      <c r="N390" s="40"/>
      <c r="O390" s="38">
        <f>'LATAM OTHER'!$D$12/'LATAM OTHER'!$D$24</f>
        <v>2.2348826259227614</v>
      </c>
      <c r="P390" s="38">
        <f>'LATAM OTHER'!$E$12/'LATAM OTHER'!$E$24</f>
        <v>2.1692301106010823</v>
      </c>
      <c r="Q390" s="38">
        <f>'LATAM OTHER'!$F$12/'LATAM OTHER'!$F$24</f>
        <v>1.9894103358301549</v>
      </c>
      <c r="R390" s="38">
        <f>'LATAM OTHER'!$G$12/'LATAM OTHER'!$G$24</f>
        <v>1.8264378473846909</v>
      </c>
      <c r="S390" s="39">
        <f t="shared" si="94"/>
        <v>-0.40844477853807049</v>
      </c>
      <c r="T390" s="30"/>
      <c r="U390" s="41"/>
      <c r="V390" s="42" t="str">
        <f>V339</f>
        <v>Agg. LatAm Cellular</v>
      </c>
    </row>
    <row r="391" spans="1:26" s="5" customFormat="1">
      <c r="A391" s="23"/>
      <c r="B391" s="26"/>
      <c r="C391" s="27"/>
      <c r="D391" s="28"/>
      <c r="E391" s="28"/>
      <c r="F391" s="29"/>
      <c r="G391" s="28"/>
      <c r="H391" s="30"/>
      <c r="I391" s="29"/>
      <c r="J391" s="29"/>
      <c r="K391" s="29"/>
      <c r="L391" s="29"/>
      <c r="M391" s="29"/>
      <c r="N391" s="30"/>
      <c r="O391" s="31"/>
      <c r="P391" s="31"/>
      <c r="Q391" s="31"/>
      <c r="R391" s="31"/>
      <c r="S391" s="29"/>
      <c r="T391" s="30"/>
      <c r="U391" s="32"/>
      <c r="V391" s="34"/>
    </row>
    <row r="392" spans="1:26" s="5" customFormat="1">
      <c r="B392" s="26"/>
      <c r="C392" s="32" t="str">
        <f t="shared" ref="C392:G403" si="96">C341</f>
        <v>AIS</v>
      </c>
      <c r="D392" s="28" t="str">
        <f t="shared" si="96"/>
        <v>THB 349.0</v>
      </c>
      <c r="E392" s="28" t="str">
        <f t="shared" si="96"/>
        <v>THB 330.0</v>
      </c>
      <c r="F392" s="29">
        <f t="shared" si="96"/>
        <v>-5.4441260744985676E-2</v>
      </c>
      <c r="G392" s="28" t="str">
        <f t="shared" si="96"/>
        <v>Buy</v>
      </c>
      <c r="H392" s="30"/>
      <c r="I392" s="29">
        <f>ADVANCED!$D$30/ADVANCED!$D$23</f>
        <v>0.18522709576976412</v>
      </c>
      <c r="J392" s="29">
        <f>ADVANCED!$E$30/ADVANCED!$E$23</f>
        <v>0.19580435984958455</v>
      </c>
      <c r="K392" s="29">
        <f>ADVANCED!$F$30/ADVANCED!$F$23</f>
        <v>0.20875864971058997</v>
      </c>
      <c r="L392" s="29">
        <f>ADVANCED!$G$30/ADVANCED!$G$23</f>
        <v>0.22677928636758593</v>
      </c>
      <c r="M392" s="29">
        <f t="shared" ref="M392:M404" si="97">L392-I392</f>
        <v>4.1552190597821809E-2</v>
      </c>
      <c r="N392" s="30"/>
      <c r="O392" s="31">
        <f>ADVANCED!$D$12/ADVANCED!$D$24</f>
        <v>1.5809597933843926</v>
      </c>
      <c r="P392" s="31">
        <f>ADVANCED!$E$12/ADVANCED!$E$24</f>
        <v>1.2986103869826526</v>
      </c>
      <c r="Q392" s="31">
        <f>ADVANCED!$F$12/ADVANCED!$F$24</f>
        <v>1.0631056837658539</v>
      </c>
      <c r="R392" s="31">
        <f>ADVANCED!$G$12/ADVANCED!$G$24</f>
        <v>0.85169602037162839</v>
      </c>
      <c r="S392" s="29">
        <f t="shared" ref="S392:S404" si="98">R392-O392</f>
        <v>-0.72926377301276424</v>
      </c>
      <c r="T392" s="30"/>
      <c r="U392" s="32" t="str">
        <f t="shared" ref="U392:V403" si="99">U341</f>
        <v>THB 349.0</v>
      </c>
      <c r="V392" s="28" t="str">
        <f t="shared" si="99"/>
        <v>AIS</v>
      </c>
    </row>
    <row r="393" spans="1:26" s="5" customFormat="1">
      <c r="A393" s="23"/>
      <c r="B393" s="26"/>
      <c r="C393" s="32" t="str">
        <f t="shared" si="96"/>
        <v>Axiata</v>
      </c>
      <c r="D393" s="28" t="str">
        <f t="shared" si="96"/>
        <v>MYR 2.24</v>
      </c>
      <c r="E393" s="28" t="str">
        <f t="shared" si="96"/>
        <v>MYR 4.50</v>
      </c>
      <c r="F393" s="29">
        <f t="shared" si="96"/>
        <v>1.0089285714285712</v>
      </c>
      <c r="G393" s="28" t="str">
        <f t="shared" si="96"/>
        <v>Buy</v>
      </c>
      <c r="H393" s="30"/>
      <c r="I393" s="29">
        <f>AXI!$D$30/AXI!$D$23</f>
        <v>6.8446088794926002E-2</v>
      </c>
      <c r="J393" s="29">
        <f>AXI!$E$30/AXI!$E$23</f>
        <v>7.9249129363798521E-2</v>
      </c>
      <c r="K393" s="29">
        <f>AXI!$F$30/AXI!$F$23</f>
        <v>0.11230034579285361</v>
      </c>
      <c r="L393" s="29">
        <f>AXI!$G$30/AXI!$G$23</f>
        <v>0.15847125609658591</v>
      </c>
      <c r="M393" s="29">
        <f t="shared" si="97"/>
        <v>9.0025167301659909E-2</v>
      </c>
      <c r="N393" s="30"/>
      <c r="O393" s="31">
        <f>AXI!$D$12/AXI!$D$24</f>
        <v>2.6546511627906977</v>
      </c>
      <c r="P393" s="31">
        <f>AXI!$E$12/AXI!$E$24</f>
        <v>2.4508393285371701</v>
      </c>
      <c r="Q393" s="31">
        <f>AXI!$F$12/AXI!$F$24</f>
        <v>2.1807549175970227</v>
      </c>
      <c r="R393" s="31">
        <f>AXI!$G$12/AXI!$G$24</f>
        <v>1.8951144516569867</v>
      </c>
      <c r="S393" s="29">
        <f t="shared" si="98"/>
        <v>-0.75953671113371102</v>
      </c>
      <c r="T393" s="30"/>
      <c r="U393" s="32" t="str">
        <f t="shared" si="99"/>
        <v>MYR 2.24</v>
      </c>
      <c r="V393" s="28" t="str">
        <f t="shared" si="99"/>
        <v>Axiata</v>
      </c>
    </row>
    <row r="394" spans="1:26" s="5" customFormat="1">
      <c r="A394" s="23"/>
      <c r="B394" s="26"/>
      <c r="C394" s="32" t="str">
        <f t="shared" si="96"/>
        <v>Bharti Airtel</v>
      </c>
      <c r="D394" s="28" t="str">
        <f t="shared" si="96"/>
        <v>INR 1815</v>
      </c>
      <c r="E394" s="28" t="str">
        <f t="shared" si="96"/>
        <v>INR 2750</v>
      </c>
      <c r="F394" s="29">
        <f t="shared" si="96"/>
        <v>0.51540199482008031</v>
      </c>
      <c r="G394" s="28" t="str">
        <f t="shared" si="96"/>
        <v>Buy</v>
      </c>
      <c r="H394" s="30"/>
      <c r="I394" s="29">
        <f>BHART!$D$30/BHART!$D$23</f>
        <v>0.15209980404245246</v>
      </c>
      <c r="J394" s="29">
        <f>BHART!$E$30/BHART!$E$23</f>
        <v>0.19487380816648561</v>
      </c>
      <c r="K394" s="29">
        <f>BHART!$F$30/BHART!$F$23</f>
        <v>0.22789307244791951</v>
      </c>
      <c r="L394" s="29">
        <f>BHART!$G$30/BHART!$G$23</f>
        <v>0.25297843209207999</v>
      </c>
      <c r="M394" s="29">
        <f t="shared" si="97"/>
        <v>0.10087862804962752</v>
      </c>
      <c r="N394" s="30"/>
      <c r="O394" s="31">
        <f>BHART!$D$12/BHART!$D$24</f>
        <v>1.428718637274405</v>
      </c>
      <c r="P394" s="31">
        <f>BHART!$E$12/BHART!$E$24</f>
        <v>0.92377486359168781</v>
      </c>
      <c r="Q394" s="31">
        <f>BHART!$F$12/BHART!$F$24</f>
        <v>0.51037117771455143</v>
      </c>
      <c r="R394" s="31">
        <f>BHART!$G$12/BHART!$G$24</f>
        <v>0.17741509986450799</v>
      </c>
      <c r="S394" s="29">
        <f t="shared" si="98"/>
        <v>-1.2513035374098971</v>
      </c>
      <c r="T394" s="30"/>
      <c r="U394" s="32" t="str">
        <f t="shared" si="99"/>
        <v>INR 1815</v>
      </c>
      <c r="V394" s="28" t="str">
        <f t="shared" si="99"/>
        <v>Bharti Airtel</v>
      </c>
    </row>
    <row r="395" spans="1:26" s="5" customFormat="1">
      <c r="B395" s="26"/>
      <c r="C395" s="32" t="str">
        <f t="shared" si="96"/>
        <v>China Mobile</v>
      </c>
      <c r="D395" s="28" t="str">
        <f t="shared" si="96"/>
        <v>HKD 83.9</v>
      </c>
      <c r="E395" s="28" t="str">
        <f t="shared" si="96"/>
        <v>HKD 115.0</v>
      </c>
      <c r="F395" s="29">
        <f t="shared" si="96"/>
        <v>0.37067938021454094</v>
      </c>
      <c r="G395" s="28" t="str">
        <f t="shared" si="96"/>
        <v>Buy</v>
      </c>
      <c r="H395" s="30"/>
      <c r="I395" s="29">
        <f>_CM!$D$30/_CM!$D$23</f>
        <v>0.1389315342753957</v>
      </c>
      <c r="J395" s="29">
        <f>_CM!$E$30/_CM!$E$23</f>
        <v>0.14416197870119601</v>
      </c>
      <c r="K395" s="29">
        <f>_CM!$F$30/_CM!$F$23</f>
        <v>0.14968575028642098</v>
      </c>
      <c r="L395" s="29">
        <f>_CM!$G$30/_CM!$G$23</f>
        <v>0.15536316727519464</v>
      </c>
      <c r="M395" s="29">
        <f t="shared" si="97"/>
        <v>1.643163299979894E-2</v>
      </c>
      <c r="N395" s="30"/>
      <c r="O395" s="31">
        <f>_CM!$D$12/_CM!$D$24</f>
        <v>-0.59613238155900938</v>
      </c>
      <c r="P395" s="31">
        <f>_CM!$E$12/_CM!$E$24</f>
        <v>-0.74056265171322966</v>
      </c>
      <c r="Q395" s="31">
        <f>_CM!$F$12/_CM!$F$24</f>
        <v>-0.67379775412461318</v>
      </c>
      <c r="R395" s="31">
        <f>_CM!$G$12/_CM!$G$24</f>
        <v>-0.80626968164304447</v>
      </c>
      <c r="S395" s="29">
        <f t="shared" si="98"/>
        <v>-0.21013730008403508</v>
      </c>
      <c r="T395" s="30"/>
      <c r="U395" s="32" t="str">
        <f t="shared" si="99"/>
        <v>HKD 83.9</v>
      </c>
      <c r="V395" s="28" t="str">
        <f t="shared" si="99"/>
        <v>China Mobile</v>
      </c>
    </row>
    <row r="396" spans="1:26" s="5" customFormat="1">
      <c r="B396" s="26"/>
      <c r="C396" s="32" t="str">
        <f t="shared" si="96"/>
        <v>CelcomDigi</v>
      </c>
      <c r="D396" s="28" t="str">
        <f t="shared" si="96"/>
        <v>MYR 3.0</v>
      </c>
      <c r="E396" s="28" t="str">
        <f t="shared" si="96"/>
        <v>MYR 5.6</v>
      </c>
      <c r="F396" s="29">
        <f t="shared" si="96"/>
        <v>0.88552188552188538</v>
      </c>
      <c r="G396" s="28" t="str">
        <f t="shared" si="96"/>
        <v>Buy</v>
      </c>
      <c r="H396" s="30"/>
      <c r="I396" s="29">
        <f>DIGI!$D$30/DIGI!$D$23</f>
        <v>0.1343745930052419</v>
      </c>
      <c r="J396" s="29">
        <f>DIGI!$E$30/DIGI!$E$23</f>
        <v>0.13694096791086824</v>
      </c>
      <c r="K396" s="29">
        <f>DIGI!$F$30/DIGI!$F$23</f>
        <v>0.14507296358780869</v>
      </c>
      <c r="L396" s="29">
        <f>DIGI!$G$30/DIGI!$G$23</f>
        <v>0.15802593474448898</v>
      </c>
      <c r="M396" s="29">
        <f t="shared" si="97"/>
        <v>2.3651341739247073E-2</v>
      </c>
      <c r="N396" s="30"/>
      <c r="O396" s="31">
        <f>DIGI!$D$12/DIGI!$D$24</f>
        <v>2.0130877720689155</v>
      </c>
      <c r="P396" s="31">
        <f>DIGI!$E$12/DIGI!$E$24</f>
        <v>1.7883273158899349</v>
      </c>
      <c r="Q396" s="31">
        <f>DIGI!$F$12/DIGI!$F$24</f>
        <v>1.5238067415930963</v>
      </c>
      <c r="R396" s="31">
        <f>DIGI!$G$12/DIGI!$G$24</f>
        <v>1.276255147252924</v>
      </c>
      <c r="S396" s="29">
        <f t="shared" si="98"/>
        <v>-0.73683262481599154</v>
      </c>
      <c r="T396" s="30"/>
      <c r="U396" s="32" t="str">
        <f t="shared" si="99"/>
        <v>MYR 3.0</v>
      </c>
      <c r="V396" s="28" t="str">
        <f t="shared" si="99"/>
        <v>CelcomDigi</v>
      </c>
    </row>
    <row r="397" spans="1:26" s="5" customFormat="1">
      <c r="B397" s="26"/>
      <c r="C397" s="32" t="str">
        <f t="shared" si="96"/>
        <v>Vodafone IDEA</v>
      </c>
      <c r="D397" s="28" t="str">
        <f t="shared" si="96"/>
        <v>INR 9.5</v>
      </c>
      <c r="E397" s="28" t="str">
        <f t="shared" si="96"/>
        <v>INR 10.0</v>
      </c>
      <c r="F397" s="29">
        <f t="shared" si="96"/>
        <v>5.0420168067226934E-2</v>
      </c>
      <c r="G397" s="28" t="str">
        <f t="shared" si="96"/>
        <v>Neutral</v>
      </c>
      <c r="H397" s="30"/>
      <c r="I397" s="29">
        <f>IDEA!$D$30/IDEA!$D$23</f>
        <v>-0.54437941789015454</v>
      </c>
      <c r="J397" s="29">
        <f>IDEA!$E$30/IDEA!$E$23</f>
        <v>-0.4870592153195013</v>
      </c>
      <c r="K397" s="29">
        <f>IDEA!$F$30/IDEA!$F$23</f>
        <v>-0.39267020482804554</v>
      </c>
      <c r="L397" s="29">
        <f>IDEA!$G$30/IDEA!$G$23</f>
        <v>-0.32385584225044939</v>
      </c>
      <c r="M397" s="29">
        <f t="shared" si="97"/>
        <v>0.22052357563970515</v>
      </c>
      <c r="N397" s="30"/>
      <c r="O397" s="31">
        <f>IDEA!$D$12/IDEA!$D$24</f>
        <v>11.531528553885666</v>
      </c>
      <c r="P397" s="31">
        <f>IDEA!$E$12/IDEA!$E$24</f>
        <v>10.695205791890947</v>
      </c>
      <c r="Q397" s="31">
        <f>IDEA!$F$12/IDEA!$F$24</f>
        <v>9.5066925605772994</v>
      </c>
      <c r="R397" s="31">
        <f>IDEA!$G$12/IDEA!$G$24</f>
        <v>8.5891256754069776</v>
      </c>
      <c r="S397" s="29">
        <f t="shared" si="98"/>
        <v>-2.9424028784786884</v>
      </c>
      <c r="T397" s="30"/>
      <c r="U397" s="32" t="str">
        <f t="shared" si="99"/>
        <v>INR 9.5</v>
      </c>
      <c r="V397" s="28" t="str">
        <f t="shared" si="99"/>
        <v>Vodafone IDEA</v>
      </c>
    </row>
    <row r="398" spans="1:26" s="5" customFormat="1">
      <c r="B398" s="26"/>
      <c r="C398" s="32" t="str">
        <f t="shared" si="96"/>
        <v>Indosat</v>
      </c>
      <c r="D398" s="28" t="str">
        <f t="shared" si="96"/>
        <v>IDR 1,970</v>
      </c>
      <c r="E398" s="28" t="str">
        <f t="shared" si="96"/>
        <v>IDR 2,800</v>
      </c>
      <c r="F398" s="29">
        <f t="shared" si="96"/>
        <v>0.42131979695431476</v>
      </c>
      <c r="G398" s="28" t="str">
        <f t="shared" si="96"/>
        <v>Buy</v>
      </c>
      <c r="H398" s="30"/>
      <c r="I398" s="29">
        <f>INDO!$D$30/INDO!$D$23</f>
        <v>8.1066246412657902E-2</v>
      </c>
      <c r="J398" s="29">
        <f>INDO!$E$30/INDO!$E$23</f>
        <v>8.9060402957413701E-2</v>
      </c>
      <c r="K398" s="29">
        <f>INDO!$F$30/INDO!$F$23</f>
        <v>0.10236364292120788</v>
      </c>
      <c r="L398" s="29">
        <f>INDO!$G$30/INDO!$G$23</f>
        <v>0.11304995215379801</v>
      </c>
      <c r="M398" s="29">
        <f t="shared" si="97"/>
        <v>3.1983705741140109E-2</v>
      </c>
      <c r="N398" s="30"/>
      <c r="O398" s="31">
        <f>INDO!$D$12/INDO!$D$24</f>
        <v>1.9727665639692873</v>
      </c>
      <c r="P398" s="31">
        <f>INDO!$E$12/INDO!$E$24</f>
        <v>2.1284745207854403</v>
      </c>
      <c r="Q398" s="31">
        <f>INDO!$F$12/INDO!$F$24</f>
        <v>1.9586809090467729</v>
      </c>
      <c r="R398" s="31">
        <f>INDO!$G$12/INDO!$G$24</f>
        <v>1.8363156421491686</v>
      </c>
      <c r="S398" s="29">
        <f t="shared" si="98"/>
        <v>-0.13645092182011864</v>
      </c>
      <c r="T398" s="30"/>
      <c r="U398" s="32" t="str">
        <f t="shared" si="99"/>
        <v>IDR 1,970</v>
      </c>
      <c r="V398" s="28" t="str">
        <f t="shared" si="99"/>
        <v>Indosat</v>
      </c>
    </row>
    <row r="399" spans="1:26" s="5" customFormat="1">
      <c r="B399" s="26"/>
      <c r="C399" s="32" t="str">
        <f t="shared" si="96"/>
        <v>LG Uplus</v>
      </c>
      <c r="D399" s="28" t="str">
        <f t="shared" si="96"/>
        <v>KRW 16,600</v>
      </c>
      <c r="E399" s="28" t="str">
        <f t="shared" si="96"/>
        <v>KRW 19,000</v>
      </c>
      <c r="F399" s="29">
        <f t="shared" si="96"/>
        <v>0.14457831325301207</v>
      </c>
      <c r="G399" s="28" t="str">
        <f t="shared" si="96"/>
        <v>Buy</v>
      </c>
      <c r="H399" s="30"/>
      <c r="I399" s="29">
        <f>_LG!$D$30/_LG!$D$23</f>
        <v>3.9706551520306575E-2</v>
      </c>
      <c r="J399" s="29">
        <f>_LG!$E$30/_LG!$E$23</f>
        <v>5.1074044581226295E-2</v>
      </c>
      <c r="K399" s="29">
        <f>_LG!$F$30/_LG!$F$23</f>
        <v>5.929375625433022E-2</v>
      </c>
      <c r="L399" s="29">
        <f>_LG!$G$30/_LG!$G$23</f>
        <v>6.6349435175042798E-2</v>
      </c>
      <c r="M399" s="29">
        <f t="shared" si="97"/>
        <v>2.6642883654736223E-2</v>
      </c>
      <c r="N399" s="30"/>
      <c r="O399" s="31">
        <f>_LG!$D$12/_LG!$D$24</f>
        <v>1.3368684600885037</v>
      </c>
      <c r="P399" s="31">
        <f>_LG!$E$12/_LG!$E$24</f>
        <v>1.184047502544715</v>
      </c>
      <c r="Q399" s="31">
        <f>_LG!$F$12/_LG!$F$24</f>
        <v>1.0497464296947674</v>
      </c>
      <c r="R399" s="31">
        <f>_LG!$G$12/_LG!$G$24</f>
        <v>0.92326108238262072</v>
      </c>
      <c r="S399" s="29">
        <f t="shared" si="98"/>
        <v>-0.41360737770588296</v>
      </c>
      <c r="T399" s="30"/>
      <c r="U399" s="32" t="str">
        <f t="shared" si="99"/>
        <v>KRW 16,600</v>
      </c>
      <c r="V399" s="28" t="str">
        <f t="shared" si="99"/>
        <v>LG Uplus</v>
      </c>
    </row>
    <row r="400" spans="1:26" s="5" customFormat="1">
      <c r="A400" s="23"/>
      <c r="B400" s="26"/>
      <c r="C400" s="32" t="str">
        <f t="shared" si="96"/>
        <v>Maxis</v>
      </c>
      <c r="D400" s="28" t="str">
        <f t="shared" si="96"/>
        <v>MYR 3.50</v>
      </c>
      <c r="E400" s="28" t="str">
        <f t="shared" si="96"/>
        <v>MYR 5.10</v>
      </c>
      <c r="F400" s="29">
        <f t="shared" si="96"/>
        <v>0.45714285714285707</v>
      </c>
      <c r="G400" s="28" t="str">
        <f t="shared" si="96"/>
        <v>Buy</v>
      </c>
      <c r="H400" s="30"/>
      <c r="I400" s="29">
        <f>MAXI!$D$30/MAXI!$D$23</f>
        <v>0.1489345441312403</v>
      </c>
      <c r="J400" s="29">
        <f>MAXI!$E$30/MAXI!$E$23</f>
        <v>0.16141201902874802</v>
      </c>
      <c r="K400" s="29">
        <f>MAXI!$F$30/MAXI!$F$23</f>
        <v>0.17035216568320088</v>
      </c>
      <c r="L400" s="29">
        <f>MAXI!$G$30/MAXI!$G$23</f>
        <v>0.17745792854218553</v>
      </c>
      <c r="M400" s="29">
        <f t="shared" si="97"/>
        <v>2.8523384410945235E-2</v>
      </c>
      <c r="N400" s="30"/>
      <c r="O400" s="31">
        <f>MAXI!$D$12/MAXI!$D$24</f>
        <v>1.9750652755519882</v>
      </c>
      <c r="P400" s="31">
        <f>MAXI!$E$12/MAXI!$E$24</f>
        <v>1.8060390614134452</v>
      </c>
      <c r="Q400" s="31">
        <f>MAXI!$F$12/MAXI!$F$24</f>
        <v>1.6736424480996441</v>
      </c>
      <c r="R400" s="31">
        <f>MAXI!$G$12/MAXI!$G$24</f>
        <v>1.5575443453167079</v>
      </c>
      <c r="S400" s="29">
        <f t="shared" si="98"/>
        <v>-0.41752093023528025</v>
      </c>
      <c r="T400" s="30"/>
      <c r="U400" s="32" t="str">
        <f t="shared" si="99"/>
        <v>MYR 3.50</v>
      </c>
      <c r="V400" s="28" t="str">
        <f t="shared" si="99"/>
        <v>Maxis</v>
      </c>
    </row>
    <row r="401" spans="1:29" s="5" customFormat="1">
      <c r="B401" s="26"/>
      <c r="C401" s="32" t="str">
        <f t="shared" si="96"/>
        <v>SK Telecom</v>
      </c>
      <c r="D401" s="28" t="str">
        <f t="shared" si="96"/>
        <v>KRW 100,000</v>
      </c>
      <c r="E401" s="28" t="str">
        <f t="shared" si="96"/>
        <v>KRW 78,000</v>
      </c>
      <c r="F401" s="29">
        <f t="shared" si="96"/>
        <v>-0.21999999999999997</v>
      </c>
      <c r="G401" s="28" t="str">
        <f t="shared" si="96"/>
        <v>Neutral</v>
      </c>
      <c r="H401" s="30"/>
      <c r="I401" s="29">
        <f>SKT!$D$30/SKT!$D$23</f>
        <v>3.5857192986594767E-2</v>
      </c>
      <c r="J401" s="29">
        <f>SKT!$E$30/SKT!$E$23</f>
        <v>4.8040866817949668E-2</v>
      </c>
      <c r="K401" s="29">
        <f>SKT!$F$30/SKT!$F$23</f>
        <v>5.188859436287474E-2</v>
      </c>
      <c r="L401" s="29">
        <f>SKT!$G$30/SKT!$G$23</f>
        <v>5.5736812624543428E-2</v>
      </c>
      <c r="M401" s="29">
        <f t="shared" si="97"/>
        <v>1.987961963794866E-2</v>
      </c>
      <c r="N401" s="30"/>
      <c r="O401" s="31">
        <f>SKT!$D$12/SKT!$D$24</f>
        <v>1.7727174079229788</v>
      </c>
      <c r="P401" s="31">
        <f>SKT!$E$12/SKT!$E$24</f>
        <v>1.4642323360550693</v>
      </c>
      <c r="Q401" s="31">
        <f>SKT!$F$12/SKT!$F$24</f>
        <v>1.2121328121464219</v>
      </c>
      <c r="R401" s="31">
        <f>SKT!$G$12/SKT!$G$24</f>
        <v>0.94498378558777707</v>
      </c>
      <c r="S401" s="29">
        <f t="shared" si="98"/>
        <v>-0.82773362233520176</v>
      </c>
      <c r="T401" s="30"/>
      <c r="U401" s="32" t="str">
        <f t="shared" si="99"/>
        <v>KRW 100,000</v>
      </c>
      <c r="V401" s="28" t="str">
        <f t="shared" si="99"/>
        <v>SK Telecom</v>
      </c>
    </row>
    <row r="402" spans="1:29" s="5" customFormat="1">
      <c r="B402" s="26"/>
      <c r="C402" s="32" t="str">
        <f t="shared" si="96"/>
        <v>True Corp</v>
      </c>
      <c r="D402" s="28" t="str">
        <f t="shared" si="96"/>
        <v>THB 13.5</v>
      </c>
      <c r="E402" s="28" t="str">
        <f t="shared" si="96"/>
        <v>THB 18.0</v>
      </c>
      <c r="F402" s="29">
        <f t="shared" si="96"/>
        <v>0.33333333333333326</v>
      </c>
      <c r="G402" s="28" t="str">
        <f t="shared" si="96"/>
        <v>Buy</v>
      </c>
      <c r="H402" s="30"/>
      <c r="I402" s="29">
        <f>TRUECORP!$D$30/TRUECORP!$D$23</f>
        <v>0.10014990292639674</v>
      </c>
      <c r="J402" s="29">
        <f>TRUECORP!$E$30/TRUECORP!$E$23</f>
        <v>0.13817848467188712</v>
      </c>
      <c r="K402" s="29">
        <f>TRUECORP!$F$30/TRUECORP!$F$23</f>
        <v>0.17935557876457206</v>
      </c>
      <c r="L402" s="29">
        <f>TRUECORP!$G$30/TRUECORP!$G$23</f>
        <v>0.21413192256343672</v>
      </c>
      <c r="M402" s="29">
        <f>L402-I402</f>
        <v>0.11398201963703998</v>
      </c>
      <c r="N402" s="30"/>
      <c r="O402" s="31">
        <f>TRUECORP!$D$12/TRUECORP!$D$24</f>
        <v>3.9800545467100799</v>
      </c>
      <c r="P402" s="31">
        <f>TRUECORP!$E$12/TRUECORP!$E$24</f>
        <v>3.3740234056191065</v>
      </c>
      <c r="Q402" s="31">
        <f>TRUECORP!$F$12/TRUECORP!$F$24</f>
        <v>2.9523888537207368</v>
      </c>
      <c r="R402" s="31">
        <f>TRUECORP!$G$12/TRUECORP!$G$24</f>
        <v>2.5997318156112068</v>
      </c>
      <c r="S402" s="29">
        <f>R402-O402</f>
        <v>-1.380322731098873</v>
      </c>
      <c r="T402" s="30"/>
      <c r="U402" s="32" t="str">
        <f t="shared" si="99"/>
        <v>THB 13.5</v>
      </c>
      <c r="V402" s="28" t="str">
        <f t="shared" si="99"/>
        <v>True Corp</v>
      </c>
    </row>
    <row r="403" spans="1:29" s="5" customFormat="1">
      <c r="B403" s="26"/>
      <c r="C403" s="32" t="str">
        <f t="shared" si="96"/>
        <v>XL Axiata</v>
      </c>
      <c r="D403" s="28" t="str">
        <f t="shared" si="96"/>
        <v>IDR 3,070</v>
      </c>
      <c r="E403" s="28" t="str">
        <f t="shared" si="96"/>
        <v>IDR 4,500</v>
      </c>
      <c r="F403" s="29">
        <f t="shared" si="96"/>
        <v>0.46579804560260585</v>
      </c>
      <c r="G403" s="28" t="str">
        <f t="shared" si="96"/>
        <v>Buy</v>
      </c>
      <c r="H403" s="30"/>
      <c r="I403" s="29">
        <f>XLAX!$D$30/XLAX!$D$23</f>
        <v>1.4009884006681531E-2</v>
      </c>
      <c r="J403" s="29">
        <f>XLAX!$E$30/XLAX!$E$23</f>
        <v>4.9684719692205871E-2</v>
      </c>
      <c r="K403" s="29">
        <f>XLAX!$F$30/XLAX!$F$23</f>
        <v>8.3180412380100946E-2</v>
      </c>
      <c r="L403" s="29">
        <f>XLAX!$G$30/XLAX!$G$23</f>
        <v>0.10563956082811916</v>
      </c>
      <c r="M403" s="29">
        <f t="shared" si="97"/>
        <v>9.1629676821437633E-2</v>
      </c>
      <c r="N403" s="40"/>
      <c r="O403" s="31">
        <f>XLAX!$D$12/XLAX!$D$24</f>
        <v>3.4738372557992738</v>
      </c>
      <c r="P403" s="31">
        <f>XLAX!$E$12/XLAX!$E$24</f>
        <v>2.79851917921382</v>
      </c>
      <c r="Q403" s="31">
        <f>XLAX!$F$12/XLAX!$F$24</f>
        <v>2.4301418596786868</v>
      </c>
      <c r="R403" s="31">
        <f>XLAX!$G$12/XLAX!$G$24</f>
        <v>2.0845311095799706</v>
      </c>
      <c r="S403" s="29">
        <f t="shared" si="98"/>
        <v>-1.3893061462193033</v>
      </c>
      <c r="T403" s="30"/>
      <c r="U403" s="32" t="str">
        <f t="shared" si="99"/>
        <v>IDR 3,070</v>
      </c>
      <c r="V403" s="28" t="str">
        <f t="shared" si="99"/>
        <v>XL Axiata</v>
      </c>
    </row>
    <row r="404" spans="1:29" s="5" customFormat="1">
      <c r="B404" s="26"/>
      <c r="C404" s="35" t="str">
        <f>C353</f>
        <v>Agg. Emerging Asia Cellular</v>
      </c>
      <c r="D404" s="36"/>
      <c r="E404" s="36"/>
      <c r="F404" s="37"/>
      <c r="G404" s="36"/>
      <c r="H404" s="30"/>
      <c r="I404" s="39">
        <f>'EM ASIA CELLULAR'!$D$30/'EM ASIA CELLULAR'!$D$23</f>
        <v>0.11287037566352809</v>
      </c>
      <c r="J404" s="39">
        <f>'EM ASIA CELLULAR'!$E$30/'EM ASIA CELLULAR'!$E$23</f>
        <v>0.12374359325420513</v>
      </c>
      <c r="K404" s="39">
        <f>'EM ASIA CELLULAR'!$F$30/'EM ASIA CELLULAR'!$F$23</f>
        <v>0.13519548569712447</v>
      </c>
      <c r="L404" s="39">
        <f>'EM ASIA CELLULAR'!$G$30/'EM ASIA CELLULAR'!$G$23</f>
        <v>0.14619085663757531</v>
      </c>
      <c r="M404" s="39">
        <f t="shared" si="97"/>
        <v>3.3320480974047217E-2</v>
      </c>
      <c r="N404" s="40"/>
      <c r="O404" s="38">
        <f>'EM ASIA CELLULAR'!$D$12/'EM ASIA CELLULAR'!$D$24</f>
        <v>0.67998022237960853</v>
      </c>
      <c r="P404" s="38">
        <f>'EM ASIA CELLULAR'!$E$12/'EM ASIA CELLULAR'!$E$24</f>
        <v>0.50362335283734305</v>
      </c>
      <c r="Q404" s="38">
        <f>'EM ASIA CELLULAR'!$F$12/'EM ASIA CELLULAR'!$F$24</f>
        <v>0.44180025729580763</v>
      </c>
      <c r="R404" s="38">
        <f>'EM ASIA CELLULAR'!$G$12/'EM ASIA CELLULAR'!$G$24</f>
        <v>0.27047296174000179</v>
      </c>
      <c r="S404" s="39">
        <f t="shared" si="98"/>
        <v>-0.40950726063960674</v>
      </c>
      <c r="T404" s="30"/>
      <c r="U404" s="41"/>
      <c r="V404" s="42" t="str">
        <f>V353</f>
        <v>Agg. Emerging Asia Cellular</v>
      </c>
    </row>
    <row r="405" spans="1:29" s="5" customFormat="1">
      <c r="B405" s="26"/>
      <c r="C405" s="27"/>
      <c r="D405" s="28"/>
      <c r="E405" s="28"/>
      <c r="F405" s="52"/>
      <c r="G405" s="28"/>
      <c r="H405" s="30"/>
      <c r="I405" s="45"/>
      <c r="J405" s="45"/>
      <c r="K405" s="45"/>
      <c r="L405" s="45"/>
      <c r="M405" s="45"/>
      <c r="N405" s="30"/>
      <c r="O405" s="46"/>
      <c r="P405" s="46"/>
      <c r="Q405" s="46"/>
      <c r="R405" s="46"/>
      <c r="S405" s="45"/>
      <c r="T405" s="30"/>
      <c r="U405" s="32"/>
      <c r="V405" s="34"/>
    </row>
    <row r="406" spans="1:29" s="5" customFormat="1">
      <c r="B406" s="26"/>
      <c r="C406" s="35" t="str">
        <f>C355</f>
        <v>Agg. Emerging  Cellular</v>
      </c>
      <c r="D406" s="36"/>
      <c r="E406" s="36"/>
      <c r="F406" s="37"/>
      <c r="G406" s="36"/>
      <c r="H406" s="30"/>
      <c r="I406" s="39">
        <f>'EM CELLULAR'!$D$30/'EM CELLULAR'!$D$23</f>
        <v>0.11519508963073939</v>
      </c>
      <c r="J406" s="39">
        <f>'EM CELLULAR'!$E$30/'EM CELLULAR'!$E$23</f>
        <v>0.12646656708471424</v>
      </c>
      <c r="K406" s="39">
        <f>'EM CELLULAR'!$F$30/'EM CELLULAR'!$F$23</f>
        <v>0.13946527171195308</v>
      </c>
      <c r="L406" s="39">
        <f>'EM CELLULAR'!$G$30/'EM CELLULAR'!$G$23</f>
        <v>0.15101842499478974</v>
      </c>
      <c r="M406" s="39">
        <f t="shared" ref="M406" si="100">L406-I406</f>
        <v>3.5823335364050343E-2</v>
      </c>
      <c r="N406" s="30"/>
      <c r="O406" s="38">
        <f>'EM CELLULAR'!$D$12/'EM CELLULAR'!$D$24</f>
        <v>0.82010236726024266</v>
      </c>
      <c r="P406" s="38">
        <f>'EM CELLULAR'!$E$12/'EM CELLULAR'!$E$24</f>
        <v>0.66450476248005697</v>
      </c>
      <c r="Q406" s="38">
        <f>'EM CELLULAR'!$F$12/'EM CELLULAR'!$F$24</f>
        <v>0.56093303670483929</v>
      </c>
      <c r="R406" s="38">
        <f>'EM CELLULAR'!$G$12/'EM CELLULAR'!$G$24</f>
        <v>0.38936449490307518</v>
      </c>
      <c r="S406" s="39">
        <f t="shared" ref="S406" si="101">R406-O406</f>
        <v>-0.43073787235716748</v>
      </c>
      <c r="T406" s="30"/>
      <c r="U406" s="41"/>
      <c r="V406" s="42" t="str">
        <f>V355</f>
        <v>Agg. Emerging  Cellular</v>
      </c>
    </row>
    <row r="407" spans="1:29" s="5" customFormat="1">
      <c r="A407" s="23"/>
      <c r="B407" s="26"/>
      <c r="C407" s="27"/>
      <c r="D407" s="28"/>
      <c r="E407" s="28"/>
      <c r="F407" s="29"/>
      <c r="G407" s="28"/>
      <c r="H407" s="30"/>
      <c r="I407" s="29"/>
      <c r="J407" s="29"/>
      <c r="K407" s="29"/>
      <c r="L407" s="29"/>
      <c r="M407" s="29"/>
      <c r="N407" s="30"/>
      <c r="O407" s="31"/>
      <c r="P407" s="31"/>
      <c r="Q407" s="31"/>
      <c r="R407" s="31"/>
      <c r="S407" s="29"/>
      <c r="T407" s="30"/>
      <c r="U407" s="32"/>
      <c r="V407" s="34"/>
    </row>
    <row r="408" spans="1:29" s="5" customFormat="1">
      <c r="A408" s="23"/>
      <c r="B408" s="26"/>
      <c r="C408" s="51" t="str">
        <f>C357</f>
        <v>Agg. EMEA sector</v>
      </c>
      <c r="D408" s="36"/>
      <c r="E408" s="36"/>
      <c r="F408" s="37"/>
      <c r="G408" s="36"/>
      <c r="H408" s="30"/>
      <c r="I408" s="39">
        <f>'EMEA AGG'!$D$30/'EMEA AGG'!$D$23</f>
        <v>0.13816706204056659</v>
      </c>
      <c r="J408" s="39">
        <f>'EMEA AGG'!$E$30/'EMEA AGG'!$E$23</f>
        <v>0.15218203627976415</v>
      </c>
      <c r="K408" s="39">
        <f>'EMEA AGG'!$F$30/'EMEA AGG'!$F$23</f>
        <v>0.17143336085222077</v>
      </c>
      <c r="L408" s="39">
        <f>'EMEA AGG'!$G$30/'EMEA AGG'!$G$23</f>
        <v>0.18458168732282482</v>
      </c>
      <c r="M408" s="39">
        <f>L408-I408</f>
        <v>4.6414625282258232E-2</v>
      </c>
      <c r="N408" s="40"/>
      <c r="O408" s="38">
        <f>'EMEA AGG'!$D$12/'EMEA AGG'!$D$24</f>
        <v>0.78662438937927126</v>
      </c>
      <c r="P408" s="38">
        <f>'EMEA AGG'!$E$12/'EMEA AGG'!$E$24</f>
        <v>0.66421192333605383</v>
      </c>
      <c r="Q408" s="38">
        <f>'EMEA AGG'!$F$12/'EMEA AGG'!$F$24</f>
        <v>0.39023295055066037</v>
      </c>
      <c r="R408" s="38">
        <f>'EMEA AGG'!$G$12/'EMEA AGG'!$G$24</f>
        <v>0.22650790345125293</v>
      </c>
      <c r="S408" s="39">
        <f>R408-O408</f>
        <v>-0.56011648592801833</v>
      </c>
      <c r="T408" s="30"/>
      <c r="U408" s="41"/>
      <c r="V408" s="42" t="str">
        <f>V357</f>
        <v>Agg. EMEA sector</v>
      </c>
    </row>
    <row r="409" spans="1:29" s="5" customFormat="1">
      <c r="A409" s="23"/>
      <c r="B409" s="26"/>
      <c r="C409" s="25" t="str">
        <f>C358</f>
        <v>Agg. LatAm sector</v>
      </c>
      <c r="D409" s="28"/>
      <c r="E409" s="28"/>
      <c r="F409" s="29"/>
      <c r="G409" s="28"/>
      <c r="H409" s="30"/>
      <c r="I409" s="43">
        <f>'LATAM AGG'!$D$30/'LATAM AGG'!$D$23</f>
        <v>9.4812783581468302E-2</v>
      </c>
      <c r="J409" s="43">
        <f>'LATAM AGG'!$E$30/'LATAM AGG'!$E$23</f>
        <v>0.10762750720334155</v>
      </c>
      <c r="K409" s="43">
        <f>'LATAM AGG'!$F$30/'LATAM AGG'!$F$23</f>
        <v>0.11838302852923756</v>
      </c>
      <c r="L409" s="43">
        <f>'LATAM AGG'!$G$30/'LATAM AGG'!$G$23</f>
        <v>0.1261382874652896</v>
      </c>
      <c r="M409" s="43">
        <f>L409-I409</f>
        <v>3.1325503883821298E-2</v>
      </c>
      <c r="N409" s="40"/>
      <c r="O409" s="44">
        <f>'LATAM AGG'!$D$12/'LATAM AGG'!$D$24</f>
        <v>1.7784016130348665</v>
      </c>
      <c r="P409" s="44">
        <f>'LATAM AGG'!$E$12/'LATAM AGG'!$E$24</f>
        <v>1.5537069368644365</v>
      </c>
      <c r="Q409" s="44">
        <f>'LATAM AGG'!$F$12/'LATAM AGG'!$F$24</f>
        <v>1.4027536161506629</v>
      </c>
      <c r="R409" s="44">
        <f>'LATAM AGG'!$G$12/'LATAM AGG'!$G$24</f>
        <v>1.2542147570911375</v>
      </c>
      <c r="S409" s="43">
        <f>R409-O409</f>
        <v>-0.52418685594372905</v>
      </c>
      <c r="T409" s="30"/>
      <c r="U409" s="32"/>
      <c r="V409" s="34" t="str">
        <f>V358</f>
        <v>Agg. LatAm sector</v>
      </c>
    </row>
    <row r="410" spans="1:29" s="5" customFormat="1">
      <c r="A410" s="23"/>
      <c r="B410" s="26"/>
      <c r="C410" s="51" t="str">
        <f>C359</f>
        <v>Agg. Emerging Asia sector</v>
      </c>
      <c r="D410" s="36"/>
      <c r="E410" s="36"/>
      <c r="F410" s="37"/>
      <c r="G410" s="36"/>
      <c r="H410" s="30"/>
      <c r="I410" s="39">
        <f>'AGG EM ASIA'!$D$30/'AGG EM ASIA'!$D$23</f>
        <v>9.2964402495996759E-2</v>
      </c>
      <c r="J410" s="39">
        <f>'AGG EM ASIA'!$E$30/'AGG EM ASIA'!$E$23</f>
        <v>0.1003285159446662</v>
      </c>
      <c r="K410" s="39">
        <f>'AGG EM ASIA'!$F$30/'AGG EM ASIA'!$F$23</f>
        <v>0.1089498632647365</v>
      </c>
      <c r="L410" s="39">
        <f>'AGG EM ASIA'!$G$30/'AGG EM ASIA'!$G$23</f>
        <v>0.1176113308454329</v>
      </c>
      <c r="M410" s="39">
        <f>L410-I410</f>
        <v>2.4646928349436145E-2</v>
      </c>
      <c r="N410" s="40"/>
      <c r="O410" s="38">
        <f>'AGG EM ASIA'!$D$12/'AGG EM ASIA'!$D$24</f>
        <v>0.44180640688762912</v>
      </c>
      <c r="P410" s="38">
        <f>'AGG EM ASIA'!$E$12/'AGG EM ASIA'!$E$24</f>
        <v>0.28312090822133773</v>
      </c>
      <c r="Q410" s="38">
        <f>'AGG EM ASIA'!$F$12/'AGG EM ASIA'!$F$24</f>
        <v>0.25579608935359832</v>
      </c>
      <c r="R410" s="38">
        <f>'AGG EM ASIA'!$G$12/'AGG EM ASIA'!$G$24</f>
        <v>8.8997094481775604E-2</v>
      </c>
      <c r="S410" s="39">
        <f>R410-O410</f>
        <v>-0.3528093124058535</v>
      </c>
      <c r="T410" s="30"/>
      <c r="U410" s="41"/>
      <c r="V410" s="42" t="str">
        <f>V359</f>
        <v>Agg. Emerging Asia sector</v>
      </c>
    </row>
    <row r="411" spans="1:29" s="5" customFormat="1">
      <c r="A411" s="23"/>
      <c r="B411" s="26"/>
      <c r="C411" s="25"/>
      <c r="D411" s="28"/>
      <c r="E411" s="28"/>
      <c r="F411" s="29"/>
      <c r="G411" s="28"/>
      <c r="H411" s="30"/>
      <c r="I411" s="43"/>
      <c r="J411" s="43"/>
      <c r="K411" s="43"/>
      <c r="L411" s="43"/>
      <c r="M411" s="43"/>
      <c r="N411" s="40"/>
      <c r="O411" s="44"/>
      <c r="P411" s="44"/>
      <c r="Q411" s="44"/>
      <c r="R411" s="44"/>
      <c r="S411" s="43"/>
      <c r="T411" s="30"/>
      <c r="U411" s="32"/>
      <c r="V411" s="34"/>
    </row>
    <row r="412" spans="1:29" s="5" customFormat="1">
      <c r="A412" s="23"/>
      <c r="B412" s="26"/>
      <c r="C412" s="51" t="str">
        <f>C361</f>
        <v>Agg. Global EM sector</v>
      </c>
      <c r="D412" s="36"/>
      <c r="E412" s="36"/>
      <c r="F412" s="37"/>
      <c r="G412" s="36"/>
      <c r="H412" s="30"/>
      <c r="I412" s="39">
        <f>'AGG EM'!$D$30/'AGG EM'!$D$23</f>
        <v>9.650073422784855E-2</v>
      </c>
      <c r="J412" s="39">
        <f>'AGG EM'!$E$30/'AGG EM'!$E$23</f>
        <v>0.10584148742942329</v>
      </c>
      <c r="K412" s="39">
        <f>'AGG EM'!$F$30/'AGG EM'!$F$23</f>
        <v>0.11604652632121169</v>
      </c>
      <c r="L412" s="39">
        <f>'AGG EM'!$G$30/'AGG EM'!$G$23</f>
        <v>0.12522672162914744</v>
      </c>
      <c r="M412" s="39">
        <f>L412-I412</f>
        <v>2.8725987401298891E-2</v>
      </c>
      <c r="N412" s="40"/>
      <c r="O412" s="38">
        <f>'AGG EM'!$D$12/'AGG EM'!$D$24</f>
        <v>0.72766313424314344</v>
      </c>
      <c r="P412" s="38">
        <f>'AGG EM'!$E$12/'AGG EM'!$E$24</f>
        <v>0.5725264107854543</v>
      </c>
      <c r="Q412" s="38">
        <f>'AGG EM'!$F$12/'AGG EM'!$F$24</f>
        <v>0.49776578467865074</v>
      </c>
      <c r="R412" s="38">
        <f>'AGG EM'!$G$12/'AGG EM'!$G$24</f>
        <v>0.33164180076689487</v>
      </c>
      <c r="S412" s="39">
        <f>R412-O412</f>
        <v>-0.39602133347624857</v>
      </c>
      <c r="T412" s="30"/>
      <c r="U412" s="41"/>
      <c r="V412" s="42" t="str">
        <f>V361</f>
        <v>Agg. Global EM sector (ex-consensus)</v>
      </c>
    </row>
    <row r="413" spans="1:29" s="5" customFormat="1">
      <c r="A413" s="23"/>
      <c r="B413" s="26"/>
      <c r="C413" s="27"/>
      <c r="D413" s="28"/>
      <c r="E413" s="28"/>
      <c r="F413" s="29"/>
      <c r="G413" s="28"/>
      <c r="H413" s="105"/>
      <c r="I413" s="29"/>
      <c r="J413" s="29"/>
      <c r="K413" s="29"/>
      <c r="L413" s="29"/>
      <c r="M413" s="29"/>
      <c r="N413" s="30"/>
      <c r="O413" s="29"/>
      <c r="P413" s="29"/>
      <c r="Q413" s="29"/>
      <c r="R413" s="29"/>
      <c r="S413" s="29"/>
      <c r="T413" s="30"/>
      <c r="U413" s="32"/>
      <c r="V413" s="34"/>
    </row>
    <row r="414" spans="1:29" s="5" customFormat="1">
      <c r="A414" s="23"/>
      <c r="B414" s="26"/>
      <c r="C414" s="27"/>
      <c r="D414" s="28"/>
      <c r="E414" s="28"/>
      <c r="F414" s="29"/>
      <c r="G414" s="28"/>
      <c r="H414" s="105"/>
      <c r="I414" s="29"/>
      <c r="J414" s="29"/>
      <c r="K414" s="29"/>
      <c r="L414" s="29"/>
      <c r="M414" s="29"/>
      <c r="N414" s="30"/>
      <c r="O414" s="29"/>
      <c r="P414" s="29"/>
      <c r="Q414" s="29"/>
      <c r="R414" s="29"/>
      <c r="S414" s="29"/>
      <c r="T414" s="30"/>
      <c r="U414" s="32"/>
      <c r="V414" s="34"/>
    </row>
    <row r="415" spans="1:29" s="25" customFormat="1">
      <c r="B415" s="113"/>
      <c r="C415" s="130"/>
      <c r="D415" s="131" t="s">
        <v>379</v>
      </c>
      <c r="E415" s="131" t="s">
        <v>50</v>
      </c>
      <c r="F415" s="131" t="s">
        <v>52</v>
      </c>
      <c r="G415" s="131" t="s">
        <v>49</v>
      </c>
      <c r="H415" s="105"/>
      <c r="I415" s="132" t="s">
        <v>242</v>
      </c>
      <c r="J415" s="132"/>
      <c r="K415" s="132"/>
      <c r="L415" s="132"/>
      <c r="M415" s="132"/>
      <c r="N415" s="30"/>
      <c r="O415" s="132" t="s">
        <v>389</v>
      </c>
      <c r="P415" s="132"/>
      <c r="Q415" s="132"/>
      <c r="R415" s="132"/>
      <c r="S415" s="132"/>
      <c r="T415" s="30"/>
      <c r="U415" s="133" t="s">
        <v>379</v>
      </c>
      <c r="V415" s="131"/>
      <c r="Z415" s="33"/>
      <c r="AC415" s="106"/>
    </row>
    <row r="416" spans="1:29">
      <c r="A416" s="25" t="s">
        <v>415</v>
      </c>
      <c r="C416" s="32" t="str">
        <f t="shared" ref="C416:G418" si="102">C365</f>
        <v>America Movil</v>
      </c>
      <c r="D416" s="28" t="str">
        <f t="shared" si="102"/>
        <v>USD 22.8</v>
      </c>
      <c r="E416" s="28" t="str">
        <f t="shared" si="102"/>
        <v>USD 24.0</v>
      </c>
      <c r="F416" s="29">
        <f t="shared" si="102"/>
        <v>5.2631578947368363E-2</v>
      </c>
      <c r="G416" s="28" t="str">
        <f t="shared" si="102"/>
        <v>Buy</v>
      </c>
      <c r="H416" s="30"/>
      <c r="I416" s="31">
        <f>AMX!$D$25/AMX!$D$33</f>
        <v>-4.7553805972749927</v>
      </c>
      <c r="J416" s="31">
        <f>AMX!$E$25/AMX!$E$33</f>
        <v>-5.5087742410894966</v>
      </c>
      <c r="K416" s="31">
        <f>AMX!$F$25/AMX!$F$33</f>
        <v>-6.3080836498765809</v>
      </c>
      <c r="L416" s="31">
        <f>AMX!$G$25/AMX!$G$33</f>
        <v>-7.2158873893264976</v>
      </c>
      <c r="M416" s="29">
        <f t="shared" ref="M416:M419" si="103">L416-I416</f>
        <v>-2.4605067920515049</v>
      </c>
      <c r="N416" s="30"/>
      <c r="O416" s="29">
        <f>(AMX!$D$24-AMX!$D$25)/AMX!$D$23</f>
        <v>0.13297176332705848</v>
      </c>
      <c r="P416" s="29">
        <f>(AMX!$E$24-AMX!$E$25)/AMX!$E$23</f>
        <v>0.13869207431308858</v>
      </c>
      <c r="Q416" s="29">
        <f>(AMX!$F$24-AMX!$F$25)/AMX!$F$23</f>
        <v>0.13884298162617259</v>
      </c>
      <c r="R416" s="29">
        <f>(AMX!$G$24-AMX!$G$25)/AMX!$G$23</f>
        <v>0.13096138582566932</v>
      </c>
      <c r="S416" s="29">
        <f t="shared" ref="S416:S419" si="104">R416-O416</f>
        <v>-2.01037750138916E-3</v>
      </c>
      <c r="T416" s="30"/>
      <c r="U416" s="32" t="str">
        <f>U365</f>
        <v>USD 22.8</v>
      </c>
      <c r="V416" s="28" t="str">
        <f>V365</f>
        <v>America Movil</v>
      </c>
    </row>
    <row r="417" spans="1:29">
      <c r="A417" s="5"/>
      <c r="C417" s="32" t="str">
        <f t="shared" si="102"/>
        <v>Vivo</v>
      </c>
      <c r="D417" s="28" t="str">
        <f t="shared" si="102"/>
        <v>BRL 39.88</v>
      </c>
      <c r="E417" s="28" t="str">
        <f t="shared" si="102"/>
        <v>BRL 43.00</v>
      </c>
      <c r="F417" s="29">
        <f t="shared" si="102"/>
        <v>7.8234704112337017E-2</v>
      </c>
      <c r="G417" s="28" t="str">
        <f t="shared" si="102"/>
        <v>Buy</v>
      </c>
      <c r="H417" s="30"/>
      <c r="I417" s="31">
        <f>VIVO!$D$25/VIVO!$D$33</f>
        <v>6.3374137586599986</v>
      </c>
      <c r="J417" s="31">
        <f>VIVO!$E$25/VIVO!$E$33</f>
        <v>8.1314338009104254</v>
      </c>
      <c r="K417" s="31">
        <f>VIVO!$F$25/VIVO!$F$33</f>
        <v>9.0553192164161249</v>
      </c>
      <c r="L417" s="31">
        <f>VIVO!$G$25/VIVO!$G$33</f>
        <v>10.119869804596563</v>
      </c>
      <c r="M417" s="29">
        <f t="shared" si="103"/>
        <v>3.7824560459365646</v>
      </c>
      <c r="N417" s="30"/>
      <c r="O417" s="29">
        <f>(VIVO!$D$24-VIVO!$D$25)/VIVO!$D$23</f>
        <v>0.15806111045470181</v>
      </c>
      <c r="P417" s="29">
        <f>(VIVO!$E$24-VIVO!$E$25)/VIVO!$E$23</f>
        <v>0.15202120564253963</v>
      </c>
      <c r="Q417" s="29">
        <f>(VIVO!$F$24-VIVO!$F$25)/VIVO!$F$23</f>
        <v>0.14483813525021483</v>
      </c>
      <c r="R417" s="29">
        <f>(VIVO!$G$24-VIVO!$G$25)/VIVO!$G$23</f>
        <v>0.13757476599299182</v>
      </c>
      <c r="S417" s="29">
        <f t="shared" si="104"/>
        <v>-2.0486344461709993E-2</v>
      </c>
      <c r="T417" s="30"/>
      <c r="U417" s="32" t="str">
        <f>U366</f>
        <v>BRL 39.88</v>
      </c>
      <c r="V417" s="28" t="str">
        <f>V366</f>
        <v>Telefonica Brasil</v>
      </c>
    </row>
    <row r="418" spans="1:29">
      <c r="A418" s="5"/>
      <c r="C418" s="32" t="str">
        <f t="shared" si="102"/>
        <v>Televisa</v>
      </c>
      <c r="D418" s="28" t="str">
        <f t="shared" si="102"/>
        <v>USD 3.1</v>
      </c>
      <c r="E418" s="28" t="str">
        <f t="shared" si="102"/>
        <v>USD 3.7</v>
      </c>
      <c r="F418" s="29">
        <f t="shared" si="102"/>
        <v>0.21311475409836089</v>
      </c>
      <c r="G418" s="28" t="str">
        <f t="shared" si="102"/>
        <v>Neutral</v>
      </c>
      <c r="H418" s="30"/>
      <c r="I418" s="31">
        <f>TVIS!$D$25/TVIS!$D$33</f>
        <v>2.0922525499031868</v>
      </c>
      <c r="J418" s="31">
        <f>TVIS!$E$25/TVIS!$E$33</f>
        <v>1.9743092580562949</v>
      </c>
      <c r="K418" s="31">
        <f>TVIS!$F$25/TVIS!$F$33</f>
        <v>2.0996124361240067</v>
      </c>
      <c r="L418" s="31">
        <f>TVIS!$G$25/TVIS!$G$33</f>
        <v>2.3202829748469749</v>
      </c>
      <c r="M418" s="29">
        <f>L418-I418</f>
        <v>0.22803042494378811</v>
      </c>
      <c r="N418" s="30"/>
      <c r="O418" s="29">
        <f>(TVIS!$D$24-TVIS!$D$25)/TVIS!$D$23</f>
        <v>0.19633431616334851</v>
      </c>
      <c r="P418" s="29">
        <f>(TVIS!$E$24-TVIS!$E$25)/TVIS!$E$23</f>
        <v>0.19852668588204897</v>
      </c>
      <c r="Q418" s="29">
        <f>(TVIS!$F$24-TVIS!$F$25)/TVIS!$F$23</f>
        <v>0.19576793828959282</v>
      </c>
      <c r="R418" s="29">
        <f>(TVIS!$G$24-TVIS!$G$25)/TVIS!$G$23</f>
        <v>0.19254177386055552</v>
      </c>
      <c r="S418" s="29">
        <f>R418-O418</f>
        <v>-3.792542302792995E-3</v>
      </c>
      <c r="T418" s="30"/>
      <c r="U418" s="32" t="str">
        <f>U367</f>
        <v>USD 3.1</v>
      </c>
      <c r="V418" s="28" t="s">
        <v>561</v>
      </c>
    </row>
    <row r="419" spans="1:29">
      <c r="A419" s="5"/>
      <c r="C419" s="35" t="str">
        <f>C368</f>
        <v>Agg. LatAm Incumbent</v>
      </c>
      <c r="D419" s="36"/>
      <c r="E419" s="36"/>
      <c r="F419" s="37"/>
      <c r="G419" s="36"/>
      <c r="H419" s="30"/>
      <c r="I419" s="38">
        <f>'LATAM INCUMB'!$D$25/'LATAM INCUMB'!$D$33</f>
        <v>-8.1482773733350253</v>
      </c>
      <c r="J419" s="38">
        <f>'LATAM INCUMB'!$E$25/'LATAM INCUMB'!$E$33</f>
        <v>-9.7666794030343844</v>
      </c>
      <c r="K419" s="38">
        <f>'LATAM INCUMB'!$F$25/'LATAM INCUMB'!$F$33</f>
        <v>-11.723191875432668</v>
      </c>
      <c r="L419" s="38">
        <f>'LATAM INCUMB'!$G$25/'LATAM INCUMB'!$G$33</f>
        <v>-13.552433014607708</v>
      </c>
      <c r="M419" s="39">
        <f t="shared" si="103"/>
        <v>-5.4041556412726823</v>
      </c>
      <c r="N419" s="40"/>
      <c r="O419" s="39">
        <f>('LATAM INCUMB'!$D$24-'LATAM INCUMB'!$D$25)/'LATAM INCUMB'!$D$23</f>
        <v>0.14045286685425548</v>
      </c>
      <c r="P419" s="39">
        <f>('LATAM INCUMB'!$E$24-'LATAM INCUMB'!$E$25)/'LATAM INCUMB'!$E$23</f>
        <v>0.14347439573198523</v>
      </c>
      <c r="Q419" s="39">
        <f>('LATAM INCUMB'!$F$24-'LATAM INCUMB'!$F$25)/'LATAM INCUMB'!$F$23</f>
        <v>0.14213463078459834</v>
      </c>
      <c r="R419" s="39">
        <f>('LATAM INCUMB'!$G$24-'LATAM INCUMB'!$G$25)/'LATAM INCUMB'!$G$23</f>
        <v>0.13452100865322641</v>
      </c>
      <c r="S419" s="39">
        <f t="shared" si="104"/>
        <v>-5.9318582010290666E-3</v>
      </c>
      <c r="T419" s="30"/>
      <c r="U419" s="41"/>
      <c r="V419" s="42" t="str">
        <f>V368</f>
        <v>Agg. LatAm Incumbent</v>
      </c>
    </row>
    <row r="420" spans="1:29">
      <c r="C420" s="32"/>
      <c r="D420" s="28"/>
      <c r="E420" s="28"/>
      <c r="F420" s="29"/>
      <c r="G420" s="28"/>
      <c r="H420" s="30"/>
      <c r="I420" s="31"/>
      <c r="J420" s="31"/>
      <c r="K420" s="31"/>
      <c r="L420" s="31"/>
      <c r="M420" s="29"/>
      <c r="N420" s="40"/>
      <c r="O420" s="29"/>
      <c r="P420" s="29"/>
      <c r="Q420" s="29"/>
      <c r="R420" s="29"/>
      <c r="S420" s="29"/>
      <c r="T420" s="30"/>
      <c r="U420" s="32"/>
      <c r="V420" s="34"/>
    </row>
    <row r="421" spans="1:29">
      <c r="A421" s="5"/>
      <c r="C421" s="32" t="str">
        <f t="shared" ref="C421:G424" si="105">C370</f>
        <v>China Telecom</v>
      </c>
      <c r="D421" s="28" t="str">
        <f t="shared" si="105"/>
        <v>HKD 5.01</v>
      </c>
      <c r="E421" s="28" t="str">
        <f t="shared" si="105"/>
        <v>HKD 8.75</v>
      </c>
      <c r="F421" s="29">
        <f t="shared" si="105"/>
        <v>0.7465069860279443</v>
      </c>
      <c r="G421" s="28" t="str">
        <f t="shared" si="105"/>
        <v>Buy</v>
      </c>
      <c r="H421" s="30"/>
      <c r="I421" s="31">
        <f>_CT!$D$25/_CT!$D$33</f>
        <v>-248.47499903795497</v>
      </c>
      <c r="J421" s="31">
        <f>_CT!$E$25/_CT!$E$33</f>
        <v>520.7463930420854</v>
      </c>
      <c r="K421" s="31">
        <f>_CT!$F$25/_CT!$F$33</f>
        <v>1656.8132068481141</v>
      </c>
      <c r="L421" s="31">
        <f>_CT!$G$25/_CT!$G$33</f>
        <v>1829.4380736934677</v>
      </c>
      <c r="M421" s="29">
        <f t="shared" ref="M421:M425" si="106">L421-I421</f>
        <v>2077.9130727314227</v>
      </c>
      <c r="N421" s="40"/>
      <c r="O421" s="135">
        <f>(_CT!$D$24-_CT!$D$25)/_CT!$D$23</f>
        <v>0.1543333357411103</v>
      </c>
      <c r="P421" s="135">
        <f>(_CT!$E$24-_CT!$E$25)/_CT!$E$23</f>
        <v>0.14534474682208767</v>
      </c>
      <c r="Q421" s="135">
        <f>(_CT!$F$24-_CT!$F$25)/_CT!$F$23</f>
        <v>0.13914566384398683</v>
      </c>
      <c r="R421" s="135">
        <f>(_CT!$G$24-_CT!$G$25)/_CT!$G$23</f>
        <v>0.13456659662903059</v>
      </c>
      <c r="S421" s="135">
        <f t="shared" ref="S421:S425" si="107">R421-O421</f>
        <v>-1.9766739112079712E-2</v>
      </c>
      <c r="T421" s="30"/>
      <c r="U421" s="32" t="str">
        <f t="shared" ref="U421:V424" si="108">U370</f>
        <v>HKD 5.01</v>
      </c>
      <c r="V421" s="28" t="str">
        <f t="shared" si="108"/>
        <v>China Telecom</v>
      </c>
    </row>
    <row r="422" spans="1:29">
      <c r="A422" s="5"/>
      <c r="C422" s="32" t="str">
        <f t="shared" si="105"/>
        <v>China Unicom</v>
      </c>
      <c r="D422" s="28" t="str">
        <f t="shared" si="105"/>
        <v>HKD 7.26</v>
      </c>
      <c r="E422" s="28" t="str">
        <f t="shared" si="105"/>
        <v>HKD 13.20</v>
      </c>
      <c r="F422" s="29">
        <f t="shared" si="105"/>
        <v>0.81818181818181812</v>
      </c>
      <c r="G422" s="28" t="str">
        <f t="shared" si="105"/>
        <v>Buy</v>
      </c>
      <c r="H422" s="30"/>
      <c r="I422" s="31">
        <f>_CU!$D$25/_CU!$D$33</f>
        <v>-34.105223415277415</v>
      </c>
      <c r="J422" s="31">
        <f>_CU!$E$25/_CU!$E$33</f>
        <v>-26.267718268536928</v>
      </c>
      <c r="K422" s="31">
        <f>_CU!$F$25/_CU!$F$33</f>
        <v>-21.579396252100111</v>
      </c>
      <c r="L422" s="31">
        <f>_CU!$G$25/_CU!$G$33</f>
        <v>-16.168729026107222</v>
      </c>
      <c r="M422" s="29">
        <f t="shared" si="106"/>
        <v>17.936494389170193</v>
      </c>
      <c r="N422" s="40"/>
      <c r="O422" s="135">
        <f>(_CU!$D$24-_CU!$D$25)/_CU!$D$23</f>
        <v>0.14218937884022809</v>
      </c>
      <c r="P422" s="135">
        <f>(_CU!$E$24-_CU!$E$25)/_CU!$E$23</f>
        <v>0.1307919091653876</v>
      </c>
      <c r="Q422" s="135">
        <f>(_CU!$F$24-_CU!$F$25)/_CU!$F$23</f>
        <v>0.12356912332686808</v>
      </c>
      <c r="R422" s="135">
        <f>(_CU!$G$24-_CU!$G$25)/_CU!$G$23</f>
        <v>0.11647163494741861</v>
      </c>
      <c r="S422" s="135">
        <f t="shared" si="107"/>
        <v>-2.571774389280948E-2</v>
      </c>
      <c r="T422" s="30"/>
      <c r="U422" s="32" t="str">
        <f t="shared" si="108"/>
        <v>HKD 7.26</v>
      </c>
      <c r="V422" s="28" t="str">
        <f t="shared" si="108"/>
        <v>China Unicom</v>
      </c>
    </row>
    <row r="423" spans="1:29">
      <c r="C423" s="32" t="str">
        <f t="shared" si="105"/>
        <v>KT Corp</v>
      </c>
      <c r="D423" s="28" t="str">
        <f t="shared" si="105"/>
        <v>KRW 61,700</v>
      </c>
      <c r="E423" s="28" t="str">
        <f t="shared" si="105"/>
        <v>KRW 105,000</v>
      </c>
      <c r="F423" s="29">
        <f t="shared" si="105"/>
        <v>0.70178282009724469</v>
      </c>
      <c r="G423" s="28" t="str">
        <f t="shared" si="105"/>
        <v>Buy</v>
      </c>
      <c r="H423" s="30"/>
      <c r="I423" s="31">
        <f>_KT!$D$25/_KT!$D$33</f>
        <v>-23.666543018260011</v>
      </c>
      <c r="J423" s="31">
        <f>_KT!$E$25/_KT!$E$33</f>
        <v>-49.681523221296352</v>
      </c>
      <c r="K423" s="31">
        <f>_KT!$F$25/_KT!$F$33</f>
        <v>133.6482104152071</v>
      </c>
      <c r="L423" s="31">
        <f>_KT!$G$25/_KT!$G$33</f>
        <v>31.799554785730827</v>
      </c>
      <c r="M423" s="29">
        <f t="shared" si="106"/>
        <v>55.466097803990834</v>
      </c>
      <c r="N423" s="40"/>
      <c r="O423" s="29">
        <f>(_KT!$D$24-_KT!$D$25)/_KT!$D$23</f>
        <v>0.1061258963387004</v>
      </c>
      <c r="P423" s="29">
        <f>(_KT!$E$24-_KT!$E$25)/_KT!$E$23</f>
        <v>0.10522635680427705</v>
      </c>
      <c r="Q423" s="29">
        <f>(_KT!$F$24-_KT!$F$25)/_KT!$F$23</f>
        <v>0.1033833976369085</v>
      </c>
      <c r="R423" s="29">
        <f>(_KT!$G$24-_KT!$G$25)/_KT!$G$23</f>
        <v>0.10168285092973377</v>
      </c>
      <c r="S423" s="29">
        <f t="shared" si="107"/>
        <v>-4.443045408966631E-3</v>
      </c>
      <c r="T423" s="30"/>
      <c r="U423" s="32" t="str">
        <f t="shared" si="108"/>
        <v>KRW 61,700</v>
      </c>
      <c r="V423" s="28" t="str">
        <f t="shared" si="108"/>
        <v>KT Corp</v>
      </c>
      <c r="Z423" s="33"/>
    </row>
    <row r="424" spans="1:29">
      <c r="C424" s="32" t="str">
        <f t="shared" si="105"/>
        <v>Telkom Indonesia</v>
      </c>
      <c r="D424" s="28" t="str">
        <f t="shared" si="105"/>
        <v>IDR 2,810</v>
      </c>
      <c r="E424" s="28" t="str">
        <f t="shared" si="105"/>
        <v>IDR 3,500</v>
      </c>
      <c r="F424" s="29">
        <f t="shared" si="105"/>
        <v>0.24555160142348753</v>
      </c>
      <c r="G424" s="28" t="str">
        <f t="shared" si="105"/>
        <v>Neutral</v>
      </c>
      <c r="H424" s="30"/>
      <c r="I424" s="31">
        <f>PTT!$D$25/PTT!$D$33</f>
        <v>11.284542202120054</v>
      </c>
      <c r="J424" s="31">
        <f>PTT!$E$25/PTT!$E$33</f>
        <v>8.3694352843957702</v>
      </c>
      <c r="K424" s="31">
        <f>PTT!$F$25/PTT!$F$33</f>
        <v>8.2699625278520514</v>
      </c>
      <c r="L424" s="31">
        <f>PTT!$G$25/PTT!$G$33</f>
        <v>8.4573361284576034</v>
      </c>
      <c r="M424" s="29">
        <f t="shared" si="106"/>
        <v>-2.8272060736624507</v>
      </c>
      <c r="N424" s="40"/>
      <c r="O424" s="135">
        <f>(PTT!$D$24-PTT!$D$25)/PTT!$D$23</f>
        <v>0.17074026778780696</v>
      </c>
      <c r="P424" s="135">
        <f>(PTT!$E$24-PTT!$E$25)/PTT!$E$23</f>
        <v>0.17909854179973675</v>
      </c>
      <c r="Q424" s="135">
        <f>(PTT!$F$24-PTT!$F$25)/PTT!$F$23</f>
        <v>0.17865921042143509</v>
      </c>
      <c r="R424" s="135">
        <f>(PTT!$G$24-PTT!$G$25)/PTT!$G$23</f>
        <v>0.17925924277217772</v>
      </c>
      <c r="S424" s="135">
        <f t="shared" si="107"/>
        <v>8.5189749843707641E-3</v>
      </c>
      <c r="T424" s="30"/>
      <c r="U424" s="32" t="str">
        <f t="shared" si="108"/>
        <v>IDR 2,810</v>
      </c>
      <c r="V424" s="28" t="str">
        <f t="shared" si="108"/>
        <v>PT Telkom</v>
      </c>
      <c r="Z424" s="33"/>
    </row>
    <row r="425" spans="1:29">
      <c r="C425" s="35" t="str">
        <f>C374</f>
        <v>Agg. Emerging Asia Incumbent</v>
      </c>
      <c r="D425" s="36"/>
      <c r="E425" s="36"/>
      <c r="F425" s="37"/>
      <c r="G425" s="36"/>
      <c r="H425" s="30"/>
      <c r="I425" s="38">
        <f>'EM ASIA INCUMB'!$D$25/'EM ASIA INCUMB'!$D$33</f>
        <v>-311.05573680525833</v>
      </c>
      <c r="J425" s="38">
        <f>'EM ASIA INCUMB'!$E$25/'EM ASIA INCUMB'!$E$33</f>
        <v>344.50827496933607</v>
      </c>
      <c r="K425" s="38">
        <f>'EM ASIA INCUMB'!$F$25/'EM ASIA INCUMB'!$F$33</f>
        <v>422.56471516473135</v>
      </c>
      <c r="L425" s="38">
        <f>'EM ASIA INCUMB'!$G$25/'EM ASIA INCUMB'!$G$33</f>
        <v>-1141.9944068956067</v>
      </c>
      <c r="M425" s="39">
        <f t="shared" si="106"/>
        <v>-830.93867009034841</v>
      </c>
      <c r="N425" s="40"/>
      <c r="O425" s="39">
        <f>('EM ASIA INCUMB'!$D$24-'EM ASIA INCUMB'!$D$25)/'EM ASIA INCUMB'!$D$23</f>
        <v>0.14531233456525502</v>
      </c>
      <c r="P425" s="39">
        <f>('EM ASIA INCUMB'!$E$24-'EM ASIA INCUMB'!$E$25)/'EM ASIA INCUMB'!$E$23</f>
        <v>0.13742426870555557</v>
      </c>
      <c r="Q425" s="39">
        <f>('EM ASIA INCUMB'!$F$24-'EM ASIA INCUMB'!$F$25)/'EM ASIA INCUMB'!$F$23</f>
        <v>0.13165948055823595</v>
      </c>
      <c r="R425" s="39">
        <f>('EM ASIA INCUMB'!$G$24-'EM ASIA INCUMB'!$G$25)/'EM ASIA INCUMB'!$G$23</f>
        <v>0.12678386340890527</v>
      </c>
      <c r="S425" s="39">
        <f t="shared" si="107"/>
        <v>-1.8528471156349757E-2</v>
      </c>
      <c r="T425" s="30"/>
      <c r="U425" s="41"/>
      <c r="V425" s="42" t="str">
        <f>V374</f>
        <v>Agg. Emerging Asia Incumbent</v>
      </c>
      <c r="Z425" s="33"/>
    </row>
    <row r="426" spans="1:29">
      <c r="C426" s="27"/>
      <c r="D426" s="28"/>
      <c r="E426" s="28"/>
      <c r="F426" s="52"/>
      <c r="G426" s="28"/>
      <c r="H426" s="30"/>
      <c r="I426" s="46"/>
      <c r="J426" s="46"/>
      <c r="K426" s="46"/>
      <c r="L426" s="46"/>
      <c r="M426" s="45"/>
      <c r="N426" s="40"/>
      <c r="O426" s="45"/>
      <c r="P426" s="45"/>
      <c r="Q426" s="45"/>
      <c r="R426" s="45"/>
      <c r="S426" s="45"/>
      <c r="T426" s="30"/>
      <c r="U426" s="32"/>
      <c r="V426" s="34"/>
      <c r="Z426" s="33"/>
    </row>
    <row r="427" spans="1:29">
      <c r="C427" s="35" t="str">
        <f>C376</f>
        <v>Agg. Emerging Incumbent</v>
      </c>
      <c r="D427" s="36"/>
      <c r="E427" s="36"/>
      <c r="F427" s="37"/>
      <c r="G427" s="36"/>
      <c r="H427" s="30"/>
      <c r="I427" s="38">
        <f>'EM INCUMB'!$D$25/'EM INCUMB'!$D$33</f>
        <v>-17.845362134073088</v>
      </c>
      <c r="J427" s="38">
        <f>'EM INCUMB'!$E$25/'EM INCUMB'!$E$33</f>
        <v>-22.429181701083476</v>
      </c>
      <c r="K427" s="38">
        <f>'EM INCUMB'!$F$25/'EM INCUMB'!$F$33</f>
        <v>-27.298183201701804</v>
      </c>
      <c r="L427" s="38">
        <f>'EM INCUMB'!$G$25/'EM INCUMB'!$G$33</f>
        <v>-30.245387832821724</v>
      </c>
      <c r="M427" s="39">
        <f t="shared" ref="M427" si="109">L427-I427</f>
        <v>-12.400025698748635</v>
      </c>
      <c r="N427" s="40"/>
      <c r="O427" s="39">
        <f>('EM INCUMB'!$D$24-'EM INCUMB'!$D$25)/'EM INCUMB'!$D$23</f>
        <v>0.14393977498090876</v>
      </c>
      <c r="P427" s="39">
        <f>('EM INCUMB'!$E$24-'EM INCUMB'!$E$25)/'EM INCUMB'!$E$23</f>
        <v>0.13922104547966802</v>
      </c>
      <c r="Q427" s="39">
        <f>('EM INCUMB'!$F$24-'EM INCUMB'!$F$25)/'EM INCUMB'!$F$23</f>
        <v>0.13477488647887104</v>
      </c>
      <c r="R427" s="39">
        <f>('EM INCUMB'!$G$24-'EM INCUMB'!$G$25)/'EM INCUMB'!$G$23</f>
        <v>0.12908222857821433</v>
      </c>
      <c r="S427" s="39">
        <f t="shared" ref="S427" si="110">R427-O427</f>
        <v>-1.4857546402694433E-2</v>
      </c>
      <c r="T427" s="30"/>
      <c r="U427" s="41"/>
      <c r="V427" s="42" t="str">
        <f>V376</f>
        <v>Agg. Emerging Incumbent</v>
      </c>
      <c r="Z427" s="33"/>
    </row>
    <row r="428" spans="1:29">
      <c r="C428" s="27"/>
      <c r="D428" s="28"/>
      <c r="E428" s="28"/>
      <c r="F428" s="29"/>
      <c r="G428" s="28"/>
      <c r="H428" s="30"/>
      <c r="I428" s="31"/>
      <c r="J428" s="31"/>
      <c r="K428" s="31"/>
      <c r="L428" s="31"/>
      <c r="M428" s="29"/>
      <c r="N428" s="40"/>
      <c r="O428" s="29"/>
      <c r="P428" s="29"/>
      <c r="Q428" s="29"/>
      <c r="R428" s="29"/>
      <c r="S428" s="29"/>
      <c r="T428" s="30"/>
      <c r="U428" s="32"/>
      <c r="V428" s="34"/>
      <c r="Z428" s="33"/>
      <c r="AC428" s="47"/>
    </row>
    <row r="429" spans="1:29">
      <c r="A429" s="25" t="s">
        <v>1091</v>
      </c>
      <c r="C429" s="32" t="str">
        <f t="shared" ref="C429:G433" si="111">C378</f>
        <v>Airtel Africa</v>
      </c>
      <c r="D429" s="28" t="str">
        <f t="shared" si="111"/>
        <v>GBP3.60</v>
      </c>
      <c r="E429" s="28" t="str">
        <f t="shared" si="111"/>
        <v>GBP4.60</v>
      </c>
      <c r="F429" s="29">
        <f t="shared" si="111"/>
        <v>0.2791991101223581</v>
      </c>
      <c r="G429" s="28" t="str">
        <f t="shared" si="111"/>
        <v>Buy</v>
      </c>
      <c r="H429" s="30"/>
      <c r="I429" s="31">
        <f>AAF!$D$25/AAF!$D$33</f>
        <v>1.4946662397171853</v>
      </c>
      <c r="J429" s="31">
        <f>AAF!$E$25/AAF!$E$33</f>
        <v>2.7043345492344546</v>
      </c>
      <c r="K429" s="31">
        <f>AAF!$F$25/AAF!$F$33</f>
        <v>3.9994420144545324</v>
      </c>
      <c r="L429" s="31">
        <f>AAF!$G$25/AAF!$G$33</f>
        <v>5.6917351822685429</v>
      </c>
      <c r="M429" s="29">
        <f t="shared" ref="M429" si="112">L429-I429</f>
        <v>4.1970689425513577</v>
      </c>
      <c r="N429" s="40"/>
      <c r="O429" s="135">
        <f>(AAF!$D$24-AAF!$D$25)/AAF!$D$23</f>
        <v>0.16509267763602856</v>
      </c>
      <c r="P429" s="135">
        <f>(AAF!$E$24-AAF!$E$25)/AAF!$E$23</f>
        <v>0.1653709808407379</v>
      </c>
      <c r="Q429" s="135">
        <f>(AAF!$F$24-AAF!$F$25)/AAF!$F$23</f>
        <v>0.15256084879282641</v>
      </c>
      <c r="R429" s="135">
        <f>(AAF!$G$24-AAF!$G$25)/AAF!$G$23</f>
        <v>0.15029108874559549</v>
      </c>
      <c r="S429" s="135">
        <f t="shared" ref="S429" si="113">R429-O429</f>
        <v>-1.4801588890433065E-2</v>
      </c>
      <c r="T429" s="30"/>
      <c r="U429" s="32" t="str">
        <f t="shared" ref="U429:V433" si="114">U378</f>
        <v>GBP3.60</v>
      </c>
      <c r="V429" s="28" t="str">
        <f t="shared" si="114"/>
        <v>Airtel Africa</v>
      </c>
      <c r="Z429" s="30"/>
      <c r="AC429" s="47"/>
    </row>
    <row r="430" spans="1:29">
      <c r="C430" s="32" t="str">
        <f t="shared" si="111"/>
        <v>MTN</v>
      </c>
      <c r="D430" s="28" t="str">
        <f t="shared" si="111"/>
        <v>ZAR 206.35</v>
      </c>
      <c r="E430" s="28" t="str">
        <f t="shared" si="111"/>
        <v>ZAR 280.00</v>
      </c>
      <c r="F430" s="29">
        <f t="shared" si="111"/>
        <v>0.35691785800823839</v>
      </c>
      <c r="G430" s="28" t="str">
        <f t="shared" si="111"/>
        <v>Buy</v>
      </c>
      <c r="H430" s="30"/>
      <c r="I430" s="31">
        <f>MTN!$D$25/MTN!$D$33</f>
        <v>-2.1194578790411578</v>
      </c>
      <c r="J430" s="31">
        <f>MTN!$E$25/MTN!$E$33</f>
        <v>-2.5924581351392866</v>
      </c>
      <c r="K430" s="31">
        <f>MTN!$F$25/MTN!$F$33</f>
        <v>-3.2729599374869092</v>
      </c>
      <c r="L430" s="31">
        <f>MTN!$G$25/MTN!$G$33</f>
        <v>-3.8602888574811005</v>
      </c>
      <c r="M430" s="29">
        <f t="shared" ref="M430:M434" si="115">L430-I430</f>
        <v>-1.7408309784399427</v>
      </c>
      <c r="N430" s="40"/>
      <c r="O430" s="135">
        <f>(MTN!$D$24-MTN!$D$25)/MTN!$D$23</f>
        <v>0.17</v>
      </c>
      <c r="P430" s="135">
        <f>(MTN!$E$24-MTN!$E$25)/MTN!$E$23</f>
        <v>0.16750000000000001</v>
      </c>
      <c r="Q430" s="135">
        <f>(MTN!$F$24-MTN!$F$25)/MTN!$F$23</f>
        <v>0.16500000000000001</v>
      </c>
      <c r="R430" s="135">
        <f>(MTN!$G$24-MTN!$G$25)/MTN!$G$23</f>
        <v>0.16250000000000001</v>
      </c>
      <c r="S430" s="135">
        <f t="shared" ref="S430:S434" si="116">R430-O430</f>
        <v>-7.5000000000000067E-3</v>
      </c>
      <c r="T430" s="30"/>
      <c r="U430" s="32" t="str">
        <f t="shared" si="114"/>
        <v>ZAR 206.35</v>
      </c>
      <c r="V430" s="28" t="str">
        <f t="shared" si="114"/>
        <v>MTN</v>
      </c>
      <c r="Z430" s="30"/>
      <c r="AC430" s="47"/>
    </row>
    <row r="431" spans="1:29">
      <c r="C431" s="32" t="str">
        <f t="shared" si="111"/>
        <v>Safaricom</v>
      </c>
      <c r="D431" s="28" t="str">
        <f t="shared" si="111"/>
        <v>KES 29.90</v>
      </c>
      <c r="E431" s="28" t="str">
        <f t="shared" si="111"/>
        <v>KES 40.0</v>
      </c>
      <c r="F431" s="29">
        <f t="shared" si="111"/>
        <v>0.33779264214046822</v>
      </c>
      <c r="G431" s="28" t="str">
        <f t="shared" si="111"/>
        <v>Buy</v>
      </c>
      <c r="H431" s="30"/>
      <c r="I431" s="31">
        <f>SAF!$D$25/SAF!$D$33</f>
        <v>6.7946383060786406</v>
      </c>
      <c r="J431" s="31">
        <f>SAF!$E$25/SAF!$E$33</f>
        <v>8.09784597846045</v>
      </c>
      <c r="K431" s="31">
        <f>SAF!$F$25/SAF!$F$33</f>
        <v>8.8646792211206051</v>
      </c>
      <c r="L431" s="31">
        <f>SAF!$G$25/SAF!$G$33</f>
        <v>9.7815237708300984</v>
      </c>
      <c r="M431" s="29">
        <f>L431-I431</f>
        <v>2.9868854647514578</v>
      </c>
      <c r="N431" s="40"/>
      <c r="O431" s="135">
        <f>(SAF!$D$24-SAF!$D$25)/SAF!$D$23</f>
        <v>0.18369489980820541</v>
      </c>
      <c r="P431" s="135">
        <f>(SAF!$E$24-SAF!$E$25)/SAF!$E$23</f>
        <v>0.17301338395849017</v>
      </c>
      <c r="Q431" s="135">
        <f>(SAF!$F$24-SAF!$F$25)/SAF!$F$23</f>
        <v>0.16827966608947606</v>
      </c>
      <c r="R431" s="135">
        <f>(SAF!$G$24-SAF!$G$25)/SAF!$G$23</f>
        <v>0.16291993343495645</v>
      </c>
      <c r="S431" s="135">
        <f>R431-O431</f>
        <v>-2.0774966373248965E-2</v>
      </c>
      <c r="T431" s="30"/>
      <c r="U431" s="32" t="str">
        <f t="shared" si="114"/>
        <v>KES 29.90</v>
      </c>
      <c r="V431" s="28" t="str">
        <f t="shared" si="114"/>
        <v>Safaricom</v>
      </c>
      <c r="Z431" s="30"/>
    </row>
    <row r="432" spans="1:29">
      <c r="C432" s="32" t="str">
        <f t="shared" si="111"/>
        <v>VEON</v>
      </c>
      <c r="D432" s="28" t="str">
        <f t="shared" si="111"/>
        <v>USD 54.9</v>
      </c>
      <c r="E432" s="28" t="str">
        <f t="shared" si="111"/>
        <v>USD 100.0</v>
      </c>
      <c r="F432" s="29">
        <f t="shared" si="111"/>
        <v>0.82116190129302513</v>
      </c>
      <c r="G432" s="28" t="str">
        <f t="shared" si="111"/>
        <v>Buy</v>
      </c>
      <c r="H432" s="30"/>
      <c r="I432" s="31">
        <f>VIMP!$D$25/VIMP!$D$33</f>
        <v>-2.7924251637235216</v>
      </c>
      <c r="J432" s="31">
        <f>VIMP!$E$25/VIMP!$E$33</f>
        <v>-3.6157571046187864</v>
      </c>
      <c r="K432" s="31">
        <f>VIMP!$F$25/VIMP!$F$33</f>
        <v>-4.54007012020387</v>
      </c>
      <c r="L432" s="31">
        <f>VIMP!$G$25/VIMP!$G$33</f>
        <v>-5.8661109018190079</v>
      </c>
      <c r="M432" s="29">
        <f t="shared" si="115"/>
        <v>-3.0736857380954863</v>
      </c>
      <c r="N432" s="40"/>
      <c r="O432" s="29">
        <f>(VIMP!$D$24-VIMP!$D$25)/VIMP!$D$23</f>
        <v>0.19198914234944611</v>
      </c>
      <c r="P432" s="29">
        <f>(VIMP!$E$24-VIMP!$E$25)/VIMP!$E$23</f>
        <v>0.1758892358744942</v>
      </c>
      <c r="Q432" s="29">
        <f>(VIMP!$F$24-VIMP!$F$25)/VIMP!$F$23</f>
        <v>0.17000480092898324</v>
      </c>
      <c r="R432" s="29">
        <f>(VIMP!$G$24-VIMP!$G$25)/VIMP!$G$23</f>
        <v>0.16633610900791204</v>
      </c>
      <c r="S432" s="29">
        <f t="shared" si="116"/>
        <v>-2.5653033341534071E-2</v>
      </c>
      <c r="T432" s="30"/>
      <c r="U432" s="32" t="str">
        <f t="shared" si="114"/>
        <v>USD 54.9</v>
      </c>
      <c r="V432" s="28" t="str">
        <f t="shared" si="114"/>
        <v>VEON</v>
      </c>
      <c r="Z432" s="33"/>
    </row>
    <row r="433" spans="1:26">
      <c r="C433" s="32" t="str">
        <f t="shared" si="111"/>
        <v>Vodacom</v>
      </c>
      <c r="D433" s="28" t="str">
        <f t="shared" si="111"/>
        <v>ZAR 145.6</v>
      </c>
      <c r="E433" s="28" t="str">
        <f t="shared" si="111"/>
        <v>ZAR 215.0</v>
      </c>
      <c r="F433" s="29">
        <f t="shared" si="111"/>
        <v>0.47685121582634959</v>
      </c>
      <c r="G433" s="28" t="str">
        <f t="shared" si="111"/>
        <v>Buy</v>
      </c>
      <c r="H433" s="30"/>
      <c r="I433" s="31">
        <f>VODA!$D$25/VODA!$D$33</f>
        <v>-3.6752136161007161</v>
      </c>
      <c r="J433" s="31">
        <f>VODA!$E$25/VODA!$E$33</f>
        <v>-1.6559609272859277</v>
      </c>
      <c r="K433" s="31">
        <f>VODA!$F$25/VODA!$F$33</f>
        <v>-5.2985689184581757</v>
      </c>
      <c r="L433" s="31">
        <f>VODA!$G$25/VODA!$G$33</f>
        <v>-6.2429800758777976</v>
      </c>
      <c r="M433" s="29">
        <f t="shared" si="115"/>
        <v>-2.5677664597770815</v>
      </c>
      <c r="N433" s="40"/>
      <c r="O433" s="29">
        <f>(VODA!$D$24-VODA!$D$25)/VODA!$D$23</f>
        <v>0.1347468705044037</v>
      </c>
      <c r="P433" s="29">
        <f>(VODA!$E$24-VODA!$E$25)/VODA!$E$23</f>
        <v>0.14540056982756969</v>
      </c>
      <c r="Q433" s="29">
        <f>(VODA!$F$24-VODA!$F$25)/VODA!$F$23</f>
        <v>0.14340306994443885</v>
      </c>
      <c r="R433" s="29">
        <f>(VODA!$G$24-VODA!$G$25)/VODA!$G$23</f>
        <v>0.14092760029678264</v>
      </c>
      <c r="S433" s="29">
        <f t="shared" si="116"/>
        <v>6.1807297923789362E-3</v>
      </c>
      <c r="T433" s="30"/>
      <c r="U433" s="32" t="str">
        <f t="shared" si="114"/>
        <v>ZAR 145.6</v>
      </c>
      <c r="V433" s="28" t="str">
        <f t="shared" si="114"/>
        <v>Vodacom</v>
      </c>
      <c r="Z433" s="30"/>
    </row>
    <row r="434" spans="1:26">
      <c r="C434" s="35" t="str">
        <f>C383</f>
        <v>Agg. EMEA Cellular</v>
      </c>
      <c r="D434" s="36"/>
      <c r="E434" s="36"/>
      <c r="F434" s="37"/>
      <c r="G434" s="36"/>
      <c r="H434" s="30"/>
      <c r="I434" s="38">
        <f>'EMEA CELLULAR'!$D$25/'EMEA CELLULAR'!$D$33</f>
        <v>-7.752579404892284</v>
      </c>
      <c r="J434" s="38">
        <f>'EMEA CELLULAR'!$E$25/'EMEA CELLULAR'!$E$33</f>
        <v>-6.3959623070338809</v>
      </c>
      <c r="K434" s="38">
        <f>'EMEA CELLULAR'!$F$25/'EMEA CELLULAR'!$F$33</f>
        <v>-8.8860229859133</v>
      </c>
      <c r="L434" s="38">
        <f>'EMEA CELLULAR'!$G$25/'EMEA CELLULAR'!$G$33</f>
        <v>-9.9888310320123175</v>
      </c>
      <c r="M434" s="39">
        <f t="shared" si="115"/>
        <v>-2.2362516271200334</v>
      </c>
      <c r="N434" s="40"/>
      <c r="O434" s="39">
        <f>('EMEA CELLULAR'!$D$24-'EMEA CELLULAR'!$D$25)/'EMEA CELLULAR'!$D$23</f>
        <v>0.16362822105972458</v>
      </c>
      <c r="P434" s="39">
        <f>('EMEA CELLULAR'!$E$24-'EMEA CELLULAR'!$E$25)/'EMEA CELLULAR'!$E$23</f>
        <v>0.16134215839594496</v>
      </c>
      <c r="Q434" s="39">
        <f>('EMEA CELLULAR'!$F$24-'EMEA CELLULAR'!$F$25)/'EMEA CELLULAR'!$F$23</f>
        <v>0.15692856424058027</v>
      </c>
      <c r="R434" s="39">
        <f>('EMEA CELLULAR'!$G$24-'EMEA CELLULAR'!$G$25)/'EMEA CELLULAR'!$G$23</f>
        <v>0.15422790883089649</v>
      </c>
      <c r="S434" s="39">
        <f t="shared" si="116"/>
        <v>-9.4003122288280894E-3</v>
      </c>
      <c r="T434" s="30"/>
      <c r="U434" s="41"/>
      <c r="V434" s="42" t="str">
        <f>V383</f>
        <v>Agg. EMEA Cellular</v>
      </c>
      <c r="Z434" s="33"/>
    </row>
    <row r="435" spans="1:26">
      <c r="A435" s="5"/>
      <c r="C435" s="27"/>
      <c r="D435" s="28"/>
      <c r="E435" s="28"/>
      <c r="F435" s="29"/>
      <c r="G435" s="28"/>
      <c r="H435" s="30"/>
      <c r="I435" s="31"/>
      <c r="J435" s="31"/>
      <c r="K435" s="31"/>
      <c r="L435" s="31"/>
      <c r="M435" s="29"/>
      <c r="N435" s="40"/>
      <c r="O435" s="29"/>
      <c r="P435" s="29"/>
      <c r="Q435" s="29"/>
      <c r="R435" s="29"/>
      <c r="S435" s="29"/>
      <c r="T435" s="30"/>
      <c r="U435" s="32"/>
      <c r="V435" s="34"/>
      <c r="Z435" s="30"/>
    </row>
    <row r="436" spans="1:26">
      <c r="A436" s="5"/>
      <c r="C436" s="32" t="str">
        <f t="shared" ref="C436:G438" si="117">C385</f>
        <v>Entel</v>
      </c>
      <c r="D436" s="28" t="str">
        <f t="shared" si="117"/>
        <v>CLP 3,643</v>
      </c>
      <c r="E436" s="28" t="str">
        <f t="shared" si="117"/>
        <v>CLP 3,150</v>
      </c>
      <c r="F436" s="29">
        <f t="shared" si="117"/>
        <v>-0.13532802635190777</v>
      </c>
      <c r="G436" s="28" t="str">
        <f t="shared" si="117"/>
        <v>Neutral</v>
      </c>
      <c r="H436" s="30"/>
      <c r="I436" s="31">
        <f>ENTEL!$D$25/ENTEL!$D$33</f>
        <v>0.72459474169466387</v>
      </c>
      <c r="J436" s="31">
        <f>ENTEL!$E$25/ENTEL!$E$33</f>
        <v>1.2116389292644849</v>
      </c>
      <c r="K436" s="31">
        <f>ENTEL!$F$25/ENTEL!$F$33</f>
        <v>1.5272671967366229</v>
      </c>
      <c r="L436" s="31">
        <f>ENTEL!$G$25/ENTEL!$G$33</f>
        <v>1.8819866133455068</v>
      </c>
      <c r="M436" s="29">
        <f t="shared" ref="M436:M441" si="118">L436-I436</f>
        <v>1.1573918716508429</v>
      </c>
      <c r="N436" s="40"/>
      <c r="O436" s="135">
        <f>(ENTEL!$D$24-ENTEL!$D$25)/ENTEL!$D$23</f>
        <v>0.19211812856752514</v>
      </c>
      <c r="P436" s="135">
        <f>(ENTEL!$E$24-ENTEL!$E$25)/ENTEL!$E$23</f>
        <v>0.17885638742920776</v>
      </c>
      <c r="Q436" s="135">
        <f>(ENTEL!$F$24-ENTEL!$F$25)/ENTEL!$F$23</f>
        <v>0.16840636772451884</v>
      </c>
      <c r="R436" s="135">
        <f>(ENTEL!$G$24-ENTEL!$G$25)/ENTEL!$G$23</f>
        <v>0.1548979770361231</v>
      </c>
      <c r="S436" s="135">
        <f t="shared" ref="S436:S441" si="119">R436-O436</f>
        <v>-3.722015153140204E-2</v>
      </c>
      <c r="T436" s="30"/>
      <c r="U436" s="32" t="str">
        <f t="shared" ref="U436:V438" si="120">U385</f>
        <v>CLP 3,643</v>
      </c>
      <c r="V436" s="28" t="str">
        <f t="shared" si="120"/>
        <v>Entel</v>
      </c>
      <c r="Z436" s="33"/>
    </row>
    <row r="437" spans="1:26">
      <c r="A437" s="5"/>
      <c r="C437" s="32" t="str">
        <f t="shared" si="117"/>
        <v>Millicom</v>
      </c>
      <c r="D437" s="28" t="str">
        <f t="shared" si="117"/>
        <v>USD  83.6</v>
      </c>
      <c r="E437" s="28" t="str">
        <f t="shared" si="117"/>
        <v>USD 70.0</v>
      </c>
      <c r="F437" s="29">
        <f t="shared" si="117"/>
        <v>-0.16292974588938713</v>
      </c>
      <c r="G437" s="28" t="str">
        <f t="shared" si="117"/>
        <v>Buy</v>
      </c>
      <c r="H437" s="30"/>
      <c r="I437" s="31">
        <f>MILLI!$D$25/MILLI!$D$33</f>
        <v>2.6067286656227049</v>
      </c>
      <c r="J437" s="31">
        <f>MILLI!$E$25/MILLI!$E$33</f>
        <v>2.8395360092622233</v>
      </c>
      <c r="K437" s="31">
        <f>MILLI!$F$25/MILLI!$F$33</f>
        <v>3.0594253344475848</v>
      </c>
      <c r="L437" s="31">
        <f>MILLI!$G$25/MILLI!$G$33</f>
        <v>3.2567726514184754</v>
      </c>
      <c r="M437" s="29">
        <f t="shared" si="118"/>
        <v>0.6500439857957705</v>
      </c>
      <c r="N437" s="40"/>
      <c r="O437" s="135">
        <f>(MILLI!$D$24-MILLI!$D$25)/MILLI!$D$23</f>
        <v>0.12369632161573237</v>
      </c>
      <c r="P437" s="135">
        <f>(MILLI!$E$24-MILLI!$E$25)/MILLI!$E$23</f>
        <v>0.12114031676894109</v>
      </c>
      <c r="Q437" s="135">
        <f>(MILLI!$F$24-MILLI!$F$25)/MILLI!$F$23</f>
        <v>0.11725833762477404</v>
      </c>
      <c r="R437" s="135">
        <f>(MILLI!$G$24-MILLI!$G$25)/MILLI!$G$23</f>
        <v>0.11235662591813272</v>
      </c>
      <c r="S437" s="135">
        <f t="shared" si="119"/>
        <v>-1.1339695697599642E-2</v>
      </c>
      <c r="T437" s="30"/>
      <c r="U437" s="32" t="str">
        <f t="shared" si="120"/>
        <v>USD  83.6</v>
      </c>
      <c r="V437" s="28" t="str">
        <f t="shared" si="120"/>
        <v>Millicom</v>
      </c>
      <c r="Z437" s="30"/>
    </row>
    <row r="438" spans="1:26">
      <c r="A438" s="5"/>
      <c r="C438" s="32" t="str">
        <f t="shared" si="117"/>
        <v>TIM Participacoes</v>
      </c>
      <c r="D438" s="28" t="str">
        <f t="shared" si="117"/>
        <v>BRL 25.99</v>
      </c>
      <c r="E438" s="28" t="str">
        <f t="shared" si="117"/>
        <v>BRL 28.00</v>
      </c>
      <c r="F438" s="29">
        <f t="shared" si="117"/>
        <v>7.7337437475952342E-2</v>
      </c>
      <c r="G438" s="28" t="str">
        <f t="shared" si="117"/>
        <v>Buy</v>
      </c>
      <c r="H438" s="30"/>
      <c r="I438" s="31">
        <f>TIMP!$D$25/TIMP!$D$33</f>
        <v>4.8102916464594676</v>
      </c>
      <c r="J438" s="31">
        <f>TIMP!$E$25/TIMP!$E$33</f>
        <v>5.367904093607323</v>
      </c>
      <c r="K438" s="31">
        <f>TIMP!$F$25/TIMP!$F$33</f>
        <v>5.7093425826475404</v>
      </c>
      <c r="L438" s="31">
        <f>TIMP!$G$25/TIMP!$G$33</f>
        <v>5.9927974272794655</v>
      </c>
      <c r="M438" s="29">
        <f t="shared" si="118"/>
        <v>1.1825057808199979</v>
      </c>
      <c r="N438" s="40"/>
      <c r="O438" s="29">
        <f>(TIMP!$D$24-TIMP!$D$25)/TIMP!$D$23</f>
        <v>0.16898745247228947</v>
      </c>
      <c r="P438" s="29">
        <f>(TIMP!$E$24-TIMP!$E$25)/TIMP!$E$23</f>
        <v>0.16181298019296186</v>
      </c>
      <c r="Q438" s="29">
        <f>(TIMP!$F$24-TIMP!$F$25)/TIMP!$F$23</f>
        <v>0.15584918644060952</v>
      </c>
      <c r="R438" s="29">
        <f>(TIMP!$G$24-TIMP!$G$25)/TIMP!$G$23</f>
        <v>0.14944640481225049</v>
      </c>
      <c r="S438" s="29">
        <f t="shared" si="119"/>
        <v>-1.9541047660038974E-2</v>
      </c>
      <c r="T438" s="30"/>
      <c r="U438" s="32" t="str">
        <f t="shared" si="120"/>
        <v>BRL 25.99</v>
      </c>
      <c r="V438" s="28" t="str">
        <f t="shared" si="120"/>
        <v>TIM Participacoes</v>
      </c>
      <c r="Z438" s="33"/>
    </row>
    <row r="439" spans="1:26">
      <c r="A439" s="25"/>
      <c r="B439" s="26" t="s">
        <v>483</v>
      </c>
      <c r="C439" s="32" t="s">
        <v>688</v>
      </c>
      <c r="D439" s="28" t="str">
        <f>'EM Multiples'!B439&amp;TEXT(Prices!C$115,"0.00")</f>
        <v>MXN59.40</v>
      </c>
      <c r="E439" s="28" t="str">
        <f>'EM Multiples'!B439&amp;TEXT(Prices!E$115,"0.00")</f>
        <v>MXN75.00</v>
      </c>
      <c r="F439" s="29">
        <f>Prices!F$115</f>
        <v>0.26262626262626276</v>
      </c>
      <c r="G439" s="28" t="str">
        <f>Prices!D$52</f>
        <v>Buy</v>
      </c>
      <c r="H439" s="30"/>
      <c r="I439" s="31">
        <f>MEGA!$D$25/MEGA!$D$33</f>
        <v>-4.072609859741485</v>
      </c>
      <c r="J439" s="31">
        <f>MEGA!$E$25/MEGA!$E$33</f>
        <v>-5.9666954244785702</v>
      </c>
      <c r="K439" s="31">
        <f>MEGA!$F$25/MEGA!$F$33</f>
        <v>-8.9587653276806574</v>
      </c>
      <c r="L439" s="31">
        <f>MEGA!$G$25/MEGA!$G$33</f>
        <v>-15.006875642649522</v>
      </c>
      <c r="M439" s="29">
        <f t="shared" si="118"/>
        <v>-10.934265782908037</v>
      </c>
      <c r="N439" s="30"/>
      <c r="O439" s="29">
        <f>(MEGA!$D$24-MEGA!$D$25)/MEGA!$D$23</f>
        <v>0.28000000000000003</v>
      </c>
      <c r="P439" s="29">
        <f>(MEGA!$E$24-MEGA!$E$25)/MEGA!$E$23</f>
        <v>0.26</v>
      </c>
      <c r="Q439" s="29">
        <f>(MEGA!$F$24-MEGA!$F$25)/MEGA!$F$23</f>
        <v>0.24</v>
      </c>
      <c r="R439" s="29">
        <f>(MEGA!$G$24-MEGA!$G$25)/MEGA!$G$23</f>
        <v>0.23</v>
      </c>
      <c r="S439" s="29">
        <f t="shared" si="119"/>
        <v>-5.0000000000000017E-2</v>
      </c>
      <c r="T439" s="30"/>
      <c r="U439" s="32" t="str">
        <f>D439</f>
        <v>MXN59.40</v>
      </c>
      <c r="V439" s="28" t="str">
        <f>C439</f>
        <v>Megacable</v>
      </c>
      <c r="Z439" s="30"/>
    </row>
    <row r="440" spans="1:26">
      <c r="A440" s="5"/>
      <c r="B440" s="26" t="s">
        <v>331</v>
      </c>
      <c r="C440" s="32" t="s">
        <v>675</v>
      </c>
      <c r="D440" s="28" t="str">
        <f>'EM Multiples'!B440&amp;TEXT(Prices!C$118,"0.00")</f>
        <v>USD8.53</v>
      </c>
      <c r="E440" s="28" t="str">
        <f>'EM Multiples'!B440&amp;TEXT(Prices!E$118,"0.00")</f>
        <v>USD14.90</v>
      </c>
      <c r="F440" s="29">
        <f>Prices!F$118</f>
        <v>0.74780058651026393</v>
      </c>
      <c r="G440" s="28" t="str">
        <f>Prices!D$118</f>
        <v>Buy</v>
      </c>
      <c r="H440" s="30"/>
      <c r="I440" s="31">
        <f>LiLAC!$D$25/LiLAC!$D$33</f>
        <v>1.6243144424131626</v>
      </c>
      <c r="J440" s="31">
        <f>LiLAC!$E$25/LiLAC!$E$33</f>
        <v>1.6211556272611647</v>
      </c>
      <c r="K440" s="31">
        <f>LiLAC!$F$25/LiLAC!$F$33</f>
        <v>1.7669237584606254</v>
      </c>
      <c r="L440" s="31">
        <f>LiLAC!$G$25/LiLAC!$G$33</f>
        <v>1.9282069299647087</v>
      </c>
      <c r="M440" s="29">
        <f t="shared" si="118"/>
        <v>0.30389248755154608</v>
      </c>
      <c r="N440" s="30"/>
      <c r="O440" s="29">
        <f>(LiLAC!$D$24-LiLAC!$D$25)/LiLAC!$D$23</f>
        <v>0.14409526811039577</v>
      </c>
      <c r="P440" s="29">
        <f>(LiLAC!$E$24-LiLAC!$E$25)/LiLAC!$E$23</f>
        <v>0.15025422337113151</v>
      </c>
      <c r="Q440" s="29">
        <f>(LiLAC!$F$24-LiLAC!$F$25)/LiLAC!$F$23</f>
        <v>0.13954415938419412</v>
      </c>
      <c r="R440" s="29">
        <f>(LiLAC!$G$24-LiLAC!$G$25)/LiLAC!$G$23</f>
        <v>0.13618112487782605</v>
      </c>
      <c r="S440" s="29">
        <f t="shared" si="119"/>
        <v>-7.9141432325697258E-3</v>
      </c>
      <c r="T440" s="30"/>
      <c r="U440" s="32" t="str">
        <f>D440</f>
        <v>USD8.53</v>
      </c>
      <c r="V440" s="28" t="str">
        <f>C440</f>
        <v>LiLAC</v>
      </c>
      <c r="Z440" s="30"/>
    </row>
    <row r="441" spans="1:26">
      <c r="A441" s="5"/>
      <c r="C441" s="35" t="str">
        <f>C390</f>
        <v>Agg. LatAm Other</v>
      </c>
      <c r="D441" s="36"/>
      <c r="E441" s="36"/>
      <c r="F441" s="37"/>
      <c r="G441" s="36"/>
      <c r="H441" s="30"/>
      <c r="I441" s="38">
        <f>'LATAM OTHER'!$D$25/'LATAM OTHER'!$D$33</f>
        <v>2.8944221094003866</v>
      </c>
      <c r="J441" s="38">
        <f>'LATAM OTHER'!$E$25/'LATAM OTHER'!$E$33</f>
        <v>3.1633197326342537</v>
      </c>
      <c r="K441" s="38">
        <f>'LATAM OTHER'!$F$25/'LATAM OTHER'!$F$33</f>
        <v>3.423573289219255</v>
      </c>
      <c r="L441" s="38">
        <f>'LATAM OTHER'!$G$25/'LATAM OTHER'!$G$33</f>
        <v>3.6913936569284291</v>
      </c>
      <c r="M441" s="39">
        <f t="shared" si="118"/>
        <v>0.79697154752804256</v>
      </c>
      <c r="N441" s="40"/>
      <c r="O441" s="39">
        <f>('LATAM OTHER'!$D$24-'LATAM OTHER'!$D$25)/'LATAM OTHER'!$D$23</f>
        <v>0.16545071233406147</v>
      </c>
      <c r="P441" s="39">
        <f>('LATAM OTHER'!$E$24-'LATAM OTHER'!$E$25)/'LATAM OTHER'!$E$23</f>
        <v>0.15781601624525948</v>
      </c>
      <c r="Q441" s="39">
        <f>('LATAM OTHER'!$F$24-'LATAM OTHER'!$F$25)/'LATAM OTHER'!$F$23</f>
        <v>0.14970358037480763</v>
      </c>
      <c r="R441" s="39">
        <f>('LATAM OTHER'!$G$24-'LATAM OTHER'!$G$25)/'LATAM OTHER'!$G$23</f>
        <v>0.14340936394292431</v>
      </c>
      <c r="S441" s="39">
        <f t="shared" si="119"/>
        <v>-2.2041348391137167E-2</v>
      </c>
      <c r="T441" s="30"/>
      <c r="U441" s="41"/>
      <c r="V441" s="42" t="str">
        <f>V390</f>
        <v>Agg. LatAm Cellular</v>
      </c>
      <c r="Z441" s="33"/>
    </row>
    <row r="442" spans="1:26">
      <c r="C442" s="27"/>
      <c r="D442" s="28"/>
      <c r="E442" s="28"/>
      <c r="F442" s="29"/>
      <c r="G442" s="28"/>
      <c r="H442" s="30"/>
      <c r="I442" s="31"/>
      <c r="J442" s="31"/>
      <c r="K442" s="31"/>
      <c r="L442" s="31"/>
      <c r="M442" s="29"/>
      <c r="N442" s="30"/>
      <c r="O442" s="29"/>
      <c r="P442" s="29"/>
      <c r="Q442" s="29"/>
      <c r="R442" s="29"/>
      <c r="S442" s="29"/>
      <c r="T442" s="30"/>
      <c r="U442" s="32"/>
      <c r="V442" s="34"/>
      <c r="Z442" s="33"/>
    </row>
    <row r="443" spans="1:26">
      <c r="A443" s="5"/>
      <c r="C443" s="32" t="str">
        <f t="shared" ref="C443:G454" si="121">C392</f>
        <v>AIS</v>
      </c>
      <c r="D443" s="28" t="str">
        <f t="shared" si="121"/>
        <v>THB 349.0</v>
      </c>
      <c r="E443" s="28" t="str">
        <f t="shared" si="121"/>
        <v>THB 330.0</v>
      </c>
      <c r="F443" s="29">
        <f t="shared" si="121"/>
        <v>-5.4441260744985676E-2</v>
      </c>
      <c r="G443" s="28" t="str">
        <f t="shared" si="121"/>
        <v>Buy</v>
      </c>
      <c r="H443" s="30"/>
      <c r="I443" s="31">
        <f>ADVANCED!$D$25/ADVANCED!$D$33</f>
        <v>10.628038479343555</v>
      </c>
      <c r="J443" s="31">
        <f>ADVANCED!$E$25/ADVANCED!$E$33</f>
        <v>12.507159261775037</v>
      </c>
      <c r="K443" s="31">
        <f>ADVANCED!$F$25/ADVANCED!$F$33</f>
        <v>11.708818066660061</v>
      </c>
      <c r="L443" s="31">
        <f>ADVANCED!$G$25/ADVANCED!$G$33</f>
        <v>14.236368630662984</v>
      </c>
      <c r="M443" s="29">
        <f t="shared" ref="M443:M455" si="122">L443-I443</f>
        <v>3.6083301513194286</v>
      </c>
      <c r="N443" s="30"/>
      <c r="O443" s="29">
        <f>(ADVANCED!$D$24-ADVANCED!$D$25)/ADVANCED!$D$23</f>
        <v>0.11391755123312297</v>
      </c>
      <c r="P443" s="29">
        <f>(ADVANCED!$E$24-ADVANCED!$E$25)/ADVANCED!$E$23</f>
        <v>0.12000000000000001</v>
      </c>
      <c r="Q443" s="29">
        <f>(ADVANCED!$F$24-ADVANCED!$F$25)/ADVANCED!$F$23</f>
        <v>0.115</v>
      </c>
      <c r="R443" s="29">
        <f>(ADVANCED!$G$24-ADVANCED!$G$25)/ADVANCED!$G$23</f>
        <v>0.10999999999999997</v>
      </c>
      <c r="S443" s="29">
        <f t="shared" ref="S443:S455" si="123">R443-O443</f>
        <v>-3.9175512331229984E-3</v>
      </c>
      <c r="T443" s="30"/>
      <c r="U443" s="32" t="str">
        <f t="shared" ref="U443:V454" si="124">U392</f>
        <v>THB 349.0</v>
      </c>
      <c r="V443" s="28" t="str">
        <f t="shared" si="124"/>
        <v>AIS</v>
      </c>
      <c r="Z443" s="33"/>
    </row>
    <row r="444" spans="1:26">
      <c r="C444" s="32" t="str">
        <f t="shared" si="121"/>
        <v>Axiata</v>
      </c>
      <c r="D444" s="28" t="str">
        <f t="shared" si="121"/>
        <v>MYR 2.24</v>
      </c>
      <c r="E444" s="28" t="str">
        <f t="shared" si="121"/>
        <v>MYR 4.50</v>
      </c>
      <c r="F444" s="29">
        <f t="shared" si="121"/>
        <v>1.0089285714285712</v>
      </c>
      <c r="G444" s="28" t="str">
        <f t="shared" si="121"/>
        <v>Buy</v>
      </c>
      <c r="H444" s="30"/>
      <c r="I444" s="31">
        <f>AXI!$D$25/AXI!$D$33</f>
        <v>-2.2700534759358288</v>
      </c>
      <c r="J444" s="31">
        <f>AXI!$E$25/AXI!$E$33</f>
        <v>-2.4939965694682678</v>
      </c>
      <c r="K444" s="31">
        <f>AXI!$F$25/AXI!$F$33</f>
        <v>-2.9973214285714285</v>
      </c>
      <c r="L444" s="31">
        <f>AXI!$G$25/AXI!$G$33</f>
        <v>-3.3600764087870103</v>
      </c>
      <c r="M444" s="29">
        <f t="shared" si="122"/>
        <v>-1.0900229328511815</v>
      </c>
      <c r="N444" s="30"/>
      <c r="O444" s="29">
        <f>(AXI!$D$24-AXI!$D$25)/AXI!$D$23</f>
        <v>0.23017970401691332</v>
      </c>
      <c r="P444" s="29">
        <f>(AXI!$E$24-AXI!$E$25)/AXI!$E$23</f>
        <v>0.21345451456723011</v>
      </c>
      <c r="Q444" s="29">
        <f>(AXI!$F$24-AXI!$F$25)/AXI!$F$23</f>
        <v>0.18821011032438664</v>
      </c>
      <c r="R444" s="29">
        <f>(AXI!$G$24-AXI!$G$25)/AXI!$G$23</f>
        <v>0.18677540577276724</v>
      </c>
      <c r="S444" s="29">
        <f t="shared" si="123"/>
        <v>-4.3404298244146072E-2</v>
      </c>
      <c r="T444" s="30"/>
      <c r="U444" s="32" t="str">
        <f t="shared" si="124"/>
        <v>MYR 2.24</v>
      </c>
      <c r="V444" s="28" t="str">
        <f t="shared" si="124"/>
        <v>Axiata</v>
      </c>
      <c r="Z444" s="33"/>
    </row>
    <row r="445" spans="1:26">
      <c r="C445" s="32" t="str">
        <f t="shared" si="121"/>
        <v>Bharti Airtel</v>
      </c>
      <c r="D445" s="28" t="str">
        <f t="shared" si="121"/>
        <v>INR 1815</v>
      </c>
      <c r="E445" s="28" t="str">
        <f t="shared" si="121"/>
        <v>INR 2750</v>
      </c>
      <c r="F445" s="29">
        <f t="shared" si="121"/>
        <v>0.51540199482008031</v>
      </c>
      <c r="G445" s="28" t="str">
        <f t="shared" si="121"/>
        <v>Buy</v>
      </c>
      <c r="H445" s="30"/>
      <c r="I445" s="31">
        <f>BHART!$D$25/BHART!$D$33</f>
        <v>3.5775506971973101</v>
      </c>
      <c r="J445" s="31">
        <f>BHART!$E$25/BHART!$E$33</f>
        <v>4.7942321316673553</v>
      </c>
      <c r="K445" s="31">
        <f>BHART!$F$25/BHART!$F$33</f>
        <v>6.3959558369836067</v>
      </c>
      <c r="L445" s="31">
        <f>BHART!$G$25/BHART!$G$33</f>
        <v>8.2664688065519609</v>
      </c>
      <c r="M445" s="29">
        <f t="shared" si="122"/>
        <v>4.6889181093546508</v>
      </c>
      <c r="N445" s="30"/>
      <c r="O445" s="29">
        <f>(BHART!$D$24-BHART!$D$25)/BHART!$D$23</f>
        <v>0.19069222300191768</v>
      </c>
      <c r="P445" s="29">
        <f>(BHART!$E$24-BHART!$E$25)/BHART!$E$23</f>
        <v>0.17803665604233143</v>
      </c>
      <c r="Q445" s="29">
        <f>(BHART!$F$24-BHART!$F$25)/BHART!$F$23</f>
        <v>0.16411458202821433</v>
      </c>
      <c r="R445" s="29">
        <f>(BHART!$G$24-BHART!$G$25)/BHART!$G$23</f>
        <v>0.16195201088030226</v>
      </c>
      <c r="S445" s="29">
        <f t="shared" si="123"/>
        <v>-2.8740212121615427E-2</v>
      </c>
      <c r="T445" s="30"/>
      <c r="U445" s="32" t="str">
        <f t="shared" si="124"/>
        <v>INR 1815</v>
      </c>
      <c r="V445" s="28" t="str">
        <f t="shared" si="124"/>
        <v>Bharti Airtel</v>
      </c>
      <c r="Z445" s="33"/>
    </row>
    <row r="446" spans="1:26">
      <c r="A446" s="5"/>
      <c r="C446" s="32" t="str">
        <f t="shared" si="121"/>
        <v>China Mobile</v>
      </c>
      <c r="D446" s="28" t="str">
        <f t="shared" si="121"/>
        <v>HKD 83.9</v>
      </c>
      <c r="E446" s="28" t="str">
        <f t="shared" si="121"/>
        <v>HKD 115.0</v>
      </c>
      <c r="F446" s="29">
        <f t="shared" si="121"/>
        <v>0.37067938021454094</v>
      </c>
      <c r="G446" s="28" t="str">
        <f t="shared" si="121"/>
        <v>Buy</v>
      </c>
      <c r="H446" s="30"/>
      <c r="I446" s="31">
        <f>_CM!$D$25/_CM!$D$33</f>
        <v>10.722834230538631</v>
      </c>
      <c r="J446" s="31">
        <f>_CM!$E$25/_CM!$E$33</f>
        <v>13.088112403312428</v>
      </c>
      <c r="K446" s="31">
        <f>_CM!$F$25/_CM!$F$33</f>
        <v>16.121123337579185</v>
      </c>
      <c r="L446" s="31">
        <f>_CM!$G$25/_CM!$G$33</f>
        <v>22.021685749395374</v>
      </c>
      <c r="M446" s="29">
        <f t="shared" si="122"/>
        <v>11.298851518856743</v>
      </c>
      <c r="N446" s="30"/>
      <c r="O446" s="29">
        <f>(_CM!$D$24-_CM!$D$25)/_CM!$D$23</f>
        <v>0.13476008341300788</v>
      </c>
      <c r="P446" s="29">
        <f>(_CM!$E$24-_CM!$E$25)/_CM!$E$23</f>
        <v>0.12959143905445347</v>
      </c>
      <c r="Q446" s="29">
        <f>(_CM!$F$24-_CM!$F$25)/_CM!$F$23</f>
        <v>0.1244348347132351</v>
      </c>
      <c r="R446" s="29">
        <f>(_CM!$G$24-_CM!$G$25)/_CM!$G$23</f>
        <v>0.11928635263586167</v>
      </c>
      <c r="S446" s="29">
        <f t="shared" si="123"/>
        <v>-1.5473730777146213E-2</v>
      </c>
      <c r="T446" s="30"/>
      <c r="U446" s="32" t="str">
        <f t="shared" si="124"/>
        <v>HKD 83.9</v>
      </c>
      <c r="V446" s="28" t="str">
        <f t="shared" si="124"/>
        <v>China Mobile</v>
      </c>
      <c r="Z446" s="33"/>
    </row>
    <row r="447" spans="1:26">
      <c r="A447" s="5"/>
      <c r="C447" s="32" t="str">
        <f t="shared" si="121"/>
        <v>CelcomDigi</v>
      </c>
      <c r="D447" s="28" t="str">
        <f t="shared" si="121"/>
        <v>MYR 3.0</v>
      </c>
      <c r="E447" s="28" t="str">
        <f t="shared" si="121"/>
        <v>MYR 5.6</v>
      </c>
      <c r="F447" s="29">
        <f t="shared" si="121"/>
        <v>0.88552188552188538</v>
      </c>
      <c r="G447" s="28" t="str">
        <f t="shared" si="121"/>
        <v>Buy</v>
      </c>
      <c r="H447" s="30"/>
      <c r="I447" s="31">
        <f>DIGI!$D$25/DIGI!$D$33</f>
        <v>6.5761566850920303</v>
      </c>
      <c r="J447" s="31">
        <f>DIGI!$E$25/DIGI!$E$33</f>
        <v>7.5261929599611292</v>
      </c>
      <c r="K447" s="31">
        <f>DIGI!$F$25/DIGI!$F$33</f>
        <v>9.0627000783153804</v>
      </c>
      <c r="L447" s="31">
        <f>DIGI!$G$25/DIGI!$G$33</f>
        <v>10.706487497834754</v>
      </c>
      <c r="M447" s="29">
        <f t="shared" si="122"/>
        <v>4.1303308127427236</v>
      </c>
      <c r="N447" s="30"/>
      <c r="O447" s="29">
        <f>(DIGI!$D$24-DIGI!$D$25)/DIGI!$D$23</f>
        <v>0.15</v>
      </c>
      <c r="P447" s="29">
        <f>(DIGI!$E$24-DIGI!$E$25)/DIGI!$E$23</f>
        <v>0.14000000000000004</v>
      </c>
      <c r="Q447" s="29">
        <f>(DIGI!$F$24-DIGI!$F$25)/DIGI!$F$23</f>
        <v>0.11999999999999995</v>
      </c>
      <c r="R447" s="29">
        <f>(DIGI!$G$24-DIGI!$G$25)/DIGI!$G$23</f>
        <v>0.12000000000000001</v>
      </c>
      <c r="S447" s="29">
        <f t="shared" si="123"/>
        <v>-2.9999999999999985E-2</v>
      </c>
      <c r="T447" s="30"/>
      <c r="U447" s="32" t="str">
        <f t="shared" si="124"/>
        <v>MYR 3.0</v>
      </c>
      <c r="V447" s="28" t="str">
        <f t="shared" si="124"/>
        <v>CelcomDigi</v>
      </c>
      <c r="Z447" s="33"/>
    </row>
    <row r="448" spans="1:26">
      <c r="A448" s="5"/>
      <c r="C448" s="32" t="str">
        <f t="shared" si="121"/>
        <v>Vodafone IDEA</v>
      </c>
      <c r="D448" s="28" t="str">
        <f t="shared" si="121"/>
        <v>INR 9.5</v>
      </c>
      <c r="E448" s="28" t="str">
        <f t="shared" si="121"/>
        <v>INR 10.0</v>
      </c>
      <c r="F448" s="29">
        <f t="shared" si="121"/>
        <v>5.0420168067226934E-2</v>
      </c>
      <c r="G448" s="28" t="str">
        <f t="shared" si="121"/>
        <v>Neutral</v>
      </c>
      <c r="H448" s="30"/>
      <c r="I448" s="31">
        <f>IDEA!$D$25/IDEA!$D$33</f>
        <v>8.0440928133504216E-2</v>
      </c>
      <c r="J448" s="31">
        <f>IDEA!$E$25/IDEA!$E$33</f>
        <v>0.21577832829584273</v>
      </c>
      <c r="K448" s="31">
        <f>IDEA!$F$25/IDEA!$F$33</f>
        <v>0.33000023673156714</v>
      </c>
      <c r="L448" s="31">
        <f>IDEA!$G$25/IDEA!$G$33</f>
        <v>0.49051256882262917</v>
      </c>
      <c r="M448" s="29">
        <f t="shared" si="122"/>
        <v>0.41007164068912494</v>
      </c>
      <c r="N448" s="30"/>
      <c r="O448" s="29">
        <f>(IDEA!$D$24-IDEA!$D$25)/IDEA!$D$23</f>
        <v>0.38</v>
      </c>
      <c r="P448" s="29">
        <f>(IDEA!$E$24-IDEA!$E$25)/IDEA!$E$23</f>
        <v>0.33</v>
      </c>
      <c r="Q448" s="29">
        <f>(IDEA!$F$24-IDEA!$F$25)/IDEA!$F$23</f>
        <v>0.3</v>
      </c>
      <c r="R448" s="29">
        <f>(IDEA!$G$24-IDEA!$G$25)/IDEA!$G$23</f>
        <v>0.25</v>
      </c>
      <c r="S448" s="29">
        <f t="shared" si="123"/>
        <v>-0.13</v>
      </c>
      <c r="T448" s="30"/>
      <c r="U448" s="32" t="str">
        <f t="shared" si="124"/>
        <v>INR 9.5</v>
      </c>
      <c r="V448" s="28" t="str">
        <f t="shared" si="124"/>
        <v>Vodafone IDEA</v>
      </c>
      <c r="Z448" s="33"/>
    </row>
    <row r="449" spans="1:26">
      <c r="A449" s="5"/>
      <c r="C449" s="32" t="str">
        <f t="shared" si="121"/>
        <v>Indosat</v>
      </c>
      <c r="D449" s="28" t="str">
        <f t="shared" si="121"/>
        <v>IDR 1,970</v>
      </c>
      <c r="E449" s="28" t="str">
        <f t="shared" si="121"/>
        <v>IDR 2,800</v>
      </c>
      <c r="F449" s="29">
        <f t="shared" si="121"/>
        <v>0.42131979695431476</v>
      </c>
      <c r="G449" s="28" t="str">
        <f t="shared" si="121"/>
        <v>Buy</v>
      </c>
      <c r="H449" s="30"/>
      <c r="I449" s="31">
        <f>INDO!$D$25/INDO!$D$33</f>
        <v>3.0296435255798286</v>
      </c>
      <c r="J449" s="31">
        <f>INDO!$E$25/INDO!$E$33</f>
        <v>3.5684627711751866</v>
      </c>
      <c r="K449" s="31">
        <f>INDO!$F$25/INDO!$F$33</f>
        <v>3.7476116191967486</v>
      </c>
      <c r="L449" s="31">
        <f>INDO!$G$25/INDO!$G$33</f>
        <v>4.0484294540708223</v>
      </c>
      <c r="M449" s="29">
        <f t="shared" si="122"/>
        <v>1.0187859284909937</v>
      </c>
      <c r="N449" s="30"/>
      <c r="O449" s="29">
        <f>(INDO!$D$24-INDO!$D$25)/INDO!$D$23</f>
        <v>0.22910733619539109</v>
      </c>
      <c r="P449" s="29">
        <f>(INDO!$E$24-INDO!$E$25)/INDO!$E$23</f>
        <v>0.18884039689120299</v>
      </c>
      <c r="Q449" s="29">
        <f>(INDO!$F$24-INDO!$F$25)/INDO!$F$23</f>
        <v>0.17942160799898577</v>
      </c>
      <c r="R449" s="29">
        <f>(INDO!$G$24-INDO!$G$25)/INDO!$G$23</f>
        <v>0.17405026306053062</v>
      </c>
      <c r="S449" s="29">
        <f t="shared" si="123"/>
        <v>-5.5057073134860468E-2</v>
      </c>
      <c r="T449" s="30"/>
      <c r="U449" s="32" t="str">
        <f t="shared" si="124"/>
        <v>IDR 1,970</v>
      </c>
      <c r="V449" s="28" t="str">
        <f t="shared" si="124"/>
        <v>Indosat</v>
      </c>
      <c r="Z449" s="33"/>
    </row>
    <row r="450" spans="1:26">
      <c r="A450" s="5"/>
      <c r="C450" s="32" t="str">
        <f t="shared" si="121"/>
        <v>LG Uplus</v>
      </c>
      <c r="D450" s="28" t="str">
        <f t="shared" si="121"/>
        <v>KRW 16,600</v>
      </c>
      <c r="E450" s="28" t="str">
        <f t="shared" si="121"/>
        <v>KRW 19,000</v>
      </c>
      <c r="F450" s="29">
        <f t="shared" si="121"/>
        <v>0.14457831325301207</v>
      </c>
      <c r="G450" s="28" t="str">
        <f t="shared" si="121"/>
        <v>Buy</v>
      </c>
      <c r="H450" s="30"/>
      <c r="I450" s="31">
        <f>_LG!$D$25/_LG!$D$33</f>
        <v>9.7361233476730273</v>
      </c>
      <c r="J450" s="31">
        <f>_LG!$E$25/_LG!$E$33</f>
        <v>13.071560406008462</v>
      </c>
      <c r="K450" s="31">
        <f>_LG!$F$25/_LG!$F$33</f>
        <v>18.557621015199125</v>
      </c>
      <c r="L450" s="31">
        <f>_LG!$G$25/_LG!$G$33</f>
        <v>30.741394458516915</v>
      </c>
      <c r="M450" s="29">
        <f t="shared" si="122"/>
        <v>21.005271110843886</v>
      </c>
      <c r="N450" s="30"/>
      <c r="O450" s="29">
        <f>(_LG!$D$24-_LG!$D$25)/_LG!$D$23</f>
        <v>0.12070880067792254</v>
      </c>
      <c r="P450" s="29">
        <f>(_LG!$E$24-_LG!$E$25)/_LG!$E$23</f>
        <v>0.12033848125541861</v>
      </c>
      <c r="Q450" s="29">
        <f>(_LG!$F$24-_LG!$F$25)/_LG!$F$23</f>
        <v>0.11996518727825468</v>
      </c>
      <c r="R450" s="29">
        <f>(_LG!$G$24-_LG!$G$25)/_LG!$G$23</f>
        <v>0.11958652455342005</v>
      </c>
      <c r="S450" s="29">
        <f t="shared" si="123"/>
        <v>-1.122276124502497E-3</v>
      </c>
      <c r="T450" s="30"/>
      <c r="U450" s="32" t="str">
        <f t="shared" si="124"/>
        <v>KRW 16,600</v>
      </c>
      <c r="V450" s="28" t="str">
        <f t="shared" si="124"/>
        <v>LG Uplus</v>
      </c>
      <c r="Z450" s="33"/>
    </row>
    <row r="451" spans="1:26">
      <c r="C451" s="32" t="str">
        <f t="shared" si="121"/>
        <v>Maxis</v>
      </c>
      <c r="D451" s="28" t="str">
        <f t="shared" si="121"/>
        <v>MYR 3.50</v>
      </c>
      <c r="E451" s="28" t="str">
        <f t="shared" si="121"/>
        <v>MYR 5.10</v>
      </c>
      <c r="F451" s="29">
        <f t="shared" si="121"/>
        <v>0.45714285714285707</v>
      </c>
      <c r="G451" s="28" t="str">
        <f t="shared" si="121"/>
        <v>Buy</v>
      </c>
      <c r="H451" s="30"/>
      <c r="I451" s="31">
        <f>MAXI!$D$25/MAXI!$D$33</f>
        <v>-6.8475224557492114</v>
      </c>
      <c r="J451" s="31">
        <f>MAXI!$E$25/MAXI!$E$33</f>
        <v>-7.5098491361554203</v>
      </c>
      <c r="K451" s="31">
        <f>MAXI!$F$25/MAXI!$F$33</f>
        <v>-8.1770654390399304</v>
      </c>
      <c r="L451" s="31">
        <f>MAXI!$G$25/MAXI!$G$33</f>
        <v>-8.839517267444446</v>
      </c>
      <c r="M451" s="29">
        <f t="shared" si="122"/>
        <v>-1.9919948116952346</v>
      </c>
      <c r="N451" s="30"/>
      <c r="O451" s="29">
        <f>(MAXI!$D$24-MAXI!$D$25)/MAXI!$D$23</f>
        <v>0.10999999999999997</v>
      </c>
      <c r="P451" s="29">
        <f>(MAXI!$E$24-MAXI!$E$25)/MAXI!$E$23</f>
        <v>0.11</v>
      </c>
      <c r="Q451" s="29">
        <f>(MAXI!$F$24-MAXI!$F$25)/MAXI!$F$23</f>
        <v>0.10999999999999999</v>
      </c>
      <c r="R451" s="29">
        <f>(MAXI!$G$24-MAXI!$G$25)/MAXI!$G$23</f>
        <v>0.10999999999999997</v>
      </c>
      <c r="S451" s="29">
        <f t="shared" si="123"/>
        <v>0</v>
      </c>
      <c r="T451" s="30"/>
      <c r="U451" s="32" t="str">
        <f t="shared" si="124"/>
        <v>MYR 3.50</v>
      </c>
      <c r="V451" s="28" t="str">
        <f t="shared" si="124"/>
        <v>Maxis</v>
      </c>
      <c r="Z451" s="33"/>
    </row>
    <row r="452" spans="1:26">
      <c r="A452" s="5"/>
      <c r="C452" s="32" t="str">
        <f t="shared" si="121"/>
        <v>SK Telecom</v>
      </c>
      <c r="D452" s="28" t="str">
        <f t="shared" si="121"/>
        <v>KRW 100,000</v>
      </c>
      <c r="E452" s="28" t="str">
        <f t="shared" si="121"/>
        <v>KRW 78,000</v>
      </c>
      <c r="F452" s="29">
        <f t="shared" si="121"/>
        <v>-0.21999999999999997</v>
      </c>
      <c r="G452" s="28" t="str">
        <f t="shared" si="121"/>
        <v>Neutral</v>
      </c>
      <c r="H452" s="30"/>
      <c r="I452" s="31">
        <f>SKT!$D$25/SKT!$D$33</f>
        <v>6.6591956849846019</v>
      </c>
      <c r="J452" s="31">
        <f>SKT!$E$25/SKT!$E$33</f>
        <v>8.4207406311263178</v>
      </c>
      <c r="K452" s="31">
        <f>SKT!$F$25/SKT!$F$33</f>
        <v>10.312987115701569</v>
      </c>
      <c r="L452" s="31">
        <f>SKT!$G$25/SKT!$G$33</f>
        <v>13.414892229238518</v>
      </c>
      <c r="M452" s="29">
        <f t="shared" si="122"/>
        <v>6.7556965442539161</v>
      </c>
      <c r="N452" s="30"/>
      <c r="O452" s="29">
        <f>(SKT!$D$24-SKT!$D$25)/SKT!$D$23</f>
        <v>0.13293076143638316</v>
      </c>
      <c r="P452" s="29">
        <f>(SKT!$E$24-SKT!$E$25)/SKT!$E$23</f>
        <v>0.13119351854746056</v>
      </c>
      <c r="Q452" s="29">
        <f>(SKT!$F$24-SKT!$F$25)/SKT!$F$23</f>
        <v>0.12842092862670418</v>
      </c>
      <c r="R452" s="29">
        <f>(SKT!$G$24-SKT!$G$25)/SKT!$G$23</f>
        <v>0.12565465336192097</v>
      </c>
      <c r="S452" s="29">
        <f t="shared" si="123"/>
        <v>-7.2761080744621898E-3</v>
      </c>
      <c r="T452" s="30"/>
      <c r="U452" s="32" t="str">
        <f t="shared" si="124"/>
        <v>KRW 100,000</v>
      </c>
      <c r="V452" s="28" t="str">
        <f t="shared" si="124"/>
        <v>SK Telecom</v>
      </c>
      <c r="Z452" s="33"/>
    </row>
    <row r="453" spans="1:26">
      <c r="A453" s="5"/>
      <c r="C453" s="32" t="str">
        <f t="shared" si="121"/>
        <v>True Corp</v>
      </c>
      <c r="D453" s="28" t="str">
        <f t="shared" si="121"/>
        <v>THB 13.5</v>
      </c>
      <c r="E453" s="28" t="str">
        <f t="shared" si="121"/>
        <v>THB 18.0</v>
      </c>
      <c r="F453" s="29">
        <f t="shared" si="121"/>
        <v>0.33333333333333326</v>
      </c>
      <c r="G453" s="28" t="str">
        <f t="shared" si="121"/>
        <v>Buy</v>
      </c>
      <c r="H453" s="30"/>
      <c r="I453" s="31">
        <f>TRUECORP!$D$25/TRUECORP!$D$33</f>
        <v>4.2443447304553628</v>
      </c>
      <c r="J453" s="31">
        <f>TRUECORP!$E$25/TRUECORP!$E$33</f>
        <v>4.7579808870083129</v>
      </c>
      <c r="K453" s="31">
        <f>TRUECORP!$F$25/TRUECORP!$F$33</f>
        <v>5.4920013448414027</v>
      </c>
      <c r="L453" s="31">
        <f>TRUECORP!$G$25/TRUECORP!$G$33</f>
        <v>6.4200621312649284</v>
      </c>
      <c r="M453" s="29">
        <f>L453-I453</f>
        <v>2.1757174008095657</v>
      </c>
      <c r="N453" s="30"/>
      <c r="O453" s="29">
        <f>(TRUECORP!$D$24-TRUECORP!$D$25)/TRUECORP!$D$23</f>
        <v>0.13999999999999999</v>
      </c>
      <c r="P453" s="29">
        <f>(TRUECORP!$E$24-TRUECORP!$E$25)/TRUECORP!$E$23</f>
        <v>0.14999999999999997</v>
      </c>
      <c r="Q453" s="29">
        <f>(TRUECORP!$F$24-TRUECORP!$F$25)/TRUECORP!$F$23</f>
        <v>0.15</v>
      </c>
      <c r="R453" s="29">
        <f>(TRUECORP!$G$24-TRUECORP!$G$25)/TRUECORP!$G$23</f>
        <v>0.13499999999999998</v>
      </c>
      <c r="S453" s="29">
        <f>R453-O453</f>
        <v>-5.0000000000000044E-3</v>
      </c>
      <c r="T453" s="30"/>
      <c r="U453" s="32" t="str">
        <f t="shared" si="124"/>
        <v>THB 13.5</v>
      </c>
      <c r="V453" s="28" t="str">
        <f t="shared" si="124"/>
        <v>True Corp</v>
      </c>
      <c r="Z453" s="33"/>
    </row>
    <row r="454" spans="1:26">
      <c r="A454" s="5"/>
      <c r="C454" s="32" t="str">
        <f t="shared" si="121"/>
        <v>XL Axiata</v>
      </c>
      <c r="D454" s="28" t="str">
        <f t="shared" si="121"/>
        <v>IDR 3,070</v>
      </c>
      <c r="E454" s="28" t="str">
        <f t="shared" si="121"/>
        <v>IDR 4,500</v>
      </c>
      <c r="F454" s="29">
        <f t="shared" si="121"/>
        <v>0.46579804560260585</v>
      </c>
      <c r="G454" s="28" t="str">
        <f t="shared" si="121"/>
        <v>Buy</v>
      </c>
      <c r="H454" s="30"/>
      <c r="I454" s="31">
        <f>XLAX!$D$25/XLAX!$D$33</f>
        <v>-2.1933733157790933</v>
      </c>
      <c r="J454" s="31">
        <f>XLAX!$E$25/XLAX!$E$33</f>
        <v>-2.7589870872857039</v>
      </c>
      <c r="K454" s="31">
        <f>XLAX!$F$25/XLAX!$F$33</f>
        <v>-3.4369054296989825</v>
      </c>
      <c r="L454" s="31">
        <f>XLAX!$G$25/XLAX!$G$33</f>
        <v>-4.234037054935202</v>
      </c>
      <c r="M454" s="29">
        <f t="shared" si="122"/>
        <v>-2.0406637391561087</v>
      </c>
      <c r="N454" s="40"/>
      <c r="O454" s="29">
        <f>(XLAX!$D$24-XLAX!$D$25)/XLAX!$D$23</f>
        <v>0.24000000000000002</v>
      </c>
      <c r="P454" s="29">
        <f>(XLAX!$E$24-XLAX!$E$25)/XLAX!$E$23</f>
        <v>0.22</v>
      </c>
      <c r="Q454" s="29">
        <f>(XLAX!$F$24-XLAX!$F$25)/XLAX!$F$23</f>
        <v>0.21</v>
      </c>
      <c r="R454" s="29">
        <f>(XLAX!$G$24-XLAX!$G$25)/XLAX!$G$23</f>
        <v>0.2</v>
      </c>
      <c r="S454" s="29">
        <f t="shared" si="123"/>
        <v>-4.0000000000000008E-2</v>
      </c>
      <c r="T454" s="30"/>
      <c r="U454" s="32" t="str">
        <f t="shared" si="124"/>
        <v>IDR 3,070</v>
      </c>
      <c r="V454" s="28" t="str">
        <f t="shared" si="124"/>
        <v>XL Axiata</v>
      </c>
      <c r="Z454" s="33"/>
    </row>
    <row r="455" spans="1:26">
      <c r="A455" s="5"/>
      <c r="C455" s="35" t="str">
        <f>C404</f>
        <v>Agg. Emerging Asia Cellular</v>
      </c>
      <c r="D455" s="36"/>
      <c r="E455" s="36"/>
      <c r="F455" s="37"/>
      <c r="G455" s="36"/>
      <c r="H455" s="30"/>
      <c r="I455" s="38">
        <f>'EM ASIA CELLULAR'!$D$25/'EM ASIA CELLULAR'!$D$33</f>
        <v>5.6596458249701005</v>
      </c>
      <c r="J455" s="38">
        <f>'EM ASIA CELLULAR'!$E$25/'EM ASIA CELLULAR'!$E$33</f>
        <v>6.5255793895564409</v>
      </c>
      <c r="K455" s="38">
        <f>'EM ASIA CELLULAR'!$F$25/'EM ASIA CELLULAR'!$F$33</f>
        <v>7.3489496486421784</v>
      </c>
      <c r="L455" s="38">
        <f>'EM ASIA CELLULAR'!$G$25/'EM ASIA CELLULAR'!$G$33</f>
        <v>8.451863619867364</v>
      </c>
      <c r="M455" s="39">
        <f t="shared" si="122"/>
        <v>2.7922177948972635</v>
      </c>
      <c r="N455" s="40"/>
      <c r="O455" s="39">
        <f>('EM ASIA CELLULAR'!$D$24-'EM ASIA CELLULAR'!$D$25)/'EM ASIA CELLULAR'!$D$23</f>
        <v>0.14787332289142752</v>
      </c>
      <c r="P455" s="39">
        <f>('EM ASIA CELLULAR'!$E$24-'EM ASIA CELLULAR'!$E$25)/'EM ASIA CELLULAR'!$E$23</f>
        <v>0.14253321153782791</v>
      </c>
      <c r="Q455" s="39">
        <f>('EM ASIA CELLULAR'!$F$24-'EM ASIA CELLULAR'!$F$25)/'EM ASIA CELLULAR'!$F$23</f>
        <v>0.13688948455788214</v>
      </c>
      <c r="R455" s="39">
        <f>('EM ASIA CELLULAR'!$G$24-'EM ASIA CELLULAR'!$G$25)/'EM ASIA CELLULAR'!$G$23</f>
        <v>0.13191779616724547</v>
      </c>
      <c r="S455" s="39">
        <f t="shared" si="123"/>
        <v>-1.5955526724182045E-2</v>
      </c>
      <c r="T455" s="30"/>
      <c r="U455" s="41"/>
      <c r="V455" s="42" t="str">
        <f>V404</f>
        <v>Agg. Emerging Asia Cellular</v>
      </c>
      <c r="Z455" s="33"/>
    </row>
    <row r="456" spans="1:26">
      <c r="A456" s="5"/>
      <c r="C456" s="27"/>
      <c r="D456" s="28"/>
      <c r="E456" s="28"/>
      <c r="F456" s="52"/>
      <c r="G456" s="28"/>
      <c r="H456" s="30"/>
      <c r="I456" s="46"/>
      <c r="J456" s="46"/>
      <c r="K456" s="46"/>
      <c r="L456" s="46"/>
      <c r="M456" s="45"/>
      <c r="N456" s="30"/>
      <c r="O456" s="45"/>
      <c r="P456" s="45"/>
      <c r="Q456" s="45"/>
      <c r="R456" s="45"/>
      <c r="S456" s="45"/>
      <c r="T456" s="30"/>
      <c r="U456" s="32"/>
      <c r="V456" s="34"/>
      <c r="Z456" s="33"/>
    </row>
    <row r="457" spans="1:26">
      <c r="A457" s="5"/>
      <c r="C457" s="35" t="str">
        <f>C406</f>
        <v>Agg. Emerging  Cellular</v>
      </c>
      <c r="D457" s="36"/>
      <c r="E457" s="36"/>
      <c r="F457" s="37"/>
      <c r="G457" s="36"/>
      <c r="H457" s="30"/>
      <c r="I457" s="38">
        <f>'EM CELLULAR'!$D$25/'EM CELLULAR'!$D$33</f>
        <v>6.4102981969907198</v>
      </c>
      <c r="J457" s="38">
        <f>'EM CELLULAR'!$E$25/'EM CELLULAR'!$E$33</f>
        <v>7.6538263008062808</v>
      </c>
      <c r="K457" s="38">
        <f>'EM CELLULAR'!$F$25/'EM CELLULAR'!$F$33</f>
        <v>8.9701132920966486</v>
      </c>
      <c r="L457" s="38">
        <f>'EM CELLULAR'!$G$25/'EM CELLULAR'!$G$33</f>
        <v>10.376768049431437</v>
      </c>
      <c r="M457" s="39">
        <f t="shared" ref="M457" si="125">L457-I457</f>
        <v>3.9664698524407171</v>
      </c>
      <c r="N457" s="30"/>
      <c r="O457" s="39">
        <f>('EM CELLULAR'!$D$24-'EM CELLULAR'!$D$25)/'EM CELLULAR'!$D$23</f>
        <v>0.15116772502293135</v>
      </c>
      <c r="P457" s="39">
        <f>('EM CELLULAR'!$E$24-'EM CELLULAR'!$E$25)/'EM CELLULAR'!$E$23</f>
        <v>0.14644369247374819</v>
      </c>
      <c r="Q457" s="39">
        <f>('EM CELLULAR'!$F$24-'EM CELLULAR'!$F$25)/'EM CELLULAR'!$F$23</f>
        <v>0.14096070157693508</v>
      </c>
      <c r="R457" s="39">
        <f>('EM CELLULAR'!$G$24-'EM CELLULAR'!$G$25)/'EM CELLULAR'!$G$23</f>
        <v>0.13637118233588</v>
      </c>
      <c r="S457" s="39">
        <f t="shared" ref="S457" si="126">R457-O457</f>
        <v>-1.4796542687051356E-2</v>
      </c>
      <c r="T457" s="30"/>
      <c r="U457" s="41"/>
      <c r="V457" s="42" t="str">
        <f>V406</f>
        <v>Agg. Emerging  Cellular</v>
      </c>
      <c r="Z457" s="33"/>
    </row>
    <row r="458" spans="1:26">
      <c r="C458" s="27"/>
      <c r="D458" s="28"/>
      <c r="E458" s="28"/>
      <c r="F458" s="29"/>
      <c r="G458" s="28"/>
      <c r="H458" s="30"/>
      <c r="I458" s="31"/>
      <c r="J458" s="31"/>
      <c r="K458" s="31"/>
      <c r="L458" s="31"/>
      <c r="M458" s="29"/>
      <c r="N458" s="30"/>
      <c r="O458" s="29"/>
      <c r="P458" s="29"/>
      <c r="Q458" s="29"/>
      <c r="R458" s="29"/>
      <c r="S458" s="29"/>
      <c r="T458" s="30"/>
      <c r="U458" s="32"/>
      <c r="V458" s="34"/>
      <c r="Z458" s="33"/>
    </row>
    <row r="459" spans="1:26" s="5" customFormat="1">
      <c r="A459" s="23"/>
      <c r="B459" s="26"/>
      <c r="C459" s="51" t="str">
        <f>C408</f>
        <v>Agg. EMEA sector</v>
      </c>
      <c r="D459" s="36"/>
      <c r="E459" s="36"/>
      <c r="F459" s="37"/>
      <c r="G459" s="36"/>
      <c r="H459" s="30"/>
      <c r="I459" s="38">
        <f>'EMEA AGG'!$D$25/'EMEA AGG'!$D$33</f>
        <v>-7.752579404892284</v>
      </c>
      <c r="J459" s="38">
        <f>'EMEA AGG'!$E$25/'EMEA AGG'!$E$33</f>
        <v>-6.3959623070338809</v>
      </c>
      <c r="K459" s="38">
        <f>'EMEA AGG'!$F$25/'EMEA AGG'!$F$33</f>
        <v>-8.8860229859133</v>
      </c>
      <c r="L459" s="38">
        <f>'EMEA AGG'!$G$25/'EMEA AGG'!$G$33</f>
        <v>-9.9888310320123175</v>
      </c>
      <c r="M459" s="39">
        <f>L459-I459</f>
        <v>-2.2362516271200334</v>
      </c>
      <c r="N459" s="40"/>
      <c r="O459" s="39">
        <f>('EMEA AGG'!$D$24-'EMEA AGG'!$D$25)/'EMEA AGG'!$D$23</f>
        <v>0.16362822105972458</v>
      </c>
      <c r="P459" s="39">
        <f>('EMEA AGG'!$E$24-'EMEA AGG'!$E$25)/'EMEA AGG'!$E$23</f>
        <v>0.16134215839594496</v>
      </c>
      <c r="Q459" s="39">
        <f>('EMEA AGG'!$F$24-'EMEA AGG'!$F$25)/'EMEA AGG'!$F$23</f>
        <v>0.15692856424058027</v>
      </c>
      <c r="R459" s="39">
        <f>('EMEA AGG'!$G$24-'EMEA AGG'!$G$25)/'EMEA AGG'!$G$23</f>
        <v>0.15422790883089649</v>
      </c>
      <c r="S459" s="39">
        <f>R459-O459</f>
        <v>-9.4003122288280894E-3</v>
      </c>
      <c r="T459" s="30"/>
      <c r="U459" s="41"/>
      <c r="V459" s="42" t="str">
        <f>V408</f>
        <v>Agg. EMEA sector</v>
      </c>
      <c r="Z459" s="33"/>
    </row>
    <row r="460" spans="1:26" s="5" customFormat="1">
      <c r="A460" s="23"/>
      <c r="B460" s="26"/>
      <c r="C460" s="25" t="str">
        <f>C409</f>
        <v>Agg. LatAm sector</v>
      </c>
      <c r="D460" s="28"/>
      <c r="E460" s="28"/>
      <c r="F460" s="29"/>
      <c r="G460" s="28"/>
      <c r="H460" s="30"/>
      <c r="I460" s="44">
        <f>'LATAM AGG'!$D$25/'LATAM AGG'!$D$33</f>
        <v>-86.878151161497584</v>
      </c>
      <c r="J460" s="44">
        <f>'LATAM AGG'!$E$25/'LATAM AGG'!$E$33</f>
        <v>-401.43203145745952</v>
      </c>
      <c r="K460" s="44">
        <f>'LATAM AGG'!$F$25/'LATAM AGG'!$F$33</f>
        <v>104.23657147348374</v>
      </c>
      <c r="L460" s="44">
        <f>'LATAM AGG'!$G$25/'LATAM AGG'!$G$33</f>
        <v>68.961111912857746</v>
      </c>
      <c r="M460" s="43">
        <f>L460-I460</f>
        <v>155.83926307435533</v>
      </c>
      <c r="N460" s="40"/>
      <c r="O460" s="43">
        <f>('LATAM AGG'!$D$24-'LATAM AGG'!$D$25)/'LATAM AGG'!$D$23</f>
        <v>0.14654797485095972</v>
      </c>
      <c r="P460" s="43">
        <f>('LATAM AGG'!$E$24-'LATAM AGG'!$E$25)/'LATAM AGG'!$E$23</f>
        <v>0.14701544778321152</v>
      </c>
      <c r="Q460" s="43">
        <f>('LATAM AGG'!$F$24-'LATAM AGG'!$F$25)/'LATAM AGG'!$F$23</f>
        <v>0.14402622037559618</v>
      </c>
      <c r="R460" s="43">
        <f>('LATAM AGG'!$G$24-'LATAM AGG'!$G$25)/'LATAM AGG'!$G$23</f>
        <v>0.13675285023812131</v>
      </c>
      <c r="S460" s="43">
        <f>R460-O460</f>
        <v>-9.7951246128384073E-3</v>
      </c>
      <c r="T460" s="30"/>
      <c r="U460" s="32"/>
      <c r="V460" s="34" t="str">
        <f>V409</f>
        <v>Agg. LatAm sector</v>
      </c>
      <c r="Z460" s="33"/>
    </row>
    <row r="461" spans="1:26" s="5" customFormat="1">
      <c r="A461" s="23"/>
      <c r="B461" s="26"/>
      <c r="C461" s="51" t="str">
        <f>C410</f>
        <v>Agg. Emerging Asia sector</v>
      </c>
      <c r="D461" s="36"/>
      <c r="E461" s="36"/>
      <c r="F461" s="37"/>
      <c r="G461" s="36"/>
      <c r="H461" s="30"/>
      <c r="I461" s="38">
        <f>'AGG EM ASIA'!$D$25/'AGG EM ASIA'!$D$33</f>
        <v>8.0993039555270858</v>
      </c>
      <c r="J461" s="38">
        <f>'AGG EM ASIA'!$E$25/'AGG EM ASIA'!$E$33</f>
        <v>9.1414339074902564</v>
      </c>
      <c r="K461" s="38">
        <f>'AGG EM ASIA'!$F$25/'AGG EM ASIA'!$F$33</f>
        <v>10.247397987107549</v>
      </c>
      <c r="L461" s="38">
        <f>'AGG EM ASIA'!$G$25/'AGG EM ASIA'!$G$33</f>
        <v>11.859919219615277</v>
      </c>
      <c r="M461" s="39">
        <f>L461-I461</f>
        <v>3.7606152640881909</v>
      </c>
      <c r="N461" s="40"/>
      <c r="O461" s="39">
        <f>('AGG EM ASIA'!$D$24-'AGG EM ASIA'!$D$25)/'AGG EM ASIA'!$D$23</f>
        <v>0.14680656445761095</v>
      </c>
      <c r="P461" s="39">
        <f>('AGG EM ASIA'!$E$24-'AGG EM ASIA'!$E$25)/'AGG EM ASIA'!$E$23</f>
        <v>0.14041771896725871</v>
      </c>
      <c r="Q461" s="39">
        <f>('AGG EM ASIA'!$F$24-'AGG EM ASIA'!$F$25)/'AGG EM ASIA'!$F$23</f>
        <v>0.13473841517663346</v>
      </c>
      <c r="R461" s="39">
        <f>('AGG EM ASIA'!$G$24-'AGG EM ASIA'!$G$25)/'AGG EM ASIA'!$G$23</f>
        <v>0.1298215908828112</v>
      </c>
      <c r="S461" s="39">
        <f>R461-O461</f>
        <v>-1.698497357479975E-2</v>
      </c>
      <c r="T461" s="30"/>
      <c r="U461" s="41"/>
      <c r="V461" s="42" t="str">
        <f>V410</f>
        <v>Agg. Emerging Asia sector</v>
      </c>
      <c r="Z461" s="33"/>
    </row>
    <row r="462" spans="1:26" s="5" customFormat="1">
      <c r="A462" s="23"/>
      <c r="B462" s="26"/>
      <c r="C462" s="25"/>
      <c r="D462" s="28"/>
      <c r="E462" s="28"/>
      <c r="F462" s="29"/>
      <c r="G462" s="28"/>
      <c r="H462" s="30"/>
      <c r="I462" s="44"/>
      <c r="J462" s="44"/>
      <c r="K462" s="44"/>
      <c r="L462" s="44"/>
      <c r="M462" s="43"/>
      <c r="N462" s="40"/>
      <c r="O462" s="43"/>
      <c r="P462" s="43"/>
      <c r="Q462" s="43"/>
      <c r="R462" s="43"/>
      <c r="S462" s="43"/>
      <c r="T462" s="30"/>
      <c r="U462" s="32"/>
      <c r="V462" s="34"/>
      <c r="Z462" s="33"/>
    </row>
    <row r="463" spans="1:26">
      <c r="C463" s="51" t="str">
        <f>C412</f>
        <v>Agg. Global EM sector</v>
      </c>
      <c r="D463" s="36"/>
      <c r="E463" s="36"/>
      <c r="F463" s="37"/>
      <c r="G463" s="36"/>
      <c r="H463" s="30"/>
      <c r="I463" s="38">
        <f>'AGG EM'!$D$25/'AGG EM'!$D$33</f>
        <v>13.140163373065826</v>
      </c>
      <c r="J463" s="38">
        <f>'AGG EM'!$E$25/'AGG EM'!$E$33</f>
        <v>15.374288382811981</v>
      </c>
      <c r="K463" s="38">
        <f>'AGG EM'!$F$25/'AGG EM'!$F$33</f>
        <v>17.102167862985045</v>
      </c>
      <c r="L463" s="38">
        <f>'AGG EM'!$G$25/'AGG EM'!$G$33</f>
        <v>19.668950770086667</v>
      </c>
      <c r="M463" s="39">
        <f>L463-I463</f>
        <v>6.5287873970208405</v>
      </c>
      <c r="N463" s="40"/>
      <c r="O463" s="39">
        <f>('AGG EM'!$D$24-'AGG EM'!$D$25)/'AGG EM'!$D$23</f>
        <v>0.14796597156242186</v>
      </c>
      <c r="P463" s="39">
        <f>('AGG EM'!$E$24-'AGG EM'!$E$25)/'AGG EM'!$E$23</f>
        <v>0.14327437826707298</v>
      </c>
      <c r="Q463" s="39">
        <f>('AGG EM'!$F$24-'AGG EM'!$F$25)/'AGG EM'!$F$23</f>
        <v>0.13827925449150816</v>
      </c>
      <c r="R463" s="39">
        <f>('AGG EM'!$G$24-'AGG EM'!$G$25)/'AGG EM'!$G$23</f>
        <v>0.13324699306881405</v>
      </c>
      <c r="S463" s="39">
        <f>R463-O463</f>
        <v>-1.4718978493607815E-2</v>
      </c>
      <c r="T463" s="30"/>
      <c r="U463" s="41"/>
      <c r="V463" s="42" t="str">
        <f>V412</f>
        <v>Agg. Global EM sector (ex-consensus)</v>
      </c>
    </row>
    <row r="464" spans="1:26">
      <c r="C464" s="27"/>
      <c r="D464" s="28"/>
      <c r="E464" s="28"/>
      <c r="F464" s="29"/>
      <c r="G464" s="28"/>
      <c r="H464" s="105"/>
      <c r="I464" s="31"/>
      <c r="J464" s="31"/>
      <c r="K464" s="31"/>
      <c r="L464" s="31"/>
      <c r="M464" s="31"/>
      <c r="N464" s="30"/>
      <c r="O464" s="31"/>
      <c r="P464" s="31"/>
      <c r="Q464" s="31"/>
      <c r="R464" s="31"/>
      <c r="S464" s="31"/>
      <c r="T464" s="30"/>
      <c r="U464" s="32"/>
      <c r="V464" s="34"/>
      <c r="X464" s="1"/>
    </row>
    <row r="465" spans="1:29">
      <c r="C465" s="27"/>
      <c r="D465" s="28"/>
      <c r="E465" s="28"/>
      <c r="F465" s="29"/>
      <c r="G465" s="28"/>
      <c r="H465" s="105"/>
      <c r="I465" s="31"/>
      <c r="J465" s="31"/>
      <c r="K465" s="31"/>
      <c r="L465" s="31"/>
      <c r="M465" s="31"/>
      <c r="N465" s="30"/>
      <c r="O465" s="31"/>
      <c r="P465" s="31"/>
      <c r="Q465" s="31"/>
      <c r="R465" s="31"/>
      <c r="S465" s="31"/>
      <c r="T465" s="30"/>
      <c r="U465" s="32"/>
      <c r="V465" s="34"/>
      <c r="X465" s="1"/>
    </row>
    <row r="466" spans="1:29" s="25" customFormat="1">
      <c r="B466" s="113"/>
      <c r="C466" s="130"/>
      <c r="D466" s="131" t="s">
        <v>379</v>
      </c>
      <c r="E466" s="131" t="s">
        <v>50</v>
      </c>
      <c r="F466" s="131" t="s">
        <v>52</v>
      </c>
      <c r="G466" s="131" t="s">
        <v>49</v>
      </c>
      <c r="H466" s="105"/>
      <c r="I466" s="132" t="s">
        <v>531</v>
      </c>
      <c r="J466" s="132"/>
      <c r="K466" s="132"/>
      <c r="L466" s="132"/>
      <c r="M466" s="132"/>
      <c r="N466" s="30"/>
      <c r="O466" s="132" t="s">
        <v>524</v>
      </c>
      <c r="P466" s="132"/>
      <c r="Q466" s="132"/>
      <c r="R466" s="132"/>
      <c r="S466" s="132"/>
      <c r="T466" s="30"/>
      <c r="U466" s="133" t="s">
        <v>379</v>
      </c>
      <c r="V466" s="131"/>
      <c r="Z466" s="33"/>
      <c r="AC466" s="106"/>
    </row>
    <row r="467" spans="1:29">
      <c r="A467" s="25" t="s">
        <v>415</v>
      </c>
      <c r="C467" s="32" t="str">
        <f t="shared" ref="C467:G469" si="127">C416</f>
        <v>America Movil</v>
      </c>
      <c r="D467" s="28" t="str">
        <f t="shared" si="127"/>
        <v>USD 22.8</v>
      </c>
      <c r="E467" s="28" t="str">
        <f t="shared" si="127"/>
        <v>USD 24.0</v>
      </c>
      <c r="F467" s="29">
        <f t="shared" si="127"/>
        <v>5.2631578947368363E-2</v>
      </c>
      <c r="G467" s="28" t="str">
        <f t="shared" si="127"/>
        <v>Buy</v>
      </c>
      <c r="H467" s="30"/>
      <c r="I467" s="29">
        <f>AMX!$D$31/AMX!$D$29</f>
        <v>0.26629219813680427</v>
      </c>
      <c r="J467" s="29">
        <f>AMX!$E$31/AMX!$E$29</f>
        <v>0.29820419776625684</v>
      </c>
      <c r="K467" s="29">
        <f>AMX!$F$31/AMX!$F$29</f>
        <v>0.3095481526420355</v>
      </c>
      <c r="L467" s="29">
        <f>AMX!$G$31/AMX!$G$29</f>
        <v>0.30109226335985362</v>
      </c>
      <c r="M467" s="29">
        <f t="shared" ref="M467:M470" si="128">L467-I467</f>
        <v>3.4800065223049348E-2</v>
      </c>
      <c r="N467" s="30"/>
      <c r="O467" s="29">
        <f>AMX!$D$31/AMX!$D$30</f>
        <v>0.35116498391378392</v>
      </c>
      <c r="P467" s="29">
        <f>AMX!$E$31/AMX!$E$30</f>
        <v>0.34667011169492995</v>
      </c>
      <c r="Q467" s="29">
        <f>AMX!$F$31/AMX!$F$30</f>
        <v>0.33987283737230578</v>
      </c>
      <c r="R467" s="29">
        <f>AMX!$G$31/AMX!$G$30</f>
        <v>0.33777380801835311</v>
      </c>
      <c r="S467" s="29">
        <f t="shared" ref="S467:S470" si="129">R467-O467</f>
        <v>-1.3391175895430818E-2</v>
      </c>
      <c r="T467" s="30"/>
      <c r="U467" s="32" t="str">
        <f>U416</f>
        <v>USD 22.8</v>
      </c>
      <c r="V467" s="28" t="str">
        <f>V416</f>
        <v>America Movil</v>
      </c>
    </row>
    <row r="468" spans="1:29">
      <c r="A468" s="5"/>
      <c r="C468" s="32" t="str">
        <f t="shared" si="127"/>
        <v>Vivo</v>
      </c>
      <c r="D468" s="28" t="str">
        <f t="shared" si="127"/>
        <v>BRL 39.88</v>
      </c>
      <c r="E468" s="28" t="str">
        <f t="shared" si="127"/>
        <v>BRL 43.00</v>
      </c>
      <c r="F468" s="29">
        <f t="shared" si="127"/>
        <v>7.8234704112337017E-2</v>
      </c>
      <c r="G468" s="28" t="str">
        <f t="shared" si="127"/>
        <v>Buy</v>
      </c>
      <c r="H468" s="30"/>
      <c r="I468" s="29">
        <f>VIVO!$D$31/VIVO!$D$29</f>
        <v>0.47728945048179966</v>
      </c>
      <c r="J468" s="29">
        <f>VIVO!$E$31/VIVO!$E$29</f>
        <v>0.60905080510305409</v>
      </c>
      <c r="K468" s="29">
        <f>VIVO!$F$31/VIVO!$F$29</f>
        <v>0.63859141227261762</v>
      </c>
      <c r="L468" s="29">
        <f>VIVO!$G$31/VIVO!$G$29</f>
        <v>0.67683470606460849</v>
      </c>
      <c r="M468" s="29">
        <f>L468-I468</f>
        <v>0.19954525558280883</v>
      </c>
      <c r="N468" s="30"/>
      <c r="O468" s="29">
        <f>VIVO!$D$31/VIVO!$D$30</f>
        <v>0.60081749008776586</v>
      </c>
      <c r="P468" s="29">
        <f>VIVO!$E$31/VIVO!$E$30</f>
        <v>0.73721884394540005</v>
      </c>
      <c r="Q468" s="29">
        <f>VIVO!$F$31/VIVO!$F$30</f>
        <v>0.73772333956533109</v>
      </c>
      <c r="R468" s="29">
        <f>VIVO!$G$31/VIVO!$G$30</f>
        <v>0.77178225922537258</v>
      </c>
      <c r="S468" s="29">
        <f>R468-O468</f>
        <v>0.17096476913760672</v>
      </c>
      <c r="T468" s="30"/>
      <c r="U468" s="32" t="str">
        <f>U417</f>
        <v>BRL 39.88</v>
      </c>
      <c r="V468" s="28" t="str">
        <f>V417</f>
        <v>Telefonica Brasil</v>
      </c>
      <c r="X468" s="29"/>
      <c r="Y468" s="29"/>
      <c r="Z468" s="33"/>
    </row>
    <row r="469" spans="1:29">
      <c r="A469" s="5"/>
      <c r="C469" s="32" t="str">
        <f t="shared" si="127"/>
        <v>Televisa</v>
      </c>
      <c r="D469" s="28" t="str">
        <f t="shared" si="127"/>
        <v>USD 3.1</v>
      </c>
      <c r="E469" s="28" t="str">
        <f t="shared" si="127"/>
        <v>USD 3.7</v>
      </c>
      <c r="F469" s="29">
        <f t="shared" si="127"/>
        <v>0.21311475409836089</v>
      </c>
      <c r="G469" s="28" t="str">
        <f t="shared" si="127"/>
        <v>Neutral</v>
      </c>
      <c r="H469" s="30"/>
      <c r="I469" s="29">
        <f>TVIS!$D$31/TVIS!$D$29</f>
        <v>0.26689440345613596</v>
      </c>
      <c r="J469" s="29">
        <f>TVIS!$E$31/TVIS!$E$29</f>
        <v>0.28638639140570693</v>
      </c>
      <c r="K469" s="29">
        <f>TVIS!$F$31/TVIS!$F$29</f>
        <v>0.20935580546334698</v>
      </c>
      <c r="L469" s="29">
        <f>TVIS!$G$31/TVIS!$G$29</f>
        <v>0.1558415074084063</v>
      </c>
      <c r="M469" s="29">
        <f>L469-I469</f>
        <v>-0.11105289604772967</v>
      </c>
      <c r="N469" s="30"/>
      <c r="O469" s="29">
        <f>TVIS!$D$31/TVIS!$D$30</f>
        <v>-3.6746234841010414</v>
      </c>
      <c r="P469" s="29">
        <f>TVIS!$E$31/TVIS!$E$30</f>
        <v>-6.3009503240614713</v>
      </c>
      <c r="Q469" s="29">
        <f>TVIS!$F$31/TVIS!$F$30</f>
        <v>4.8139836592822336</v>
      </c>
      <c r="R469" s="29">
        <f>TVIS!$G$31/TVIS!$G$30</f>
        <v>0.90535986324987494</v>
      </c>
      <c r="S469" s="29">
        <f>R469-O469</f>
        <v>4.5799833473509164</v>
      </c>
      <c r="T469" s="30"/>
      <c r="U469" s="32" t="str">
        <f>U418</f>
        <v>USD 3.1</v>
      </c>
      <c r="V469" s="28" t="s">
        <v>561</v>
      </c>
      <c r="Z469" s="33"/>
    </row>
    <row r="470" spans="1:29">
      <c r="A470" s="5"/>
      <c r="C470" s="35" t="str">
        <f>C419</f>
        <v>Agg. LatAm Incumbent</v>
      </c>
      <c r="D470" s="36"/>
      <c r="E470" s="36"/>
      <c r="F470" s="37"/>
      <c r="G470" s="36"/>
      <c r="H470" s="30"/>
      <c r="I470" s="39">
        <f>'LATAM INCUMB'!$D$31/'LATAM INCUMB'!$D$29</f>
        <v>0.31180804383016342</v>
      </c>
      <c r="J470" s="39">
        <f>'LATAM INCUMB'!$E$31/'LATAM INCUMB'!$E$29</f>
        <v>0.37650511421699084</v>
      </c>
      <c r="K470" s="39">
        <f>'LATAM INCUMB'!$F$31/'LATAM INCUMB'!$F$29</f>
        <v>0.39473276117407413</v>
      </c>
      <c r="L470" s="39">
        <f>'LATAM INCUMB'!$G$31/'LATAM INCUMB'!$G$29</f>
        <v>0.39512751374163507</v>
      </c>
      <c r="M470" s="39">
        <f t="shared" si="128"/>
        <v>8.3319469911471655E-2</v>
      </c>
      <c r="N470" s="40"/>
      <c r="O470" s="39">
        <f>'LATAM INCUMB'!$D$31/'LATAM INCUMB'!$D$30</f>
        <v>0.41760087143803964</v>
      </c>
      <c r="P470" s="39">
        <f>'LATAM INCUMB'!$E$31/'LATAM INCUMB'!$E$30</f>
        <v>0.45123822898803884</v>
      </c>
      <c r="Q470" s="39">
        <f>'LATAM INCUMB'!$F$31/'LATAM INCUMB'!$F$30</f>
        <v>0.449748592770429</v>
      </c>
      <c r="R470" s="39">
        <f>'LATAM INCUMB'!$G$31/'LATAM INCUMB'!$G$30</f>
        <v>0.45613132446951626</v>
      </c>
      <c r="S470" s="39">
        <f t="shared" si="129"/>
        <v>3.8530453031476619E-2</v>
      </c>
      <c r="T470" s="30"/>
      <c r="U470" s="41"/>
      <c r="V470" s="42" t="str">
        <f>V419</f>
        <v>Agg. LatAm Incumbent</v>
      </c>
      <c r="W470" s="52"/>
      <c r="Z470" s="33"/>
    </row>
    <row r="471" spans="1:29">
      <c r="C471" s="32"/>
      <c r="D471" s="28"/>
      <c r="E471" s="28"/>
      <c r="F471" s="29"/>
      <c r="G471" s="28"/>
      <c r="H471" s="30"/>
      <c r="I471" s="29"/>
      <c r="J471" s="29"/>
      <c r="K471" s="29"/>
      <c r="L471" s="29"/>
      <c r="M471" s="29"/>
      <c r="N471" s="40"/>
      <c r="O471" s="29"/>
      <c r="P471" s="29"/>
      <c r="Q471" s="29"/>
      <c r="R471" s="29"/>
      <c r="S471" s="29"/>
      <c r="T471" s="30"/>
      <c r="U471" s="32"/>
      <c r="V471" s="34"/>
      <c r="Z471" s="33"/>
    </row>
    <row r="472" spans="1:29">
      <c r="A472" s="5"/>
      <c r="C472" s="32" t="str">
        <f t="shared" ref="C472:G475" si="130">C421</f>
        <v>China Telecom</v>
      </c>
      <c r="D472" s="28" t="str">
        <f t="shared" si="130"/>
        <v>HKD 5.01</v>
      </c>
      <c r="E472" s="28" t="str">
        <f t="shared" si="130"/>
        <v>HKD 8.75</v>
      </c>
      <c r="F472" s="29">
        <f t="shared" si="130"/>
        <v>0.7465069860279443</v>
      </c>
      <c r="G472" s="28" t="str">
        <f t="shared" si="130"/>
        <v>Buy</v>
      </c>
      <c r="H472" s="30"/>
      <c r="I472" s="29">
        <f>_CT!$D$31/_CT!$D$29</f>
        <v>0.76694925706664807</v>
      </c>
      <c r="J472" s="29">
        <f>_CT!$E$31/_CT!$E$29</f>
        <v>0.64913716201172345</v>
      </c>
      <c r="K472" s="29">
        <f>_CT!$F$31/_CT!$F$29</f>
        <v>0.63314530865823904</v>
      </c>
      <c r="L472" s="29">
        <f>_CT!$G$31/_CT!$G$29</f>
        <v>0.61628855479236333</v>
      </c>
      <c r="M472" s="29">
        <f t="shared" ref="M472:M476" si="131">L472-I472</f>
        <v>-0.15066070227428474</v>
      </c>
      <c r="N472" s="40"/>
      <c r="O472" s="135">
        <f>_CT!$D$31/_CT!$D$30</f>
        <v>0.72039617903607733</v>
      </c>
      <c r="P472" s="135">
        <f>_CT!$E$31/_CT!$E$30</f>
        <v>0.74924288767550629</v>
      </c>
      <c r="Q472" s="135">
        <f>_CT!$F$31/_CT!$F$30</f>
        <v>0.74550254566876684</v>
      </c>
      <c r="R472" s="135">
        <f>_CT!$G$31/_CT!$G$30</f>
        <v>0.74097226580470144</v>
      </c>
      <c r="S472" s="135">
        <f t="shared" ref="S472:S476" si="132">R472-O472</f>
        <v>2.0576086768624102E-2</v>
      </c>
      <c r="T472" s="30"/>
      <c r="U472" s="32" t="str">
        <f t="shared" ref="U472:V475" si="133">U421</f>
        <v>HKD 5.01</v>
      </c>
      <c r="V472" s="28" t="str">
        <f t="shared" si="133"/>
        <v>China Telecom</v>
      </c>
      <c r="Z472" s="33"/>
    </row>
    <row r="473" spans="1:29">
      <c r="A473" s="5"/>
      <c r="C473" s="32" t="str">
        <f t="shared" si="130"/>
        <v>China Unicom</v>
      </c>
      <c r="D473" s="28" t="str">
        <f t="shared" si="130"/>
        <v>HKD 7.26</v>
      </c>
      <c r="E473" s="28" t="str">
        <f t="shared" si="130"/>
        <v>HKD 13.20</v>
      </c>
      <c r="F473" s="29">
        <f t="shared" si="130"/>
        <v>0.81818181818181812</v>
      </c>
      <c r="G473" s="28" t="str">
        <f t="shared" si="130"/>
        <v>Buy</v>
      </c>
      <c r="H473" s="30"/>
      <c r="I473" s="29">
        <f>_CU!$D$31/_CU!$D$29</f>
        <v>0.41797130847019992</v>
      </c>
      <c r="J473" s="29">
        <f>_CU!$E$31/_CU!$E$29</f>
        <v>0.46441331050674173</v>
      </c>
      <c r="K473" s="29">
        <f>_CU!$F$31/_CU!$F$29</f>
        <v>0.48209504496456745</v>
      </c>
      <c r="L473" s="29">
        <f>_CU!$G$31/_CU!$G$29</f>
        <v>0.5380759955541996</v>
      </c>
      <c r="M473" s="29">
        <f t="shared" si="131"/>
        <v>0.12010468708399968</v>
      </c>
      <c r="N473" s="40"/>
      <c r="O473" s="135">
        <f>_CU!$D$31/_CU!$D$30</f>
        <v>0.6907160910848934</v>
      </c>
      <c r="P473" s="135">
        <f>_CU!$E$31/_CU!$E$30</f>
        <v>0.74115932745121782</v>
      </c>
      <c r="Q473" s="135">
        <f>_CU!$F$31/_CU!$F$30</f>
        <v>0.73795543462584501</v>
      </c>
      <c r="R473" s="135">
        <f>_CU!$G$31/_CU!$G$30</f>
        <v>0.78748333987491215</v>
      </c>
      <c r="S473" s="135">
        <f t="shared" si="132"/>
        <v>9.6767248790018745E-2</v>
      </c>
      <c r="T473" s="30"/>
      <c r="U473" s="32" t="str">
        <f t="shared" si="133"/>
        <v>HKD 7.26</v>
      </c>
      <c r="V473" s="28" t="str">
        <f t="shared" si="133"/>
        <v>China Unicom</v>
      </c>
      <c r="Z473" s="33"/>
    </row>
    <row r="474" spans="1:29">
      <c r="C474" s="32" t="str">
        <f t="shared" si="130"/>
        <v>KT Corp</v>
      </c>
      <c r="D474" s="28" t="str">
        <f t="shared" si="130"/>
        <v>KRW 61,700</v>
      </c>
      <c r="E474" s="28" t="str">
        <f t="shared" si="130"/>
        <v>KRW 105,000</v>
      </c>
      <c r="F474" s="29">
        <f t="shared" si="130"/>
        <v>0.70178282009724469</v>
      </c>
      <c r="G474" s="28" t="str">
        <f t="shared" si="130"/>
        <v>Buy</v>
      </c>
      <c r="H474" s="30"/>
      <c r="I474" s="29">
        <f>_KT!$D$31/_KT!$D$29</f>
        <v>0.28860272097457718</v>
      </c>
      <c r="J474" s="29">
        <f>_KT!$E$31/_KT!$E$29</f>
        <v>0.24930773719194288</v>
      </c>
      <c r="K474" s="29">
        <f>_KT!$F$31/_KT!$F$29</f>
        <v>0.28335730063103398</v>
      </c>
      <c r="L474" s="29">
        <f>_KT!$G$31/_KT!$G$29</f>
        <v>0.28015265228978964</v>
      </c>
      <c r="M474" s="29">
        <f t="shared" si="131"/>
        <v>-8.4500686847875373E-3</v>
      </c>
      <c r="N474" s="40"/>
      <c r="O474" s="29">
        <f>_KT!$D$31/_KT!$D$30</f>
        <v>0.28456703347590967</v>
      </c>
      <c r="P474" s="29">
        <f>_KT!$E$31/_KT!$E$30</f>
        <v>0.3085529359580243</v>
      </c>
      <c r="Q474" s="29">
        <f>_KT!$F$31/_KT!$F$30</f>
        <v>0.33871732601565524</v>
      </c>
      <c r="R474" s="29">
        <f>_KT!$G$31/_KT!$G$30</f>
        <v>0.32559565801145013</v>
      </c>
      <c r="S474" s="29">
        <f t="shared" si="132"/>
        <v>4.1028624535540459E-2</v>
      </c>
      <c r="T474" s="30"/>
      <c r="U474" s="32" t="str">
        <f t="shared" si="133"/>
        <v>KRW 61,700</v>
      </c>
      <c r="V474" s="28" t="str">
        <f t="shared" si="133"/>
        <v>KT Corp</v>
      </c>
      <c r="Z474" s="33"/>
      <c r="AC474" s="47"/>
    </row>
    <row r="475" spans="1:29">
      <c r="C475" s="32" t="str">
        <f t="shared" si="130"/>
        <v>Telkom Indonesia</v>
      </c>
      <c r="D475" s="28" t="str">
        <f t="shared" si="130"/>
        <v>IDR 2,810</v>
      </c>
      <c r="E475" s="28" t="str">
        <f t="shared" si="130"/>
        <v>IDR 3,500</v>
      </c>
      <c r="F475" s="29">
        <f t="shared" si="130"/>
        <v>0.24555160142348753</v>
      </c>
      <c r="G475" s="28" t="str">
        <f t="shared" si="130"/>
        <v>Neutral</v>
      </c>
      <c r="H475" s="30"/>
      <c r="I475" s="29">
        <f>PTT!$D$31/PTT!$D$29</f>
        <v>1.0979641521987065</v>
      </c>
      <c r="J475" s="29">
        <f>PTT!$E$31/PTT!$E$29</f>
        <v>1.2005687455565557</v>
      </c>
      <c r="K475" s="29">
        <f>PTT!$F$31/PTT!$F$29</f>
        <v>1.1836275481144976</v>
      </c>
      <c r="L475" s="29">
        <f>PTT!$G$31/PTT!$G$29</f>
        <v>1.1978314050090786</v>
      </c>
      <c r="M475" s="29">
        <f t="shared" si="131"/>
        <v>9.986725281037212E-2</v>
      </c>
      <c r="N475" s="40"/>
      <c r="O475" s="135">
        <f>PTT!$D$31/PTT!$D$30</f>
        <v>0.88522936046928014</v>
      </c>
      <c r="P475" s="135">
        <f>PTT!$E$31/PTT!$E$30</f>
        <v>0.89</v>
      </c>
      <c r="Q475" s="135">
        <f>PTT!$F$31/PTT!$F$30</f>
        <v>0.88999999999999957</v>
      </c>
      <c r="R475" s="135">
        <f>PTT!$G$31/PTT!$G$30</f>
        <v>0.89000000000000057</v>
      </c>
      <c r="S475" s="135">
        <f t="shared" si="132"/>
        <v>4.770639530720433E-3</v>
      </c>
      <c r="T475" s="30"/>
      <c r="U475" s="32" t="str">
        <f t="shared" si="133"/>
        <v>IDR 2,810</v>
      </c>
      <c r="V475" s="28" t="str">
        <f t="shared" si="133"/>
        <v>PT Telkom</v>
      </c>
      <c r="Z475" s="33"/>
    </row>
    <row r="476" spans="1:29">
      <c r="C476" s="35" t="str">
        <f>C425</f>
        <v>Agg. Emerging Asia Incumbent</v>
      </c>
      <c r="D476" s="36"/>
      <c r="E476" s="36"/>
      <c r="F476" s="37"/>
      <c r="G476" s="36"/>
      <c r="H476" s="30"/>
      <c r="I476" s="39">
        <f>'EM ASIA INCUMB'!$D$31/'EM ASIA INCUMB'!$D$29</f>
        <v>0.60225842087871795</v>
      </c>
      <c r="J476" s="39">
        <f>'EM ASIA INCUMB'!$E$31/'EM ASIA INCUMB'!$E$29</f>
        <v>0.57367413902190179</v>
      </c>
      <c r="K476" s="39">
        <f>'EM ASIA INCUMB'!$F$31/'EM ASIA INCUMB'!$F$29</f>
        <v>0.57487395355605253</v>
      </c>
      <c r="L476" s="39">
        <f>'EM ASIA INCUMB'!$G$31/'EM ASIA INCUMB'!$G$29</f>
        <v>0.58842106749127654</v>
      </c>
      <c r="M476" s="39">
        <f t="shared" si="131"/>
        <v>-1.3837353387441409E-2</v>
      </c>
      <c r="N476" s="40"/>
      <c r="O476" s="39">
        <f>'EM ASIA INCUMB'!$D$31/'EM ASIA INCUMB'!$D$30</f>
        <v>0.67945365608346131</v>
      </c>
      <c r="P476" s="39">
        <f>'EM ASIA INCUMB'!$E$31/'EM ASIA INCUMB'!$E$30</f>
        <v>0.71486545260764689</v>
      </c>
      <c r="Q476" s="39">
        <f>'EM ASIA INCUMB'!$F$31/'EM ASIA INCUMB'!$F$30</f>
        <v>0.71362473873638166</v>
      </c>
      <c r="R476" s="39">
        <f>'EM ASIA INCUMB'!$G$31/'EM ASIA INCUMB'!$G$30</f>
        <v>0.72508496158166336</v>
      </c>
      <c r="S476" s="39">
        <f t="shared" si="132"/>
        <v>4.5631305498202046E-2</v>
      </c>
      <c r="T476" s="30"/>
      <c r="U476" s="41"/>
      <c r="V476" s="42" t="str">
        <f>V425</f>
        <v>Agg. Emerging Asia Incumbent</v>
      </c>
      <c r="Z476" s="33"/>
    </row>
    <row r="477" spans="1:29">
      <c r="C477" s="27"/>
      <c r="D477" s="28"/>
      <c r="E477" s="28"/>
      <c r="F477" s="52"/>
      <c r="G477" s="28"/>
      <c r="H477" s="30"/>
      <c r="I477" s="45"/>
      <c r="J477" s="45"/>
      <c r="K477" s="45"/>
      <c r="L477" s="45"/>
      <c r="M477" s="45"/>
      <c r="N477" s="40"/>
      <c r="O477" s="45"/>
      <c r="P477" s="45"/>
      <c r="Q477" s="45"/>
      <c r="R477" s="45"/>
      <c r="S477" s="45"/>
      <c r="T477" s="30"/>
      <c r="U477" s="32"/>
      <c r="V477" s="34"/>
      <c r="Z477" s="33"/>
    </row>
    <row r="478" spans="1:29">
      <c r="C478" s="35" t="str">
        <f>C427</f>
        <v>Agg. Emerging Incumbent</v>
      </c>
      <c r="D478" s="36"/>
      <c r="E478" s="36"/>
      <c r="F478" s="37"/>
      <c r="G478" s="36"/>
      <c r="H478" s="30"/>
      <c r="I478" s="39">
        <f>'EM INCUMB'!$D$31/'EM INCUMB'!$D$29</f>
        <v>0.48589803724549191</v>
      </c>
      <c r="J478" s="39">
        <f>'EM INCUMB'!$E$31/'EM INCUMB'!$E$29</f>
        <v>0.49556464546321294</v>
      </c>
      <c r="K478" s="39">
        <f>'EM INCUMB'!$F$31/'EM INCUMB'!$F$29</f>
        <v>0.50418841009000548</v>
      </c>
      <c r="L478" s="39">
        <f>'EM INCUMB'!$G$31/'EM INCUMB'!$G$29</f>
        <v>0.51212537499532951</v>
      </c>
      <c r="M478" s="39">
        <f t="shared" ref="M478" si="134">L478-I478</f>
        <v>2.6227337749837598E-2</v>
      </c>
      <c r="N478" s="40"/>
      <c r="O478" s="39">
        <f>'EM INCUMB'!$D$31/'EM INCUMB'!$D$30</f>
        <v>0.58512945585060416</v>
      </c>
      <c r="P478" s="39">
        <f>'EM INCUMB'!$E$31/'EM INCUMB'!$E$30</f>
        <v>0.60796100118510343</v>
      </c>
      <c r="Q478" s="39">
        <f>'EM INCUMB'!$F$31/'EM INCUMB'!$F$30</f>
        <v>0.60464225610518429</v>
      </c>
      <c r="R478" s="39">
        <f>'EM INCUMB'!$G$31/'EM INCUMB'!$G$30</f>
        <v>0.61470335036256341</v>
      </c>
      <c r="S478" s="39">
        <f t="shared" ref="S478" si="135">R478-O478</f>
        <v>2.9573894511959242E-2</v>
      </c>
      <c r="T478" s="30"/>
      <c r="U478" s="41"/>
      <c r="V478" s="42" t="str">
        <f>V427</f>
        <v>Agg. Emerging Incumbent</v>
      </c>
      <c r="Z478" s="33"/>
    </row>
    <row r="479" spans="1:29">
      <c r="C479" s="27"/>
      <c r="D479" s="28"/>
      <c r="E479" s="28"/>
      <c r="F479" s="29"/>
      <c r="G479" s="28"/>
      <c r="H479" s="30"/>
      <c r="I479" s="29"/>
      <c r="J479" s="29"/>
      <c r="K479" s="29"/>
      <c r="L479" s="29"/>
      <c r="M479" s="29"/>
      <c r="N479" s="40"/>
      <c r="O479" s="29"/>
      <c r="P479" s="29"/>
      <c r="Q479" s="29"/>
      <c r="R479" s="29"/>
      <c r="S479" s="29"/>
      <c r="T479" s="30"/>
      <c r="U479" s="32"/>
      <c r="V479" s="34"/>
      <c r="Z479" s="33"/>
    </row>
    <row r="480" spans="1:29">
      <c r="A480" s="25" t="s">
        <v>1091</v>
      </c>
      <c r="C480" s="32" t="str">
        <f t="shared" ref="C480:G484" si="136">C429</f>
        <v>Airtel Africa</v>
      </c>
      <c r="D480" s="28" t="str">
        <f t="shared" si="136"/>
        <v>GBP3.60</v>
      </c>
      <c r="E480" s="28" t="str">
        <f t="shared" si="136"/>
        <v>GBP4.60</v>
      </c>
      <c r="F480" s="29">
        <f t="shared" si="136"/>
        <v>0.2791991101223581</v>
      </c>
      <c r="G480" s="28" t="str">
        <f t="shared" si="136"/>
        <v>Buy</v>
      </c>
      <c r="H480" s="30"/>
      <c r="I480" s="29">
        <f>AAF!$D$31/AAF!$D$29</f>
        <v>0.5227059878942808</v>
      </c>
      <c r="J480" s="29">
        <f>AAF!$E$31/AAF!$E$29</f>
        <v>0.27705240198298692</v>
      </c>
      <c r="K480" s="29">
        <f>AAF!$F$31/AAF!$F$29</f>
        <v>0.26493290259840813</v>
      </c>
      <c r="L480" s="29">
        <f>AAF!$G$31/AAF!$G$29</f>
        <v>0.28083170822527287</v>
      </c>
      <c r="M480" s="29">
        <f t="shared" ref="M480" si="137">L480-I480</f>
        <v>-0.24187427966900793</v>
      </c>
      <c r="N480" s="40"/>
      <c r="O480" s="135">
        <f>AAF!$D$31/AAF!$D$30</f>
        <v>0.24821071865518693</v>
      </c>
      <c r="P480" s="135">
        <f>AAF!$E$31/AAF!$E$30</f>
        <v>0.24212855950780413</v>
      </c>
      <c r="Q480" s="135">
        <f>AAF!$F$31/AAF!$F$30</f>
        <v>0.21027369377886856</v>
      </c>
      <c r="R480" s="135">
        <f>AAF!$G$31/AAF!$G$30</f>
        <v>0.21159004628152395</v>
      </c>
      <c r="S480" s="135">
        <f t="shared" ref="S480" si="138">R480-O480</f>
        <v>-3.6620672373662982E-2</v>
      </c>
      <c r="T480" s="30"/>
      <c r="U480" s="32" t="str">
        <f t="shared" ref="U480:V484" si="139">U429</f>
        <v>GBP3.60</v>
      </c>
      <c r="V480" s="28" t="str">
        <f t="shared" si="139"/>
        <v>Airtel Africa</v>
      </c>
      <c r="Z480" s="33"/>
    </row>
    <row r="481" spans="1:26">
      <c r="C481" s="32" t="str">
        <f t="shared" si="136"/>
        <v>MTN</v>
      </c>
      <c r="D481" s="28" t="str">
        <f t="shared" si="136"/>
        <v>ZAR 206.35</v>
      </c>
      <c r="E481" s="28" t="str">
        <f t="shared" si="136"/>
        <v>ZAR 280.00</v>
      </c>
      <c r="F481" s="29">
        <f t="shared" si="136"/>
        <v>0.35691785800823839</v>
      </c>
      <c r="G481" s="28" t="str">
        <f t="shared" si="136"/>
        <v>Buy</v>
      </c>
      <c r="H481" s="30"/>
      <c r="I481" s="29">
        <f>MTN!$D$31/MTN!$D$29</f>
        <v>0.72598302165113515</v>
      </c>
      <c r="J481" s="29">
        <f>MTN!$E$31/MTN!$E$29</f>
        <v>0.88612483794602737</v>
      </c>
      <c r="K481" s="29">
        <f>MTN!$F$31/MTN!$F$29</f>
        <v>0.71122999537859422</v>
      </c>
      <c r="L481" s="29">
        <f>MTN!$G$31/MTN!$G$29</f>
        <v>0.70635266064628222</v>
      </c>
      <c r="M481" s="29">
        <f t="shared" ref="M481:M485" si="140">L481-I481</f>
        <v>-1.9630361004852936E-2</v>
      </c>
      <c r="N481" s="40"/>
      <c r="O481" s="135">
        <f>MTN!$D$31/MTN!$D$30</f>
        <v>0.27607136695148354</v>
      </c>
      <c r="P481" s="135">
        <f>MTN!$E$31/MTN!$E$30</f>
        <v>0.26465017940377716</v>
      </c>
      <c r="Q481" s="135">
        <f>MTN!$F$31/MTN!$F$30</f>
        <v>0.27263211582462815</v>
      </c>
      <c r="R481" s="135">
        <f>MTN!$G$31/MTN!$G$30</f>
        <v>0.27668127205023346</v>
      </c>
      <c r="S481" s="135">
        <f t="shared" ref="S481:S485" si="141">R481-O481</f>
        <v>6.0990509874991883E-4</v>
      </c>
      <c r="T481" s="30"/>
      <c r="U481" s="32" t="str">
        <f t="shared" si="139"/>
        <v>ZAR 206.35</v>
      </c>
      <c r="V481" s="28" t="str">
        <f t="shared" si="139"/>
        <v>MTN</v>
      </c>
      <c r="Z481" s="33"/>
    </row>
    <row r="482" spans="1:26">
      <c r="C482" s="32" t="str">
        <f t="shared" si="136"/>
        <v>Safaricom</v>
      </c>
      <c r="D482" s="28" t="str">
        <f t="shared" si="136"/>
        <v>KES 29.90</v>
      </c>
      <c r="E482" s="28" t="str">
        <f t="shared" si="136"/>
        <v>KES 40.0</v>
      </c>
      <c r="F482" s="29">
        <f t="shared" si="136"/>
        <v>0.33779264214046822</v>
      </c>
      <c r="G482" s="28" t="str">
        <f t="shared" si="136"/>
        <v>Buy</v>
      </c>
      <c r="H482" s="30"/>
      <c r="I482" s="29">
        <f>SAF!$D$31/SAF!$D$29</f>
        <v>0.82220665318973485</v>
      </c>
      <c r="J482" s="29">
        <f>SAF!$E$31/SAF!$E$29</f>
        <v>0.79562104067747053</v>
      </c>
      <c r="K482" s="29">
        <f>SAF!$F$31/SAF!$F$29</f>
        <v>0.79215481408225108</v>
      </c>
      <c r="L482" s="29">
        <f>SAF!$G$31/SAF!$G$29</f>
        <v>0.78540893182834826</v>
      </c>
      <c r="M482" s="29">
        <f t="shared" si="140"/>
        <v>-3.6797721361386593E-2</v>
      </c>
      <c r="N482" s="40"/>
      <c r="O482" s="135">
        <f>SAF!$D$31/SAF!$D$30</f>
        <v>0.74999999999999989</v>
      </c>
      <c r="P482" s="135">
        <f>SAF!$E$31/SAF!$E$30</f>
        <v>0.75</v>
      </c>
      <c r="Q482" s="135">
        <f>SAF!$F$31/SAF!$F$30</f>
        <v>0.75</v>
      </c>
      <c r="R482" s="135">
        <f>SAF!$G$31/SAF!$G$30</f>
        <v>0.75</v>
      </c>
      <c r="S482" s="135">
        <f t="shared" si="141"/>
        <v>0</v>
      </c>
      <c r="T482" s="30"/>
      <c r="U482" s="32" t="str">
        <f t="shared" si="139"/>
        <v>KES 29.90</v>
      </c>
      <c r="V482" s="28" t="str">
        <f t="shared" si="139"/>
        <v>Safaricom</v>
      </c>
      <c r="Z482" s="33"/>
    </row>
    <row r="483" spans="1:26">
      <c r="C483" s="32" t="str">
        <f t="shared" si="136"/>
        <v>VEON</v>
      </c>
      <c r="D483" s="28" t="str">
        <f t="shared" si="136"/>
        <v>USD 54.9</v>
      </c>
      <c r="E483" s="28" t="str">
        <f t="shared" si="136"/>
        <v>USD 100.0</v>
      </c>
      <c r="F483" s="29">
        <f t="shared" si="136"/>
        <v>0.82116190129302513</v>
      </c>
      <c r="G483" s="28" t="str">
        <f t="shared" si="136"/>
        <v>Buy</v>
      </c>
      <c r="H483" s="30"/>
      <c r="I483" s="29">
        <f>VIMP!$D$31/VIMP!$D$29</f>
        <v>0</v>
      </c>
      <c r="J483" s="29">
        <f>VIMP!$E$31/VIMP!$E$29</f>
        <v>0</v>
      </c>
      <c r="K483" s="29">
        <f>VIMP!$F$31/VIMP!$F$29</f>
        <v>0</v>
      </c>
      <c r="L483" s="29">
        <f>VIMP!$G$31/VIMP!$G$29</f>
        <v>0</v>
      </c>
      <c r="M483" s="29">
        <f t="shared" si="140"/>
        <v>0</v>
      </c>
      <c r="N483" s="40"/>
      <c r="O483" s="29">
        <f>VIMP!$D$31/VIMP!$D$30</f>
        <v>0</v>
      </c>
      <c r="P483" s="29">
        <f>VIMP!$E$31/VIMP!$E$30</f>
        <v>0</v>
      </c>
      <c r="Q483" s="29">
        <f>VIMP!$F$31/VIMP!$F$30</f>
        <v>0</v>
      </c>
      <c r="R483" s="29">
        <f>VIMP!$G$31/VIMP!$G$30</f>
        <v>0</v>
      </c>
      <c r="S483" s="29">
        <f t="shared" si="141"/>
        <v>0</v>
      </c>
      <c r="T483" s="30"/>
      <c r="U483" s="32" t="str">
        <f t="shared" si="139"/>
        <v>USD 54.9</v>
      </c>
      <c r="V483" s="28" t="str">
        <f t="shared" si="139"/>
        <v>VEON</v>
      </c>
      <c r="Z483" s="33"/>
    </row>
    <row r="484" spans="1:26">
      <c r="C484" s="32" t="str">
        <f t="shared" si="136"/>
        <v>Vodacom</v>
      </c>
      <c r="D484" s="28" t="str">
        <f t="shared" si="136"/>
        <v>ZAR 145.6</v>
      </c>
      <c r="E484" s="28" t="str">
        <f t="shared" si="136"/>
        <v>ZAR 215.0</v>
      </c>
      <c r="F484" s="29">
        <f t="shared" si="136"/>
        <v>0.47685121582634959</v>
      </c>
      <c r="G484" s="28" t="str">
        <f t="shared" si="136"/>
        <v>Buy</v>
      </c>
      <c r="H484" s="30"/>
      <c r="I484" s="29">
        <f>VODA!$D$31/VODA!$D$29</f>
        <v>0.91804217979148872</v>
      </c>
      <c r="J484" s="29">
        <f>VODA!$E$31/VODA!$E$29</f>
        <v>0.95817809195788384</v>
      </c>
      <c r="K484" s="29">
        <f>VODA!$F$31/VODA!$F$29</f>
        <v>1.011718143062365</v>
      </c>
      <c r="L484" s="29">
        <f>VODA!$G$31/VODA!$G$29</f>
        <v>0.99982707587728581</v>
      </c>
      <c r="M484" s="29">
        <f t="shared" si="140"/>
        <v>8.1784896085797087E-2</v>
      </c>
      <c r="N484" s="40"/>
      <c r="O484" s="29">
        <f>VODA!$D$31/VODA!$D$30</f>
        <v>0.75806214923171467</v>
      </c>
      <c r="P484" s="29">
        <f>VODA!$E$31/VODA!$E$30</f>
        <v>0.76701975371005415</v>
      </c>
      <c r="Q484" s="29">
        <f>VODA!$F$31/VODA!$F$30</f>
        <v>0.76923531847262361</v>
      </c>
      <c r="R484" s="29">
        <f>VODA!$G$31/VODA!$G$30</f>
        <v>0.77075436315500612</v>
      </c>
      <c r="S484" s="29">
        <f t="shared" si="141"/>
        <v>1.2692213923291451E-2</v>
      </c>
      <c r="T484" s="30"/>
      <c r="U484" s="32" t="str">
        <f t="shared" si="139"/>
        <v>ZAR 145.6</v>
      </c>
      <c r="V484" s="28" t="str">
        <f t="shared" si="139"/>
        <v>Vodacom</v>
      </c>
      <c r="Z484" s="33"/>
    </row>
    <row r="485" spans="1:26">
      <c r="C485" s="35" t="str">
        <f>C434</f>
        <v>Agg. EMEA Cellular</v>
      </c>
      <c r="D485" s="36"/>
      <c r="E485" s="36"/>
      <c r="F485" s="37"/>
      <c r="G485" s="36"/>
      <c r="H485" s="30"/>
      <c r="I485" s="39">
        <f>'EMEA CELLULAR'!$D$31/'EMEA CELLULAR'!$D$29</f>
        <v>0.71626858649262892</v>
      </c>
      <c r="J485" s="39">
        <f>'EMEA CELLULAR'!$E$31/'EMEA CELLULAR'!$E$29</f>
        <v>0.67736340274513018</v>
      </c>
      <c r="K485" s="39">
        <f>'EMEA CELLULAR'!$F$31/'EMEA CELLULAR'!$F$29</f>
        <v>0.66404338606812718</v>
      </c>
      <c r="L485" s="39">
        <f>'EMEA CELLULAR'!$G$31/'EMEA CELLULAR'!$G$29</f>
        <v>0.66758904767704264</v>
      </c>
      <c r="M485" s="39">
        <f t="shared" si="140"/>
        <v>-4.8679538815586287E-2</v>
      </c>
      <c r="N485" s="40"/>
      <c r="O485" s="39">
        <f>'EMEA CELLULAR'!$D$31/'EMEA CELLULAR'!$D$30</f>
        <v>0.42723836768614276</v>
      </c>
      <c r="P485" s="39">
        <f>'EMEA CELLULAR'!$E$31/'EMEA CELLULAR'!$E$30</f>
        <v>0.45848100707888506</v>
      </c>
      <c r="Q485" s="39">
        <f>'EMEA CELLULAR'!$F$31/'EMEA CELLULAR'!$F$30</f>
        <v>0.44588659068348935</v>
      </c>
      <c r="R485" s="39">
        <f>'EMEA CELLULAR'!$G$31/'EMEA CELLULAR'!$G$30</f>
        <v>0.44520906571381924</v>
      </c>
      <c r="S485" s="39">
        <f t="shared" si="141"/>
        <v>1.7970698027676479E-2</v>
      </c>
      <c r="T485" s="30"/>
      <c r="U485" s="41"/>
      <c r="V485" s="42" t="str">
        <f>V434</f>
        <v>Agg. EMEA Cellular</v>
      </c>
      <c r="Z485" s="33"/>
    </row>
    <row r="486" spans="1:26">
      <c r="A486" s="5"/>
      <c r="C486" s="27"/>
      <c r="D486" s="28"/>
      <c r="E486" s="28"/>
      <c r="F486" s="29"/>
      <c r="G486" s="28"/>
      <c r="H486" s="30"/>
      <c r="I486" s="29"/>
      <c r="J486" s="29"/>
      <c r="K486" s="29"/>
      <c r="L486" s="29"/>
      <c r="M486" s="29"/>
      <c r="N486" s="40"/>
      <c r="O486" s="29"/>
      <c r="P486" s="29"/>
      <c r="Q486" s="29"/>
      <c r="R486" s="29"/>
      <c r="S486" s="29"/>
      <c r="T486" s="30"/>
      <c r="U486" s="32"/>
      <c r="V486" s="34"/>
      <c r="Z486" s="33"/>
    </row>
    <row r="487" spans="1:26">
      <c r="A487" s="5"/>
      <c r="C487" s="32" t="str">
        <f t="shared" ref="C487:G489" si="142">C436</f>
        <v>Entel</v>
      </c>
      <c r="D487" s="28" t="str">
        <f t="shared" si="142"/>
        <v>CLP 3,643</v>
      </c>
      <c r="E487" s="28" t="str">
        <f t="shared" si="142"/>
        <v>CLP 3,150</v>
      </c>
      <c r="F487" s="29">
        <f t="shared" si="142"/>
        <v>-0.13532802635190777</v>
      </c>
      <c r="G487" s="28" t="str">
        <f t="shared" si="142"/>
        <v>Neutral</v>
      </c>
      <c r="H487" s="30"/>
      <c r="I487" s="29">
        <f>ENTEL!$D$31/ENTEL!$D$29</f>
        <v>-0.72916363322855049</v>
      </c>
      <c r="J487" s="29">
        <f>ENTEL!$E$31/ENTEL!$E$29</f>
        <v>-2.0959565480200331</v>
      </c>
      <c r="K487" s="29">
        <f>ENTEL!$F$31/ENTEL!$F$29</f>
        <v>57.27100944492534</v>
      </c>
      <c r="L487" s="29">
        <f>ENTEL!$G$31/ENTEL!$G$29</f>
        <v>1.4841658997670542</v>
      </c>
      <c r="M487" s="29">
        <f t="shared" ref="M487:M492" si="143">L487-I487</f>
        <v>2.2133295329956049</v>
      </c>
      <c r="N487" s="40"/>
      <c r="O487" s="135">
        <f>ENTEL!$D$31/ENTEL!$D$30</f>
        <v>0.5184627369295628</v>
      </c>
      <c r="P487" s="135">
        <f>ENTEL!$E$31/ENTEL!$E$30</f>
        <v>0.40104567610427694</v>
      </c>
      <c r="Q487" s="135">
        <f>ENTEL!$F$31/ENTEL!$F$30</f>
        <v>0.35313899777535468</v>
      </c>
      <c r="R487" s="135">
        <f>ENTEL!$G$31/ENTEL!$G$30</f>
        <v>0.36674676655749588</v>
      </c>
      <c r="S487" s="135">
        <f t="shared" ref="S487:S492" si="144">R487-O487</f>
        <v>-0.15171597037206691</v>
      </c>
      <c r="T487" s="30"/>
      <c r="U487" s="32" t="str">
        <f t="shared" ref="U487:V489" si="145">U436</f>
        <v>CLP 3,643</v>
      </c>
      <c r="V487" s="28" t="str">
        <f t="shared" si="145"/>
        <v>Entel</v>
      </c>
      <c r="Z487" s="33"/>
    </row>
    <row r="488" spans="1:26">
      <c r="A488" s="5"/>
      <c r="C488" s="32" t="str">
        <f t="shared" si="142"/>
        <v>Millicom</v>
      </c>
      <c r="D488" s="28" t="str">
        <f t="shared" si="142"/>
        <v>USD  83.6</v>
      </c>
      <c r="E488" s="28" t="str">
        <f t="shared" si="142"/>
        <v>USD 70.0</v>
      </c>
      <c r="F488" s="29">
        <f t="shared" si="142"/>
        <v>-0.16292974588938713</v>
      </c>
      <c r="G488" s="28" t="str">
        <f t="shared" si="142"/>
        <v>Buy</v>
      </c>
      <c r="H488" s="30"/>
      <c r="I488" s="29">
        <f>MILLI!$D$31/MILLI!$D$29</f>
        <v>0.86213201703663767</v>
      </c>
      <c r="J488" s="29">
        <f>MILLI!$E$31/MILLI!$E$29</f>
        <v>0.68518909481607027</v>
      </c>
      <c r="K488" s="29">
        <f>MILLI!$F$31/MILLI!$F$29</f>
        <v>0.60107140186862673</v>
      </c>
      <c r="L488" s="29">
        <f>MILLI!$G$31/MILLI!$G$29</f>
        <v>0.63106516880695851</v>
      </c>
      <c r="M488" s="29">
        <f t="shared" si="143"/>
        <v>-0.23106684822967916</v>
      </c>
      <c r="N488" s="40"/>
      <c r="O488" s="135">
        <f>MILLI!$D$31/MILLI!$D$30</f>
        <v>1.4141177985670781</v>
      </c>
      <c r="P488" s="135">
        <f>MILLI!$E$31/MILLI!$E$30</f>
        <v>0.72962997798593798</v>
      </c>
      <c r="Q488" s="135">
        <f>MILLI!$F$31/MILLI!$F$30</f>
        <v>0.69355547258983519</v>
      </c>
      <c r="R488" s="135">
        <f>MILLI!$G$31/MILLI!$G$30</f>
        <v>0.71772339539139496</v>
      </c>
      <c r="S488" s="135">
        <f t="shared" si="144"/>
        <v>-0.69639440317568313</v>
      </c>
      <c r="T488" s="30"/>
      <c r="U488" s="32" t="str">
        <f t="shared" si="145"/>
        <v>USD  83.6</v>
      </c>
      <c r="V488" s="28" t="str">
        <f t="shared" si="145"/>
        <v>Millicom</v>
      </c>
      <c r="Z488" s="33"/>
    </row>
    <row r="489" spans="1:26">
      <c r="A489" s="5"/>
      <c r="C489" s="32" t="str">
        <f t="shared" si="142"/>
        <v>TIM Participacoes</v>
      </c>
      <c r="D489" s="28" t="str">
        <f t="shared" si="142"/>
        <v>BRL 25.99</v>
      </c>
      <c r="E489" s="28" t="str">
        <f t="shared" si="142"/>
        <v>BRL 28.00</v>
      </c>
      <c r="F489" s="29">
        <f t="shared" si="142"/>
        <v>7.7337437475952342E-2</v>
      </c>
      <c r="G489" s="28" t="str">
        <f t="shared" si="142"/>
        <v>Buy</v>
      </c>
      <c r="H489" s="30"/>
      <c r="I489" s="29">
        <f>TIMP!$D$31/TIMP!$D$29</f>
        <v>0.78606042823295186</v>
      </c>
      <c r="J489" s="29">
        <f>TIMP!$E$31/TIMP!$E$29</f>
        <v>0.80310738762974831</v>
      </c>
      <c r="K489" s="29">
        <f>TIMP!$F$31/TIMP!$F$29</f>
        <v>0.81768184700933277</v>
      </c>
      <c r="L489" s="29">
        <f>TIMP!$G$31/TIMP!$G$29</f>
        <v>0.76368967038232094</v>
      </c>
      <c r="M489" s="29">
        <f t="shared" si="143"/>
        <v>-2.2370757850630918E-2</v>
      </c>
      <c r="N489" s="40"/>
      <c r="O489" s="29">
        <f>TIMP!$D$31/TIMP!$D$30</f>
        <v>0.90306399653678648</v>
      </c>
      <c r="P489" s="29">
        <f>TIMP!$E$31/TIMP!$E$30</f>
        <v>0.95473564653394871</v>
      </c>
      <c r="Q489" s="29">
        <f>TIMP!$F$31/TIMP!$F$30</f>
        <v>0.92110697123150598</v>
      </c>
      <c r="R489" s="29">
        <f>TIMP!$G$31/TIMP!$G$30</f>
        <v>0.82032147940927747</v>
      </c>
      <c r="S489" s="29">
        <f t="shared" si="144"/>
        <v>-8.2742517127509019E-2</v>
      </c>
      <c r="T489" s="30"/>
      <c r="U489" s="32" t="str">
        <f t="shared" si="145"/>
        <v>BRL 25.99</v>
      </c>
      <c r="V489" s="28" t="str">
        <f t="shared" si="145"/>
        <v>TIM Participacoes</v>
      </c>
      <c r="Z489" s="33"/>
    </row>
    <row r="490" spans="1:26">
      <c r="A490" s="25"/>
      <c r="B490" s="26" t="s">
        <v>483</v>
      </c>
      <c r="C490" s="32" t="s">
        <v>688</v>
      </c>
      <c r="D490" s="28" t="str">
        <f>'EM Multiples'!B490&amp;TEXT(Prices!C$115,"0.00")</f>
        <v>MXN59.40</v>
      </c>
      <c r="E490" s="28" t="str">
        <f>'EM Multiples'!B490&amp;TEXT(Prices!E$115,"0.00")</f>
        <v>MXN75.00</v>
      </c>
      <c r="F490" s="29">
        <f>Prices!F$115</f>
        <v>0.26262626262626276</v>
      </c>
      <c r="G490" s="28" t="str">
        <f>Prices!D$52</f>
        <v>Buy</v>
      </c>
      <c r="H490" s="30"/>
      <c r="I490" s="29">
        <f>MEGA!$D$31/MEGA!$D$29</f>
        <v>1.6791049354731424</v>
      </c>
      <c r="J490" s="29">
        <f>MEGA!$E$31/MEGA!$E$29</f>
        <v>1.1491909180097128</v>
      </c>
      <c r="K490" s="29">
        <f>MEGA!$F$31/MEGA!$F$29</f>
        <v>0.86922001330294418</v>
      </c>
      <c r="L490" s="29">
        <f>MEGA!$G$31/MEGA!$G$29</f>
        <v>0.746180792090264</v>
      </c>
      <c r="M490" s="29">
        <f t="shared" si="143"/>
        <v>-0.93292414338287843</v>
      </c>
      <c r="N490" s="30"/>
      <c r="O490" s="29">
        <f>MEGA!$D$31/MEGA!$D$30</f>
        <v>0.45426281219673714</v>
      </c>
      <c r="P490" s="29">
        <f>MEGA!$E$31/MEGA!$E$30</f>
        <v>0.42962497829282026</v>
      </c>
      <c r="Q490" s="29">
        <f>MEGA!$F$31/MEGA!$F$30</f>
        <v>0.44653647342914216</v>
      </c>
      <c r="R490" s="29">
        <f>MEGA!$G$31/MEGA!$G$30</f>
        <v>0.46011118013617525</v>
      </c>
      <c r="S490" s="29">
        <f t="shared" si="144"/>
        <v>5.8483679394381038E-3</v>
      </c>
      <c r="T490" s="30"/>
      <c r="U490" s="32" t="str">
        <f>D490</f>
        <v>MXN59.40</v>
      </c>
      <c r="V490" s="28" t="str">
        <f>C490</f>
        <v>Megacable</v>
      </c>
      <c r="Z490" s="30"/>
    </row>
    <row r="491" spans="1:26">
      <c r="A491" s="5"/>
      <c r="B491" s="26" t="s">
        <v>331</v>
      </c>
      <c r="C491" s="32" t="s">
        <v>675</v>
      </c>
      <c r="D491" s="28" t="str">
        <f>'EM Multiples'!B491&amp;TEXT(Prices!C$118,"0.00")</f>
        <v>USD8.53</v>
      </c>
      <c r="E491" s="28" t="str">
        <f>'EM Multiples'!B491&amp;TEXT(Prices!E$118,"0.00")</f>
        <v>USD14.90</v>
      </c>
      <c r="F491" s="29">
        <f>Prices!F$118</f>
        <v>0.74780058651026393</v>
      </c>
      <c r="G491" s="28" t="str">
        <f>Prices!D$118</f>
        <v>Buy</v>
      </c>
      <c r="H491" s="30"/>
      <c r="I491" s="29">
        <f>LiLAC!$D$31/LiLAC!$D$28</f>
        <v>0</v>
      </c>
      <c r="J491" s="29">
        <f>LiLAC!$E$31/LiLAC!$E$29</f>
        <v>0</v>
      </c>
      <c r="K491" s="29">
        <f>LiLAC!$F$31/LiLAC!$F$29</f>
        <v>0</v>
      </c>
      <c r="L491" s="29">
        <f>LiLAC!$G$31/LiLAC!$G$29</f>
        <v>0</v>
      </c>
      <c r="M491" s="29">
        <f t="shared" si="143"/>
        <v>0</v>
      </c>
      <c r="N491" s="30"/>
      <c r="O491" s="29">
        <f>LiLAC!$D$31/LiLAC!$D$30</f>
        <v>0</v>
      </c>
      <c r="P491" s="29">
        <f>LiLAC!$E$31/LiLAC!$E$30</f>
        <v>0</v>
      </c>
      <c r="Q491" s="29">
        <f>LiLAC!$F$31/LiLAC!$F$30</f>
        <v>0</v>
      </c>
      <c r="R491" s="29">
        <f>LiLAC!$G$31/LiLAC!$G$30</f>
        <v>0</v>
      </c>
      <c r="S491" s="29">
        <f t="shared" si="144"/>
        <v>0</v>
      </c>
      <c r="T491" s="30"/>
      <c r="U491" s="32" t="str">
        <f>D491</f>
        <v>USD8.53</v>
      </c>
      <c r="V491" s="28" t="str">
        <f>C491</f>
        <v>LiLAC</v>
      </c>
      <c r="Z491" s="30"/>
    </row>
    <row r="492" spans="1:26">
      <c r="A492" s="5"/>
      <c r="C492" s="35" t="str">
        <f>C441</f>
        <v>Agg. LatAm Other</v>
      </c>
      <c r="D492" s="36"/>
      <c r="E492" s="36"/>
      <c r="F492" s="37"/>
      <c r="G492" s="36"/>
      <c r="H492" s="30"/>
      <c r="I492" s="39">
        <f>'LATAM OTHER'!$D$31/'LATAM OTHER'!$D$29</f>
        <v>0.93126857380042938</v>
      </c>
      <c r="J492" s="39">
        <f>'LATAM OTHER'!$E$31/'LATAM OTHER'!$E$29</f>
        <v>0.79549299406012719</v>
      </c>
      <c r="K492" s="39">
        <f>'LATAM OTHER'!$F$31/'LATAM OTHER'!$F$29</f>
        <v>0.71725477353181899</v>
      </c>
      <c r="L492" s="39">
        <f>'LATAM OTHER'!$G$31/'LATAM OTHER'!$G$29</f>
        <v>0.67285932583422448</v>
      </c>
      <c r="M492" s="39">
        <f t="shared" si="143"/>
        <v>-0.2584092479662049</v>
      </c>
      <c r="N492" s="40"/>
      <c r="O492" s="39">
        <f>'LATAM OTHER'!$D$31/'LATAM OTHER'!$D$30</f>
        <v>0.8408190606370104</v>
      </c>
      <c r="P492" s="39">
        <f>'LATAM OTHER'!$E$31/'LATAM OTHER'!$E$30</f>
        <v>0.72584986861644452</v>
      </c>
      <c r="Q492" s="39">
        <f>'LATAM OTHER'!$F$31/'LATAM OTHER'!$F$30</f>
        <v>0.69213645589677697</v>
      </c>
      <c r="R492" s="39">
        <f>'LATAM OTHER'!$G$31/'LATAM OTHER'!$G$30</f>
        <v>0.65289835577941691</v>
      </c>
      <c r="S492" s="39">
        <f t="shared" si="144"/>
        <v>-0.18792070485759349</v>
      </c>
      <c r="T492" s="30"/>
      <c r="U492" s="41"/>
      <c r="V492" s="42" t="str">
        <f>V441</f>
        <v>Agg. LatAm Cellular</v>
      </c>
      <c r="Z492" s="33"/>
    </row>
    <row r="493" spans="1:26">
      <c r="C493" s="27"/>
      <c r="D493" s="28"/>
      <c r="E493" s="28"/>
      <c r="F493" s="29"/>
      <c r="G493" s="28"/>
      <c r="H493" s="30"/>
      <c r="I493" s="29"/>
      <c r="J493" s="29"/>
      <c r="K493" s="29"/>
      <c r="L493" s="29"/>
      <c r="M493" s="29"/>
      <c r="N493" s="30"/>
      <c r="O493" s="29"/>
      <c r="P493" s="29"/>
      <c r="Q493" s="29"/>
      <c r="R493" s="29"/>
      <c r="S493" s="29"/>
      <c r="T493" s="30"/>
      <c r="U493" s="32"/>
      <c r="V493" s="34"/>
      <c r="Z493" s="33"/>
    </row>
    <row r="494" spans="1:26">
      <c r="A494" s="5"/>
      <c r="C494" s="32" t="str">
        <f t="shared" ref="C494:G505" si="146">C443</f>
        <v>AIS</v>
      </c>
      <c r="D494" s="28" t="str">
        <f t="shared" si="146"/>
        <v>THB 349.0</v>
      </c>
      <c r="E494" s="28" t="str">
        <f t="shared" si="146"/>
        <v>THB 330.0</v>
      </c>
      <c r="F494" s="29">
        <f t="shared" si="146"/>
        <v>-5.4441260744985676E-2</v>
      </c>
      <c r="G494" s="28" t="str">
        <f t="shared" si="146"/>
        <v>Buy</v>
      </c>
      <c r="H494" s="30"/>
      <c r="I494" s="29">
        <f>ADVANCED!$D$31/ADVANCED!$D$29</f>
        <v>0.85795066539254228</v>
      </c>
      <c r="J494" s="29">
        <f>ADVANCED!$E$31/ADVANCED!$E$29</f>
        <v>0.75833794244275365</v>
      </c>
      <c r="K494" s="29">
        <f>ADVANCED!$F$31/ADVANCED!$F$29</f>
        <v>0.78705274305102835</v>
      </c>
      <c r="L494" s="29">
        <f>ADVANCED!$G$31/ADVANCED!$G$29</f>
        <v>0.8110886158276347</v>
      </c>
      <c r="M494" s="29">
        <f t="shared" ref="M494:M506" si="147">L494-I494</f>
        <v>-4.6862049564907582E-2</v>
      </c>
      <c r="N494" s="30"/>
      <c r="O494" s="29">
        <f>ADVANCED!$D$31/ADVANCED!$D$30</f>
        <v>0.93940949345665914</v>
      </c>
      <c r="P494" s="29">
        <f>ADVANCED!$E$31/ADVANCED!$E$30</f>
        <v>0.93603331016754621</v>
      </c>
      <c r="Q494" s="29">
        <f>ADVANCED!$F$31/ADVANCED!$F$30</f>
        <v>0.93295061177145178</v>
      </c>
      <c r="R494" s="29">
        <f>ADVANCED!$G$31/ADVANCED!$G$30</f>
        <v>0.92957458968576545</v>
      </c>
      <c r="S494" s="29">
        <f t="shared" ref="S494:S506" si="148">R494-O494</f>
        <v>-9.8349037708936882E-3</v>
      </c>
      <c r="T494" s="30"/>
      <c r="U494" s="32" t="str">
        <f t="shared" ref="U494:V505" si="149">U443</f>
        <v>THB 349.0</v>
      </c>
      <c r="V494" s="28" t="str">
        <f t="shared" si="149"/>
        <v>AIS</v>
      </c>
      <c r="Z494" s="33"/>
    </row>
    <row r="495" spans="1:26">
      <c r="C495" s="32" t="str">
        <f t="shared" si="146"/>
        <v>Axiata</v>
      </c>
      <c r="D495" s="28" t="str">
        <f t="shared" si="146"/>
        <v>MYR 2.24</v>
      </c>
      <c r="E495" s="28" t="str">
        <f t="shared" si="146"/>
        <v>MYR 4.50</v>
      </c>
      <c r="F495" s="29">
        <f t="shared" si="146"/>
        <v>1.0089285714285712</v>
      </c>
      <c r="G495" s="28" t="str">
        <f t="shared" si="146"/>
        <v>Buy</v>
      </c>
      <c r="H495" s="30"/>
      <c r="I495" s="29">
        <f>AXI!$D$31/AXI!$D$29</f>
        <v>1.6073426573426575</v>
      </c>
      <c r="J495" s="29">
        <f>AXI!$E$31/AXI!$E$29</f>
        <v>1.2965897435897435</v>
      </c>
      <c r="K495" s="29">
        <f>AXI!$F$31/AXI!$F$29</f>
        <v>0.77098532494758909</v>
      </c>
      <c r="L495" s="29">
        <f>AXI!$G$31/AXI!$G$29</f>
        <v>0.68730304772857964</v>
      </c>
      <c r="M495" s="29">
        <f t="shared" si="147"/>
        <v>-0.92003960961407782</v>
      </c>
      <c r="N495" s="30"/>
      <c r="O495" s="29">
        <f>AXI!$D$31/AXI!$D$30</f>
        <v>1.1832689832689833</v>
      </c>
      <c r="P495" s="29">
        <f>AXI!$E$31/AXI!$E$30</f>
        <v>1.0839657020364417</v>
      </c>
      <c r="Q495" s="29">
        <f>AXI!$F$31/AXI!$F$30</f>
        <v>0.80885630498533723</v>
      </c>
      <c r="R495" s="29">
        <f>AXI!$G$31/AXI!$G$30</f>
        <v>0.60303733602421794</v>
      </c>
      <c r="S495" s="29">
        <f t="shared" si="148"/>
        <v>-0.58023164724476539</v>
      </c>
      <c r="T495" s="30"/>
      <c r="U495" s="32" t="str">
        <f t="shared" si="149"/>
        <v>MYR 2.24</v>
      </c>
      <c r="V495" s="28" t="str">
        <f t="shared" si="149"/>
        <v>Axiata</v>
      </c>
      <c r="Z495" s="33"/>
    </row>
    <row r="496" spans="1:26">
      <c r="C496" s="32" t="str">
        <f t="shared" si="146"/>
        <v>Bharti Airtel</v>
      </c>
      <c r="D496" s="28" t="str">
        <f t="shared" si="146"/>
        <v>INR 1815</v>
      </c>
      <c r="E496" s="28" t="str">
        <f t="shared" si="146"/>
        <v>INR 2750</v>
      </c>
      <c r="F496" s="29">
        <f t="shared" si="146"/>
        <v>0.51540199482008031</v>
      </c>
      <c r="G496" s="28" t="str">
        <f t="shared" si="146"/>
        <v>Buy</v>
      </c>
      <c r="H496" s="30"/>
      <c r="I496" s="29">
        <f>BHART!$D$31/BHART!$D$29</f>
        <v>0.3232659249113839</v>
      </c>
      <c r="J496" s="29">
        <f>BHART!$E$31/BHART!$E$29</f>
        <v>0.39520644229280111</v>
      </c>
      <c r="K496" s="29">
        <f>BHART!$F$31/BHART!$F$29</f>
        <v>0.43724293249924773</v>
      </c>
      <c r="L496" s="29">
        <f>BHART!$G$31/BHART!$G$29</f>
        <v>0.49092671231619578</v>
      </c>
      <c r="M496" s="29">
        <f t="shared" si="147"/>
        <v>0.16766078740481188</v>
      </c>
      <c r="N496" s="30"/>
      <c r="O496" s="29">
        <f>BHART!$D$31/BHART!$D$30</f>
        <v>0.39973986344505824</v>
      </c>
      <c r="P496" s="29">
        <f>BHART!$E$31/BHART!$E$30</f>
        <v>0.42973986344505838</v>
      </c>
      <c r="Q496" s="29">
        <f>BHART!$F$31/BHART!$F$30</f>
        <v>0.45973986344505829</v>
      </c>
      <c r="R496" s="29">
        <f>BHART!$G$31/BHART!$G$30</f>
        <v>0.48973986344505838</v>
      </c>
      <c r="S496" s="29">
        <f t="shared" si="148"/>
        <v>9.0000000000000135E-2</v>
      </c>
      <c r="T496" s="30"/>
      <c r="U496" s="32" t="str">
        <f t="shared" si="149"/>
        <v>INR 1815</v>
      </c>
      <c r="V496" s="28" t="str">
        <f t="shared" si="149"/>
        <v>Bharti Airtel</v>
      </c>
      <c r="Z496" s="33"/>
    </row>
    <row r="497" spans="1:26">
      <c r="A497" s="5"/>
      <c r="C497" s="32" t="str">
        <f t="shared" si="146"/>
        <v>China Mobile</v>
      </c>
      <c r="D497" s="28" t="str">
        <f t="shared" si="146"/>
        <v>HKD 83.9</v>
      </c>
      <c r="E497" s="28" t="str">
        <f t="shared" si="146"/>
        <v>HKD 115.0</v>
      </c>
      <c r="F497" s="29">
        <f t="shared" si="146"/>
        <v>0.37067938021454094</v>
      </c>
      <c r="G497" s="28" t="str">
        <f t="shared" si="146"/>
        <v>Buy</v>
      </c>
      <c r="H497" s="30"/>
      <c r="I497" s="29">
        <f>_CM!$D$31/_CM!$D$29</f>
        <v>0.82642649931146328</v>
      </c>
      <c r="J497" s="29">
        <f>_CM!$E$31/_CM!$E$29</f>
        <v>0.82254558878180462</v>
      </c>
      <c r="K497" s="29">
        <f>_CM!$F$31/_CM!$F$29</f>
        <v>0.83316697285480412</v>
      </c>
      <c r="L497" s="29">
        <f>_CM!$G$31/_CM!$G$29</f>
        <v>0.84594213193243795</v>
      </c>
      <c r="M497" s="29">
        <f t="shared" si="147"/>
        <v>1.9515632620974666E-2</v>
      </c>
      <c r="N497" s="30"/>
      <c r="O497" s="29">
        <f>_CM!$D$31/_CM!$D$30</f>
        <v>0.74412789930069911</v>
      </c>
      <c r="P497" s="29">
        <f>_CM!$E$31/_CM!$E$30</f>
        <v>0.76451496503496486</v>
      </c>
      <c r="Q497" s="29">
        <f>_CM!$F$31/_CM!$F$30</f>
        <v>0.76451496503496497</v>
      </c>
      <c r="R497" s="29">
        <f>_CM!$G$31/_CM!$G$30</f>
        <v>0.76451496503496474</v>
      </c>
      <c r="S497" s="29">
        <f t="shared" si="148"/>
        <v>2.038706573426563E-2</v>
      </c>
      <c r="T497" s="30"/>
      <c r="U497" s="32" t="str">
        <f t="shared" si="149"/>
        <v>HKD 83.9</v>
      </c>
      <c r="V497" s="28" t="str">
        <f t="shared" si="149"/>
        <v>China Mobile</v>
      </c>
      <c r="Z497" s="33"/>
    </row>
    <row r="498" spans="1:26">
      <c r="A498" s="5"/>
      <c r="C498" s="32" t="str">
        <f t="shared" si="146"/>
        <v>CelcomDigi</v>
      </c>
      <c r="D498" s="28" t="str">
        <f t="shared" si="146"/>
        <v>MYR 3.0</v>
      </c>
      <c r="E498" s="28" t="str">
        <f t="shared" si="146"/>
        <v>MYR 5.6</v>
      </c>
      <c r="F498" s="29">
        <f t="shared" si="146"/>
        <v>0.88552188552188538</v>
      </c>
      <c r="G498" s="28" t="str">
        <f t="shared" si="146"/>
        <v>Buy</v>
      </c>
      <c r="H498" s="30"/>
      <c r="I498" s="29">
        <f>DIGI!$D$31/DIGI!$D$29</f>
        <v>0.80264237214114387</v>
      </c>
      <c r="J498" s="29">
        <f>DIGI!$E$31/DIGI!$E$29</f>
        <v>0.74519352788176885</v>
      </c>
      <c r="K498" s="29">
        <f>DIGI!$F$31/DIGI!$F$29</f>
        <v>0.68553767013020472</v>
      </c>
      <c r="L498" s="29">
        <f>DIGI!$G$31/DIGI!$G$29</f>
        <v>0.72501783568544842</v>
      </c>
      <c r="M498" s="29">
        <f t="shared" si="147"/>
        <v>-7.7624536455695448E-2</v>
      </c>
      <c r="N498" s="30"/>
      <c r="O498" s="29">
        <f>DIGI!$D$31/DIGI!$D$30</f>
        <v>0.95</v>
      </c>
      <c r="P498" s="29">
        <f>DIGI!$E$31/DIGI!$E$30</f>
        <v>0.95</v>
      </c>
      <c r="Q498" s="29">
        <f>DIGI!$F$31/DIGI!$F$30</f>
        <v>0.95</v>
      </c>
      <c r="R498" s="29">
        <f>DIGI!$G$31/DIGI!$G$30</f>
        <v>0.95</v>
      </c>
      <c r="S498" s="29">
        <f t="shared" si="148"/>
        <v>0</v>
      </c>
      <c r="T498" s="30"/>
      <c r="U498" s="32" t="str">
        <f t="shared" si="149"/>
        <v>MYR 3.0</v>
      </c>
      <c r="V498" s="28" t="str">
        <f t="shared" si="149"/>
        <v>CelcomDigi</v>
      </c>
      <c r="Z498" s="33"/>
    </row>
    <row r="499" spans="1:26">
      <c r="A499" s="5"/>
      <c r="C499" s="32" t="str">
        <f t="shared" si="146"/>
        <v>Vodafone IDEA</v>
      </c>
      <c r="D499" s="28" t="str">
        <f t="shared" si="146"/>
        <v>INR 9.5</v>
      </c>
      <c r="E499" s="28" t="str">
        <f t="shared" si="146"/>
        <v>INR 10.0</v>
      </c>
      <c r="F499" s="29">
        <f t="shared" si="146"/>
        <v>5.0420168067226934E-2</v>
      </c>
      <c r="G499" s="28" t="str">
        <f t="shared" si="146"/>
        <v>Neutral</v>
      </c>
      <c r="H499" s="30"/>
      <c r="I499" s="29">
        <f>IDEA!$D$31/IDEA!$D$29</f>
        <v>0</v>
      </c>
      <c r="J499" s="29">
        <f>IDEA!$E$31/IDEA!$E$29</f>
        <v>0</v>
      </c>
      <c r="K499" s="29">
        <f>IDEA!$F$31/IDEA!$F$29</f>
        <v>0</v>
      </c>
      <c r="L499" s="29">
        <f>IDEA!$G$31/IDEA!$G$29</f>
        <v>0</v>
      </c>
      <c r="M499" s="29">
        <f t="shared" si="147"/>
        <v>0</v>
      </c>
      <c r="N499" s="30"/>
      <c r="O499" s="29">
        <f>IDEA!$D$31/IDEA!$D$30</f>
        <v>0</v>
      </c>
      <c r="P499" s="29">
        <f>IDEA!$E$31/IDEA!$E$30</f>
        <v>0</v>
      </c>
      <c r="Q499" s="29">
        <f>IDEA!$F$31/IDEA!$F$30</f>
        <v>0</v>
      </c>
      <c r="R499" s="29">
        <f>IDEA!$G$31/IDEA!$G$30</f>
        <v>0</v>
      </c>
      <c r="S499" s="29">
        <f t="shared" si="148"/>
        <v>0</v>
      </c>
      <c r="T499" s="30"/>
      <c r="U499" s="32" t="str">
        <f t="shared" si="149"/>
        <v>INR 9.5</v>
      </c>
      <c r="V499" s="28" t="str">
        <f t="shared" si="149"/>
        <v>Vodafone IDEA</v>
      </c>
      <c r="Z499" s="33"/>
    </row>
    <row r="500" spans="1:26">
      <c r="A500" s="5"/>
      <c r="C500" s="32" t="str">
        <f t="shared" si="146"/>
        <v>Indosat</v>
      </c>
      <c r="D500" s="28" t="str">
        <f t="shared" si="146"/>
        <v>IDR 1,970</v>
      </c>
      <c r="E500" s="28" t="str">
        <f t="shared" si="146"/>
        <v>IDR 2,800</v>
      </c>
      <c r="F500" s="29">
        <f t="shared" si="146"/>
        <v>0.42131979695431476</v>
      </c>
      <c r="G500" s="28" t="str">
        <f t="shared" si="146"/>
        <v>Buy</v>
      </c>
      <c r="H500" s="30"/>
      <c r="I500" s="29">
        <f>INDO!$D$31/INDO!$D$29</f>
        <v>1.9528607605514987</v>
      </c>
      <c r="J500" s="29">
        <f>INDO!$E$31/INDO!$E$29</f>
        <v>0.90884314657099619</v>
      </c>
      <c r="K500" s="29">
        <f>INDO!$F$31/INDO!$F$29</f>
        <v>0.98946142404745885</v>
      </c>
      <c r="L500" s="29">
        <f>INDO!$G$31/INDO!$G$29</f>
        <v>0.97410913332483573</v>
      </c>
      <c r="M500" s="29">
        <f t="shared" si="147"/>
        <v>-0.97875162722666298</v>
      </c>
      <c r="N500" s="30"/>
      <c r="O500" s="29">
        <f>INDO!$D$31/INDO!$D$30</f>
        <v>0.50000000000000011</v>
      </c>
      <c r="P500" s="29">
        <f>INDO!$E$31/INDO!$E$30</f>
        <v>0.6</v>
      </c>
      <c r="Q500" s="29">
        <f>INDO!$F$31/INDO!$F$30</f>
        <v>0.70000000000000007</v>
      </c>
      <c r="R500" s="29">
        <f>INDO!$G$31/INDO!$G$30</f>
        <v>0.70000000000000007</v>
      </c>
      <c r="S500" s="29">
        <f t="shared" si="148"/>
        <v>0.19999999999999996</v>
      </c>
      <c r="T500" s="30"/>
      <c r="U500" s="32" t="str">
        <f t="shared" si="149"/>
        <v>IDR 1,970</v>
      </c>
      <c r="V500" s="28" t="str">
        <f t="shared" si="149"/>
        <v>Indosat</v>
      </c>
      <c r="Z500" s="33"/>
    </row>
    <row r="501" spans="1:26">
      <c r="A501" s="5"/>
      <c r="C501" s="32" t="str">
        <f t="shared" si="146"/>
        <v>LG Uplus</v>
      </c>
      <c r="D501" s="28" t="str">
        <f t="shared" si="146"/>
        <v>KRW 16,600</v>
      </c>
      <c r="E501" s="28" t="str">
        <f t="shared" si="146"/>
        <v>KRW 19,000</v>
      </c>
      <c r="F501" s="29">
        <f t="shared" si="146"/>
        <v>0.14457831325301207</v>
      </c>
      <c r="G501" s="28" t="str">
        <f t="shared" si="146"/>
        <v>Buy</v>
      </c>
      <c r="H501" s="30"/>
      <c r="I501" s="29">
        <f>_LG!$D$31/_LG!$D$29</f>
        <v>0.31758432529276653</v>
      </c>
      <c r="J501" s="29">
        <f>_LG!$E$31/_LG!$E$29</f>
        <v>0.33617930915701855</v>
      </c>
      <c r="K501" s="29">
        <f>_LG!$F$31/_LG!$F$29</f>
        <v>0.34338582389751843</v>
      </c>
      <c r="L501" s="29">
        <f>_LG!$G$31/_LG!$G$29</f>
        <v>0.36789556282704533</v>
      </c>
      <c r="M501" s="29">
        <f t="shared" si="147"/>
        <v>5.0311237534278797E-2</v>
      </c>
      <c r="N501" s="30"/>
      <c r="O501" s="29">
        <f>_LG!$D$31/_LG!$D$30</f>
        <v>0.45463875492066025</v>
      </c>
      <c r="P501" s="29">
        <f>_LG!$E$31/_LG!$E$30</f>
        <v>0.37094127144816863</v>
      </c>
      <c r="Q501" s="29">
        <f>_LG!$F$31/_LG!$F$30</f>
        <v>0.33281963178271384</v>
      </c>
      <c r="R501" s="29">
        <f>_LG!$G$31/_LG!$G$30</f>
        <v>0.3269930260258106</v>
      </c>
      <c r="S501" s="29">
        <f t="shared" si="148"/>
        <v>-0.12764572889484965</v>
      </c>
      <c r="T501" s="30"/>
      <c r="U501" s="32" t="str">
        <f t="shared" si="149"/>
        <v>KRW 16,600</v>
      </c>
      <c r="V501" s="28" t="str">
        <f t="shared" si="149"/>
        <v>LG Uplus</v>
      </c>
      <c r="Z501" s="33"/>
    </row>
    <row r="502" spans="1:26">
      <c r="C502" s="32" t="str">
        <f t="shared" si="146"/>
        <v>Maxis</v>
      </c>
      <c r="D502" s="28" t="str">
        <f t="shared" si="146"/>
        <v>MYR 3.50</v>
      </c>
      <c r="E502" s="28" t="str">
        <f t="shared" si="146"/>
        <v>MYR 5.10</v>
      </c>
      <c r="F502" s="29">
        <f t="shared" si="146"/>
        <v>0.45714285714285707</v>
      </c>
      <c r="G502" s="28" t="str">
        <f t="shared" si="146"/>
        <v>Buy</v>
      </c>
      <c r="H502" s="30"/>
      <c r="I502" s="29">
        <f>MAXI!$D$31/MAXI!$D$29</f>
        <v>0.82000642025087778</v>
      </c>
      <c r="J502" s="29">
        <f>MAXI!$E$31/MAXI!$E$29</f>
        <v>0.85477385730805755</v>
      </c>
      <c r="K502" s="29">
        <f>MAXI!$F$31/MAXI!$F$29</f>
        <v>0.90034111049377141</v>
      </c>
      <c r="L502" s="29">
        <f>MAXI!$G$31/MAXI!$G$29</f>
        <v>0.92962321914675039</v>
      </c>
      <c r="M502" s="29">
        <f t="shared" si="147"/>
        <v>0.10961679889587261</v>
      </c>
      <c r="N502" s="30"/>
      <c r="O502" s="29">
        <f>MAXI!$D$31/MAXI!$D$30</f>
        <v>0.89999999999999991</v>
      </c>
      <c r="P502" s="29">
        <f>MAXI!$E$31/MAXI!$E$30</f>
        <v>0.89999999999999991</v>
      </c>
      <c r="Q502" s="29">
        <f>MAXI!$F$31/MAXI!$F$30</f>
        <v>0.89999999999999991</v>
      </c>
      <c r="R502" s="29">
        <f>MAXI!$G$31/MAXI!$G$30</f>
        <v>0.9</v>
      </c>
      <c r="S502" s="29">
        <f t="shared" si="148"/>
        <v>0</v>
      </c>
      <c r="T502" s="30"/>
      <c r="U502" s="32" t="str">
        <f t="shared" si="149"/>
        <v>MYR 3.50</v>
      </c>
      <c r="V502" s="28" t="str">
        <f t="shared" si="149"/>
        <v>Maxis</v>
      </c>
      <c r="Z502" s="33"/>
    </row>
    <row r="503" spans="1:26">
      <c r="A503" s="5"/>
      <c r="C503" s="32" t="str">
        <f t="shared" si="146"/>
        <v>SK Telecom</v>
      </c>
      <c r="D503" s="28" t="str">
        <f t="shared" si="146"/>
        <v>KRW 100,000</v>
      </c>
      <c r="E503" s="28" t="str">
        <f t="shared" si="146"/>
        <v>KRW 78,000</v>
      </c>
      <c r="F503" s="29">
        <f t="shared" si="146"/>
        <v>-0.21999999999999997</v>
      </c>
      <c r="G503" s="28" t="str">
        <f t="shared" si="146"/>
        <v>Neutral</v>
      </c>
      <c r="H503" s="30"/>
      <c r="I503" s="29">
        <f>SKT!$D$31/SKT!$D$29</f>
        <v>0.42096596496320143</v>
      </c>
      <c r="J503" s="29">
        <f>SKT!$E$31/SKT!$E$29</f>
        <v>0.4311950703611433</v>
      </c>
      <c r="K503" s="29">
        <f>SKT!$F$31/SKT!$F$29</f>
        <v>0.41113626691108596</v>
      </c>
      <c r="L503" s="29">
        <f>SKT!$G$31/SKT!$G$29</f>
        <v>0.39226517247760473</v>
      </c>
      <c r="M503" s="29">
        <f t="shared" si="147"/>
        <v>-2.8700792485596704E-2</v>
      </c>
      <c r="N503" s="30"/>
      <c r="O503" s="29">
        <f>SKT!$D$31/SKT!$D$30</f>
        <v>0.84839939403996412</v>
      </c>
      <c r="P503" s="29">
        <f>SKT!$E$31/SKT!$E$30</f>
        <v>0.87951052202785185</v>
      </c>
      <c r="Q503" s="29">
        <f>SKT!$F$31/SKT!$F$30</f>
        <v>0.81221539540988086</v>
      </c>
      <c r="R503" s="29">
        <f>SKT!$G$31/SKT!$G$30</f>
        <v>0.75335548258594032</v>
      </c>
      <c r="S503" s="29">
        <f t="shared" si="148"/>
        <v>-9.5043911454023799E-2</v>
      </c>
      <c r="T503" s="30"/>
      <c r="U503" s="32" t="str">
        <f t="shared" si="149"/>
        <v>KRW 100,000</v>
      </c>
      <c r="V503" s="28" t="str">
        <f t="shared" si="149"/>
        <v>SK Telecom</v>
      </c>
      <c r="Z503" s="33"/>
    </row>
    <row r="504" spans="1:26">
      <c r="A504" s="5"/>
      <c r="C504" s="32" t="str">
        <f t="shared" si="146"/>
        <v>True Corp</v>
      </c>
      <c r="D504" s="28" t="str">
        <f t="shared" si="146"/>
        <v>THB 13.5</v>
      </c>
      <c r="E504" s="28" t="str">
        <f t="shared" si="146"/>
        <v>THB 18.0</v>
      </c>
      <c r="F504" s="29">
        <f t="shared" si="146"/>
        <v>0.33333333333333326</v>
      </c>
      <c r="G504" s="28" t="str">
        <f t="shared" si="146"/>
        <v>Buy</v>
      </c>
      <c r="H504" s="30"/>
      <c r="I504" s="29">
        <f>TRUECORP!$D$31/TRUECORP!$D$29</f>
        <v>0.30617182456903957</v>
      </c>
      <c r="J504" s="29">
        <f>TRUECORP!$E$31/TRUECORP!$E$29</f>
        <v>0.37885224796609607</v>
      </c>
      <c r="K504" s="29">
        <f>TRUECORP!$F$31/TRUECORP!$F$29</f>
        <v>0.54962991821939944</v>
      </c>
      <c r="L504" s="29">
        <f>TRUECORP!$G$31/TRUECORP!$G$29</f>
        <v>0.58095245952602603</v>
      </c>
      <c r="M504" s="29">
        <f t="shared" si="147"/>
        <v>0.27478063495698646</v>
      </c>
      <c r="N504" s="30"/>
      <c r="O504" s="29">
        <f>TRUECORP!$D$31/TRUECORP!$D$30</f>
        <v>0.4026336081624069</v>
      </c>
      <c r="P504" s="29">
        <f>TRUECORP!$E$31/TRUECORP!$E$30</f>
        <v>0.5</v>
      </c>
      <c r="Q504" s="29">
        <f>TRUECORP!$F$31/TRUECORP!$F$30</f>
        <v>0.6</v>
      </c>
      <c r="R504" s="29">
        <f>TRUECORP!$G$31/TRUECORP!$G$30</f>
        <v>0.65</v>
      </c>
      <c r="S504" s="29">
        <f t="shared" si="148"/>
        <v>0.24736639183759312</v>
      </c>
      <c r="T504" s="30"/>
      <c r="U504" s="32" t="str">
        <f t="shared" si="149"/>
        <v>THB 13.5</v>
      </c>
      <c r="V504" s="28" t="str">
        <f t="shared" si="149"/>
        <v>True Corp</v>
      </c>
      <c r="Z504" s="33"/>
    </row>
    <row r="505" spans="1:26">
      <c r="A505" s="5"/>
      <c r="C505" s="32" t="str">
        <f t="shared" si="146"/>
        <v>XL Axiata</v>
      </c>
      <c r="D505" s="28" t="str">
        <f t="shared" si="146"/>
        <v>IDR 3,070</v>
      </c>
      <c r="E505" s="28" t="str">
        <f t="shared" si="146"/>
        <v>IDR 4,500</v>
      </c>
      <c r="F505" s="29">
        <f t="shared" si="146"/>
        <v>0.46579804560260585</v>
      </c>
      <c r="G505" s="28" t="str">
        <f t="shared" si="146"/>
        <v>Buy</v>
      </c>
      <c r="H505" s="30"/>
      <c r="I505" s="29">
        <f>XLAX!$D$31/XLAX!$D$29</f>
        <v>-143.90449178410591</v>
      </c>
      <c r="J505" s="29">
        <f>XLAX!$E$31/XLAX!$E$29</f>
        <v>0</v>
      </c>
      <c r="K505" s="29">
        <f>XLAX!$F$31/XLAX!$F$29</f>
        <v>1.1325249289949679</v>
      </c>
      <c r="L505" s="29">
        <f>XLAX!$G$31/XLAX!$G$29</f>
        <v>0.84731009792501355</v>
      </c>
      <c r="M505" s="29">
        <f t="shared" si="147"/>
        <v>144.75180188203092</v>
      </c>
      <c r="N505" s="40"/>
      <c r="O505" s="29">
        <f>XLAX!$D$31/XLAX!$D$30</f>
        <v>4.5704758488169661</v>
      </c>
      <c r="P505" s="29">
        <f>XLAX!$E$31/XLAX!$E$30</f>
        <v>0</v>
      </c>
      <c r="Q505" s="29">
        <f>XLAX!$F$31/XLAX!$F$30</f>
        <v>0.40863366048045657</v>
      </c>
      <c r="R505" s="29">
        <f>XLAX!$G$31/XLAX!$G$30</f>
        <v>0.5</v>
      </c>
      <c r="S505" s="29">
        <f t="shared" si="148"/>
        <v>-4.0704758488169661</v>
      </c>
      <c r="T505" s="30"/>
      <c r="U505" s="32" t="str">
        <f t="shared" si="149"/>
        <v>IDR 3,070</v>
      </c>
      <c r="V505" s="28" t="str">
        <f t="shared" si="149"/>
        <v>XL Axiata</v>
      </c>
      <c r="Z505" s="33"/>
    </row>
    <row r="506" spans="1:26">
      <c r="A506" s="5"/>
      <c r="C506" s="35" t="str">
        <f>C455</f>
        <v>Agg. Emerging Asia Cellular</v>
      </c>
      <c r="D506" s="36"/>
      <c r="E506" s="36"/>
      <c r="F506" s="37"/>
      <c r="G506" s="36"/>
      <c r="H506" s="30"/>
      <c r="I506" s="39">
        <f>'EM ASIA CELLULAR'!$D$31/'EM ASIA CELLULAR'!$D$29</f>
        <v>0.83597210598321969</v>
      </c>
      <c r="J506" s="39">
        <f>'EM ASIA CELLULAR'!$E$31/'EM ASIA CELLULAR'!$E$29</f>
        <v>0.79099362438964105</v>
      </c>
      <c r="K506" s="39">
        <f>'EM ASIA CELLULAR'!$F$31/'EM ASIA CELLULAR'!$F$29</f>
        <v>0.78708444539026279</v>
      </c>
      <c r="L506" s="39">
        <f>'EM ASIA CELLULAR'!$G$31/'EM ASIA CELLULAR'!$G$29</f>
        <v>0.78820679441497754</v>
      </c>
      <c r="M506" s="39">
        <f t="shared" si="147"/>
        <v>-4.7765311568242153E-2</v>
      </c>
      <c r="N506" s="40"/>
      <c r="O506" s="39">
        <f>'EM ASIA CELLULAR'!$D$31/'EM ASIA CELLULAR'!$D$30</f>
        <v>0.78830949276463436</v>
      </c>
      <c r="P506" s="39">
        <f>'EM ASIA CELLULAR'!$E$31/'EM ASIA CELLULAR'!$E$30</f>
        <v>0.78090257908393845</v>
      </c>
      <c r="Q506" s="39">
        <f>'EM ASIA CELLULAR'!$F$31/'EM ASIA CELLULAR'!$F$30</f>
        <v>0.7652421706990471</v>
      </c>
      <c r="R506" s="39">
        <f>'EM ASIA CELLULAR'!$G$31/'EM ASIA CELLULAR'!$G$30</f>
        <v>0.75356768756850268</v>
      </c>
      <c r="S506" s="39">
        <f t="shared" si="148"/>
        <v>-3.4741805196131681E-2</v>
      </c>
      <c r="T506" s="30"/>
      <c r="U506" s="41"/>
      <c r="V506" s="42" t="str">
        <f>V455</f>
        <v>Agg. Emerging Asia Cellular</v>
      </c>
      <c r="Z506" s="33"/>
    </row>
    <row r="507" spans="1:26">
      <c r="A507" s="5"/>
      <c r="C507" s="27"/>
      <c r="D507" s="28"/>
      <c r="E507" s="28"/>
      <c r="F507" s="52"/>
      <c r="G507" s="28"/>
      <c r="H507" s="30"/>
      <c r="I507" s="45"/>
      <c r="J507" s="45"/>
      <c r="K507" s="45"/>
      <c r="L507" s="45"/>
      <c r="M507" s="45"/>
      <c r="N507" s="30"/>
      <c r="O507" s="45"/>
      <c r="P507" s="45"/>
      <c r="Q507" s="45"/>
      <c r="R507" s="45"/>
      <c r="S507" s="45"/>
      <c r="T507" s="30"/>
      <c r="U507" s="32"/>
      <c r="V507" s="34"/>
      <c r="Z507" s="33"/>
    </row>
    <row r="508" spans="1:26">
      <c r="A508" s="5"/>
      <c r="C508" s="35" t="str">
        <f>C457</f>
        <v>Agg. Emerging  Cellular</v>
      </c>
      <c r="D508" s="36"/>
      <c r="E508" s="36"/>
      <c r="F508" s="37"/>
      <c r="G508" s="36"/>
      <c r="H508" s="30"/>
      <c r="I508" s="39">
        <f>'EM CELLULAR'!$D$31/'EM CELLULAR'!$D$29</f>
        <v>0.82969409531968419</v>
      </c>
      <c r="J508" s="39">
        <f>'EM CELLULAR'!$E$31/'EM CELLULAR'!$E$29</f>
        <v>0.77670729011082085</v>
      </c>
      <c r="K508" s="39">
        <f>'EM CELLULAR'!$F$31/'EM CELLULAR'!$F$29</f>
        <v>0.76519916663593923</v>
      </c>
      <c r="L508" s="39">
        <f>'EM CELLULAR'!$G$31/'EM CELLULAR'!$G$29</f>
        <v>0.76272934690556904</v>
      </c>
      <c r="M508" s="39">
        <f t="shared" ref="M508" si="150">L508-I508</f>
        <v>-6.6964748414115149E-2</v>
      </c>
      <c r="N508" s="30"/>
      <c r="O508" s="39">
        <f>'EM CELLULAR'!$D$31/'EM CELLULAR'!$D$30</f>
        <v>0.7360526031332203</v>
      </c>
      <c r="P508" s="39">
        <f>'EM CELLULAR'!$E$31/'EM CELLULAR'!$E$30</f>
        <v>0.72076102741436121</v>
      </c>
      <c r="Q508" s="39">
        <f>'EM CELLULAR'!$F$31/'EM CELLULAR'!$F$30</f>
        <v>0.69984834666547302</v>
      </c>
      <c r="R508" s="39">
        <f>'EM CELLULAR'!$G$31/'EM CELLULAR'!$G$30</f>
        <v>0.68646424661480421</v>
      </c>
      <c r="S508" s="39">
        <f t="shared" ref="S508" si="151">R508-O508</f>
        <v>-4.9588356518416088E-2</v>
      </c>
      <c r="T508" s="30"/>
      <c r="U508" s="41"/>
      <c r="V508" s="42" t="str">
        <f>V457</f>
        <v>Agg. Emerging  Cellular</v>
      </c>
      <c r="Z508" s="33"/>
    </row>
    <row r="509" spans="1:26">
      <c r="C509" s="27"/>
      <c r="D509" s="28"/>
      <c r="E509" s="28"/>
      <c r="F509" s="29"/>
      <c r="G509" s="28"/>
      <c r="H509" s="30"/>
      <c r="I509" s="29"/>
      <c r="J509" s="29"/>
      <c r="K509" s="29"/>
      <c r="L509" s="29"/>
      <c r="M509" s="29"/>
      <c r="N509" s="30"/>
      <c r="O509" s="29"/>
      <c r="P509" s="29"/>
      <c r="Q509" s="29"/>
      <c r="R509" s="29"/>
      <c r="S509" s="29"/>
      <c r="T509" s="30"/>
      <c r="U509" s="32"/>
      <c r="V509" s="34"/>
      <c r="Z509" s="33"/>
    </row>
    <row r="510" spans="1:26">
      <c r="C510" s="51" t="str">
        <f>C459</f>
        <v>Agg. EMEA sector</v>
      </c>
      <c r="D510" s="36"/>
      <c r="E510" s="36"/>
      <c r="F510" s="37"/>
      <c r="G510" s="36"/>
      <c r="H510" s="30"/>
      <c r="I510" s="39">
        <f>'EMEA AGG'!$D$31/'EMEA AGG'!$D$29</f>
        <v>0.71626858649262892</v>
      </c>
      <c r="J510" s="39">
        <f>'EMEA AGG'!$E$31/'EMEA AGG'!$E$29</f>
        <v>0.67736340274513018</v>
      </c>
      <c r="K510" s="39">
        <f>'EMEA AGG'!$F$31/'EMEA AGG'!$F$29</f>
        <v>0.66404338606812718</v>
      </c>
      <c r="L510" s="39">
        <f>'EMEA AGG'!$G$31/'EMEA AGG'!$G$29</f>
        <v>0.66758904767704264</v>
      </c>
      <c r="M510" s="39">
        <f>L510-I510</f>
        <v>-4.8679538815586287E-2</v>
      </c>
      <c r="N510" s="40"/>
      <c r="O510" s="39">
        <f>'EMEA AGG'!$D$31/'EMEA AGG'!$D$30</f>
        <v>0.42723836768614276</v>
      </c>
      <c r="P510" s="39">
        <f>'EMEA AGG'!$E$31/'EMEA AGG'!$E$30</f>
        <v>0.45848100707888506</v>
      </c>
      <c r="Q510" s="39">
        <f>'EMEA AGG'!$F$31/'EMEA AGG'!$F$30</f>
        <v>0.44588659068348935</v>
      </c>
      <c r="R510" s="39">
        <f>'EMEA AGG'!$G$31/'EMEA AGG'!$G$30</f>
        <v>0.44520906571381924</v>
      </c>
      <c r="S510" s="39">
        <f>R510-O510</f>
        <v>1.7970698027676479E-2</v>
      </c>
      <c r="T510" s="30"/>
      <c r="U510" s="41"/>
      <c r="V510" s="42" t="str">
        <f>V459</f>
        <v>Agg. EMEA sector</v>
      </c>
      <c r="Z510" s="33"/>
    </row>
    <row r="511" spans="1:26">
      <c r="C511" s="25" t="str">
        <f>C460</f>
        <v>Agg. LatAm sector</v>
      </c>
      <c r="D511" s="28"/>
      <c r="E511" s="28"/>
      <c r="F511" s="29"/>
      <c r="G511" s="28"/>
      <c r="H511" s="30"/>
      <c r="I511" s="43">
        <f>'LATAM AGG'!$D$31/'LATAM AGG'!$D$29</f>
        <v>0.42922400988273157</v>
      </c>
      <c r="J511" s="43">
        <f>'LATAM AGG'!$E$31/'LATAM AGG'!$E$29</f>
        <v>0.45799388195584056</v>
      </c>
      <c r="K511" s="43">
        <f>'LATAM AGG'!$F$31/'LATAM AGG'!$F$29</f>
        <v>0.46521458585339659</v>
      </c>
      <c r="L511" s="43">
        <f>'LATAM AGG'!$G$31/'LATAM AGG'!$G$29</f>
        <v>0.45713574308505334</v>
      </c>
      <c r="M511" s="43">
        <f>L511-I511</f>
        <v>2.7911733202321765E-2</v>
      </c>
      <c r="N511" s="40"/>
      <c r="O511" s="43">
        <f>'LATAM AGG'!$D$31/'LATAM AGG'!$D$30</f>
        <v>0.52660761552100255</v>
      </c>
      <c r="P511" s="43">
        <f>'LATAM AGG'!$E$31/'LATAM AGG'!$E$30</f>
        <v>0.51735886226009087</v>
      </c>
      <c r="Q511" s="43">
        <f>'LATAM AGG'!$F$31/'LATAM AGG'!$F$30</f>
        <v>0.50991511883087004</v>
      </c>
      <c r="R511" s="43">
        <f>'LATAM AGG'!$G$31/'LATAM AGG'!$G$30</f>
        <v>0.50627242098707714</v>
      </c>
      <c r="S511" s="43">
        <f>R511-O511</f>
        <v>-2.0335194533925405E-2</v>
      </c>
      <c r="T511" s="30"/>
      <c r="U511" s="32"/>
      <c r="V511" s="34" t="str">
        <f>V460</f>
        <v>Agg. LatAm sector</v>
      </c>
      <c r="Z511" s="33"/>
    </row>
    <row r="512" spans="1:26">
      <c r="C512" s="51" t="str">
        <f>C461</f>
        <v>Agg. Emerging Asia sector</v>
      </c>
      <c r="D512" s="36"/>
      <c r="E512" s="36"/>
      <c r="F512" s="37"/>
      <c r="G512" s="36"/>
      <c r="H512" s="30"/>
      <c r="I512" s="39">
        <f>'AGG EM ASIA'!$D$31/'AGG EM ASIA'!$D$29</f>
        <v>0.75885129158278686</v>
      </c>
      <c r="J512" s="39">
        <f>'AGG EM ASIA'!$E$31/'AGG EM ASIA'!$E$29</f>
        <v>0.72007744237786098</v>
      </c>
      <c r="K512" s="39">
        <f>'AGG EM ASIA'!$F$31/'AGG EM ASIA'!$F$29</f>
        <v>0.71913814012770894</v>
      </c>
      <c r="L512" s="39">
        <f>'AGG EM ASIA'!$G$31/'AGG EM ASIA'!$G$29</f>
        <v>0.7249272793053041</v>
      </c>
      <c r="M512" s="39">
        <f>L512-I512</f>
        <v>-3.3924012277482762E-2</v>
      </c>
      <c r="N512" s="40"/>
      <c r="O512" s="39">
        <f>'AGG EM ASIA'!$D$31/'AGG EM ASIA'!$D$30</f>
        <v>0.75656616435866919</v>
      </c>
      <c r="P512" s="39">
        <f>'AGG EM ASIA'!$E$31/'AGG EM ASIA'!$E$30</f>
        <v>0.76258842715881492</v>
      </c>
      <c r="Q512" s="39">
        <f>'AGG EM ASIA'!$F$31/'AGG EM ASIA'!$F$30</f>
        <v>0.75133246455170688</v>
      </c>
      <c r="R512" s="39">
        <f>'AGG EM ASIA'!$G$31/'AGG EM ASIA'!$G$30</f>
        <v>0.74603337959143678</v>
      </c>
      <c r="S512" s="39">
        <f>R512-O512</f>
        <v>-1.0532784767232406E-2</v>
      </c>
      <c r="T512" s="30"/>
      <c r="U512" s="41"/>
      <c r="V512" s="42" t="str">
        <f>V461</f>
        <v>Agg. Emerging Asia sector</v>
      </c>
      <c r="Z512" s="33"/>
    </row>
    <row r="513" spans="1:29">
      <c r="C513" s="25"/>
      <c r="D513" s="28"/>
      <c r="E513" s="28"/>
      <c r="F513" s="29"/>
      <c r="G513" s="28"/>
      <c r="H513" s="30"/>
      <c r="I513" s="43"/>
      <c r="J513" s="43"/>
      <c r="K513" s="43"/>
      <c r="L513" s="43"/>
      <c r="M513" s="43"/>
      <c r="N513" s="40"/>
      <c r="O513" s="43"/>
      <c r="P513" s="43"/>
      <c r="Q513" s="43"/>
      <c r="R513" s="43"/>
      <c r="S513" s="43"/>
      <c r="T513" s="30"/>
      <c r="U513" s="32"/>
      <c r="V513" s="34"/>
      <c r="Z513" s="33"/>
    </row>
    <row r="514" spans="1:29">
      <c r="C514" s="51" t="str">
        <f>C463</f>
        <v>Agg. Global EM sector</v>
      </c>
      <c r="D514" s="36"/>
      <c r="E514" s="36"/>
      <c r="F514" s="37"/>
      <c r="G514" s="36"/>
      <c r="H514" s="30"/>
      <c r="I514" s="39">
        <f>'AGG EM'!$D$31/'AGG EM'!$D$29</f>
        <v>0.69005288112710461</v>
      </c>
      <c r="J514" s="39">
        <f>'AGG EM'!$E$31/'AGG EM'!$E$29</f>
        <v>0.66600469117215844</v>
      </c>
      <c r="K514" s="39">
        <f>'AGG EM'!$F$31/'AGG EM'!$F$29</f>
        <v>0.66583908302711481</v>
      </c>
      <c r="L514" s="39">
        <f>'AGG EM'!$G$31/'AGG EM'!$G$29</f>
        <v>0.66857610127394718</v>
      </c>
      <c r="M514" s="39">
        <f>L514-I514</f>
        <v>-2.1476779853157435E-2</v>
      </c>
      <c r="N514" s="40"/>
      <c r="O514" s="39">
        <f>'AGG EM'!$D$31/'AGG EM'!$D$30</f>
        <v>0.68548446066936264</v>
      </c>
      <c r="P514" s="39">
        <f>'AGG EM'!$E$31/'AGG EM'!$E$30</f>
        <v>0.6835998426715616</v>
      </c>
      <c r="Q514" s="39">
        <f>'AGG EM'!$F$31/'AGG EM'!$F$30</f>
        <v>0.66946261594654977</v>
      </c>
      <c r="R514" s="39">
        <f>'AGG EM'!$G$31/'AGG EM'!$G$30</f>
        <v>0.66415104317059237</v>
      </c>
      <c r="S514" s="39">
        <f>R514-O514</f>
        <v>-2.1333417498770268E-2</v>
      </c>
      <c r="T514" s="30"/>
      <c r="U514" s="41"/>
      <c r="V514" s="42" t="str">
        <f>V463</f>
        <v>Agg. Global EM sector (ex-consensus)</v>
      </c>
    </row>
    <row r="515" spans="1:29">
      <c r="C515" s="27"/>
      <c r="D515" s="28"/>
      <c r="E515" s="28"/>
      <c r="F515" s="29"/>
      <c r="G515" s="28"/>
      <c r="H515" s="105"/>
      <c r="I515" s="43"/>
      <c r="J515" s="43"/>
      <c r="K515" s="43"/>
      <c r="L515" s="43"/>
      <c r="M515" s="43"/>
      <c r="N515" s="40"/>
      <c r="O515" s="43"/>
      <c r="P515" s="43"/>
      <c r="Q515" s="43"/>
      <c r="R515" s="43"/>
      <c r="S515" s="43"/>
      <c r="T515" s="40"/>
      <c r="U515" s="32"/>
      <c r="V515" s="34"/>
    </row>
    <row r="516" spans="1:29">
      <c r="C516" s="27"/>
      <c r="D516" s="28"/>
      <c r="E516" s="28"/>
      <c r="F516" s="29"/>
      <c r="G516" s="28"/>
      <c r="H516" s="105"/>
      <c r="I516" s="43"/>
      <c r="J516" s="43"/>
      <c r="K516" s="43"/>
      <c r="L516" s="43"/>
      <c r="M516" s="43"/>
      <c r="N516" s="40"/>
      <c r="O516" s="43"/>
      <c r="P516" s="43"/>
      <c r="Q516" s="43"/>
      <c r="R516" s="43"/>
      <c r="S516" s="43"/>
      <c r="T516" s="40"/>
      <c r="U516" s="32"/>
      <c r="V516" s="34"/>
      <c r="X516" s="1"/>
    </row>
    <row r="517" spans="1:29" s="25" customFormat="1">
      <c r="B517" s="113"/>
      <c r="C517" s="130"/>
      <c r="D517" s="131" t="s">
        <v>379</v>
      </c>
      <c r="E517" s="131" t="s">
        <v>50</v>
      </c>
      <c r="F517" s="131" t="s">
        <v>52</v>
      </c>
      <c r="G517" s="131" t="s">
        <v>49</v>
      </c>
      <c r="H517" s="105"/>
      <c r="I517" s="132" t="s">
        <v>525</v>
      </c>
      <c r="J517" s="132"/>
      <c r="K517" s="132"/>
      <c r="L517" s="132"/>
      <c r="M517" s="132"/>
      <c r="N517" s="30"/>
      <c r="O517" s="132" t="s">
        <v>527</v>
      </c>
      <c r="P517" s="132"/>
      <c r="Q517" s="132"/>
      <c r="R517" s="132"/>
      <c r="S517" s="132"/>
      <c r="T517" s="30"/>
      <c r="U517" s="133" t="s">
        <v>379</v>
      </c>
      <c r="V517" s="131"/>
      <c r="Z517" s="33"/>
      <c r="AC517" s="106"/>
    </row>
    <row r="518" spans="1:29">
      <c r="A518" s="25" t="s">
        <v>415</v>
      </c>
      <c r="C518" s="32" t="str">
        <f t="shared" ref="C518:G520" si="152">C467</f>
        <v>America Movil</v>
      </c>
      <c r="D518" s="28" t="str">
        <f t="shared" si="152"/>
        <v>USD 22.8</v>
      </c>
      <c r="E518" s="28" t="str">
        <f t="shared" si="152"/>
        <v>USD 24.0</v>
      </c>
      <c r="F518" s="29">
        <f t="shared" si="152"/>
        <v>5.2631578947368363E-2</v>
      </c>
      <c r="G518" s="28" t="str">
        <f t="shared" si="152"/>
        <v>Buy</v>
      </c>
      <c r="H518" s="30"/>
      <c r="I518" s="29">
        <f>AMX!$D$32/AMX!$D$11</f>
        <v>7.7800829875518673E-3</v>
      </c>
      <c r="J518" s="29">
        <f>AMX!$E$32/AMX!$E$11</f>
        <v>1.6645408163265308E-2</v>
      </c>
      <c r="K518" s="29">
        <f>AMX!$F$32/AMX!$F$11</f>
        <v>1.7130548302872063E-2</v>
      </c>
      <c r="L518" s="29">
        <f>AMX!$G$32/AMX!$G$11</f>
        <v>1.8228245770258243E-2</v>
      </c>
      <c r="M518" s="29">
        <f>AMX!$H$32</f>
        <v>0.29733196393848771</v>
      </c>
      <c r="N518" s="30"/>
      <c r="O518" s="29">
        <f>(AMX!$D$31+AMX!$D$32)/AMX!$D$11</f>
        <v>3.1537392929072337E-2</v>
      </c>
      <c r="P518" s="29">
        <f>(AMX!$E$31+AMX!$E$32)/AMX!$E$11</f>
        <v>4.6560680392242586E-2</v>
      </c>
      <c r="Q518" s="29">
        <f>(AMX!$F$31+AMX!$F$32)/AMX!$F$11</f>
        <v>5.0243594729633766E-2</v>
      </c>
      <c r="R518" s="29">
        <f>(AMX!$G$31+AMX!$G$32)/AMX!$G$11</f>
        <v>5.4402162034787829E-2</v>
      </c>
      <c r="S518" s="29">
        <f>AMX!$H$46</f>
        <v>0.17146061848280403</v>
      </c>
      <c r="T518" s="30"/>
      <c r="U518" s="32" t="str">
        <f>U467</f>
        <v>USD 22.8</v>
      </c>
      <c r="V518" s="28" t="str">
        <f>V467</f>
        <v>America Movil</v>
      </c>
    </row>
    <row r="519" spans="1:29">
      <c r="A519" s="5"/>
      <c r="C519" s="32" t="str">
        <f t="shared" si="152"/>
        <v>Vivo</v>
      </c>
      <c r="D519" s="28" t="str">
        <f t="shared" si="152"/>
        <v>BRL 39.88</v>
      </c>
      <c r="E519" s="28" t="str">
        <f t="shared" si="152"/>
        <v>BRL 43.00</v>
      </c>
      <c r="F519" s="29">
        <f t="shared" si="152"/>
        <v>7.8234704112337017E-2</v>
      </c>
      <c r="G519" s="28" t="str">
        <f t="shared" si="152"/>
        <v>Buy</v>
      </c>
      <c r="H519" s="30"/>
      <c r="I519" s="29">
        <f>VIVO!$D$32/VIVO!$D$11</f>
        <v>1.3156414940176473E-2</v>
      </c>
      <c r="J519" s="29">
        <f>VIVO!$E$32/VIVO!$E$11</f>
        <v>1.5769751871863729E-2</v>
      </c>
      <c r="K519" s="29">
        <f>VIVO!$F$32/VIVO!$F$11</f>
        <v>1.8125144599540108E-2</v>
      </c>
      <c r="L519" s="29">
        <f>VIVO!$G$32/VIVO!$G$11</f>
        <v>2.0635554913473922E-2</v>
      </c>
      <c r="M519" s="29">
        <f>VIVO!$H$32</f>
        <v>0.1371830097629767</v>
      </c>
      <c r="N519" s="30"/>
      <c r="O519" s="29">
        <f>(VIVO!$D$31+VIVO!$D$32)/VIVO!$D$11</f>
        <v>4.5345700856504426E-2</v>
      </c>
      <c r="P519" s="29">
        <f>(VIVO!$E$31+VIVO!$E$32)/VIVO!$E$11</f>
        <v>7.19745968969253E-2</v>
      </c>
      <c r="Q519" s="29">
        <f>(VIVO!$F$31+VIVO!$F$32)/VIVO!$F$11</f>
        <v>8.6013427131053602E-2</v>
      </c>
      <c r="R519" s="29">
        <f>(VIVO!$G$31+VIVO!$G$32)/VIVO!$G$11</f>
        <v>0.10028517812616394</v>
      </c>
      <c r="S519" s="29">
        <f>VIVO!$H$46</f>
        <v>0.27517867991325606</v>
      </c>
      <c r="T519" s="30"/>
      <c r="U519" s="32" t="str">
        <f>U468</f>
        <v>BRL 39.88</v>
      </c>
      <c r="V519" s="28" t="str">
        <f>V468</f>
        <v>Telefonica Brasil</v>
      </c>
      <c r="X519" s="29"/>
      <c r="Y519" s="29"/>
      <c r="Z519" s="33"/>
    </row>
    <row r="520" spans="1:29">
      <c r="A520" s="5"/>
      <c r="C520" s="32" t="str">
        <f t="shared" si="152"/>
        <v>Televisa</v>
      </c>
      <c r="D520" s="28" t="str">
        <f t="shared" si="152"/>
        <v>USD 3.1</v>
      </c>
      <c r="E520" s="28" t="str">
        <f t="shared" si="152"/>
        <v>USD 3.7</v>
      </c>
      <c r="F520" s="29">
        <f t="shared" si="152"/>
        <v>0.21311475409836089</v>
      </c>
      <c r="G520" s="28" t="str">
        <f t="shared" si="152"/>
        <v>Neutral</v>
      </c>
      <c r="H520" s="30"/>
      <c r="I520" s="29">
        <f>TVIS!$D$32/TVIS!$D$11</f>
        <v>0</v>
      </c>
      <c r="J520" s="29">
        <f>TVIS!$E$32/TVIS!$E$11</f>
        <v>0</v>
      </c>
      <c r="K520" s="29">
        <f>TVIS!$F$32/TVIS!$F$11</f>
        <v>0</v>
      </c>
      <c r="L520" s="29">
        <f>TVIS!$G$32/TVIS!$G$11</f>
        <v>0</v>
      </c>
      <c r="M520" s="29" t="str">
        <f>TVIS!$H$32</f>
        <v>nm</v>
      </c>
      <c r="N520" s="30"/>
      <c r="O520" s="29">
        <f>(TVIS!$D$31+TVIS!$D$32)/TVIS!$D$11</f>
        <v>2.8733738832724245E-2</v>
      </c>
      <c r="P520" s="29">
        <f>(TVIS!$E$31+TVIS!$E$32)/TVIS!$E$11</f>
        <v>2.8733738832724245E-2</v>
      </c>
      <c r="Q520" s="29">
        <f>(TVIS!$F$31+TVIS!$F$32)/TVIS!$F$11</f>
        <v>2.8733738832724245E-2</v>
      </c>
      <c r="R520" s="29">
        <f>(TVIS!$G$31+TVIS!$G$32)/TVIS!$G$11</f>
        <v>2.8733738832724245E-2</v>
      </c>
      <c r="S520" s="29">
        <f>TVIS!$H$46</f>
        <v>0</v>
      </c>
      <c r="T520" s="30"/>
      <c r="U520" s="32" t="str">
        <f>U469</f>
        <v>USD 3.1</v>
      </c>
      <c r="V520" s="28" t="s">
        <v>561</v>
      </c>
      <c r="Z520" s="33"/>
    </row>
    <row r="521" spans="1:29">
      <c r="A521" s="5"/>
      <c r="C521" s="35" t="str">
        <f>C470</f>
        <v>Agg. LatAm Incumbent</v>
      </c>
      <c r="D521" s="36"/>
      <c r="E521" s="36"/>
      <c r="F521" s="37"/>
      <c r="G521" s="36"/>
      <c r="H521" s="30"/>
      <c r="I521" s="39">
        <f>'LATAM INCUMB'!$D$32/'LATAM INCUMB'!$D$11</f>
        <v>9.0779054953723966E-3</v>
      </c>
      <c r="J521" s="39">
        <f>'LATAM INCUMB'!$E$32/'LATAM INCUMB'!$E$11</f>
        <v>1.6100612343031395E-2</v>
      </c>
      <c r="K521" s="39">
        <f>'LATAM INCUMB'!$F$32/'LATAM INCUMB'!$F$11</f>
        <v>1.7072328871807121E-2</v>
      </c>
      <c r="L521" s="39">
        <f>'LATAM INCUMB'!$G$32/'LATAM INCUMB'!$G$11</f>
        <v>1.852010681298584E-2</v>
      </c>
      <c r="M521" s="39">
        <f>'LATAM INCUMB'!$H$32</f>
        <v>0.24006057554260818</v>
      </c>
      <c r="N521" s="40"/>
      <c r="O521" s="39">
        <f>('LATAM INCUMB'!$D$31+'LATAM INCUMB'!$D$32)/'LATAM INCUMB'!$D$11</f>
        <v>3.5182997947251902E-2</v>
      </c>
      <c r="P521" s="39">
        <f>('LATAM INCUMB'!$E$31+'LATAM INCUMB'!$E$32)/'LATAM INCUMB'!$E$11</f>
        <v>5.3058049652406042E-2</v>
      </c>
      <c r="Q521" s="39">
        <f>('LATAM INCUMB'!$F$31+'LATAM INCUMB'!$F$32)/'LATAM INCUMB'!$F$11</f>
        <v>5.9454627023393818E-2</v>
      </c>
      <c r="R521" s="39">
        <f>('LATAM INCUMB'!$G$31+'LATAM INCUMB'!$G$32)/'LATAM INCUMB'!$G$11</f>
        <v>6.6224057174592149E-2</v>
      </c>
      <c r="S521" s="39">
        <f>'LATAM INCUMB'!$H$46</f>
        <v>0.20721494761880854</v>
      </c>
      <c r="T521" s="30"/>
      <c r="U521" s="41"/>
      <c r="V521" s="42" t="str">
        <f>V470</f>
        <v>Agg. LatAm Incumbent</v>
      </c>
      <c r="W521" s="52"/>
      <c r="Z521" s="33"/>
    </row>
    <row r="522" spans="1:29">
      <c r="C522" s="32"/>
      <c r="D522" s="28"/>
      <c r="E522" s="28"/>
      <c r="F522" s="29"/>
      <c r="G522" s="28"/>
      <c r="H522" s="30"/>
      <c r="I522" s="29"/>
      <c r="J522" s="29"/>
      <c r="K522" s="29"/>
      <c r="L522" s="29"/>
      <c r="M522" s="29"/>
      <c r="N522" s="40"/>
      <c r="O522" s="29"/>
      <c r="P522" s="29"/>
      <c r="Q522" s="29"/>
      <c r="R522" s="29"/>
      <c r="S522" s="29"/>
      <c r="T522" s="30"/>
      <c r="U522" s="32"/>
      <c r="V522" s="34"/>
      <c r="Z522" s="33"/>
    </row>
    <row r="523" spans="1:29">
      <c r="A523" s="5"/>
      <c r="C523" s="32" t="str">
        <f t="shared" ref="C523:G526" si="153">C472</f>
        <v>China Telecom</v>
      </c>
      <c r="D523" s="28" t="str">
        <f t="shared" si="153"/>
        <v>HKD 5.01</v>
      </c>
      <c r="E523" s="28" t="str">
        <f t="shared" si="153"/>
        <v>HKD 8.75</v>
      </c>
      <c r="F523" s="29">
        <f t="shared" si="153"/>
        <v>0.7465069860279443</v>
      </c>
      <c r="G523" s="28" t="str">
        <f t="shared" si="153"/>
        <v>Buy</v>
      </c>
      <c r="H523" s="30"/>
      <c r="I523" s="29">
        <f>_CT!$D$32/_CT!$D$11</f>
        <v>0</v>
      </c>
      <c r="J523" s="29">
        <f>_CT!$E$32/_CT!$E$11</f>
        <v>0</v>
      </c>
      <c r="K523" s="29">
        <f>_CT!$F$32/_CT!$F$11</f>
        <v>0</v>
      </c>
      <c r="L523" s="29">
        <f>_CT!$G$32/_CT!$G$11</f>
        <v>0</v>
      </c>
      <c r="M523" s="29" t="str">
        <f>_CT!$H$32</f>
        <v>nm</v>
      </c>
      <c r="N523" s="40"/>
      <c r="O523" s="135">
        <f>(_CT!$D$31+_CT!$D$32)/_CT!$D$11</f>
        <v>6.3240208882291815E-2</v>
      </c>
      <c r="P523" s="135">
        <f>(_CT!$E$31+_CT!$E$32)/_CT!$E$11</f>
        <v>6.9353473628765649E-2</v>
      </c>
      <c r="Q523" s="135">
        <f>(_CT!$F$31+_CT!$F$32)/_CT!$F$11</f>
        <v>7.3656927662892557E-2</v>
      </c>
      <c r="R523" s="135">
        <f>(_CT!$G$31+_CT!$G$32)/_CT!$G$11</f>
        <v>7.8673066499407016E-2</v>
      </c>
      <c r="S523" s="135">
        <f>_CT!$H$46</f>
        <v>7.5501269927015002E-2</v>
      </c>
      <c r="T523" s="30"/>
      <c r="U523" s="32" t="str">
        <f t="shared" ref="U523:V526" si="154">U472</f>
        <v>HKD 5.01</v>
      </c>
      <c r="V523" s="28" t="str">
        <f t="shared" si="154"/>
        <v>China Telecom</v>
      </c>
      <c r="Z523" s="33"/>
    </row>
    <row r="524" spans="1:29">
      <c r="A524" s="5"/>
      <c r="C524" s="32" t="str">
        <f t="shared" si="153"/>
        <v>China Unicom</v>
      </c>
      <c r="D524" s="28" t="str">
        <f t="shared" si="153"/>
        <v>HKD 7.26</v>
      </c>
      <c r="E524" s="28" t="str">
        <f t="shared" si="153"/>
        <v>HKD 13.20</v>
      </c>
      <c r="F524" s="29">
        <f t="shared" si="153"/>
        <v>0.81818181818181812</v>
      </c>
      <c r="G524" s="28" t="str">
        <f t="shared" si="153"/>
        <v>Buy</v>
      </c>
      <c r="H524" s="30"/>
      <c r="I524" s="29">
        <f>_CU!$D$32/_CU!$D$11</f>
        <v>0</v>
      </c>
      <c r="J524" s="29">
        <f>_CU!$E$32/_CU!$E$11</f>
        <v>0</v>
      </c>
      <c r="K524" s="29">
        <f>_CU!$F$32/_CU!$F$11</f>
        <v>0</v>
      </c>
      <c r="L524" s="29">
        <f>_CU!$G$32/_CU!$G$11</f>
        <v>0</v>
      </c>
      <c r="M524" s="29" t="str">
        <f>_CU!$H$32</f>
        <v>nm</v>
      </c>
      <c r="N524" s="40"/>
      <c r="O524" s="135">
        <f>(_CU!$D$31+_CU!$D$32)/_CU!$D$11</f>
        <v>7.26505184341531E-2</v>
      </c>
      <c r="P524" s="135">
        <f>(_CU!$E$31+_CU!$E$32)/_CU!$E$11</f>
        <v>8.7201210303641696E-2</v>
      </c>
      <c r="Q524" s="135">
        <f>(_CU!$F$31+_CU!$F$32)/_CU!$F$11</f>
        <v>9.8860924970698247E-2</v>
      </c>
      <c r="R524" s="135">
        <f>(_CU!$G$31+_CU!$G$32)/_CU!$G$11</f>
        <v>0.12017776393424803</v>
      </c>
      <c r="S524" s="135">
        <f>_CU!$H$46</f>
        <v>0.18266515260997163</v>
      </c>
      <c r="T524" s="30"/>
      <c r="U524" s="32" t="str">
        <f t="shared" si="154"/>
        <v>HKD 7.26</v>
      </c>
      <c r="V524" s="28" t="str">
        <f t="shared" si="154"/>
        <v>China Unicom</v>
      </c>
      <c r="Z524" s="33"/>
    </row>
    <row r="525" spans="1:29">
      <c r="C525" s="32" t="str">
        <f t="shared" si="153"/>
        <v>KT Corp</v>
      </c>
      <c r="D525" s="28" t="str">
        <f t="shared" si="153"/>
        <v>KRW 61,700</v>
      </c>
      <c r="E525" s="28" t="str">
        <f t="shared" si="153"/>
        <v>KRW 105,000</v>
      </c>
      <c r="F525" s="29">
        <f t="shared" si="153"/>
        <v>0.70178282009724469</v>
      </c>
      <c r="G525" s="28" t="str">
        <f t="shared" si="153"/>
        <v>Buy</v>
      </c>
      <c r="H525" s="30"/>
      <c r="I525" s="29">
        <f>_KT!$D$32/_KT!$D$11</f>
        <v>1.5692764981523125E-2</v>
      </c>
      <c r="J525" s="29">
        <f>_KT!$E$32/_KT!$E$11</f>
        <v>2.2078487191395678E-2</v>
      </c>
      <c r="K525" s="29">
        <f>_KT!$F$32/_KT!$F$11</f>
        <v>2.2731836145756652E-2</v>
      </c>
      <c r="L525" s="29">
        <f>_KT!$G$32/_KT!$G$11</f>
        <v>2.3041598848087222E-2</v>
      </c>
      <c r="M525" s="29">
        <f>_KT!$H$32</f>
        <v>0.11283035344096159</v>
      </c>
      <c r="N525" s="40"/>
      <c r="O525" s="29">
        <f>(_KT!$D$31+_KT!$D$32)/_KT!$D$11</f>
        <v>5.2159539697892651E-2</v>
      </c>
      <c r="P525" s="29">
        <f>(_KT!$E$31+_KT!$E$32)/_KT!$E$11</f>
        <v>6.097638022218984E-2</v>
      </c>
      <c r="Q525" s="29">
        <f>(_KT!$F$31+_KT!$F$32)/_KT!$F$11</f>
        <v>7.1354202434249364E-2</v>
      </c>
      <c r="R525" s="29">
        <f>(_KT!$G$31+_KT!$G$32)/_KT!$G$11</f>
        <v>7.5715828993954321E-2</v>
      </c>
      <c r="S525" s="29">
        <f>IFERROR(_KT!$H$46,"na")</f>
        <v>0.10860175017998586</v>
      </c>
      <c r="T525" s="30"/>
      <c r="U525" s="32" t="str">
        <f t="shared" si="154"/>
        <v>KRW 61,700</v>
      </c>
      <c r="V525" s="28" t="str">
        <f t="shared" si="154"/>
        <v>KT Corp</v>
      </c>
      <c r="Z525" s="33"/>
      <c r="AC525" s="47"/>
    </row>
    <row r="526" spans="1:29">
      <c r="C526" s="32" t="str">
        <f t="shared" si="153"/>
        <v>Telkom Indonesia</v>
      </c>
      <c r="D526" s="28" t="str">
        <f t="shared" si="153"/>
        <v>IDR 2,810</v>
      </c>
      <c r="E526" s="28" t="str">
        <f t="shared" si="153"/>
        <v>IDR 3,500</v>
      </c>
      <c r="F526" s="29">
        <f t="shared" si="153"/>
        <v>0.24555160142348753</v>
      </c>
      <c r="G526" s="28" t="str">
        <f t="shared" si="153"/>
        <v>Neutral</v>
      </c>
      <c r="H526" s="30"/>
      <c r="I526" s="29">
        <f>PTT!$D$32/PTT!$D$11</f>
        <v>0</v>
      </c>
      <c r="J526" s="29">
        <f>PTT!$E$32/PTT!$E$11</f>
        <v>0</v>
      </c>
      <c r="K526" s="29">
        <f>PTT!$F$32/PTT!$F$11</f>
        <v>0</v>
      </c>
      <c r="L526" s="29">
        <f>PTT!$G$32/PTT!$G$11</f>
        <v>0</v>
      </c>
      <c r="M526" s="29" t="str">
        <f>PTT!$H$32</f>
        <v>nm</v>
      </c>
      <c r="N526" s="40"/>
      <c r="O526" s="135">
        <f>(PTT!$D$31+PTT!$D$32)/PTT!$D$11</f>
        <v>7.0579035382556693E-2</v>
      </c>
      <c r="P526" s="135">
        <f>(PTT!$E$31+PTT!$E$32)/PTT!$E$11</f>
        <v>7.2483732162427802E-2</v>
      </c>
      <c r="Q526" s="135">
        <f>(PTT!$F$31+PTT!$F$32)/PTT!$F$11</f>
        <v>7.5636200120494199E-2</v>
      </c>
      <c r="R526" s="135">
        <f>(PTT!$G$31+PTT!$G$32)/PTT!$G$11</f>
        <v>8.0416417837502585E-2</v>
      </c>
      <c r="S526" s="135">
        <f>PTT!$H$46</f>
        <v>4.4454843797280708E-2</v>
      </c>
      <c r="T526" s="30"/>
      <c r="U526" s="32" t="str">
        <f t="shared" si="154"/>
        <v>IDR 2,810</v>
      </c>
      <c r="V526" s="28" t="str">
        <f t="shared" si="154"/>
        <v>PT Telkom</v>
      </c>
      <c r="Z526" s="33"/>
    </row>
    <row r="527" spans="1:29">
      <c r="C527" s="35" t="str">
        <f>C476</f>
        <v>Agg. Emerging Asia Incumbent</v>
      </c>
      <c r="D527" s="36"/>
      <c r="E527" s="36"/>
      <c r="F527" s="37"/>
      <c r="G527" s="36"/>
      <c r="H527" s="30"/>
      <c r="I527" s="39">
        <f>'EM ASIA INCUMB'!$D$32/'EM ASIA INCUMB'!$D$11</f>
        <v>1.3918169401898263E-3</v>
      </c>
      <c r="J527" s="39">
        <f>'EM ASIA INCUMB'!$E$32/'EM ASIA INCUMB'!$E$11</f>
        <v>1.9215790413610043E-3</v>
      </c>
      <c r="K527" s="39">
        <f>'EM ASIA INCUMB'!$F$32/'EM ASIA INCUMB'!$F$11</f>
        <v>1.9406242463786989E-3</v>
      </c>
      <c r="L527" s="39">
        <f>'EM ASIA INCUMB'!$G$32/'EM ASIA INCUMB'!$G$11</f>
        <v>1.9285951132568273E-3</v>
      </c>
      <c r="M527" s="39">
        <f>'EM ASIA INCUMB'!$H$32</f>
        <v>0.11283035344096159</v>
      </c>
      <c r="N527" s="40"/>
      <c r="O527" s="39">
        <f>('EM ASIA INCUMB'!$D$31+'EM ASIA INCUMB'!$D$32)/'EM ASIA INCUMB'!$D$11</f>
        <v>6.5661989566006135E-2</v>
      </c>
      <c r="P527" s="39">
        <f>('EM ASIA INCUMB'!$E$31+'EM ASIA INCUMB'!$E$32)/'EM ASIA INCUMB'!$E$11</f>
        <v>7.3559677586783723E-2</v>
      </c>
      <c r="Q527" s="39">
        <f>('EM ASIA INCUMB'!$F$31+'EM ASIA INCUMB'!$F$32)/'EM ASIA INCUMB'!$F$11</f>
        <v>8.0094874961584558E-2</v>
      </c>
      <c r="R527" s="39">
        <f>('EM ASIA INCUMB'!$G$31+'EM ASIA INCUMB'!$G$32)/'EM ASIA INCUMB'!$G$11</f>
        <v>8.9154627110144949E-2</v>
      </c>
      <c r="S527" s="39">
        <f>'EM ASIA INCUMB'!$H$46</f>
        <v>0.10531466375350718</v>
      </c>
      <c r="T527" s="30"/>
      <c r="U527" s="41"/>
      <c r="V527" s="42" t="str">
        <f>V476</f>
        <v>Agg. Emerging Asia Incumbent</v>
      </c>
      <c r="Z527" s="33"/>
    </row>
    <row r="528" spans="1:29">
      <c r="C528" s="27"/>
      <c r="D528" s="28"/>
      <c r="E528" s="28"/>
      <c r="F528" s="52"/>
      <c r="G528" s="28"/>
      <c r="H528" s="30"/>
      <c r="I528" s="45"/>
      <c r="J528" s="45"/>
      <c r="K528" s="45"/>
      <c r="L528" s="45"/>
      <c r="M528" s="45"/>
      <c r="N528" s="40"/>
      <c r="O528" s="45"/>
      <c r="P528" s="45"/>
      <c r="Q528" s="45"/>
      <c r="R528" s="45"/>
      <c r="S528" s="45"/>
      <c r="T528" s="30"/>
      <c r="U528" s="32"/>
      <c r="V528" s="34"/>
      <c r="Z528" s="33"/>
    </row>
    <row r="529" spans="1:26">
      <c r="C529" s="35" t="str">
        <f>C478</f>
        <v>Agg. Emerging Incumbent</v>
      </c>
      <c r="D529" s="36"/>
      <c r="E529" s="36"/>
      <c r="F529" s="37"/>
      <c r="G529" s="36"/>
      <c r="H529" s="30"/>
      <c r="I529" s="39">
        <f>'EM INCUMB'!$D$32/'EM INCUMB'!$D$11</f>
        <v>4.9276635450502754E-3</v>
      </c>
      <c r="J529" s="39">
        <f>'EM INCUMB'!$E$32/'EM INCUMB'!$E$11</f>
        <v>8.3720075158225712E-3</v>
      </c>
      <c r="K529" s="39">
        <f>'EM INCUMB'!$F$32/'EM INCUMB'!$F$11</f>
        <v>8.7476599934350214E-3</v>
      </c>
      <c r="L529" s="39">
        <f>'EM INCUMB'!$G$32/'EM INCUMB'!$G$11</f>
        <v>9.306118394151016E-3</v>
      </c>
      <c r="M529" s="39">
        <f>'EM INCUMB'!$H$32</f>
        <v>0.22232660952863359</v>
      </c>
      <c r="N529" s="40"/>
      <c r="O529" s="39">
        <f>('EM INCUMB'!$D$31+'EM INCUMB'!$D$32)/'EM INCUMB'!$D$11</f>
        <v>5.1640678432129626E-2</v>
      </c>
      <c r="P529" s="39">
        <f>('EM INCUMB'!$E$31+'EM INCUMB'!$E$32)/'EM INCUMB'!$E$11</f>
        <v>6.4232928591480415E-2</v>
      </c>
      <c r="Q529" s="39">
        <f>('EM INCUMB'!$F$31+'EM INCUMB'!$F$32)/'EM INCUMB'!$F$11</f>
        <v>7.0809807018395565E-2</v>
      </c>
      <c r="R529" s="39">
        <f>('EM INCUMB'!$G$31+'EM INCUMB'!$G$32)/'EM INCUMB'!$G$11</f>
        <v>7.8958400472973839E-2</v>
      </c>
      <c r="S529" s="39">
        <f>'EM INCUMB'!$H$46</f>
        <v>0.13923562780326715</v>
      </c>
      <c r="T529" s="30"/>
      <c r="U529" s="41"/>
      <c r="V529" s="42" t="str">
        <f>V478</f>
        <v>Agg. Emerging Incumbent</v>
      </c>
      <c r="Z529" s="33"/>
    </row>
    <row r="530" spans="1:26">
      <c r="C530" s="27"/>
      <c r="D530" s="28"/>
      <c r="E530" s="28"/>
      <c r="F530" s="29"/>
      <c r="G530" s="28"/>
      <c r="H530" s="30"/>
      <c r="I530" s="29"/>
      <c r="J530" s="29"/>
      <c r="K530" s="29"/>
      <c r="L530" s="29"/>
      <c r="M530" s="29"/>
      <c r="N530" s="40"/>
      <c r="O530" s="29"/>
      <c r="P530" s="29"/>
      <c r="Q530" s="29"/>
      <c r="R530" s="29"/>
      <c r="S530" s="29"/>
      <c r="T530" s="30"/>
      <c r="U530" s="32"/>
      <c r="V530" s="34"/>
      <c r="Z530" s="33"/>
    </row>
    <row r="531" spans="1:26">
      <c r="A531" s="25" t="s">
        <v>1091</v>
      </c>
      <c r="C531" s="32" t="str">
        <f t="shared" ref="C531:G535" si="155">C480</f>
        <v>Airtel Africa</v>
      </c>
      <c r="D531" s="28" t="str">
        <f t="shared" si="155"/>
        <v>GBP3.60</v>
      </c>
      <c r="E531" s="28" t="str">
        <f t="shared" si="155"/>
        <v>GBP4.60</v>
      </c>
      <c r="F531" s="29">
        <f t="shared" si="155"/>
        <v>0.2791991101223581</v>
      </c>
      <c r="G531" s="28" t="str">
        <f t="shared" si="155"/>
        <v>Buy</v>
      </c>
      <c r="H531" s="30"/>
      <c r="I531" s="29">
        <f>AAF!$D$32/AAF!$D$11</f>
        <v>1.022445193701867E-2</v>
      </c>
      <c r="J531" s="29">
        <f>AAF!$E$32/AAF!$E$11</f>
        <v>1.0431296707871535E-2</v>
      </c>
      <c r="K531" s="29">
        <f>AAF!$F$32/AAF!$F$11</f>
        <v>1.0646683390683909E-2</v>
      </c>
      <c r="L531" s="29">
        <f>AAF!$G$32/AAF!$G$11</f>
        <v>1.087115226451385E-2</v>
      </c>
      <c r="M531" s="29">
        <f>AAF!$H$32</f>
        <v>0</v>
      </c>
      <c r="N531" s="40"/>
      <c r="O531" s="135">
        <f>(AAF!$D$31+AAF!$D$32)/AAF!$D$11</f>
        <v>2.4594572639182768E-2</v>
      </c>
      <c r="P531" s="135">
        <f>(AAF!$E$31+AAF!$E$32)/AAF!$E$11</f>
        <v>2.7083983760660582E-2</v>
      </c>
      <c r="Q531" s="135">
        <f>(AAF!$F$31+AAF!$F$32)/AAF!$F$11</f>
        <v>3.0351305390787203E-2</v>
      </c>
      <c r="R531" s="135">
        <f>(AAF!$G$31+AAF!$G$32)/AAF!$G$11</f>
        <v>3.469551831271548E-2</v>
      </c>
      <c r="S531" s="135">
        <f>AAF!$H$46</f>
        <v>9.883593283394454E-2</v>
      </c>
      <c r="T531" s="30"/>
      <c r="U531" s="32" t="str">
        <f t="shared" ref="U531:V535" si="156">U480</f>
        <v>GBP3.60</v>
      </c>
      <c r="V531" s="28" t="str">
        <f t="shared" si="156"/>
        <v>Airtel Africa</v>
      </c>
      <c r="Z531" s="33"/>
    </row>
    <row r="532" spans="1:26">
      <c r="C532" s="32" t="str">
        <f t="shared" si="155"/>
        <v>MTN</v>
      </c>
      <c r="D532" s="28" t="str">
        <f t="shared" si="155"/>
        <v>ZAR 206.35</v>
      </c>
      <c r="E532" s="28" t="str">
        <f t="shared" si="155"/>
        <v>ZAR 280.00</v>
      </c>
      <c r="F532" s="29">
        <f t="shared" si="155"/>
        <v>0.35691785800823839</v>
      </c>
      <c r="G532" s="28" t="str">
        <f t="shared" si="155"/>
        <v>Buy</v>
      </c>
      <c r="H532" s="30"/>
      <c r="I532" s="29">
        <f>MTN!$D$32/MTN!$D$11</f>
        <v>3.2113888199304169E-3</v>
      </c>
      <c r="J532" s="29">
        <f>MTN!$E$32/MTN!$E$11</f>
        <v>3.2115170233191141E-3</v>
      </c>
      <c r="K532" s="29">
        <f>MTN!$F$32/MTN!$F$11</f>
        <v>3.2116452369443582E-3</v>
      </c>
      <c r="L532" s="29">
        <f>MTN!$G$32/MTN!$G$11</f>
        <v>3.2117734608073734E-3</v>
      </c>
      <c r="M532" s="29">
        <f>MTN!$H$32</f>
        <v>0</v>
      </c>
      <c r="N532" s="40"/>
      <c r="O532" s="135">
        <f>(MTN!$D$31+MTN!$D$32)/MTN!$D$11</f>
        <v>2.2658410953542072E-2</v>
      </c>
      <c r="P532" s="135">
        <f>(MTN!$E$31+MTN!$E$32)/MTN!$E$11</f>
        <v>2.7789478094942671E-2</v>
      </c>
      <c r="Q532" s="135">
        <f>(MTN!$F$31+MTN!$F$32)/MTN!$F$11</f>
        <v>3.6448952085677749E-2</v>
      </c>
      <c r="R532" s="135">
        <f>(MTN!$G$31+MTN!$G$32)/MTN!$G$11</f>
        <v>4.3303274855245329E-2</v>
      </c>
      <c r="S532" s="135">
        <f>MTN!$H$46</f>
        <v>0.24092754876717093</v>
      </c>
      <c r="T532" s="30"/>
      <c r="U532" s="32" t="str">
        <f t="shared" si="156"/>
        <v>ZAR 206.35</v>
      </c>
      <c r="V532" s="28" t="str">
        <f t="shared" si="156"/>
        <v>MTN</v>
      </c>
      <c r="Z532" s="33"/>
    </row>
    <row r="533" spans="1:26">
      <c r="C533" s="32" t="str">
        <f t="shared" si="155"/>
        <v>Safaricom</v>
      </c>
      <c r="D533" s="28" t="str">
        <f t="shared" si="155"/>
        <v>KES 29.90</v>
      </c>
      <c r="E533" s="28" t="str">
        <f t="shared" si="155"/>
        <v>KES 40.0</v>
      </c>
      <c r="F533" s="29">
        <f t="shared" si="155"/>
        <v>0.33779264214046822</v>
      </c>
      <c r="G533" s="28" t="str">
        <f t="shared" si="155"/>
        <v>Buy</v>
      </c>
      <c r="H533" s="30"/>
      <c r="I533" s="29">
        <f>SAF!$D$32/SAF!$D$11</f>
        <v>0</v>
      </c>
      <c r="J533" s="29">
        <f>SAF!$E$32/SAF!$E$11</f>
        <v>0</v>
      </c>
      <c r="K533" s="29">
        <f>SAF!$F$32/SAF!$F$11</f>
        <v>0</v>
      </c>
      <c r="L533" s="29">
        <f>SAF!$G$32/SAF!$G$11</f>
        <v>0</v>
      </c>
      <c r="M533" s="29" t="str">
        <f>SAF!$H$32</f>
        <v>nm</v>
      </c>
      <c r="N533" s="40"/>
      <c r="O533" s="135">
        <f>(SAF!$D$31+SAF!$D$32)/SAF!$D$11</f>
        <v>6.162538439848967E-2</v>
      </c>
      <c r="P533" s="135">
        <f>(SAF!$E$31+SAF!$E$32)/SAF!$E$11</f>
        <v>7.1928376173738706E-2</v>
      </c>
      <c r="Q533" s="135">
        <f>(SAF!$F$31+SAF!$F$32)/SAF!$F$11</f>
        <v>8.0198861166521959E-2</v>
      </c>
      <c r="R533" s="135">
        <f>(SAF!$G$31+SAF!$G$32)/SAF!$G$11</f>
        <v>8.897821948936234E-2</v>
      </c>
      <c r="S533" s="135">
        <f>SAF!$H$46</f>
        <v>0.13025045335040586</v>
      </c>
      <c r="T533" s="30"/>
      <c r="U533" s="32" t="str">
        <f t="shared" si="156"/>
        <v>KES 29.90</v>
      </c>
      <c r="V533" s="28" t="str">
        <f t="shared" si="156"/>
        <v>Safaricom</v>
      </c>
      <c r="Z533" s="33"/>
    </row>
    <row r="534" spans="1:26">
      <c r="C534" s="32" t="str">
        <f t="shared" si="155"/>
        <v>VEON</v>
      </c>
      <c r="D534" s="28" t="str">
        <f t="shared" si="155"/>
        <v>USD 54.9</v>
      </c>
      <c r="E534" s="28" t="str">
        <f t="shared" si="155"/>
        <v>USD 100.0</v>
      </c>
      <c r="F534" s="29">
        <f t="shared" si="155"/>
        <v>0.82116190129302513</v>
      </c>
      <c r="G534" s="28" t="str">
        <f t="shared" si="155"/>
        <v>Buy</v>
      </c>
      <c r="H534" s="30"/>
      <c r="I534" s="29">
        <f>VIMP!$D$32/VIMP!$D$11</f>
        <v>7.7793725722948058E-3</v>
      </c>
      <c r="J534" s="29">
        <f>VIMP!$E$32/VIMP!$E$11</f>
        <v>9.1626307900321592E-3</v>
      </c>
      <c r="K534" s="29">
        <f>VIMP!$F$32/VIMP!$F$11</f>
        <v>9.2509991825339491E-3</v>
      </c>
      <c r="L534" s="29">
        <f>VIMP!$G$32/VIMP!$G$11</f>
        <v>7.9955241354437954E-3</v>
      </c>
      <c r="M534" s="29">
        <f>VIMP!$H$32</f>
        <v>0</v>
      </c>
      <c r="N534" s="40"/>
      <c r="O534" s="29">
        <f>(VIMP!$D$31+VIMP!$D$32)/VIMP!$D$11</f>
        <v>7.7793725722948058E-3</v>
      </c>
      <c r="P534" s="29">
        <f>(VIMP!$E$31+VIMP!$E$32)/VIMP!$E$11</f>
        <v>9.1626307900321592E-3</v>
      </c>
      <c r="Q534" s="29">
        <f>(VIMP!$F$31+VIMP!$F$32)/VIMP!$F$11</f>
        <v>9.2509991825339491E-3</v>
      </c>
      <c r="R534" s="29">
        <f>(VIMP!$G$31+VIMP!$G$32)/VIMP!$G$11</f>
        <v>7.9955241354437954E-3</v>
      </c>
      <c r="S534" s="29">
        <f>VIMP!$H$46</f>
        <v>0</v>
      </c>
      <c r="T534" s="30"/>
      <c r="U534" s="32" t="str">
        <f t="shared" si="156"/>
        <v>USD 54.9</v>
      </c>
      <c r="V534" s="28" t="str">
        <f t="shared" si="156"/>
        <v>VEON</v>
      </c>
      <c r="Z534" s="33"/>
    </row>
    <row r="535" spans="1:26">
      <c r="C535" s="32" t="str">
        <f t="shared" si="155"/>
        <v>Vodacom</v>
      </c>
      <c r="D535" s="28" t="str">
        <f t="shared" si="155"/>
        <v>ZAR 145.6</v>
      </c>
      <c r="E535" s="28" t="str">
        <f t="shared" si="155"/>
        <v>ZAR 215.0</v>
      </c>
      <c r="F535" s="29">
        <f t="shared" si="155"/>
        <v>0.47685121582634959</v>
      </c>
      <c r="G535" s="28" t="str">
        <f t="shared" si="155"/>
        <v>Buy</v>
      </c>
      <c r="H535" s="30"/>
      <c r="I535" s="29">
        <f>VODA!$D$32/VODA!$D$11</f>
        <v>-3.1468883741431586E-2</v>
      </c>
      <c r="J535" s="29">
        <f>VODA!$E$32/VODA!$E$11</f>
        <v>-0.14571214975549251</v>
      </c>
      <c r="K535" s="29">
        <f>VODA!$F$32/VODA!$F$11</f>
        <v>-1.6629397814811543E-3</v>
      </c>
      <c r="L535" s="29">
        <f>VODA!$G$32/VODA!$G$11</f>
        <v>-1.6663014164695765E-3</v>
      </c>
      <c r="M535" s="29">
        <f>VODA!$H$32</f>
        <v>-0.6252438232156845</v>
      </c>
      <c r="N535" s="40"/>
      <c r="O535" s="29">
        <f>(VODA!$D$31+VODA!$D$32)/VODA!$D$11</f>
        <v>1.9124678906906938E-2</v>
      </c>
      <c r="P535" s="29">
        <f>(VODA!$E$31+VODA!$E$32)/VODA!$E$11</f>
        <v>-5.6736419348306415E-2</v>
      </c>
      <c r="Q535" s="29">
        <f>(VODA!$F$31+VODA!$F$32)/VODA!$F$11</f>
        <v>0.1076160668436565</v>
      </c>
      <c r="R535" s="29">
        <f>(VODA!$G$31+VODA!$G$32)/VODA!$G$11</f>
        <v>0.12777492665828188</v>
      </c>
      <c r="S535" s="29">
        <f>VODA!$H$46</f>
        <v>0.87964234574834732</v>
      </c>
      <c r="T535" s="30"/>
      <c r="U535" s="32" t="str">
        <f t="shared" si="156"/>
        <v>ZAR 145.6</v>
      </c>
      <c r="V535" s="28" t="str">
        <f t="shared" si="156"/>
        <v>Vodacom</v>
      </c>
      <c r="Z535" s="33"/>
    </row>
    <row r="536" spans="1:26">
      <c r="C536" s="35" t="str">
        <f>C485</f>
        <v>Agg. EMEA Cellular</v>
      </c>
      <c r="D536" s="36"/>
      <c r="E536" s="36"/>
      <c r="F536" s="37"/>
      <c r="G536" s="36"/>
      <c r="H536" s="30"/>
      <c r="I536" s="39">
        <f>'EMEA CELLULAR'!$D$32/'EMEA CELLULAR'!$D$11</f>
        <v>-4.0457003983212034E-3</v>
      </c>
      <c r="J536" s="39">
        <f>'EMEA CELLULAR'!$E$32/'EMEA CELLULAR'!$E$11</f>
        <v>-3.3146839281887164E-2</v>
      </c>
      <c r="K536" s="39">
        <f>'EMEA CELLULAR'!$F$32/'EMEA CELLULAR'!$F$11</f>
        <v>3.6482832718826275E-3</v>
      </c>
      <c r="L536" s="39">
        <f>'EMEA CELLULAR'!$G$32/'EMEA CELLULAR'!$G$11</f>
        <v>3.5986503502247655E-3</v>
      </c>
      <c r="M536" s="39">
        <f>'EMEA CELLULAR'!$H$32</f>
        <v>-1.9560053011649874</v>
      </c>
      <c r="N536" s="40"/>
      <c r="O536" s="39">
        <f>('EMEA CELLULAR'!$D$31+'EMEA CELLULAR'!$D$32)/'EMEA CELLULAR'!$D$11</f>
        <v>2.6498586982557595E-2</v>
      </c>
      <c r="P536" s="39">
        <f>('EMEA CELLULAR'!$E$31+'EMEA CELLULAR'!$E$32)/'EMEA CELLULAR'!$E$11</f>
        <v>1.0808246113551016E-2</v>
      </c>
      <c r="Q536" s="39">
        <f>('EMEA CELLULAR'!$F$31+'EMEA CELLULAR'!$F$32)/'EMEA CELLULAR'!$F$11</f>
        <v>5.7520239450434246E-2</v>
      </c>
      <c r="R536" s="39">
        <f>('EMEA CELLULAR'!$G$31+'EMEA CELLULAR'!$G$32)/'EMEA CELLULAR'!$G$11</f>
        <v>6.7155888346752513E-2</v>
      </c>
      <c r="S536" s="39">
        <f>'EMEA CELLULAR'!$H$46</f>
        <v>0.35528963407723091</v>
      </c>
      <c r="T536" s="30"/>
      <c r="U536" s="41"/>
      <c r="V536" s="42" t="str">
        <f>V485</f>
        <v>Agg. EMEA Cellular</v>
      </c>
      <c r="Z536" s="33"/>
    </row>
    <row r="537" spans="1:26">
      <c r="A537" s="5"/>
      <c r="C537" s="27"/>
      <c r="D537" s="28"/>
      <c r="E537" s="28"/>
      <c r="F537" s="29"/>
      <c r="G537" s="28"/>
      <c r="H537" s="30"/>
      <c r="I537" s="29"/>
      <c r="J537" s="29"/>
      <c r="K537" s="29"/>
      <c r="L537" s="29"/>
      <c r="M537" s="29"/>
      <c r="N537" s="40"/>
      <c r="O537" s="29"/>
      <c r="P537" s="29"/>
      <c r="Q537" s="29"/>
      <c r="R537" s="29"/>
      <c r="S537" s="29"/>
      <c r="T537" s="30"/>
      <c r="U537" s="32"/>
      <c r="V537" s="34"/>
      <c r="Z537" s="33"/>
    </row>
    <row r="538" spans="1:26">
      <c r="A538" s="5"/>
      <c r="C538" s="32" t="str">
        <f t="shared" ref="C538:G540" si="157">C487</f>
        <v>Entel</v>
      </c>
      <c r="D538" s="28" t="str">
        <f t="shared" si="157"/>
        <v>CLP 3,643</v>
      </c>
      <c r="E538" s="28" t="str">
        <f t="shared" si="157"/>
        <v>CLP 3,150</v>
      </c>
      <c r="F538" s="29">
        <f t="shared" si="157"/>
        <v>-0.13532802635190777</v>
      </c>
      <c r="G538" s="28" t="str">
        <f t="shared" si="157"/>
        <v>Neutral</v>
      </c>
      <c r="H538" s="30"/>
      <c r="I538" s="29">
        <f>ENTEL!$D$32/ENTEL!$D$11</f>
        <v>0</v>
      </c>
      <c r="J538" s="29">
        <f>ENTEL!$E$32/ENTEL!$E$11</f>
        <v>0</v>
      </c>
      <c r="K538" s="29">
        <f>ENTEL!$F$32/ENTEL!$F$11</f>
        <v>0</v>
      </c>
      <c r="L538" s="29">
        <f>ENTEL!$G$32/ENTEL!$G$11</f>
        <v>0</v>
      </c>
      <c r="M538" s="29" t="str">
        <f>ENTEL!$H$32</f>
        <v>nm</v>
      </c>
      <c r="N538" s="40"/>
      <c r="O538" s="135">
        <f>(ENTEL!$D$31+ENTEL!$D$32)/ENTEL!$D$11</f>
        <v>4.5292341476804825E-2</v>
      </c>
      <c r="P538" s="135">
        <f>(ENTEL!$E$31+ENTEL!$E$32)/ENTEL!$E$11</f>
        <v>4.9821575624485318E-2</v>
      </c>
      <c r="Q538" s="135">
        <f>(ENTEL!$F$31+ENTEL!$F$32)/ENTEL!$F$11</f>
        <v>5.4803733186933851E-2</v>
      </c>
      <c r="R538" s="135">
        <f>(ENTEL!$G$31+ENTEL!$G$32)/ENTEL!$G$11</f>
        <v>6.0284106505627245E-2</v>
      </c>
      <c r="S538" s="135">
        <f>ENTEL!$H$46</f>
        <v>0.10000000000000009</v>
      </c>
      <c r="T538" s="30"/>
      <c r="U538" s="32" t="str">
        <f t="shared" ref="U538:V540" si="158">U487</f>
        <v>CLP 3,643</v>
      </c>
      <c r="V538" s="28" t="str">
        <f t="shared" si="158"/>
        <v>Entel</v>
      </c>
      <c r="Z538" s="33"/>
    </row>
    <row r="539" spans="1:26">
      <c r="A539" s="5"/>
      <c r="C539" s="32" t="str">
        <f t="shared" si="157"/>
        <v>Millicom</v>
      </c>
      <c r="D539" s="28" t="str">
        <f t="shared" si="157"/>
        <v>USD  83.6</v>
      </c>
      <c r="E539" s="28" t="str">
        <f t="shared" si="157"/>
        <v>USD 70.0</v>
      </c>
      <c r="F539" s="29">
        <f t="shared" si="157"/>
        <v>-0.16292974588938713</v>
      </c>
      <c r="G539" s="28" t="str">
        <f t="shared" si="157"/>
        <v>Buy</v>
      </c>
      <c r="H539" s="30"/>
      <c r="I539" s="29">
        <f>MILLI!$D$32/MILLI!$D$11</f>
        <v>1.1177237836574497E-2</v>
      </c>
      <c r="J539" s="29">
        <f>MILLI!$E$32/MILLI!$E$11</f>
        <v>1.1541337052631346E-2</v>
      </c>
      <c r="K539" s="29">
        <f>MILLI!$F$32/MILLI!$F$11</f>
        <v>1.1760330218877542E-2</v>
      </c>
      <c r="L539" s="29">
        <f>MILLI!$G$32/MILLI!$G$11</f>
        <v>1.1987794777150647E-2</v>
      </c>
      <c r="M539" s="29">
        <f>MILLI!$H$32</f>
        <v>4.5455170146575519E-3</v>
      </c>
      <c r="N539" s="40"/>
      <c r="O539" s="135">
        <f>(MILLI!$D$31+MILLI!$D$32)/MILLI!$D$11</f>
        <v>6.1999360407575997E-2</v>
      </c>
      <c r="P539" s="135">
        <f>(MILLI!$E$31+MILLI!$E$32)/MILLI!$E$11</f>
        <v>5.4590664406891434E-2</v>
      </c>
      <c r="Q539" s="135">
        <f>(MILLI!$F$31+MILLI!$F$32)/MILLI!$F$11</f>
        <v>5.959291616805542E-2</v>
      </c>
      <c r="R539" s="135">
        <f>(MILLI!$G$31+MILLI!$G$32)/MILLI!$G$11</f>
        <v>6.579945396997576E-2</v>
      </c>
      <c r="S539" s="135">
        <f>MILLI!$H$46</f>
        <v>1.0283507363597622E-3</v>
      </c>
      <c r="T539" s="30"/>
      <c r="U539" s="32" t="str">
        <f t="shared" si="158"/>
        <v>USD  83.6</v>
      </c>
      <c r="V539" s="28" t="str">
        <f t="shared" si="158"/>
        <v>Millicom</v>
      </c>
      <c r="Z539" s="33"/>
    </row>
    <row r="540" spans="1:26">
      <c r="A540" s="5"/>
      <c r="C540" s="32" t="str">
        <f t="shared" si="157"/>
        <v>TIM Participacoes</v>
      </c>
      <c r="D540" s="28" t="str">
        <f t="shared" si="157"/>
        <v>BRL 25.99</v>
      </c>
      <c r="E540" s="28" t="str">
        <f t="shared" si="157"/>
        <v>BRL 28.00</v>
      </c>
      <c r="F540" s="29">
        <f t="shared" si="157"/>
        <v>7.7337437475952342E-2</v>
      </c>
      <c r="G540" s="28" t="str">
        <f t="shared" si="157"/>
        <v>Buy</v>
      </c>
      <c r="H540" s="30"/>
      <c r="I540" s="29">
        <f>TIMP!$D$32/TIMP!$D$11</f>
        <v>3.1477955222299479E-2</v>
      </c>
      <c r="J540" s="29">
        <f>TIMP!$E$32/TIMP!$E$11</f>
        <v>3.2307561066516992E-2</v>
      </c>
      <c r="K540" s="29">
        <f>TIMP!$F$32/TIMP!$F$11</f>
        <v>3.3182079336409993E-2</v>
      </c>
      <c r="L540" s="29">
        <f>TIMP!$G$32/TIMP!$G$11</f>
        <v>3.4105258641718809E-2</v>
      </c>
      <c r="M540" s="29">
        <f>TIMP!$H$32</f>
        <v>0</v>
      </c>
      <c r="N540" s="40"/>
      <c r="O540" s="29">
        <f>(TIMP!$D$31+TIMP!$D$32)/TIMP!$D$11</f>
        <v>0.15822719508838715</v>
      </c>
      <c r="P540" s="29">
        <f>(TIMP!$E$31+TIMP!$E$32)/TIMP!$E$11</f>
        <v>0.18123791790917002</v>
      </c>
      <c r="Q540" s="29">
        <f>(TIMP!$F$31+TIMP!$F$32)/TIMP!$F$11</f>
        <v>0.20743059684231402</v>
      </c>
      <c r="R540" s="29">
        <f>(TIMP!$G$31+TIMP!$G$32)/TIMP!$G$11</f>
        <v>0.21706620202291804</v>
      </c>
      <c r="S540" s="29">
        <f>TIMP!$H$46</f>
        <v>8.1845927775064276E-2</v>
      </c>
      <c r="T540" s="30"/>
      <c r="U540" s="32" t="str">
        <f t="shared" si="158"/>
        <v>BRL 25.99</v>
      </c>
      <c r="V540" s="28" t="str">
        <f t="shared" si="158"/>
        <v>TIM Participacoes</v>
      </c>
      <c r="Z540" s="33"/>
    </row>
    <row r="541" spans="1:26">
      <c r="A541" s="25"/>
      <c r="B541" s="26" t="s">
        <v>483</v>
      </c>
      <c r="C541" s="32" t="s">
        <v>688</v>
      </c>
      <c r="D541" s="28" t="str">
        <f>'EM Multiples'!B541&amp;TEXT(Prices!C$115,"0.00")</f>
        <v>MXN59.40</v>
      </c>
      <c r="E541" s="28" t="str">
        <f>'EM Multiples'!B541&amp;TEXT(Prices!E$115,"0.00")</f>
        <v>MXN75.00</v>
      </c>
      <c r="F541" s="29">
        <f>Prices!F$115</f>
        <v>0.26262626262626276</v>
      </c>
      <c r="G541" s="28" t="str">
        <f>Prices!D$52</f>
        <v>Buy</v>
      </c>
      <c r="H541" s="30"/>
      <c r="I541" s="29">
        <f>MEGA!$D$32/MEGA!$D$11</f>
        <v>0</v>
      </c>
      <c r="J541" s="29">
        <f>MEGA!$E$32/MEGA!$E$11</f>
        <v>0</v>
      </c>
      <c r="K541" s="29">
        <f>MEGA!$F$32/MEGA!$F$11</f>
        <v>0</v>
      </c>
      <c r="L541" s="29">
        <f>MEGA!$G$32/MEGA!$G$11</f>
        <v>0</v>
      </c>
      <c r="M541" s="29" t="str">
        <f>MEGA!$H$32</f>
        <v>nm</v>
      </c>
      <c r="N541" s="30"/>
      <c r="O541" s="29">
        <f>(MEGA!$D$31+MEGA!$D$32)/MEGA!$D$11</f>
        <v>6.1851851851851845E-2</v>
      </c>
      <c r="P541" s="29">
        <f>(MEGA!$E$31+MEGA!$E$32)/MEGA!$E$11</f>
        <v>6.8037037037037049E-2</v>
      </c>
      <c r="Q541" s="29">
        <f>(MEGA!$F$31+MEGA!$F$32)/MEGA!$F$11</f>
        <v>7.4840740740740763E-2</v>
      </c>
      <c r="R541" s="29">
        <f>(MEGA!$G$31+MEGA!$G$32)/MEGA!$G$11</f>
        <v>8.2324814814814823E-2</v>
      </c>
      <c r="S541" s="29">
        <f>MEGA!$H$46</f>
        <v>0.10000000000000009</v>
      </c>
      <c r="T541" s="30"/>
      <c r="U541" s="32" t="str">
        <f>D541</f>
        <v>MXN59.40</v>
      </c>
      <c r="V541" s="28" t="str">
        <f>C541</f>
        <v>Megacable</v>
      </c>
      <c r="Z541" s="30"/>
    </row>
    <row r="542" spans="1:26">
      <c r="A542" s="5"/>
      <c r="B542" s="26" t="s">
        <v>331</v>
      </c>
      <c r="C542" s="32" t="s">
        <v>675</v>
      </c>
      <c r="D542" s="28" t="str">
        <f>'EM Multiples'!B542&amp;TEXT(Prices!C$118,"0.00")</f>
        <v>USD8.53</v>
      </c>
      <c r="E542" s="28" t="str">
        <f>'EM Multiples'!B542&amp;TEXT(Prices!E$118,"0.00")</f>
        <v>USD14.90</v>
      </c>
      <c r="F542" s="29">
        <f>Prices!F$118</f>
        <v>0.74780058651026393</v>
      </c>
      <c r="G542" s="28" t="str">
        <f>Prices!D$118</f>
        <v>Buy</v>
      </c>
      <c r="H542" s="30"/>
      <c r="I542" s="29">
        <f>LiLAC!$D$32/LiLAC!$D$11</f>
        <v>0</v>
      </c>
      <c r="J542" s="29">
        <f>LiLAC!$E$32/LiLAC!$E$11</f>
        <v>3.0077449432288142E-2</v>
      </c>
      <c r="K542" s="29">
        <f>LiLAC!$F$32/LiLAC!$F$11</f>
        <v>3.0868961259453619E-2</v>
      </c>
      <c r="L542" s="29">
        <f>LiLAC!$G$32/LiLAC!$G$11</f>
        <v>3.1703257509709121E-2</v>
      </c>
      <c r="M542" s="29">
        <f>LiLAC!$H$32</f>
        <v>0</v>
      </c>
      <c r="N542" s="30"/>
      <c r="O542" s="29">
        <f>(LiLAC!$D$31+LiLAC!$D$32)/LiLAC!$D$11</f>
        <v>0</v>
      </c>
      <c r="P542" s="29">
        <f>(LiLAC!$E$31+LiLAC!$E$32)/LiLAC!$E$11</f>
        <v>3.0077449432288142E-2</v>
      </c>
      <c r="Q542" s="29">
        <f>(LiLAC!$F$31+LiLAC!$F$32)/LiLAC!$F$11</f>
        <v>3.0868961259453619E-2</v>
      </c>
      <c r="R542" s="29">
        <f>(LiLAC!$G$31+LiLAC!$G$32)/LiLAC!$G$11</f>
        <v>3.1703257509709121E-2</v>
      </c>
      <c r="S542" s="29" t="e">
        <f>LiLAC!$H$46</f>
        <v>#DIV/0!</v>
      </c>
      <c r="T542" s="30"/>
      <c r="U542" s="32" t="str">
        <f>D542</f>
        <v>USD8.53</v>
      </c>
      <c r="V542" s="28" t="str">
        <f>C542</f>
        <v>LiLAC</v>
      </c>
      <c r="Z542" s="30"/>
    </row>
    <row r="543" spans="1:26">
      <c r="A543" s="5"/>
      <c r="C543" s="35" t="str">
        <f>C492</f>
        <v>Agg. LatAm Other</v>
      </c>
      <c r="D543" s="36"/>
      <c r="E543" s="36"/>
      <c r="F543" s="37"/>
      <c r="G543" s="36"/>
      <c r="H543" s="30"/>
      <c r="I543" s="39">
        <f>'LATAM OTHER'!$D$32/'LATAM OTHER'!$D$11</f>
        <v>1.3580157980438684E-2</v>
      </c>
      <c r="J543" s="39">
        <f>'LATAM OTHER'!$E$32/'LATAM OTHER'!$E$11</f>
        <v>1.5845631130139037E-2</v>
      </c>
      <c r="K543" s="39">
        <f>'LATAM OTHER'!$F$32/'LATAM OTHER'!$F$11</f>
        <v>1.6134903625260159E-2</v>
      </c>
      <c r="L543" s="39">
        <f>'LATAM OTHER'!$G$32/'LATAM OTHER'!$G$11</f>
        <v>1.643493423908976E-2</v>
      </c>
      <c r="M543" s="39">
        <f>'LATAM OTHER'!$H$32</f>
        <v>4.6556069207364326E-2</v>
      </c>
      <c r="N543" s="40"/>
      <c r="O543" s="39">
        <f>('LATAM OTHER'!$D$31+'LATAM OTHER'!$D$32)/'LATAM OTHER'!$D$11</f>
        <v>8.0378510362212871E-2</v>
      </c>
      <c r="P543" s="39">
        <f>('LATAM OTHER'!$E$31+'LATAM OTHER'!$E$32)/'LATAM OTHER'!$E$11</f>
        <v>8.4592966994935445E-2</v>
      </c>
      <c r="Q543" s="39">
        <f>('LATAM OTHER'!$F$31+'LATAM OTHER'!$F$32)/'LATAM OTHER'!$F$11</f>
        <v>9.433284175985629E-2</v>
      </c>
      <c r="R543" s="39">
        <f>('LATAM OTHER'!$G$31+'LATAM OTHER'!$G$32)/'LATAM OTHER'!$G$11</f>
        <v>0.10084759072217683</v>
      </c>
      <c r="S543" s="39">
        <f>'LATAM OTHER'!$H$46</f>
        <v>5.9213016537436713E-2</v>
      </c>
      <c r="T543" s="30"/>
      <c r="U543" s="41"/>
      <c r="V543" s="42" t="str">
        <f>V492</f>
        <v>Agg. LatAm Cellular</v>
      </c>
      <c r="Z543" s="33"/>
    </row>
    <row r="544" spans="1:26">
      <c r="C544" s="27"/>
      <c r="D544" s="28"/>
      <c r="E544" s="28"/>
      <c r="F544" s="29"/>
      <c r="G544" s="28"/>
      <c r="H544" s="30"/>
      <c r="I544" s="29"/>
      <c r="J544" s="29"/>
      <c r="K544" s="29"/>
      <c r="L544" s="29"/>
      <c r="M544" s="29"/>
      <c r="N544" s="30"/>
      <c r="O544" s="29"/>
      <c r="P544" s="29"/>
      <c r="Q544" s="29"/>
      <c r="R544" s="29"/>
      <c r="S544" s="29"/>
      <c r="T544" s="30"/>
      <c r="U544" s="32"/>
      <c r="V544" s="34"/>
      <c r="Z544" s="33"/>
    </row>
    <row r="545" spans="1:26">
      <c r="A545" s="5"/>
      <c r="C545" s="32" t="str">
        <f t="shared" ref="C545:G556" si="159">C494</f>
        <v>AIS</v>
      </c>
      <c r="D545" s="28" t="str">
        <f t="shared" si="159"/>
        <v>THB 349.0</v>
      </c>
      <c r="E545" s="28" t="str">
        <f t="shared" si="159"/>
        <v>THB 330.0</v>
      </c>
      <c r="F545" s="29">
        <f t="shared" si="159"/>
        <v>-5.4441260744985676E-2</v>
      </c>
      <c r="G545" s="28" t="str">
        <f t="shared" si="159"/>
        <v>Buy</v>
      </c>
      <c r="H545" s="30"/>
      <c r="I545" s="29">
        <f>ADVANCED!$D$32/ADVANCED!$D$11</f>
        <v>0</v>
      </c>
      <c r="J545" s="29">
        <f>ADVANCED!$E$32/ADVANCED!$E$11</f>
        <v>0</v>
      </c>
      <c r="K545" s="29">
        <f>ADVANCED!$F$32/ADVANCED!$F$11</f>
        <v>0</v>
      </c>
      <c r="L545" s="29">
        <f>ADVANCED!$G$32/ADVANCED!$G$11</f>
        <v>0</v>
      </c>
      <c r="M545" s="29">
        <f>ADVANCED!$H$32</f>
        <v>0</v>
      </c>
      <c r="N545" s="30"/>
      <c r="O545" s="29">
        <f>(ADVANCED!$D$31+ADVANCED!$D$32)/ADVANCED!$D$11</f>
        <v>3.8262714574781753E-2</v>
      </c>
      <c r="P545" s="29">
        <f>(ADVANCED!$E$31+ADVANCED!$E$32)/ADVANCED!$E$11</f>
        <v>4.1660020418810471E-2</v>
      </c>
      <c r="Q545" s="29">
        <f>(ADVANCED!$F$31+ADVANCED!$F$32)/ADVANCED!$F$11</f>
        <v>4.5363098696926354E-2</v>
      </c>
      <c r="R545" s="29">
        <f>(ADVANCED!$G$31+ADVANCED!$G$32)/ADVANCED!$G$11</f>
        <v>5.029292492574209E-2</v>
      </c>
      <c r="S545" s="29">
        <f>ADVANCED!$H$46</f>
        <v>9.541085084835732E-2</v>
      </c>
      <c r="T545" s="30"/>
      <c r="U545" s="32" t="str">
        <f t="shared" ref="U545:V556" si="160">U494</f>
        <v>THB 349.0</v>
      </c>
      <c r="V545" s="28" t="str">
        <f t="shared" si="160"/>
        <v>AIS</v>
      </c>
      <c r="Z545" s="33"/>
    </row>
    <row r="546" spans="1:26">
      <c r="C546" s="32" t="str">
        <f t="shared" si="159"/>
        <v>Axiata</v>
      </c>
      <c r="D546" s="28" t="str">
        <f t="shared" si="159"/>
        <v>MYR 2.24</v>
      </c>
      <c r="E546" s="28" t="str">
        <f t="shared" si="159"/>
        <v>MYR 4.50</v>
      </c>
      <c r="F546" s="29">
        <f t="shared" si="159"/>
        <v>1.0089285714285712</v>
      </c>
      <c r="G546" s="28" t="str">
        <f t="shared" si="159"/>
        <v>Buy</v>
      </c>
      <c r="H546" s="30"/>
      <c r="I546" s="29">
        <f>AXI!$D$32/AXI!$D$11</f>
        <v>3.3552549799558719E-2</v>
      </c>
      <c r="J546" s="29">
        <f>AXI!$E$32/AXI!$E$11</f>
        <v>2.6123403461885079E-2</v>
      </c>
      <c r="K546" s="29">
        <f>AXI!$F$32/AXI!$F$11</f>
        <v>2.8939681158519529E-2</v>
      </c>
      <c r="L546" s="29">
        <f>AXI!$G$32/AXI!$G$11</f>
        <v>4.0107678921035457E-2</v>
      </c>
      <c r="M546" s="29">
        <f>AXI!$H$32</f>
        <v>6.1289823737083582E-2</v>
      </c>
      <c r="N546" s="30"/>
      <c r="O546" s="29">
        <f>(AXI!$D$31+AXI!$D$32)/AXI!$D$11</f>
        <v>7.8195406942415863E-2</v>
      </c>
      <c r="P546" s="29">
        <f>(AXI!$E$31+AXI!$E$32)/AXI!$E$11</f>
        <v>7.5230546319027938E-2</v>
      </c>
      <c r="Q546" s="29">
        <f>(AXI!$F$31+AXI!$F$32)/AXI!$F$11</f>
        <v>8.2511109729948101E-2</v>
      </c>
      <c r="R546" s="29">
        <f>(AXI!$G$31+AXI!$G$32)/AXI!$G$11</f>
        <v>9.8143393206749738E-2</v>
      </c>
      <c r="S546" s="29">
        <f>AXI!$H$46</f>
        <v>7.8681610823356785E-2</v>
      </c>
      <c r="T546" s="30"/>
      <c r="U546" s="32" t="str">
        <f t="shared" si="160"/>
        <v>MYR 2.24</v>
      </c>
      <c r="V546" s="28" t="str">
        <f t="shared" si="160"/>
        <v>Axiata</v>
      </c>
      <c r="Z546" s="33"/>
    </row>
    <row r="547" spans="1:26">
      <c r="C547" s="32" t="str">
        <f t="shared" si="159"/>
        <v>Bharti Airtel</v>
      </c>
      <c r="D547" s="28" t="str">
        <f t="shared" si="159"/>
        <v>INR 1815</v>
      </c>
      <c r="E547" s="28" t="str">
        <f t="shared" si="159"/>
        <v>INR 2750</v>
      </c>
      <c r="F547" s="29">
        <f t="shared" si="159"/>
        <v>0.51540199482008031</v>
      </c>
      <c r="G547" s="28" t="str">
        <f t="shared" si="159"/>
        <v>Buy</v>
      </c>
      <c r="H547" s="30"/>
      <c r="I547" s="29">
        <f>BHART!$D$32/BHART!$D$11</f>
        <v>-2.7253453902128712E-3</v>
      </c>
      <c r="J547" s="29">
        <f>BHART!$E$32/BHART!$E$11</f>
        <v>-3.4115260779821292E-2</v>
      </c>
      <c r="K547" s="29">
        <f>BHART!$F$32/BHART!$F$11</f>
        <v>0</v>
      </c>
      <c r="L547" s="29">
        <f>BHART!$G$32/BHART!$G$11</f>
        <v>-5.7064151496324846E-3</v>
      </c>
      <c r="M547" s="29">
        <f>BHART!$H$32</f>
        <v>0.27932416962520112</v>
      </c>
      <c r="N547" s="30"/>
      <c r="O547" s="29">
        <f>(BHART!$D$31+BHART!$D$32)/BHART!$D$11</f>
        <v>8.7470337300459937E-3</v>
      </c>
      <c r="P547" s="29">
        <f>(BHART!$E$31+BHART!$E$32)/BHART!$E$11</f>
        <v>-1.5888919220710052E-2</v>
      </c>
      <c r="Q547" s="29">
        <f>(BHART!$F$31+BHART!$F$32)/BHART!$F$11</f>
        <v>2.597227581771322E-2</v>
      </c>
      <c r="R547" s="29">
        <f>(BHART!$G$31+BHART!$G$32)/BHART!$G$11</f>
        <v>2.8953738810009337E-2</v>
      </c>
      <c r="S547" s="29">
        <f>BHART!$H$46</f>
        <v>0.49032601902618755</v>
      </c>
      <c r="T547" s="30"/>
      <c r="U547" s="32" t="str">
        <f t="shared" si="160"/>
        <v>INR 1815</v>
      </c>
      <c r="V547" s="28" t="str">
        <f t="shared" si="160"/>
        <v>Bharti Airtel</v>
      </c>
      <c r="Z547" s="33"/>
    </row>
    <row r="548" spans="1:26">
      <c r="A548" s="5"/>
      <c r="C548" s="32" t="str">
        <f t="shared" si="159"/>
        <v>China Mobile</v>
      </c>
      <c r="D548" s="28" t="str">
        <f t="shared" si="159"/>
        <v>HKD 83.9</v>
      </c>
      <c r="E548" s="28" t="str">
        <f t="shared" si="159"/>
        <v>HKD 115.0</v>
      </c>
      <c r="F548" s="29">
        <f t="shared" si="159"/>
        <v>0.37067938021454094</v>
      </c>
      <c r="G548" s="28" t="str">
        <f t="shared" si="159"/>
        <v>Buy</v>
      </c>
      <c r="H548" s="30"/>
      <c r="I548" s="29">
        <f>_CM!$D$32/_CM!$D$11</f>
        <v>0</v>
      </c>
      <c r="J548" s="29">
        <f>_CM!$E$32/_CM!$E$11</f>
        <v>0</v>
      </c>
      <c r="K548" s="29">
        <f>_CM!$F$32/_CM!$F$11</f>
        <v>0</v>
      </c>
      <c r="L548" s="29">
        <f>_CM!$G$32/_CM!$G$11</f>
        <v>0</v>
      </c>
      <c r="M548" s="29" t="str">
        <f>_CM!$H$32</f>
        <v>nm</v>
      </c>
      <c r="N548" s="30"/>
      <c r="O548" s="29">
        <f>(_CM!$D$31+_CM!$D$32)/_CM!$D$11</f>
        <v>6.8844206762112461E-2</v>
      </c>
      <c r="P548" s="29">
        <f>(_CM!$E$31+_CM!$E$32)/_CM!$E$11</f>
        <v>7.4659942503767771E-2</v>
      </c>
      <c r="Q548" s="29">
        <f>(_CM!$F$31+_CM!$F$32)/_CM!$F$11</f>
        <v>7.9106165673466372E-2</v>
      </c>
      <c r="R548" s="29">
        <f>(_CM!$G$31+_CM!$G$32)/_CM!$G$11</f>
        <v>8.3971493168014791E-2</v>
      </c>
      <c r="S548" s="29">
        <f>_CM!$H$46</f>
        <v>6.8451529708471792E-2</v>
      </c>
      <c r="T548" s="30"/>
      <c r="U548" s="32" t="str">
        <f t="shared" si="160"/>
        <v>HKD 83.9</v>
      </c>
      <c r="V548" s="28" t="str">
        <f t="shared" si="160"/>
        <v>China Mobile</v>
      </c>
      <c r="Z548" s="33"/>
    </row>
    <row r="549" spans="1:26">
      <c r="A549" s="5"/>
      <c r="C549" s="32" t="str">
        <f t="shared" si="159"/>
        <v>CelcomDigi</v>
      </c>
      <c r="D549" s="28" t="str">
        <f t="shared" si="159"/>
        <v>MYR 3.0</v>
      </c>
      <c r="E549" s="28" t="str">
        <f t="shared" si="159"/>
        <v>MYR 5.6</v>
      </c>
      <c r="F549" s="29">
        <f t="shared" si="159"/>
        <v>0.88552188552188538</v>
      </c>
      <c r="G549" s="28" t="str">
        <f t="shared" si="159"/>
        <v>Buy</v>
      </c>
      <c r="H549" s="30"/>
      <c r="I549" s="29">
        <f>DIGI!$D$32/DIGI!$D$11</f>
        <v>0</v>
      </c>
      <c r="J549" s="29">
        <f>DIGI!$E$32/DIGI!$E$11</f>
        <v>0</v>
      </c>
      <c r="K549" s="29">
        <f>DIGI!$F$32/DIGI!$F$11</f>
        <v>0</v>
      </c>
      <c r="L549" s="29">
        <f>DIGI!$G$32/DIGI!$G$11</f>
        <v>0</v>
      </c>
      <c r="M549" s="29" t="str">
        <f>DIGI!$H$32</f>
        <v>nm</v>
      </c>
      <c r="N549" s="30"/>
      <c r="O549" s="29">
        <f>(DIGI!$D$31+DIGI!$D$32)/DIGI!$D$11</f>
        <v>4.7790259866330689E-2</v>
      </c>
      <c r="P549" s="29">
        <f>(DIGI!$E$31+DIGI!$E$32)/DIGI!$E$11</f>
        <v>4.9479169190682043E-2</v>
      </c>
      <c r="Q549" s="29">
        <f>(DIGI!$F$31+DIGI!$F$32)/DIGI!$F$11</f>
        <v>5.3424303163520703E-2</v>
      </c>
      <c r="R549" s="29">
        <f>(DIGI!$G$31+DIGI!$G$32)/DIGI!$G$11</f>
        <v>5.9479722000578494E-2</v>
      </c>
      <c r="S549" s="29">
        <f>DIGI!$H$46</f>
        <v>7.5663699372075177E-2</v>
      </c>
      <c r="T549" s="30"/>
      <c r="U549" s="32" t="str">
        <f t="shared" si="160"/>
        <v>MYR 3.0</v>
      </c>
      <c r="V549" s="28" t="str">
        <f t="shared" si="160"/>
        <v>CelcomDigi</v>
      </c>
      <c r="Z549" s="33"/>
    </row>
    <row r="550" spans="1:26">
      <c r="A550" s="5"/>
      <c r="C550" s="32" t="str">
        <f t="shared" si="159"/>
        <v>Vodafone IDEA</v>
      </c>
      <c r="D550" s="28" t="str">
        <f t="shared" si="159"/>
        <v>INR 9.5</v>
      </c>
      <c r="E550" s="28" t="str">
        <f t="shared" si="159"/>
        <v>INR 10.0</v>
      </c>
      <c r="F550" s="29">
        <f t="shared" si="159"/>
        <v>5.0420168067226934E-2</v>
      </c>
      <c r="G550" s="28" t="str">
        <f t="shared" si="159"/>
        <v>Neutral</v>
      </c>
      <c r="H550" s="30"/>
      <c r="I550" s="29">
        <f>IDEA!$D$32/IDEA!$D$11</f>
        <v>0</v>
      </c>
      <c r="J550" s="29">
        <f>IDEA!$E$32/IDEA!$E$11</f>
        <v>0</v>
      </c>
      <c r="K550" s="29">
        <f>IDEA!$F$32/IDEA!$F$11</f>
        <v>0</v>
      </c>
      <c r="L550" s="29">
        <f>IDEA!$G$32/IDEA!$G$11</f>
        <v>0</v>
      </c>
      <c r="M550" s="29" t="str">
        <f>IDEA!$H$32</f>
        <v>nm</v>
      </c>
      <c r="N550" s="30"/>
      <c r="O550" s="29">
        <f>(IDEA!$D$31+IDEA!$D$32)/IDEA!$D$11</f>
        <v>0</v>
      </c>
      <c r="P550" s="29">
        <f>(IDEA!$E$31+IDEA!$E$32)/IDEA!$E$11</f>
        <v>0</v>
      </c>
      <c r="Q550" s="29">
        <f>(IDEA!$F$31+IDEA!$F$32)/IDEA!$F$11</f>
        <v>0</v>
      </c>
      <c r="R550" s="29">
        <f>(IDEA!$G$31+IDEA!$G$32)/IDEA!$G$11</f>
        <v>0</v>
      </c>
      <c r="S550" s="29" t="str">
        <f>IFERROR(IDEA!$H$46,"na")</f>
        <v>na</v>
      </c>
      <c r="T550" s="30"/>
      <c r="U550" s="32" t="str">
        <f t="shared" si="160"/>
        <v>INR 9.5</v>
      </c>
      <c r="V550" s="28" t="str">
        <f t="shared" si="160"/>
        <v>Vodafone IDEA</v>
      </c>
      <c r="Z550" s="33"/>
    </row>
    <row r="551" spans="1:26">
      <c r="A551" s="5"/>
      <c r="C551" s="32" t="str">
        <f t="shared" si="159"/>
        <v>Indosat</v>
      </c>
      <c r="D551" s="28" t="str">
        <f t="shared" si="159"/>
        <v>IDR 1,970</v>
      </c>
      <c r="E551" s="28" t="str">
        <f t="shared" si="159"/>
        <v>IDR 2,800</v>
      </c>
      <c r="F551" s="29">
        <f t="shared" si="159"/>
        <v>0.42131979695431476</v>
      </c>
      <c r="G551" s="28" t="str">
        <f t="shared" si="159"/>
        <v>Buy</v>
      </c>
      <c r="H551" s="30"/>
      <c r="I551" s="29">
        <f>INDO!$D$32/INDO!$D$11</f>
        <v>0</v>
      </c>
      <c r="J551" s="29">
        <f>INDO!$E$32/INDO!$E$11</f>
        <v>0</v>
      </c>
      <c r="K551" s="29">
        <f>INDO!$F$32/INDO!$F$11</f>
        <v>0</v>
      </c>
      <c r="L551" s="29">
        <f>INDO!$G$32/INDO!$G$11</f>
        <v>0</v>
      </c>
      <c r="M551" s="29" t="str">
        <f>INDO!$H$32</f>
        <v>nm</v>
      </c>
      <c r="N551" s="30"/>
      <c r="O551" s="29">
        <f>(INDO!$D$31+INDO!$D$32)/INDO!$D$11</f>
        <v>3.6042038316347239E-2</v>
      </c>
      <c r="P551" s="29">
        <f>(INDO!$E$31+INDO!$E$32)/INDO!$E$11</f>
        <v>5.0046930828195314E-2</v>
      </c>
      <c r="Q551" s="29">
        <f>(INDO!$F$31+INDO!$F$32)/INDO!$F$11</f>
        <v>7.0099409727405665E-2</v>
      </c>
      <c r="R551" s="29">
        <f>(INDO!$G$31+INDO!$G$32)/INDO!$G$11</f>
        <v>8.0523229385535092E-2</v>
      </c>
      <c r="S551" s="29">
        <f>INDO!$H$46</f>
        <v>0.30728600919261484</v>
      </c>
      <c r="T551" s="30"/>
      <c r="U551" s="32" t="str">
        <f t="shared" si="160"/>
        <v>IDR 1,970</v>
      </c>
      <c r="V551" s="28" t="str">
        <f t="shared" si="160"/>
        <v>Indosat</v>
      </c>
      <c r="Z551" s="33"/>
    </row>
    <row r="552" spans="1:26">
      <c r="A552" s="5"/>
      <c r="C552" s="32" t="str">
        <f t="shared" si="159"/>
        <v>LG Uplus</v>
      </c>
      <c r="D552" s="28" t="str">
        <f t="shared" si="159"/>
        <v>KRW 16,600</v>
      </c>
      <c r="E552" s="28" t="str">
        <f t="shared" si="159"/>
        <v>KRW 19,000</v>
      </c>
      <c r="F552" s="29">
        <f t="shared" si="159"/>
        <v>0.14457831325301207</v>
      </c>
      <c r="G552" s="28" t="str">
        <f t="shared" si="159"/>
        <v>Buy</v>
      </c>
      <c r="H552" s="30"/>
      <c r="I552" s="29">
        <f>_LG!$D$32/_LG!$D$11</f>
        <v>0</v>
      </c>
      <c r="J552" s="29">
        <f>_LG!$E$32/_LG!$E$11</f>
        <v>0</v>
      </c>
      <c r="K552" s="29">
        <f>_LG!$F$32/_LG!$F$11</f>
        <v>0</v>
      </c>
      <c r="L552" s="29">
        <f>_LG!$G$32/_LG!$G$11</f>
        <v>1.4550869490953043E-2</v>
      </c>
      <c r="M552" s="29" t="str">
        <f>_LG!$H$32</f>
        <v>nm</v>
      </c>
      <c r="N552" s="30"/>
      <c r="O552" s="29">
        <f>(_LG!$D$31+_LG!$D$32)/_LG!$D$11</f>
        <v>3.9156626506024104E-2</v>
      </c>
      <c r="P552" s="29">
        <f>(_LG!$E$31+_LG!$E$32)/_LG!$E$11</f>
        <v>4.2168674698795185E-2</v>
      </c>
      <c r="Q552" s="29">
        <f>(_LG!$F$31+_LG!$F$32)/_LG!$F$11</f>
        <v>4.5180722891566265E-2</v>
      </c>
      <c r="R552" s="29">
        <f>(_LG!$G$31+_LG!$G$32)/_LG!$G$11</f>
        <v>6.5755688768061482E-2</v>
      </c>
      <c r="S552" s="29">
        <f>_LG!$H$46</f>
        <v>0.17256133412078922</v>
      </c>
      <c r="T552" s="30"/>
      <c r="U552" s="32" t="str">
        <f t="shared" si="160"/>
        <v>KRW 16,600</v>
      </c>
      <c r="V552" s="28" t="str">
        <f t="shared" si="160"/>
        <v>LG Uplus</v>
      </c>
      <c r="Z552" s="33"/>
    </row>
    <row r="553" spans="1:26">
      <c r="C553" s="32" t="str">
        <f t="shared" si="159"/>
        <v>Maxis</v>
      </c>
      <c r="D553" s="28" t="str">
        <f t="shared" si="159"/>
        <v>MYR 3.50</v>
      </c>
      <c r="E553" s="28" t="str">
        <f t="shared" si="159"/>
        <v>MYR 5.10</v>
      </c>
      <c r="F553" s="29">
        <f t="shared" si="159"/>
        <v>0.45714285714285707</v>
      </c>
      <c r="G553" s="28" t="str">
        <f t="shared" si="159"/>
        <v>Buy</v>
      </c>
      <c r="H553" s="30"/>
      <c r="I553" s="29">
        <f>MAXI!$D$32/MAXI!$D$11</f>
        <v>0</v>
      </c>
      <c r="J553" s="29">
        <f>MAXI!$E$32/MAXI!$E$11</f>
        <v>0</v>
      </c>
      <c r="K553" s="29">
        <f>MAXI!$F$32/MAXI!$F$11</f>
        <v>0</v>
      </c>
      <c r="L553" s="29">
        <f>MAXI!$G$32/MAXI!$G$11</f>
        <v>0</v>
      </c>
      <c r="M553" s="29" t="str">
        <f>MAXI!$H$32</f>
        <v>nm</v>
      </c>
      <c r="N553" s="30"/>
      <c r="O553" s="29">
        <f>(MAXI!$D$31+MAXI!$D$32)/MAXI!$D$11</f>
        <v>5.1733175155196418E-2</v>
      </c>
      <c r="P553" s="29">
        <f>(MAXI!$E$31+MAXI!$E$32)/MAXI!$E$11</f>
        <v>5.8079653741433764E-2</v>
      </c>
      <c r="Q553" s="29">
        <f>(MAXI!$F$31+MAXI!$F$32)/MAXI!$F$11</f>
        <v>6.3077546158096603E-2</v>
      </c>
      <c r="R553" s="29">
        <f>(MAXI!$G$31+MAXI!$G$32)/MAXI!$G$11</f>
        <v>6.7561031895504359E-2</v>
      </c>
      <c r="S553" s="29">
        <f>MAXI!$H$46</f>
        <v>9.3195463026179759E-2</v>
      </c>
      <c r="T553" s="30"/>
      <c r="U553" s="32" t="str">
        <f t="shared" si="160"/>
        <v>MYR 3.50</v>
      </c>
      <c r="V553" s="28" t="str">
        <f t="shared" si="160"/>
        <v>Maxis</v>
      </c>
      <c r="Z553" s="33"/>
    </row>
    <row r="554" spans="1:26">
      <c r="A554" s="5"/>
      <c r="C554" s="32" t="str">
        <f t="shared" si="159"/>
        <v>SK Telecom</v>
      </c>
      <c r="D554" s="28" t="str">
        <f t="shared" si="159"/>
        <v>KRW 100,000</v>
      </c>
      <c r="E554" s="28" t="str">
        <f t="shared" si="159"/>
        <v>KRW 78,000</v>
      </c>
      <c r="F554" s="29">
        <f t="shared" si="159"/>
        <v>-0.21999999999999997</v>
      </c>
      <c r="G554" s="28" t="str">
        <f t="shared" si="159"/>
        <v>Neutral</v>
      </c>
      <c r="H554" s="30"/>
      <c r="I554" s="29">
        <f>SKT!$D$32/SKT!$D$11</f>
        <v>0</v>
      </c>
      <c r="J554" s="29">
        <f>SKT!$E$32/SKT!$E$11</f>
        <v>0</v>
      </c>
      <c r="K554" s="29">
        <f>SKT!$F$32/SKT!$F$11</f>
        <v>2.0308838964410415E-2</v>
      </c>
      <c r="L554" s="29">
        <f>SKT!$G$32/SKT!$G$11</f>
        <v>3.6552785227857553E-3</v>
      </c>
      <c r="M554" s="29" t="str">
        <f>SKT!$H$32</f>
        <v>nm</v>
      </c>
      <c r="N554" s="30"/>
      <c r="O554" s="29">
        <f>(SKT!$D$31+SKT!$D$32)/SKT!$D$11</f>
        <v>2.4899999999999995E-2</v>
      </c>
      <c r="P554" s="29">
        <f>(SKT!$E$31+SKT!$E$32)/SKT!$E$11</f>
        <v>3.5400000000000001E-2</v>
      </c>
      <c r="Q554" s="29">
        <f>(SKT!$F$31+SKT!$F$32)/SKT!$F$11</f>
        <v>5.6708838964410424E-2</v>
      </c>
      <c r="R554" s="29">
        <f>(SKT!$G$31+SKT!$G$32)/SKT!$G$11</f>
        <v>4.1055278522785753E-2</v>
      </c>
      <c r="S554" s="29">
        <f>SKT!$H$46</f>
        <v>0.17268922967360356</v>
      </c>
      <c r="T554" s="30"/>
      <c r="U554" s="32" t="str">
        <f t="shared" si="160"/>
        <v>KRW 100,000</v>
      </c>
      <c r="V554" s="28" t="str">
        <f t="shared" si="160"/>
        <v>SK Telecom</v>
      </c>
      <c r="Z554" s="33"/>
    </row>
    <row r="555" spans="1:26">
      <c r="A555" s="5"/>
      <c r="C555" s="32" t="str">
        <f t="shared" si="159"/>
        <v>True Corp</v>
      </c>
      <c r="D555" s="28" t="str">
        <f t="shared" si="159"/>
        <v>THB 13.5</v>
      </c>
      <c r="E555" s="28" t="str">
        <f t="shared" si="159"/>
        <v>THB 18.0</v>
      </c>
      <c r="F555" s="29">
        <f t="shared" si="159"/>
        <v>0.33333333333333326</v>
      </c>
      <c r="G555" s="28" t="str">
        <f t="shared" si="159"/>
        <v>Buy</v>
      </c>
      <c r="H555" s="30"/>
      <c r="I555" s="29">
        <f>TRUECORP!$D$32/TRUECORP!$D$11</f>
        <v>0</v>
      </c>
      <c r="J555" s="29">
        <f>TRUECORP!$E$32/TRUECORP!$E$11</f>
        <v>0</v>
      </c>
      <c r="K555" s="29">
        <f>TRUECORP!$F$32/TRUECORP!$F$11</f>
        <v>0</v>
      </c>
      <c r="L555" s="29">
        <f>TRUECORP!$G$32/TRUECORP!$G$11</f>
        <v>0</v>
      </c>
      <c r="M555" s="29" t="str">
        <f>TRUECORP!$H$32</f>
        <v>nm</v>
      </c>
      <c r="N555" s="30"/>
      <c r="O555" s="29">
        <f>(TRUECORP!$D$31+TRUECORP!$D$32)/TRUECORP!$D$11</f>
        <v>1.7378034319285134E-2</v>
      </c>
      <c r="P555" s="29">
        <f>(TRUECORP!$E$31+TRUECORP!$E$32)/TRUECORP!$E$11</f>
        <v>2.8423802020431627E-2</v>
      </c>
      <c r="Q555" s="29">
        <f>(TRUECORP!$F$31+TRUECORP!$F$32)/TRUECORP!$F$11</f>
        <v>4.5403346872016193E-2</v>
      </c>
      <c r="R555" s="29">
        <f>(TRUECORP!$G$31+TRUECORP!$G$32)/TRUECORP!$G$11</f>
        <v>6.0098262614783189E-2</v>
      </c>
      <c r="S555" s="29">
        <f>IFERROR(TRUECORP!$H$46,"na")</f>
        <v>0.51223895838929612</v>
      </c>
      <c r="T555" s="30"/>
      <c r="U555" s="32" t="str">
        <f t="shared" si="160"/>
        <v>THB 13.5</v>
      </c>
      <c r="V555" s="28" t="str">
        <f t="shared" si="160"/>
        <v>True Corp</v>
      </c>
      <c r="Z555" s="33"/>
    </row>
    <row r="556" spans="1:26">
      <c r="A556" s="5"/>
      <c r="C556" s="32" t="str">
        <f t="shared" si="159"/>
        <v>XL Axiata</v>
      </c>
      <c r="D556" s="28" t="str">
        <f t="shared" si="159"/>
        <v>IDR 3,070</v>
      </c>
      <c r="E556" s="28" t="str">
        <f t="shared" si="159"/>
        <v>IDR 4,500</v>
      </c>
      <c r="F556" s="29">
        <f t="shared" si="159"/>
        <v>0.46579804560260585</v>
      </c>
      <c r="G556" s="28" t="str">
        <f t="shared" si="159"/>
        <v>Buy</v>
      </c>
      <c r="H556" s="30"/>
      <c r="I556" s="29">
        <f>XLAX!$D$32/XLAX!$D$11</f>
        <v>0</v>
      </c>
      <c r="J556" s="29">
        <f>XLAX!$E$32/XLAX!$E$11</f>
        <v>0</v>
      </c>
      <c r="K556" s="29">
        <f>XLAX!$F$32/XLAX!$F$11</f>
        <v>0</v>
      </c>
      <c r="L556" s="29">
        <f>XLAX!$G$32/XLAX!$G$11</f>
        <v>0</v>
      </c>
      <c r="M556" s="29" t="str">
        <f>XLAX!$H$32</f>
        <v>nm</v>
      </c>
      <c r="N556" s="40"/>
      <c r="O556" s="29">
        <f>(XLAX!$D$31+XLAX!$D$32)/XLAX!$D$11</f>
        <v>5.1791530944625415E-2</v>
      </c>
      <c r="P556" s="29">
        <f>(XLAX!$E$31+XLAX!$E$32)/XLAX!$E$11</f>
        <v>0</v>
      </c>
      <c r="Q556" s="29">
        <f>(XLAX!$F$31+XLAX!$F$32)/XLAX!$F$11</f>
        <v>3.1938736099723593E-2</v>
      </c>
      <c r="R556" s="29">
        <f>(XLAX!$G$31+XLAX!$G$32)/XLAX!$G$11</f>
        <v>5.1792475831053196E-2</v>
      </c>
      <c r="S556" s="29">
        <f>IFERROR(XLAX!$H$46,"na")</f>
        <v>6.0813075319909871E-6</v>
      </c>
      <c r="T556" s="30"/>
      <c r="U556" s="32" t="str">
        <f t="shared" si="160"/>
        <v>IDR 3,070</v>
      </c>
      <c r="V556" s="28" t="str">
        <f t="shared" si="160"/>
        <v>XL Axiata</v>
      </c>
      <c r="Z556" s="33"/>
    </row>
    <row r="557" spans="1:26">
      <c r="A557" s="5"/>
      <c r="C557" s="35" t="str">
        <f>C506</f>
        <v>Agg. Emerging Asia Cellular</v>
      </c>
      <c r="D557" s="36"/>
      <c r="E557" s="36"/>
      <c r="F557" s="37"/>
      <c r="G557" s="36"/>
      <c r="H557" s="30"/>
      <c r="I557" s="39">
        <f>'EM ASIA CELLULAR'!$D$32/'EM ASIA CELLULAR'!$D$11</f>
        <v>-3.255279453569282E-4</v>
      </c>
      <c r="J557" s="39">
        <f>'EM ASIA CELLULAR'!$E$32/'EM ASIA CELLULAR'!$E$11</f>
        <v>-8.6539541734789865E-3</v>
      </c>
      <c r="K557" s="39">
        <f>'EM ASIA CELLULAR'!$F$32/'EM ASIA CELLULAR'!$F$11</f>
        <v>9.8003646459446695E-4</v>
      </c>
      <c r="L557" s="39">
        <f>'EM ASIA CELLULAR'!$G$32/'EM ASIA CELLULAR'!$G$11</f>
        <v>-7.6731404756194901E-4</v>
      </c>
      <c r="M557" s="39">
        <f>'EM ASIA CELLULAR'!$H$32</f>
        <v>0.33034668012847068</v>
      </c>
      <c r="N557" s="40"/>
      <c r="O557" s="39">
        <f>('EM ASIA CELLULAR'!$D$31+'EM ASIA CELLULAR'!$D$32)/'EM ASIA CELLULAR'!$D$11</f>
        <v>4.5424271507783248E-2</v>
      </c>
      <c r="P557" s="39">
        <f>('EM ASIA CELLULAR'!$E$31+'EM ASIA CELLULAR'!$E$32)/'EM ASIA CELLULAR'!$E$11</f>
        <v>4.2768072920887169E-2</v>
      </c>
      <c r="Q557" s="39">
        <f>('EM ASIA CELLULAR'!$F$31+'EM ASIA CELLULAR'!$F$32)/'EM ASIA CELLULAR'!$F$11</f>
        <v>5.8191129227573676E-2</v>
      </c>
      <c r="R557" s="39">
        <f>('EM ASIA CELLULAR'!$G$31+'EM ASIA CELLULAR'!$G$32)/'EM ASIA CELLULAR'!$G$11</f>
        <v>6.261617174078131E-2</v>
      </c>
      <c r="S557" s="39">
        <f>'EM ASIA CELLULAR'!$H$46</f>
        <v>0.11250691681772862</v>
      </c>
      <c r="T557" s="30"/>
      <c r="U557" s="41"/>
      <c r="V557" s="42" t="str">
        <f>V506</f>
        <v>Agg. Emerging Asia Cellular</v>
      </c>
      <c r="Z557" s="33"/>
    </row>
    <row r="558" spans="1:26">
      <c r="A558" s="5"/>
      <c r="C558" s="27"/>
      <c r="D558" s="28"/>
      <c r="E558" s="28"/>
      <c r="F558" s="52"/>
      <c r="G558" s="28"/>
      <c r="H558" s="30"/>
      <c r="I558" s="45"/>
      <c r="J558" s="45"/>
      <c r="K558" s="45"/>
      <c r="L558" s="45"/>
      <c r="M558" s="45"/>
      <c r="N558" s="30"/>
      <c r="O558" s="45"/>
      <c r="P558" s="45"/>
      <c r="Q558" s="45"/>
      <c r="R558" s="45"/>
      <c r="S558" s="45"/>
      <c r="T558" s="30"/>
      <c r="U558" s="32"/>
      <c r="V558" s="34"/>
      <c r="Z558" s="33"/>
    </row>
    <row r="559" spans="1:26">
      <c r="A559" s="5"/>
      <c r="C559" s="35" t="str">
        <f>C508</f>
        <v>Agg. Emerging  Cellular</v>
      </c>
      <c r="D559" s="36"/>
      <c r="E559" s="36"/>
      <c r="F559" s="37"/>
      <c r="G559" s="36"/>
      <c r="H559" s="30"/>
      <c r="I559" s="39">
        <f>'EM CELLULAR'!$D$32/'EM CELLULAR'!$D$11</f>
        <v>-1.4215393684189164E-4</v>
      </c>
      <c r="J559" s="39">
        <f>'EM CELLULAR'!$E$32/'EM CELLULAR'!$E$11</f>
        <v>-1.0685147502057384E-2</v>
      </c>
      <c r="K559" s="39">
        <f>'EM CELLULAR'!$F$32/'EM CELLULAR'!$F$11</f>
        <v>2.0342327604798353E-3</v>
      </c>
      <c r="L559" s="39">
        <f>'EM CELLULAR'!$G$32/'EM CELLULAR'!$G$11</f>
        <v>5.8764888720905055E-4</v>
      </c>
      <c r="M559" s="39">
        <f>'EM CELLULAR'!$H$32</f>
        <v>-2.6018128588551379</v>
      </c>
      <c r="N559" s="30"/>
      <c r="O559" s="39">
        <f>('EM CELLULAR'!$D$31+'EM CELLULAR'!$D$32)/'EM CELLULAR'!$D$11</f>
        <v>4.4631599349891395E-2</v>
      </c>
      <c r="P559" s="39">
        <f>('EM CELLULAR'!$E$31+'EM CELLULAR'!$E$32)/'EM CELLULAR'!$E$11</f>
        <v>4.0585362540698167E-2</v>
      </c>
      <c r="Q559" s="39">
        <f>('EM CELLULAR'!$F$31+'EM CELLULAR'!$F$32)/'EM CELLULAR'!$F$11</f>
        <v>5.9791635569141438E-2</v>
      </c>
      <c r="R559" s="39">
        <f>('EM CELLULAR'!$G$31+'EM CELLULAR'!$G$32)/'EM CELLULAR'!$G$11</f>
        <v>6.4959566810449218E-2</v>
      </c>
      <c r="S559" s="39">
        <f>'EM CELLULAR'!$H$46</f>
        <v>0.13107739688292019</v>
      </c>
      <c r="T559" s="30"/>
      <c r="U559" s="41"/>
      <c r="V559" s="42" t="str">
        <f>V508</f>
        <v>Agg. Emerging  Cellular</v>
      </c>
      <c r="Z559" s="33"/>
    </row>
    <row r="560" spans="1:26">
      <c r="C560" s="27"/>
      <c r="D560" s="28"/>
      <c r="E560" s="28"/>
      <c r="F560" s="29"/>
      <c r="G560" s="28"/>
      <c r="H560" s="30"/>
      <c r="I560" s="29"/>
      <c r="J560" s="29"/>
      <c r="K560" s="29"/>
      <c r="L560" s="29"/>
      <c r="M560" s="29"/>
      <c r="N560" s="30"/>
      <c r="O560" s="29"/>
      <c r="P560" s="29"/>
      <c r="Q560" s="29"/>
      <c r="R560" s="29"/>
      <c r="S560" s="29"/>
      <c r="T560" s="30"/>
      <c r="U560" s="32"/>
      <c r="V560" s="34"/>
      <c r="Z560" s="33"/>
    </row>
    <row r="561" spans="1:29">
      <c r="C561" s="51" t="str">
        <f>C510</f>
        <v>Agg. EMEA sector</v>
      </c>
      <c r="D561" s="36"/>
      <c r="E561" s="36"/>
      <c r="F561" s="37"/>
      <c r="G561" s="36"/>
      <c r="H561" s="30"/>
      <c r="I561" s="39">
        <f>'EMEA AGG'!$D$32/'EMEA AGG'!$D$11</f>
        <v>-4.0457003983212034E-3</v>
      </c>
      <c r="J561" s="39">
        <f>'EMEA AGG'!$E$32/'EMEA AGG'!$E$11</f>
        <v>-3.3146839281887164E-2</v>
      </c>
      <c r="K561" s="39">
        <f>'EMEA AGG'!$F$32/'EMEA AGG'!$F$11</f>
        <v>3.6482832718826275E-3</v>
      </c>
      <c r="L561" s="39">
        <f>'EMEA AGG'!$G$32/'EMEA AGG'!$G$11</f>
        <v>3.5986503502247655E-3</v>
      </c>
      <c r="M561" s="39">
        <f>'EMEA AGG'!$H$32</f>
        <v>-1.9560053011649874</v>
      </c>
      <c r="N561" s="40"/>
      <c r="O561" s="39">
        <f>('EMEA AGG'!$D$31+'EMEA AGG'!$D$32)/'EMEA AGG'!$D$11</f>
        <v>2.6498586982557595E-2</v>
      </c>
      <c r="P561" s="39">
        <f>('EMEA AGG'!$E$31+'EMEA AGG'!$E$32)/'EMEA AGG'!$E$11</f>
        <v>1.0808246113551016E-2</v>
      </c>
      <c r="Q561" s="39">
        <f>('EMEA AGG'!$F$31+'EMEA AGG'!$F$32)/'EMEA AGG'!$F$11</f>
        <v>5.7520239450434246E-2</v>
      </c>
      <c r="R561" s="39">
        <f>('EMEA AGG'!$G$31+'EMEA AGG'!$G$32)/'EMEA AGG'!$G$11</f>
        <v>6.7155888346752513E-2</v>
      </c>
      <c r="S561" s="39">
        <f>'EMEA AGG'!$H$46</f>
        <v>0.35528963407723091</v>
      </c>
      <c r="T561" s="30"/>
      <c r="U561" s="41"/>
      <c r="V561" s="42" t="str">
        <f>V510</f>
        <v>Agg. EMEA sector</v>
      </c>
      <c r="Z561" s="33"/>
    </row>
    <row r="562" spans="1:29">
      <c r="C562" s="25" t="str">
        <f>C511</f>
        <v>Agg. LatAm sector</v>
      </c>
      <c r="D562" s="28"/>
      <c r="E562" s="28"/>
      <c r="F562" s="29"/>
      <c r="G562" s="28"/>
      <c r="H562" s="30"/>
      <c r="I562" s="43">
        <f>'LATAM AGG'!$D$32/'LATAM AGG'!$D$11</f>
        <v>1.0043378241564538E-2</v>
      </c>
      <c r="J562" s="43">
        <f>'LATAM AGG'!$E$32/'LATAM AGG'!$E$11</f>
        <v>1.6045735100868621E-2</v>
      </c>
      <c r="K562" s="43">
        <f>'LATAM AGG'!$F$32/'LATAM AGG'!$F$11</f>
        <v>1.6869907469161883E-2</v>
      </c>
      <c r="L562" s="43">
        <f>'LATAM AGG'!$G$32/'LATAM AGG'!$G$11</f>
        <v>1.8068286832007591E-2</v>
      </c>
      <c r="M562" s="43">
        <f>'LATAM AGG'!$H$32</f>
        <v>0.19028077227251861</v>
      </c>
      <c r="N562" s="40"/>
      <c r="O562" s="43">
        <f>('LATAM AGG'!$D$31+'LATAM AGG'!$D$32)/'LATAM AGG'!$D$11</f>
        <v>4.4874821236054185E-2</v>
      </c>
      <c r="P562" s="43">
        <f>('LATAM AGG'!$E$31+'LATAM AGG'!$E$32)/'LATAM AGG'!$E$11</f>
        <v>5.9845017507640021E-2</v>
      </c>
      <c r="Q562" s="43">
        <f>('LATAM AGG'!$F$31+'LATAM AGG'!$F$32)/'LATAM AGG'!$F$11</f>
        <v>6.6985997844398154E-2</v>
      </c>
      <c r="R562" s="43">
        <f>('LATAM AGG'!$G$31+'LATAM AGG'!$G$32)/'LATAM AGG'!$G$11</f>
        <v>7.3726363921145885E-2</v>
      </c>
      <c r="S562" s="43">
        <f>'LATAM AGG'!$H$46</f>
        <v>0.15480962155219324</v>
      </c>
      <c r="T562" s="30"/>
      <c r="U562" s="32"/>
      <c r="V562" s="34" t="str">
        <f>V511</f>
        <v>Agg. LatAm sector</v>
      </c>
      <c r="Z562" s="33"/>
    </row>
    <row r="563" spans="1:29">
      <c r="C563" s="51" t="str">
        <f>C512</f>
        <v>Agg. Emerging Asia sector</v>
      </c>
      <c r="D563" s="36"/>
      <c r="E563" s="36"/>
      <c r="F563" s="37"/>
      <c r="G563" s="36"/>
      <c r="H563" s="30"/>
      <c r="I563" s="39">
        <f>'AGG EM ASIA'!$D$32/'AGG EM ASIA'!$D$11</f>
        <v>2.0752718916636709E-5</v>
      </c>
      <c r="J563" s="39">
        <f>'AGG EM ASIA'!$E$32/'AGG EM ASIA'!$E$11</f>
        <v>-6.524191620639685E-3</v>
      </c>
      <c r="K563" s="39">
        <f>'AGG EM ASIA'!$F$32/'AGG EM ASIA'!$F$11</f>
        <v>1.1732698781313337E-3</v>
      </c>
      <c r="L563" s="39">
        <f>'AGG EM ASIA'!$G$32/'AGG EM ASIA'!$G$11</f>
        <v>-2.2559630307000128E-4</v>
      </c>
      <c r="M563" s="39">
        <f>'AGG EM ASIA'!$H$32</f>
        <v>-3.2137535862651285</v>
      </c>
      <c r="N563" s="40"/>
      <c r="O563" s="39">
        <f>('AGG EM ASIA'!$D$31+'AGG EM ASIA'!$D$32)/'AGG EM ASIA'!$D$11</f>
        <v>4.9504948902033857E-2</v>
      </c>
      <c r="P563" s="39">
        <f>('AGG EM ASIA'!$E$31+'AGG EM ASIA'!$E$32)/'AGG EM ASIA'!$E$11</f>
        <v>4.8969065837937982E-2</v>
      </c>
      <c r="Q563" s="39">
        <f>('AGG EM ASIA'!$F$31+'AGG EM ASIA'!$F$32)/'AGG EM ASIA'!$F$11</f>
        <v>6.2597322641323769E-2</v>
      </c>
      <c r="R563" s="39">
        <f>('AGG EM ASIA'!$G$31+'AGG EM ASIA'!$G$32)/'AGG EM ASIA'!$G$11</f>
        <v>6.7948826265619086E-2</v>
      </c>
      <c r="S563" s="39">
        <f>'AGG EM ASIA'!$H$46</f>
        <v>0.11059249356645284</v>
      </c>
      <c r="T563" s="30"/>
      <c r="U563" s="41"/>
      <c r="V563" s="42" t="str">
        <f>V512</f>
        <v>Agg. Emerging Asia sector</v>
      </c>
      <c r="Z563" s="33"/>
    </row>
    <row r="564" spans="1:29">
      <c r="C564" s="25"/>
      <c r="D564" s="28"/>
      <c r="E564" s="28"/>
      <c r="F564" s="29"/>
      <c r="G564" s="28"/>
      <c r="H564" s="30"/>
      <c r="I564" s="43"/>
      <c r="J564" s="43"/>
      <c r="K564" s="43"/>
      <c r="L564" s="43"/>
      <c r="M564" s="43"/>
      <c r="N564" s="40"/>
      <c r="O564" s="43"/>
      <c r="P564" s="43"/>
      <c r="Q564" s="43"/>
      <c r="R564" s="43"/>
      <c r="S564" s="43"/>
      <c r="T564" s="30"/>
      <c r="U564" s="32"/>
      <c r="V564" s="34"/>
      <c r="X564" s="43"/>
      <c r="Y564" s="43"/>
      <c r="Z564" s="33"/>
    </row>
    <row r="565" spans="1:29" s="5" customFormat="1">
      <c r="A565" s="23"/>
      <c r="B565" s="26"/>
      <c r="C565" s="51" t="str">
        <f>C514</f>
        <v>Agg. Global EM sector</v>
      </c>
      <c r="D565" s="36"/>
      <c r="E565" s="36"/>
      <c r="F565" s="37"/>
      <c r="G565" s="36"/>
      <c r="H565" s="30"/>
      <c r="I565" s="39">
        <f>'AGG EM'!$D$32/'AGG EM'!$D$11</f>
        <v>1.2643495713335969E-3</v>
      </c>
      <c r="J565" s="39">
        <f>'AGG EM'!$E$32/'AGG EM'!$E$11</f>
        <v>-5.4339777317059836E-3</v>
      </c>
      <c r="K565" s="39">
        <f>'AGG EM'!$F$32/'AGG EM'!$F$11</f>
        <v>3.8719279896318962E-3</v>
      </c>
      <c r="L565" s="39">
        <f>'AGG EM'!$G$32/'AGG EM'!$G$11</f>
        <v>2.9582264691525488E-3</v>
      </c>
      <c r="M565" s="39">
        <f>'AGG EM'!$H$32</f>
        <v>0.32163348519563306</v>
      </c>
      <c r="N565" s="40"/>
      <c r="O565" s="39">
        <f>('AGG EM'!$D$31+'AGG EM'!$D$32)/'AGG EM'!$D$11</f>
        <v>4.6576106100569947E-2</v>
      </c>
      <c r="P565" s="39">
        <f>('AGG EM'!$E$31+'AGG EM'!$E$32)/'AGG EM'!$E$11</f>
        <v>4.7101413014745797E-2</v>
      </c>
      <c r="Q565" s="39">
        <f>('AGG EM'!$F$31+'AGG EM'!$F$32)/'AGG EM'!$F$11</f>
        <v>6.2807686894890413E-2</v>
      </c>
      <c r="R565" s="39">
        <f>('AGG EM'!$G$31+'AGG EM'!$G$32)/'AGG EM'!$G$11</f>
        <v>6.8765890985502356E-2</v>
      </c>
      <c r="S565" s="39">
        <f>'AGG EM'!$H$46</f>
        <v>0.13359933245216205</v>
      </c>
      <c r="T565" s="30"/>
      <c r="U565" s="41"/>
      <c r="V565" s="42" t="str">
        <f>V514</f>
        <v>Agg. Global EM sector (ex-consensus)</v>
      </c>
      <c r="Z565" s="33"/>
    </row>
    <row r="566" spans="1:29">
      <c r="W566" s="45"/>
      <c r="Z566" s="33"/>
    </row>
    <row r="567" spans="1:29">
      <c r="W567" s="45"/>
      <c r="Z567" s="33"/>
    </row>
    <row r="568" spans="1:29" s="25" customFormat="1">
      <c r="B568" s="113"/>
      <c r="C568" s="130"/>
      <c r="D568" s="131" t="s">
        <v>379</v>
      </c>
      <c r="E568" s="131" t="s">
        <v>50</v>
      </c>
      <c r="F568" s="131" t="s">
        <v>52</v>
      </c>
      <c r="G568" s="131" t="s">
        <v>49</v>
      </c>
      <c r="H568" s="105"/>
      <c r="I568" s="132" t="s">
        <v>15</v>
      </c>
      <c r="J568" s="132"/>
      <c r="K568" s="132"/>
      <c r="L568" s="132"/>
      <c r="M568" s="132"/>
      <c r="N568" s="30"/>
      <c r="O568" s="132" t="s">
        <v>17</v>
      </c>
      <c r="P568" s="132"/>
      <c r="Q568" s="132"/>
      <c r="R568" s="132"/>
      <c r="S568" s="132"/>
      <c r="T568" s="30"/>
      <c r="U568" s="133" t="s">
        <v>379</v>
      </c>
      <c r="V568" s="131"/>
      <c r="Z568" s="33"/>
      <c r="AC568" s="106"/>
    </row>
    <row r="569" spans="1:29" s="5" customFormat="1">
      <c r="A569" s="25" t="s">
        <v>415</v>
      </c>
      <c r="B569" s="26"/>
      <c r="C569" s="32" t="str">
        <f t="shared" ref="C569:G571" si="161">C518</f>
        <v>America Movil</v>
      </c>
      <c r="D569" s="28" t="str">
        <f t="shared" si="161"/>
        <v>USD 22.8</v>
      </c>
      <c r="E569" s="28" t="str">
        <f t="shared" si="161"/>
        <v>USD 24.0</v>
      </c>
      <c r="F569" s="29">
        <f t="shared" si="161"/>
        <v>5.2631578947368363E-2</v>
      </c>
      <c r="G569" s="28" t="str">
        <f t="shared" si="161"/>
        <v>Buy</v>
      </c>
      <c r="H569" s="30"/>
      <c r="I569" s="31">
        <f>AMX!D$11/1000</f>
        <v>68.685000000000002</v>
      </c>
      <c r="J569" s="31">
        <f>AMX!E$11/1000</f>
        <v>67.031999999999996</v>
      </c>
      <c r="K569" s="31">
        <f>AMX!F$11/1000</f>
        <v>65.492999999999995</v>
      </c>
      <c r="L569" s="31">
        <f>AMX!G$11/1000</f>
        <v>64.010999999999996</v>
      </c>
      <c r="M569" s="29">
        <f t="shared" ref="M569:M572" si="162">(L569/I569)^(1/3)-1</f>
        <v>-2.3218175679025177E-2</v>
      </c>
      <c r="N569" s="30"/>
      <c r="O569" s="31">
        <f>AMX!D$12/1000</f>
        <v>36.005312504478717</v>
      </c>
      <c r="P569" s="31">
        <f>AMX!E$12/1000</f>
        <v>33.590459704368122</v>
      </c>
      <c r="Q569" s="31">
        <f>AMX!F$12/1000</f>
        <v>31.075088071942339</v>
      </c>
      <c r="R569" s="31">
        <f>AMX!G$12/1000</f>
        <v>28.08585757090713</v>
      </c>
      <c r="S569" s="29">
        <f t="shared" ref="S569:S572" si="163">(R569/O569)^(1/3)-1</f>
        <v>-7.9464867482096802E-2</v>
      </c>
      <c r="T569" s="30"/>
      <c r="U569" s="32" t="str">
        <f>U518</f>
        <v>USD 22.8</v>
      </c>
      <c r="V569" s="28" t="str">
        <f>V518</f>
        <v>America Movil</v>
      </c>
      <c r="Z569" s="30"/>
    </row>
    <row r="570" spans="1:29" s="5" customFormat="1">
      <c r="B570" s="26"/>
      <c r="C570" s="32" t="str">
        <f t="shared" si="161"/>
        <v>Vivo</v>
      </c>
      <c r="D570" s="28" t="str">
        <f t="shared" si="161"/>
        <v>BRL 39.88</v>
      </c>
      <c r="E570" s="28" t="str">
        <f t="shared" si="161"/>
        <v>BRL 43.00</v>
      </c>
      <c r="F570" s="29">
        <f t="shared" si="161"/>
        <v>7.8234704112337017E-2</v>
      </c>
      <c r="G570" s="28" t="str">
        <f t="shared" si="161"/>
        <v>Buy</v>
      </c>
      <c r="H570" s="30"/>
      <c r="I570" s="31">
        <f>VIVO!D$11/Prices!$C$140/1000</f>
        <v>25.748756597229363</v>
      </c>
      <c r="J570" s="31">
        <f>VIVO!E$11/Prices!$C$140/1000</f>
        <v>25.272606677222605</v>
      </c>
      <c r="K570" s="31">
        <f>VIVO!F$11/Prices!$C$140/1000</f>
        <v>24.736938017214996</v>
      </c>
      <c r="L570" s="31">
        <f>VIVO!G$11/Prices!$C$140/1000</f>
        <v>24.141750617206547</v>
      </c>
      <c r="M570" s="29">
        <f t="shared" si="162"/>
        <v>-2.1252124221960211E-2</v>
      </c>
      <c r="N570" s="30"/>
      <c r="O570" s="31">
        <f>VIVO!D$12/Prices!$C$140/1000</f>
        <v>2.7731696319987948</v>
      </c>
      <c r="P570" s="31">
        <f>VIVO!E$12/Prices!$C$140/1000</f>
        <v>2.4464977119754505</v>
      </c>
      <c r="Q570" s="31">
        <f>VIVO!F$12/Prices!$C$140/1000</f>
        <v>2.1435905336923549</v>
      </c>
      <c r="R570" s="31">
        <f>VIVO!G$12/Prices!$C$140/1000</f>
        <v>1.8536665737600171</v>
      </c>
      <c r="S570" s="29">
        <f t="shared" si="163"/>
        <v>-0.12565051021661899</v>
      </c>
      <c r="T570" s="30"/>
      <c r="U570" s="32" t="str">
        <f>U519</f>
        <v>BRL 39.88</v>
      </c>
      <c r="V570" s="28" t="str">
        <f>V519</f>
        <v>Telefonica Brasil</v>
      </c>
      <c r="Z570" s="30"/>
    </row>
    <row r="571" spans="1:29" s="5" customFormat="1">
      <c r="B571" s="26"/>
      <c r="C571" s="32" t="str">
        <f t="shared" si="161"/>
        <v>Televisa</v>
      </c>
      <c r="D571" s="28" t="str">
        <f t="shared" si="161"/>
        <v>USD 3.1</v>
      </c>
      <c r="E571" s="28" t="str">
        <f t="shared" si="161"/>
        <v>USD 3.7</v>
      </c>
      <c r="F571" s="29">
        <f t="shared" si="161"/>
        <v>0.21311475409836089</v>
      </c>
      <c r="G571" s="28" t="str">
        <f t="shared" si="161"/>
        <v>Neutral</v>
      </c>
      <c r="H571" s="30"/>
      <c r="I571" s="31">
        <f>TVIS!D$11/1000</f>
        <v>1.7488183846153844</v>
      </c>
      <c r="J571" s="31">
        <f>TVIS!E$11/1000</f>
        <v>1.7488183846153844</v>
      </c>
      <c r="K571" s="31">
        <f>TVIS!F$11/1000</f>
        <v>1.7488183846153844</v>
      </c>
      <c r="L571" s="31">
        <f>TVIS!G$11/1000</f>
        <v>1.7488183846153844</v>
      </c>
      <c r="M571" s="29">
        <f>(L571/I571)^(1/3)-1</f>
        <v>0</v>
      </c>
      <c r="N571" s="30"/>
      <c r="O571" s="31">
        <f>TVIS!D$12/1000</f>
        <v>2.7740945753924913</v>
      </c>
      <c r="P571" s="31">
        <f>TVIS!E$12/1000</f>
        <v>2.6640055794437507</v>
      </c>
      <c r="Q571" s="31">
        <f>TVIS!F$12/1000</f>
        <v>2.5010262464858068</v>
      </c>
      <c r="R571" s="31">
        <f>TVIS!G$12/1000</f>
        <v>2.2587261506423255</v>
      </c>
      <c r="S571" s="29">
        <f>(R571/O571)^(1/3)-1</f>
        <v>-6.6213826757830163E-2</v>
      </c>
      <c r="T571" s="30"/>
      <c r="U571" s="32" t="str">
        <f>U520</f>
        <v>USD 3.1</v>
      </c>
      <c r="V571" s="28" t="s">
        <v>561</v>
      </c>
      <c r="Z571" s="30"/>
    </row>
    <row r="572" spans="1:29" s="5" customFormat="1">
      <c r="B572" s="26"/>
      <c r="C572" s="35" t="str">
        <f>C521</f>
        <v>Agg. LatAm Incumbent</v>
      </c>
      <c r="D572" s="36"/>
      <c r="E572" s="36"/>
      <c r="F572" s="37"/>
      <c r="G572" s="36"/>
      <c r="H572" s="30"/>
      <c r="I572" s="38">
        <f>'LATAM INCUMB'!D$11/1000</f>
        <v>96.182574981844752</v>
      </c>
      <c r="J572" s="38">
        <f>'LATAM INCUMB'!$E$11/1000</f>
        <v>94.053425061837984</v>
      </c>
      <c r="K572" s="38">
        <f>'LATAM INCUMB'!$F$11/1000</f>
        <v>91.978756401830381</v>
      </c>
      <c r="L572" s="38">
        <f>'LATAM INCUMB'!$G$11/1000</f>
        <v>89.901569001821926</v>
      </c>
      <c r="M572" s="39">
        <f t="shared" si="162"/>
        <v>-2.2259457374716907E-2</v>
      </c>
      <c r="N572" s="40"/>
      <c r="O572" s="38">
        <f>'LATAM INCUMB'!D$12/1000</f>
        <v>41.552576711870003</v>
      </c>
      <c r="P572" s="38">
        <f>'LATAM INCUMB'!$E$12/1000</f>
        <v>38.700962995787322</v>
      </c>
      <c r="Q572" s="38">
        <f>'LATAM INCUMB'!$F$12/1000</f>
        <v>35.719704852120508</v>
      </c>
      <c r="R572" s="38">
        <f>'LATAM INCUMB'!$G$12/1000</f>
        <v>32.198250295309471</v>
      </c>
      <c r="S572" s="39">
        <f t="shared" si="163"/>
        <v>-8.1502234617428115E-2</v>
      </c>
      <c r="T572" s="30"/>
      <c r="U572" s="41"/>
      <c r="V572" s="42" t="str">
        <f>V521</f>
        <v>Agg. LatAm Incumbent</v>
      </c>
      <c r="Z572" s="30"/>
    </row>
    <row r="573" spans="1:29" s="5" customFormat="1">
      <c r="A573" s="23"/>
      <c r="B573" s="26"/>
      <c r="C573" s="32"/>
      <c r="D573" s="28"/>
      <c r="E573" s="28"/>
      <c r="F573" s="29"/>
      <c r="G573" s="28"/>
      <c r="H573" s="30"/>
      <c r="I573" s="31"/>
      <c r="J573" s="31"/>
      <c r="K573" s="31"/>
      <c r="L573" s="31"/>
      <c r="M573" s="29"/>
      <c r="N573" s="40"/>
      <c r="O573" s="31"/>
      <c r="P573" s="31"/>
      <c r="Q573" s="31"/>
      <c r="R573" s="31"/>
      <c r="S573" s="29"/>
      <c r="T573" s="30"/>
      <c r="U573" s="32"/>
      <c r="V573" s="34"/>
      <c r="Z573" s="30"/>
    </row>
    <row r="574" spans="1:29" s="5" customFormat="1">
      <c r="B574" s="26"/>
      <c r="C574" s="32" t="str">
        <f t="shared" ref="C574:G577" si="164">C523</f>
        <v>China Telecom</v>
      </c>
      <c r="D574" s="28" t="str">
        <f t="shared" si="164"/>
        <v>HKD 5.01</v>
      </c>
      <c r="E574" s="28" t="str">
        <f t="shared" si="164"/>
        <v>HKD 8.75</v>
      </c>
      <c r="F574" s="29">
        <f t="shared" si="164"/>
        <v>0.7465069860279443</v>
      </c>
      <c r="G574" s="28" t="str">
        <f t="shared" si="164"/>
        <v>Buy</v>
      </c>
      <c r="H574" s="30"/>
      <c r="I574" s="31">
        <f>(_CT!D$11/Prices!$C$155)/1000</f>
        <v>58.512150283224557</v>
      </c>
      <c r="J574" s="31">
        <f>(_CT!E$11/Prices!$C$155)/1000</f>
        <v>58.512150283224557</v>
      </c>
      <c r="K574" s="31">
        <f>(_CT!F$11/Prices!$C$155)/1000</f>
        <v>58.512150283224557</v>
      </c>
      <c r="L574" s="31">
        <f>(_CT!G$11/Prices!$C$155)/1000</f>
        <v>58.512150283224557</v>
      </c>
      <c r="M574" s="29">
        <f t="shared" ref="M574:M578" si="165">(L574/I574)^(1/3)-1</f>
        <v>0</v>
      </c>
      <c r="N574" s="40"/>
      <c r="O574" s="31">
        <f>_CT!D$12/1000/Prices!$C$155</f>
        <v>-8.043715625584392</v>
      </c>
      <c r="P574" s="31">
        <f>_CT!E$12/1000/Prices!$C$155</f>
        <v>-11.273509519543115</v>
      </c>
      <c r="Q574" s="31">
        <f>_CT!F$12/1000/Prices!$C$155</f>
        <v>-9.7871194515950588</v>
      </c>
      <c r="R574" s="31">
        <f>_CT!G$12/1000/Prices!$C$155</f>
        <v>-14.075625550488114</v>
      </c>
      <c r="S574" s="135">
        <f t="shared" ref="S574:S578" si="166">(R574/O574)^(1/3)-1</f>
        <v>0.20504611116045224</v>
      </c>
      <c r="T574" s="30"/>
      <c r="U574" s="32" t="str">
        <f t="shared" ref="U574:V577" si="167">U523</f>
        <v>HKD 5.01</v>
      </c>
      <c r="V574" s="28" t="str">
        <f t="shared" si="167"/>
        <v>China Telecom</v>
      </c>
      <c r="Z574" s="30"/>
    </row>
    <row r="575" spans="1:29" s="5" customFormat="1">
      <c r="B575" s="26"/>
      <c r="C575" s="32" t="str">
        <f t="shared" si="164"/>
        <v>China Unicom</v>
      </c>
      <c r="D575" s="28" t="str">
        <f t="shared" si="164"/>
        <v>HKD 7.26</v>
      </c>
      <c r="E575" s="28" t="str">
        <f t="shared" si="164"/>
        <v>HKD 13.20</v>
      </c>
      <c r="F575" s="29">
        <f t="shared" si="164"/>
        <v>0.81818181818181812</v>
      </c>
      <c r="G575" s="28" t="str">
        <f t="shared" si="164"/>
        <v>Buy</v>
      </c>
      <c r="H575" s="30"/>
      <c r="I575" s="31">
        <f>(_CU!D$11/Prices!$C$155)/1000</f>
        <v>28.35199842350972</v>
      </c>
      <c r="J575" s="31">
        <f>(_CU!E$11/Prices!$C$155)/1000</f>
        <v>28.35199842350972</v>
      </c>
      <c r="K575" s="31">
        <f>(_CU!F$11/Prices!$C$155)/1000</f>
        <v>28.35199842350972</v>
      </c>
      <c r="L575" s="31">
        <f>(_CU!G$11/Prices!$C$155)/1000</f>
        <v>28.35199842350972</v>
      </c>
      <c r="M575" s="29">
        <f t="shared" si="165"/>
        <v>0</v>
      </c>
      <c r="N575" s="40"/>
      <c r="O575" s="31">
        <f>_CU!D$12/1000/Prices!$C$155</f>
        <v>-1.2360927961706478</v>
      </c>
      <c r="P575" s="31">
        <f>_CU!E$12/1000/Prices!$C$155</f>
        <v>-4.128465912480932</v>
      </c>
      <c r="Q575" s="31">
        <f>_CU!F$12/1000/Prices!$C$155</f>
        <v>-3.51314040928724</v>
      </c>
      <c r="R575" s="31">
        <f>_CU!G$12/1000/Prices!$C$155</f>
        <v>-6.5340757722576175</v>
      </c>
      <c r="S575" s="135">
        <f t="shared" si="166"/>
        <v>0.74198481006235051</v>
      </c>
      <c r="T575" s="30"/>
      <c r="U575" s="32" t="str">
        <f t="shared" si="167"/>
        <v>HKD 7.26</v>
      </c>
      <c r="V575" s="28" t="str">
        <f t="shared" si="167"/>
        <v>China Unicom</v>
      </c>
      <c r="Z575" s="30"/>
    </row>
    <row r="576" spans="1:29" s="5" customFormat="1">
      <c r="A576" s="23"/>
      <c r="B576" s="26"/>
      <c r="C576" s="32" t="str">
        <f t="shared" si="164"/>
        <v>KT Corp</v>
      </c>
      <c r="D576" s="28" t="str">
        <f t="shared" si="164"/>
        <v>KRW 61,700</v>
      </c>
      <c r="E576" s="28" t="str">
        <f t="shared" si="164"/>
        <v>KRW 105,000</v>
      </c>
      <c r="F576" s="29">
        <f t="shared" si="164"/>
        <v>0.70178282009724469</v>
      </c>
      <c r="G576" s="28" t="str">
        <f t="shared" si="164"/>
        <v>Buy</v>
      </c>
      <c r="H576" s="30"/>
      <c r="I576" s="31">
        <f>_KT!D$11/Prices!$C$153</f>
        <v>10.012880827049493</v>
      </c>
      <c r="J576" s="31">
        <f>_KT!E$11/Prices!$C$153</f>
        <v>9.8079014700235412</v>
      </c>
      <c r="K576" s="31">
        <f>_KT!F$11/Prices!$C$153</f>
        <v>9.6029221129975859</v>
      </c>
      <c r="L576" s="31">
        <f>_KT!G$11/Prices!$C$153</f>
        <v>9.3979427559716306</v>
      </c>
      <c r="M576" s="29">
        <f t="shared" si="165"/>
        <v>-2.0905563684034623E-2</v>
      </c>
      <c r="N576" s="40"/>
      <c r="O576" s="31">
        <f>_KT!D$12/Prices!$C$153</f>
        <v>3.9108042669280003</v>
      </c>
      <c r="P576" s="31">
        <f>_KT!E$12/Prices!$C$153</f>
        <v>3.0149522471506596</v>
      </c>
      <c r="Q576" s="31">
        <f>_KT!F$12/Prices!$C$153</f>
        <v>2.0179314030545079</v>
      </c>
      <c r="R576" s="31">
        <f>_KT!G$12/Prices!$C$153</f>
        <v>0.98712410201107337</v>
      </c>
      <c r="S576" s="29">
        <f t="shared" si="166"/>
        <v>-0.36802209940473318</v>
      </c>
      <c r="T576" s="30"/>
      <c r="U576" s="32" t="str">
        <f t="shared" si="167"/>
        <v>KRW 61,700</v>
      </c>
      <c r="V576" s="28" t="str">
        <f t="shared" si="167"/>
        <v>KT Corp</v>
      </c>
      <c r="Z576" s="30"/>
    </row>
    <row r="577" spans="1:26" s="5" customFormat="1">
      <c r="A577" s="23"/>
      <c r="B577" s="26"/>
      <c r="C577" s="32" t="str">
        <f t="shared" si="164"/>
        <v>Telkom Indonesia</v>
      </c>
      <c r="D577" s="28" t="str">
        <f t="shared" si="164"/>
        <v>IDR 2,810</v>
      </c>
      <c r="E577" s="28" t="str">
        <f t="shared" si="164"/>
        <v>IDR 3,500</v>
      </c>
      <c r="F577" s="29">
        <f t="shared" si="164"/>
        <v>0.24555160142348753</v>
      </c>
      <c r="G577" s="28" t="str">
        <f t="shared" si="164"/>
        <v>Neutral</v>
      </c>
      <c r="H577" s="30"/>
      <c r="I577" s="31">
        <f>PTT!D$11/Prices!$C$152</f>
        <v>16.018410282788722</v>
      </c>
      <c r="J577" s="31">
        <f>PTT!E$11/Prices!$C$152</f>
        <v>16.018410282788722</v>
      </c>
      <c r="K577" s="31">
        <f>PTT!F$11/Prices!$C$152</f>
        <v>16.018410282788722</v>
      </c>
      <c r="L577" s="31">
        <f>PTT!G$11/Prices!$C$152</f>
        <v>16.018410282788722</v>
      </c>
      <c r="M577" s="29">
        <f t="shared" si="165"/>
        <v>0</v>
      </c>
      <c r="N577" s="40"/>
      <c r="O577" s="31">
        <f>PTT!D$12/Prices!$C$152</f>
        <v>5.2027649126889441</v>
      </c>
      <c r="P577" s="31">
        <f>PTT!E$12/Prices!$C$152</f>
        <v>5.7774311447155355</v>
      </c>
      <c r="Q577" s="31">
        <f>PTT!F$12/Prices!$C$152</f>
        <v>5.8775961407273085</v>
      </c>
      <c r="R577" s="31">
        <f>PTT!G$12/Prices!$C$152</f>
        <v>6.0093517181083929</v>
      </c>
      <c r="S577" s="135">
        <f t="shared" si="166"/>
        <v>4.9214958284456989E-2</v>
      </c>
      <c r="T577" s="30"/>
      <c r="U577" s="32" t="str">
        <f t="shared" si="167"/>
        <v>IDR 2,810</v>
      </c>
      <c r="V577" s="28" t="str">
        <f t="shared" si="167"/>
        <v>PT Telkom</v>
      </c>
      <c r="Z577" s="30"/>
    </row>
    <row r="578" spans="1:26" s="5" customFormat="1">
      <c r="A578" s="23"/>
      <c r="B578" s="26"/>
      <c r="C578" s="35" t="str">
        <f>C527</f>
        <v>Agg. Emerging Asia Incumbent</v>
      </c>
      <c r="D578" s="36"/>
      <c r="E578" s="36"/>
      <c r="F578" s="37"/>
      <c r="G578" s="36"/>
      <c r="H578" s="30"/>
      <c r="I578" s="38">
        <f>'EM ASIA INCUMB'!$D$11/1000</f>
        <v>112.89543981657249</v>
      </c>
      <c r="J578" s="38">
        <f>'EM ASIA INCUMB'!$E$11/1000</f>
        <v>112.69046045954653</v>
      </c>
      <c r="K578" s="38">
        <f>'EM ASIA INCUMB'!$F$11/1000</f>
        <v>112.48548110252057</v>
      </c>
      <c r="L578" s="38">
        <f>'EM ASIA INCUMB'!$G$11/1000</f>
        <v>112.28050174549462</v>
      </c>
      <c r="M578" s="39">
        <f t="shared" si="165"/>
        <v>-1.8189632799001654E-3</v>
      </c>
      <c r="N578" s="40"/>
      <c r="O578" s="38">
        <f>'EM ASIA INCUMB'!$D$12/1000</f>
        <v>-0.16623924213809552</v>
      </c>
      <c r="P578" s="38">
        <f>'EM ASIA INCUMB'!$E$12/1000</f>
        <v>-6.6095920401578487</v>
      </c>
      <c r="Q578" s="38">
        <f>'EM ASIA INCUMB'!$F$12/1000</f>
        <v>-5.4047323171004829</v>
      </c>
      <c r="R578" s="38">
        <f>'EM ASIA INCUMB'!$G$12/1000</f>
        <v>-13.613225502626264</v>
      </c>
      <c r="S578" s="39">
        <f t="shared" si="166"/>
        <v>3.3425266872320014</v>
      </c>
      <c r="T578" s="30"/>
      <c r="U578" s="41"/>
      <c r="V578" s="42" t="str">
        <f>V527</f>
        <v>Agg. Emerging Asia Incumbent</v>
      </c>
      <c r="Z578" s="30"/>
    </row>
    <row r="579" spans="1:26" s="5" customFormat="1">
      <c r="A579" s="23"/>
      <c r="B579" s="26"/>
      <c r="C579" s="27"/>
      <c r="D579" s="28"/>
      <c r="E579" s="28"/>
      <c r="F579" s="52"/>
      <c r="G579" s="28"/>
      <c r="H579" s="30"/>
      <c r="I579" s="46"/>
      <c r="J579" s="46"/>
      <c r="K579" s="46"/>
      <c r="L579" s="46"/>
      <c r="M579" s="45"/>
      <c r="N579" s="40"/>
      <c r="O579" s="46"/>
      <c r="P579" s="46"/>
      <c r="Q579" s="46"/>
      <c r="R579" s="46"/>
      <c r="S579" s="45"/>
      <c r="T579" s="30"/>
      <c r="U579" s="32"/>
      <c r="V579" s="34"/>
      <c r="Z579" s="30"/>
    </row>
    <row r="580" spans="1:26" s="5" customFormat="1">
      <c r="A580" s="23"/>
      <c r="B580" s="26"/>
      <c r="C580" s="35" t="str">
        <f>C529</f>
        <v>Agg. Emerging Incumbent</v>
      </c>
      <c r="D580" s="36"/>
      <c r="E580" s="36"/>
      <c r="F580" s="37"/>
      <c r="G580" s="36"/>
      <c r="H580" s="30"/>
      <c r="I580" s="38">
        <f>'EM INCUMB'!$D$11/1000</f>
        <v>209.07801479841723</v>
      </c>
      <c r="J580" s="38">
        <f>'EM INCUMB'!$E$11/1000</f>
        <v>206.74388552138453</v>
      </c>
      <c r="K580" s="38">
        <f>'EM INCUMB'!$F$11/1000</f>
        <v>204.46423750435096</v>
      </c>
      <c r="L580" s="38">
        <f>'EM INCUMB'!$G$11/1000</f>
        <v>202.18207074731654</v>
      </c>
      <c r="M580" s="39">
        <f t="shared" ref="M580" si="168">(L580/I580)^(1/3)-1</f>
        <v>-1.1117349429860091E-2</v>
      </c>
      <c r="N580" s="40"/>
      <c r="O580" s="38">
        <f>'EM INCUMB'!$D$12/1000</f>
        <v>41.386337469731906</v>
      </c>
      <c r="P580" s="38">
        <f>'EM INCUMB'!$E$12/1000</f>
        <v>32.091370955629472</v>
      </c>
      <c r="Q580" s="38">
        <f>'EM INCUMB'!$F$12/1000</f>
        <v>30.314972535020026</v>
      </c>
      <c r="R580" s="38">
        <f>'EM INCUMB'!$G$12/1000</f>
        <v>18.58502479268321</v>
      </c>
      <c r="S580" s="39">
        <f t="shared" ref="S580" si="169">(R580/O580)^(1/3)-1</f>
        <v>-0.23422347293565393</v>
      </c>
      <c r="T580" s="30"/>
      <c r="U580" s="41"/>
      <c r="V580" s="42" t="str">
        <f>V529</f>
        <v>Agg. Emerging Incumbent</v>
      </c>
      <c r="Z580" s="30"/>
    </row>
    <row r="581" spans="1:26" s="5" customFormat="1">
      <c r="A581" s="23"/>
      <c r="B581" s="26"/>
      <c r="C581" s="27"/>
      <c r="D581" s="28"/>
      <c r="E581" s="28"/>
      <c r="F581" s="29"/>
      <c r="G581" s="28"/>
      <c r="H581" s="30"/>
      <c r="I581" s="31"/>
      <c r="J581" s="31"/>
      <c r="K581" s="31"/>
      <c r="L581" s="31"/>
      <c r="M581" s="29"/>
      <c r="N581" s="40"/>
      <c r="O581" s="31"/>
      <c r="P581" s="31"/>
      <c r="Q581" s="31"/>
      <c r="R581" s="31"/>
      <c r="S581" s="29"/>
      <c r="T581" s="30"/>
      <c r="U581" s="32"/>
      <c r="V581" s="34"/>
      <c r="Z581" s="30"/>
    </row>
    <row r="582" spans="1:26" s="5" customFormat="1">
      <c r="A582" s="25" t="s">
        <v>1091</v>
      </c>
      <c r="B582" s="26"/>
      <c r="C582" s="32" t="str">
        <f t="shared" ref="C582:G586" si="170">C531</f>
        <v>Airtel Africa</v>
      </c>
      <c r="D582" s="28" t="str">
        <f t="shared" si="170"/>
        <v>GBP3.60</v>
      </c>
      <c r="E582" s="28" t="str">
        <f t="shared" si="170"/>
        <v>GBP4.60</v>
      </c>
      <c r="F582" s="29">
        <f t="shared" si="170"/>
        <v>0.2791991101223581</v>
      </c>
      <c r="G582" s="28" t="str">
        <f t="shared" si="170"/>
        <v>Buy</v>
      </c>
      <c r="H582" s="30"/>
      <c r="I582" s="31">
        <f>AAF!D$11/1000</f>
        <v>17.604855605833666</v>
      </c>
      <c r="J582" s="31">
        <f>AAF!E$11/1000</f>
        <v>17.25576455553897</v>
      </c>
      <c r="K582" s="31">
        <f>AAF!F$11/1000</f>
        <v>16.906673505244282</v>
      </c>
      <c r="L582" s="31">
        <f>AAF!G$11/1000</f>
        <v>16.557582454949589</v>
      </c>
      <c r="M582" s="29">
        <f t="shared" ref="M582" si="171">(L582/I582)^(1/3)-1</f>
        <v>-2.0235980886297522E-2</v>
      </c>
      <c r="N582" s="40"/>
      <c r="O582" s="31">
        <f>AAF!D$12/1000</f>
        <v>1.8909949925471801</v>
      </c>
      <c r="P582" s="31">
        <f>AAF!E$12/1000</f>
        <v>1.571663931959757</v>
      </c>
      <c r="Q582" s="31">
        <f>AAF!F$12/1000</f>
        <v>1.099904552999982</v>
      </c>
      <c r="R582" s="31">
        <f>AAF!G$12/1000</f>
        <v>0.56652047427118346</v>
      </c>
      <c r="S582" s="135">
        <f t="shared" ref="S582" si="172">(R582/O582)^(1/3)-1</f>
        <v>-0.33087322197474434</v>
      </c>
      <c r="T582" s="30"/>
      <c r="U582" s="32" t="str">
        <f t="shared" ref="U582:V586" si="173">U531</f>
        <v>GBP3.60</v>
      </c>
      <c r="V582" s="28" t="str">
        <f t="shared" si="173"/>
        <v>Airtel Africa</v>
      </c>
      <c r="Z582" s="30"/>
    </row>
    <row r="583" spans="1:26" s="5" customFormat="1">
      <c r="A583" s="23"/>
      <c r="B583" s="26"/>
      <c r="C583" s="32" t="str">
        <f t="shared" si="170"/>
        <v>MTN</v>
      </c>
      <c r="D583" s="28" t="str">
        <f t="shared" si="170"/>
        <v>ZAR 206.35</v>
      </c>
      <c r="E583" s="28" t="str">
        <f t="shared" si="170"/>
        <v>ZAR 280.00</v>
      </c>
      <c r="F583" s="29">
        <f t="shared" si="170"/>
        <v>0.35691785800823839</v>
      </c>
      <c r="G583" s="28" t="str">
        <f t="shared" si="170"/>
        <v>Buy</v>
      </c>
      <c r="H583" s="30"/>
      <c r="I583" s="31">
        <f>MTN!D$11/1000/Prices!$C$150</f>
        <v>22.440945370049086</v>
      </c>
      <c r="J583" s="31">
        <f>MTN!E$11/1000/Prices!$C$150</f>
        <v>22.440049530101447</v>
      </c>
      <c r="K583" s="31">
        <f>MTN!F$11/1000/Prices!$C$150</f>
        <v>22.439153690153805</v>
      </c>
      <c r="L583" s="31">
        <f>MTN!G$11/1000/Prices!$C$150</f>
        <v>22.43825785020617</v>
      </c>
      <c r="M583" s="29">
        <f t="shared" ref="M583:M587" si="174">(L583/I583)^(1/3)-1</f>
        <v>-3.9921478220850126E-5</v>
      </c>
      <c r="N583" s="40"/>
      <c r="O583" s="31">
        <f>MTN!D$12/1000/Prices!$C$150</f>
        <v>2.2668606334051704</v>
      </c>
      <c r="P583" s="31">
        <f>MTN!E$12/1000/Prices!$C$150</f>
        <v>1.2140162300440469</v>
      </c>
      <c r="Q583" s="31">
        <f>MTN!F$12/1000/Prices!$C$150</f>
        <v>-6.5230457576389025E-2</v>
      </c>
      <c r="R583" s="31">
        <f>MTN!G$12/1000/Prices!$C$150</f>
        <v>-1.3379984204989164</v>
      </c>
      <c r="S583" s="135">
        <f t="shared" ref="S583:S587" si="175">(R583/O583)^(1/3)-1</f>
        <v>-1.8388357413753336</v>
      </c>
      <c r="T583" s="30"/>
      <c r="U583" s="32" t="str">
        <f t="shared" si="173"/>
        <v>ZAR 206.35</v>
      </c>
      <c r="V583" s="28" t="str">
        <f t="shared" si="173"/>
        <v>MTN</v>
      </c>
      <c r="Z583" s="30"/>
    </row>
    <row r="584" spans="1:26">
      <c r="C584" s="32" t="str">
        <f t="shared" si="170"/>
        <v>Safaricom</v>
      </c>
      <c r="D584" s="28" t="str">
        <f t="shared" si="170"/>
        <v>KES 29.90</v>
      </c>
      <c r="E584" s="28" t="str">
        <f t="shared" si="170"/>
        <v>KES 40.0</v>
      </c>
      <c r="F584" s="29">
        <f t="shared" si="170"/>
        <v>0.33779264214046822</v>
      </c>
      <c r="G584" s="28" t="str">
        <f t="shared" si="170"/>
        <v>Buy</v>
      </c>
      <c r="H584" s="30"/>
      <c r="I584" s="31">
        <f>SAF!D$11/1000/Prices!$C$159</f>
        <v>9.2685098946955993</v>
      </c>
      <c r="J584" s="31">
        <f>SAF!E$11/1000/Prices!$C$159</f>
        <v>9.2685098946955993</v>
      </c>
      <c r="K584" s="31">
        <f>SAF!F$11/1000/Prices!$C$159</f>
        <v>9.2685098946955993</v>
      </c>
      <c r="L584" s="31">
        <f>SAF!G$11/1000/Prices!$C$159</f>
        <v>9.2685098946955993</v>
      </c>
      <c r="M584" s="29">
        <f>(L584/I584)^(1/3)-1</f>
        <v>0</v>
      </c>
      <c r="N584" s="40"/>
      <c r="O584" s="31">
        <f>SAF!D$12/1000/Prices!$C$159</f>
        <v>0.66386691798060915</v>
      </c>
      <c r="P584" s="31">
        <f>SAF!E$12/1000/Prices!$C$159</f>
        <v>0.65613999566175729</v>
      </c>
      <c r="Q584" s="31">
        <f>SAF!F$12/1000/Prices!$C$159</f>
        <v>0.64786340323471014</v>
      </c>
      <c r="R584" s="31">
        <f>SAF!G$12/1000/Prices!$C$159</f>
        <v>0.60469203771359836</v>
      </c>
      <c r="S584" s="135">
        <f>(R584/O584)^(1/3)-1</f>
        <v>-3.0641534051329189E-2</v>
      </c>
      <c r="T584" s="30"/>
      <c r="U584" s="32" t="str">
        <f t="shared" si="173"/>
        <v>KES 29.90</v>
      </c>
      <c r="V584" s="28" t="str">
        <f t="shared" si="173"/>
        <v>Safaricom</v>
      </c>
      <c r="Z584" s="30"/>
    </row>
    <row r="585" spans="1:26" s="5" customFormat="1">
      <c r="A585" s="23"/>
      <c r="B585" s="26"/>
      <c r="C585" s="32" t="str">
        <f t="shared" si="170"/>
        <v>VEON</v>
      </c>
      <c r="D585" s="28" t="str">
        <f t="shared" si="170"/>
        <v>USD 54.9</v>
      </c>
      <c r="E585" s="28" t="str">
        <f t="shared" si="170"/>
        <v>USD 100.0</v>
      </c>
      <c r="F585" s="29">
        <f t="shared" si="170"/>
        <v>0.82116190129302513</v>
      </c>
      <c r="G585" s="28" t="str">
        <f t="shared" si="170"/>
        <v>Buy</v>
      </c>
      <c r="H585" s="30"/>
      <c r="I585" s="31">
        <f>VIMP!D$11/1000</f>
        <v>3.8563521313840892</v>
      </c>
      <c r="J585" s="31">
        <f>VIMP!E$11/1000</f>
        <v>3.8198636179988603</v>
      </c>
      <c r="K585" s="31">
        <f>VIMP!F$11/1000</f>
        <v>3.7833751046136315</v>
      </c>
      <c r="L585" s="31">
        <f>VIMP!G$11/1000</f>
        <v>3.7520992359977208</v>
      </c>
      <c r="M585" s="29">
        <f t="shared" si="174"/>
        <v>-9.0938034158111192E-3</v>
      </c>
      <c r="N585" s="40"/>
      <c r="O585" s="31">
        <f>VIMP!D$12/1000</f>
        <v>2.5147178885100141</v>
      </c>
      <c r="P585" s="31">
        <f>VIMP!E$12/1000</f>
        <v>2.1755978051209151</v>
      </c>
      <c r="Q585" s="31">
        <f>VIMP!F$12/1000</f>
        <v>1.7347830823309078</v>
      </c>
      <c r="R585" s="31">
        <f>VIMP!G$12/1000</f>
        <v>1.2023801542480685</v>
      </c>
      <c r="S585" s="29">
        <f t="shared" si="175"/>
        <v>-0.21804065152064533</v>
      </c>
      <c r="T585" s="30"/>
      <c r="U585" s="32" t="str">
        <f t="shared" si="173"/>
        <v>USD 54.9</v>
      </c>
      <c r="V585" s="28" t="str">
        <f t="shared" si="173"/>
        <v>VEON</v>
      </c>
      <c r="Z585" s="30"/>
    </row>
    <row r="586" spans="1:26" s="5" customFormat="1">
      <c r="A586" s="23"/>
      <c r="B586" s="26"/>
      <c r="C586" s="32" t="str">
        <f t="shared" si="170"/>
        <v>Vodacom</v>
      </c>
      <c r="D586" s="28" t="str">
        <f t="shared" si="170"/>
        <v>ZAR 145.6</v>
      </c>
      <c r="E586" s="28" t="str">
        <f t="shared" si="170"/>
        <v>ZAR 215.0</v>
      </c>
      <c r="F586" s="29">
        <f t="shared" si="170"/>
        <v>0.47685121582634959</v>
      </c>
      <c r="G586" s="28" t="str">
        <f t="shared" si="170"/>
        <v>Buy</v>
      </c>
      <c r="H586" s="30"/>
      <c r="I586" s="31">
        <f>VODA!D$11/1000/Prices!$C$150</f>
        <v>18.129885481766827</v>
      </c>
      <c r="J586" s="31">
        <f>VODA!E$11/1000/Prices!$C$150</f>
        <v>18.093456815850939</v>
      </c>
      <c r="K586" s="31">
        <f>VODA!F$11/1000/Prices!$C$150</f>
        <v>18.057028149935046</v>
      </c>
      <c r="L586" s="31">
        <f>VODA!G$11/1000/Prices!$C$150</f>
        <v>18.020599484019154</v>
      </c>
      <c r="M586" s="29">
        <f t="shared" si="174"/>
        <v>-2.0133667563781987E-3</v>
      </c>
      <c r="N586" s="40"/>
      <c r="O586" s="31">
        <f>VODA!D$12/1000/Prices!$C$150</f>
        <v>2.931493509752916</v>
      </c>
      <c r="P586" s="31">
        <f>VODA!E$12/1000/Prices!$C$150</f>
        <v>4.5084398841200475</v>
      </c>
      <c r="Q586" s="31">
        <f>VODA!F$12/1000/Prices!$C$150</f>
        <v>4.2202114641533823</v>
      </c>
      <c r="R586" s="31">
        <f>VODA!G$12/1000/Prices!$C$150</f>
        <v>3.9141021647759029</v>
      </c>
      <c r="S586" s="29">
        <f t="shared" si="175"/>
        <v>0.10115318704422505</v>
      </c>
      <c r="T586" s="30"/>
      <c r="U586" s="32" t="str">
        <f t="shared" si="173"/>
        <v>ZAR 145.6</v>
      </c>
      <c r="V586" s="28" t="str">
        <f t="shared" si="173"/>
        <v>Vodacom</v>
      </c>
      <c r="Z586" s="30"/>
    </row>
    <row r="587" spans="1:26">
      <c r="C587" s="35" t="str">
        <f>C536</f>
        <v>Agg. EMEA Cellular</v>
      </c>
      <c r="D587" s="36"/>
      <c r="E587" s="36"/>
      <c r="F587" s="37"/>
      <c r="G587" s="36"/>
      <c r="H587" s="30"/>
      <c r="I587" s="38">
        <f>'EMEA CELLULAR'!D$11/1000</f>
        <v>71.300548483729273</v>
      </c>
      <c r="J587" s="38">
        <f>'EMEA CELLULAR'!$E$11/1000</f>
        <v>70.877644414185809</v>
      </c>
      <c r="K587" s="38">
        <f>'EMEA CELLULAR'!$F$11/1000</f>
        <v>70.454740344642374</v>
      </c>
      <c r="L587" s="38">
        <f>'EMEA CELLULAR'!$G$11/1000</f>
        <v>70.037048919868226</v>
      </c>
      <c r="M587" s="39">
        <f t="shared" si="174"/>
        <v>-5.9421576936141696E-3</v>
      </c>
      <c r="N587" s="40"/>
      <c r="O587" s="38">
        <f>'EMEA CELLULAR'!D$12/1000</f>
        <v>10.26793394219589</v>
      </c>
      <c r="P587" s="38">
        <f>'EMEA CELLULAR'!$E$12/1000</f>
        <v>10.125857846906523</v>
      </c>
      <c r="Q587" s="38">
        <f>'EMEA CELLULAR'!$F$12/1000</f>
        <v>7.637532045142593</v>
      </c>
      <c r="R587" s="38">
        <f>'EMEA CELLULAR'!$G$12/1000</f>
        <v>4.9496964105098371</v>
      </c>
      <c r="S587" s="39">
        <f t="shared" si="175"/>
        <v>-0.21591135339740897</v>
      </c>
      <c r="T587" s="30"/>
      <c r="U587" s="41"/>
      <c r="V587" s="42" t="str">
        <f>V536</f>
        <v>Agg. EMEA Cellular</v>
      </c>
      <c r="Z587" s="30"/>
    </row>
    <row r="588" spans="1:26">
      <c r="A588" s="5"/>
      <c r="C588" s="27"/>
      <c r="D588" s="28"/>
      <c r="E588" s="28"/>
      <c r="F588" s="29"/>
      <c r="G588" s="28"/>
      <c r="H588" s="30"/>
      <c r="I588" s="31"/>
      <c r="J588" s="31"/>
      <c r="K588" s="31"/>
      <c r="L588" s="31"/>
      <c r="M588" s="29"/>
      <c r="N588" s="40"/>
      <c r="O588" s="31"/>
      <c r="P588" s="31"/>
      <c r="Q588" s="31"/>
      <c r="R588" s="31"/>
      <c r="S588" s="29"/>
      <c r="T588" s="30"/>
      <c r="U588" s="32"/>
      <c r="V588" s="34"/>
      <c r="Z588" s="30"/>
    </row>
    <row r="589" spans="1:26">
      <c r="A589" s="5"/>
      <c r="C589" s="32" t="str">
        <f t="shared" ref="C589:G591" si="176">C538</f>
        <v>Entel</v>
      </c>
      <c r="D589" s="28" t="str">
        <f t="shared" si="176"/>
        <v>CLP 3,643</v>
      </c>
      <c r="E589" s="28" t="str">
        <f t="shared" si="176"/>
        <v>CLP 3,150</v>
      </c>
      <c r="F589" s="29">
        <f t="shared" si="176"/>
        <v>-0.13532802635190777</v>
      </c>
      <c r="G589" s="28" t="str">
        <f t="shared" si="176"/>
        <v>Neutral</v>
      </c>
      <c r="H589" s="30"/>
      <c r="I589" s="31">
        <f>ENTEL!D$11/Prices!$C$145/1000</f>
        <v>1.225111375523386</v>
      </c>
      <c r="J589" s="31">
        <f>ENTEL!E$11/Prices!$C$145/1000</f>
        <v>1.225111375523386</v>
      </c>
      <c r="K589" s="31">
        <f>ENTEL!F$11/Prices!$C$145/1000</f>
        <v>1.225111375523386</v>
      </c>
      <c r="L589" s="31">
        <f>ENTEL!G$11/Prices!$C$145/1000</f>
        <v>1.225111375523386</v>
      </c>
      <c r="M589" s="29">
        <f t="shared" ref="M589:M594" si="177">(L589/I589)^(1/3)-1</f>
        <v>0</v>
      </c>
      <c r="N589" s="40"/>
      <c r="O589" s="31">
        <f>ENTEL!D$12/Prices!$C$145/1000</f>
        <v>1.6047288090945189</v>
      </c>
      <c r="P589" s="31">
        <f>ENTEL!E$12/Prices!$C$145/1000</f>
        <v>1.6948870879583229</v>
      </c>
      <c r="Q589" s="31">
        <f>ENTEL!F$12/Prices!$C$145/1000</f>
        <v>1.7608554322100287</v>
      </c>
      <c r="R589" s="31">
        <f>ENTEL!G$12/Prices!$C$145/1000</f>
        <v>1.7849483916951547</v>
      </c>
      <c r="S589" s="135">
        <f t="shared" ref="S589:S594" si="178">(R589/O589)^(1/3)-1</f>
        <v>3.6115104293701572E-2</v>
      </c>
      <c r="T589" s="30"/>
      <c r="U589" s="32" t="str">
        <f t="shared" ref="U589:V591" si="179">U538</f>
        <v>CLP 3,643</v>
      </c>
      <c r="V589" s="28" t="str">
        <f t="shared" si="179"/>
        <v>Entel</v>
      </c>
      <c r="Z589" s="30"/>
    </row>
    <row r="590" spans="1:26">
      <c r="A590" s="5"/>
      <c r="C590" s="32" t="str">
        <f t="shared" si="176"/>
        <v>Millicom</v>
      </c>
      <c r="D590" s="28" t="str">
        <f t="shared" si="176"/>
        <v>USD  83.6</v>
      </c>
      <c r="E590" s="28" t="str">
        <f t="shared" si="176"/>
        <v>USD 70.0</v>
      </c>
      <c r="F590" s="29">
        <f t="shared" si="176"/>
        <v>-0.16292974588938713</v>
      </c>
      <c r="G590" s="28" t="str">
        <f t="shared" si="176"/>
        <v>Buy</v>
      </c>
      <c r="H590" s="30"/>
      <c r="I590" s="31">
        <f>MILLI!D$11/1000</f>
        <v>14.072271824127</v>
      </c>
      <c r="J590" s="31">
        <f>MILLI!E$11/1000</f>
        <v>13.815017615022864</v>
      </c>
      <c r="K590" s="31">
        <f>MILLI!F$11/1000</f>
        <v>13.557763405918726</v>
      </c>
      <c r="L590" s="31">
        <f>MILLI!G$11/1000</f>
        <v>13.300509196814589</v>
      </c>
      <c r="M590" s="29">
        <f t="shared" si="177"/>
        <v>-1.862569205040332E-2</v>
      </c>
      <c r="N590" s="40"/>
      <c r="O590" s="31">
        <f>MILLI!D$12/1000</f>
        <v>6.686907967952874</v>
      </c>
      <c r="P590" s="31">
        <f>MILLI!E$12/1000</f>
        <v>8.1319189039930215</v>
      </c>
      <c r="Q590" s="31">
        <f>MILLI!F$12/1000</f>
        <v>8.0739882783664498</v>
      </c>
      <c r="R590" s="31">
        <f>MILLI!G$12/1000</f>
        <v>8.0139778345215777</v>
      </c>
      <c r="S590" s="135">
        <f t="shared" si="178"/>
        <v>6.2203179240302608E-2</v>
      </c>
      <c r="T590" s="30"/>
      <c r="U590" s="32" t="str">
        <f t="shared" si="179"/>
        <v>USD  83.6</v>
      </c>
      <c r="V590" s="28" t="str">
        <f t="shared" si="179"/>
        <v>Millicom</v>
      </c>
      <c r="Z590" s="30"/>
    </row>
    <row r="591" spans="1:26">
      <c r="A591" s="5"/>
      <c r="C591" s="32" t="str">
        <f t="shared" si="176"/>
        <v>TIM Participacoes</v>
      </c>
      <c r="D591" s="28" t="str">
        <f t="shared" si="176"/>
        <v>BRL 25.99</v>
      </c>
      <c r="E591" s="28" t="str">
        <f t="shared" si="176"/>
        <v>BRL 28.00</v>
      </c>
      <c r="F591" s="29">
        <f t="shared" si="176"/>
        <v>7.7337437475952342E-2</v>
      </c>
      <c r="G591" s="28" t="str">
        <f t="shared" si="176"/>
        <v>Buy</v>
      </c>
      <c r="H591" s="30"/>
      <c r="I591" s="31">
        <f>TIMP!D$11/Prices!$C$140/1000</f>
        <v>6.3305054861484935</v>
      </c>
      <c r="J591" s="31">
        <f>TIMP!E$11/Prices!$C$140/1000</f>
        <v>6.1679483578853294</v>
      </c>
      <c r="K591" s="31">
        <f>TIMP!F$11/Prices!$C$140/1000</f>
        <v>6.005391229622167</v>
      </c>
      <c r="L591" s="31">
        <f>TIMP!G$11/Prices!$C$140/1000</f>
        <v>5.8428341013590037</v>
      </c>
      <c r="M591" s="29">
        <f t="shared" si="177"/>
        <v>-2.6367515690030485E-2</v>
      </c>
      <c r="N591" s="40"/>
      <c r="O591" s="31">
        <f>TIMP!D$12/Prices!$C$140/1000</f>
        <v>2.0514001124977965</v>
      </c>
      <c r="P591" s="31">
        <f>TIMP!E$12/Prices!$C$140/1000</f>
        <v>1.9732461170135074</v>
      </c>
      <c r="Q591" s="31">
        <f>TIMP!F$12/Prices!$C$140/1000</f>
        <v>1.865824360803485</v>
      </c>
      <c r="R591" s="31">
        <f>TIMP!G$12/Prices!$C$140/1000</f>
        <v>1.626988167142003</v>
      </c>
      <c r="S591" s="29">
        <f t="shared" si="178"/>
        <v>-7.4354544833768355E-2</v>
      </c>
      <c r="T591" s="30"/>
      <c r="U591" s="32" t="str">
        <f t="shared" si="179"/>
        <v>BRL 25.99</v>
      </c>
      <c r="V591" s="28" t="str">
        <f t="shared" si="179"/>
        <v>TIM Participacoes</v>
      </c>
      <c r="Z591" s="30"/>
    </row>
    <row r="592" spans="1:26">
      <c r="A592" s="25"/>
      <c r="B592" s="26" t="s">
        <v>483</v>
      </c>
      <c r="C592" s="32" t="s">
        <v>688</v>
      </c>
      <c r="D592" s="28" t="str">
        <f>'EM Multiples'!B592&amp;TEXT(Prices!C$115,"0.00")</f>
        <v>MXN59.40</v>
      </c>
      <c r="E592" s="28" t="str">
        <f>'EM Multiples'!B592&amp;TEXT(Prices!E$115,"0.00")</f>
        <v>MXN75.00</v>
      </c>
      <c r="F592" s="29">
        <f>Prices!F$115</f>
        <v>0.26262626262626276</v>
      </c>
      <c r="G592" s="28" t="str">
        <f>Prices!D$52</f>
        <v>Buy</v>
      </c>
      <c r="H592" s="30"/>
      <c r="I592" s="31">
        <f>MEGA!D$11/1000/Prices!$C$160</f>
        <v>2.9231016951892315</v>
      </c>
      <c r="J592" s="31">
        <f>MEGA!E$11/1000/Prices!$C$160</f>
        <v>2.9231016951892315</v>
      </c>
      <c r="K592" s="31">
        <f>MEGA!F$11/1000/Prices!$C$160</f>
        <v>2.9231016951892315</v>
      </c>
      <c r="L592" s="31">
        <f>MEGA!G$11/1000/Prices!$C$160</f>
        <v>2.9231016951892315</v>
      </c>
      <c r="M592" s="29">
        <f t="shared" si="177"/>
        <v>0</v>
      </c>
      <c r="N592" s="30"/>
      <c r="O592" s="31">
        <f>MEGA!D$12/1000/Prices!$C$160</f>
        <v>1.26876229183628</v>
      </c>
      <c r="P592" s="31">
        <f>MEGA!E$12/1000/Prices!$C$160</f>
        <v>1.2392719126851568</v>
      </c>
      <c r="Q592" s="31">
        <f>MEGA!F$12/1000/Prices!$C$160</f>
        <v>1.1456040990345016</v>
      </c>
      <c r="R592" s="31">
        <f>MEGA!G$12/1000/Prices!$C$160</f>
        <v>0.99584890218734856</v>
      </c>
      <c r="S592" s="29">
        <f t="shared" si="178"/>
        <v>-7.7560846167841979E-2</v>
      </c>
      <c r="T592" s="30"/>
      <c r="U592" s="32" t="str">
        <f>D592</f>
        <v>MXN59.40</v>
      </c>
      <c r="V592" s="28" t="str">
        <f>C592</f>
        <v>Megacable</v>
      </c>
      <c r="Z592" s="30"/>
    </row>
    <row r="593" spans="1:26">
      <c r="A593" s="5"/>
      <c r="B593" s="26" t="s">
        <v>331</v>
      </c>
      <c r="C593" s="32" t="s">
        <v>675</v>
      </c>
      <c r="D593" s="28" t="str">
        <f>'EM Multiples'!B593&amp;TEXT(Prices!C$118,"0.00")</f>
        <v>USD8.53</v>
      </c>
      <c r="E593" s="28" t="str">
        <f>'EM Multiples'!B593&amp;TEXT(Prices!E$118,"0.00")</f>
        <v>USD14.90</v>
      </c>
      <c r="F593" s="29">
        <f>Prices!F$118</f>
        <v>0.74780058651026393</v>
      </c>
      <c r="G593" s="28" t="str">
        <f>Prices!D$118</f>
        <v>Buy</v>
      </c>
      <c r="H593" s="30"/>
      <c r="I593" s="31">
        <f>LiLAC!D$11/1000</f>
        <v>1.7050000000000001</v>
      </c>
      <c r="J593" s="31">
        <f>LiLAC!E$11/1000</f>
        <v>1.6623749999999999</v>
      </c>
      <c r="K593" s="31">
        <f>LiLAC!F$11/1000</f>
        <v>1.61975</v>
      </c>
      <c r="L593" s="31">
        <f>LiLAC!G$11/1000</f>
        <v>1.5771250000000001</v>
      </c>
      <c r="M593" s="29">
        <f t="shared" si="177"/>
        <v>-2.5652419812671079E-2</v>
      </c>
      <c r="N593" s="30"/>
      <c r="O593" s="31">
        <f>LiLAC!D$12/1000</f>
        <v>7.5746000000000002</v>
      </c>
      <c r="P593" s="31">
        <f>LiLAC!E$12/1000</f>
        <v>7.4929570649629289</v>
      </c>
      <c r="Q593" s="31">
        <f>LiLAC!F$12/1000</f>
        <v>7.3125281748811721</v>
      </c>
      <c r="R593" s="31">
        <f>LiLAC!G$12/1000</f>
        <v>7.0190683809148755</v>
      </c>
      <c r="S593" s="29">
        <f t="shared" si="178"/>
        <v>-2.5070399220948225E-2</v>
      </c>
      <c r="T593" s="30"/>
      <c r="U593" s="32" t="str">
        <f>D593</f>
        <v>USD8.53</v>
      </c>
      <c r="V593" s="28" t="str">
        <f>C593</f>
        <v>LiLAC</v>
      </c>
      <c r="Z593" s="30"/>
    </row>
    <row r="594" spans="1:26">
      <c r="A594" s="5"/>
      <c r="C594" s="35" t="str">
        <f>C543</f>
        <v>Agg. LatAm Other</v>
      </c>
      <c r="D594" s="36"/>
      <c r="E594" s="36"/>
      <c r="F594" s="37"/>
      <c r="G594" s="36"/>
      <c r="H594" s="30"/>
      <c r="I594" s="38">
        <f>'LATAM OTHER'!D$11/1000</f>
        <v>26.255990380988109</v>
      </c>
      <c r="J594" s="38">
        <f>'LATAM OTHER'!$E$11/1000</f>
        <v>25.793554043620809</v>
      </c>
      <c r="K594" s="38">
        <f>'LATAM OTHER'!$F$11/1000</f>
        <v>25.331117706253512</v>
      </c>
      <c r="L594" s="38">
        <f>'LATAM OTHER'!$G$11/1000</f>
        <v>24.868681368886211</v>
      </c>
      <c r="M594" s="39">
        <f t="shared" si="177"/>
        <v>-1.7932246423406628E-2</v>
      </c>
      <c r="N594" s="40"/>
      <c r="O594" s="38">
        <f>'LATAM OTHER'!D$12/1000</f>
        <v>19.186399181381471</v>
      </c>
      <c r="P594" s="38">
        <f>'LATAM OTHER'!$E$12/1000</f>
        <v>20.532281086612937</v>
      </c>
      <c r="Q594" s="38">
        <f>'LATAM OTHER'!$F$12/1000</f>
        <v>20.158800345295635</v>
      </c>
      <c r="R594" s="38">
        <f>'LATAM OTHER'!$G$12/1000</f>
        <v>19.440831676460959</v>
      </c>
      <c r="S594" s="39">
        <f t="shared" si="178"/>
        <v>4.4009651876981692E-3</v>
      </c>
      <c r="T594" s="30"/>
      <c r="U594" s="41"/>
      <c r="V594" s="42" t="str">
        <f>V543</f>
        <v>Agg. LatAm Cellular</v>
      </c>
      <c r="Z594" s="30"/>
    </row>
    <row r="595" spans="1:26">
      <c r="C595" s="27"/>
      <c r="D595" s="28"/>
      <c r="E595" s="28"/>
      <c r="F595" s="29"/>
      <c r="G595" s="28"/>
      <c r="H595" s="30"/>
      <c r="I595" s="31"/>
      <c r="J595" s="31"/>
      <c r="K595" s="31"/>
      <c r="L595" s="31"/>
      <c r="M595" s="29"/>
      <c r="N595" s="30"/>
      <c r="O595" s="31"/>
      <c r="P595" s="31"/>
      <c r="Q595" s="31"/>
      <c r="R595" s="31"/>
      <c r="S595" s="29"/>
      <c r="T595" s="30"/>
      <c r="U595" s="32"/>
      <c r="V595" s="34"/>
      <c r="Z595" s="30"/>
    </row>
    <row r="596" spans="1:26">
      <c r="A596" s="5"/>
      <c r="C596" s="32" t="str">
        <f t="shared" ref="C596:G607" si="180">C545</f>
        <v>AIS</v>
      </c>
      <c r="D596" s="28" t="str">
        <f t="shared" si="180"/>
        <v>THB 349.0</v>
      </c>
      <c r="E596" s="28" t="str">
        <f t="shared" si="180"/>
        <v>THB 330.0</v>
      </c>
      <c r="F596" s="29">
        <f t="shared" si="180"/>
        <v>-5.4441260744985676E-2</v>
      </c>
      <c r="G596" s="28" t="str">
        <f t="shared" si="180"/>
        <v>Buy</v>
      </c>
      <c r="H596" s="30"/>
      <c r="I596" s="31">
        <f>ADVANCED!D$11/1000/Prices!$C$143</f>
        <v>32.005133520721635</v>
      </c>
      <c r="J596" s="31">
        <f>ADVANCED!E$11/1000/Prices!$C$143</f>
        <v>32.005133520721635</v>
      </c>
      <c r="K596" s="31">
        <f>ADVANCED!F$11/1000/Prices!$C$143</f>
        <v>32.005133520721635</v>
      </c>
      <c r="L596" s="31">
        <f>ADVANCED!G$11/1000/Prices!$C$143</f>
        <v>32.005133520721635</v>
      </c>
      <c r="M596" s="29">
        <f t="shared" ref="M596:M608" si="181">(L596/I596)^(1/3)-1</f>
        <v>0</v>
      </c>
      <c r="N596" s="30"/>
      <c r="O596" s="31">
        <f>ADVANCED!D$12/1000/Prices!$C$143</f>
        <v>5.8627661432137259</v>
      </c>
      <c r="P596" s="31">
        <f>ADVANCED!E$12/1000/Prices!$C$143</f>
        <v>4.9925810530107624</v>
      </c>
      <c r="Q596" s="31">
        <f>ADVANCED!F$12/1000/Prices!$C$143</f>
        <v>4.1940256416114305</v>
      </c>
      <c r="R596" s="31">
        <f>ADVANCED!G$12/1000/Prices!$C$143</f>
        <v>3.4460582647755338</v>
      </c>
      <c r="S596" s="29">
        <f t="shared" ref="S596:S608" si="182">(R596/O596)^(1/3)-1</f>
        <v>-0.1623292550254507</v>
      </c>
      <c r="T596" s="30"/>
      <c r="U596" s="32" t="str">
        <f t="shared" ref="U596:V607" si="183">U545</f>
        <v>THB 349.0</v>
      </c>
      <c r="V596" s="28" t="str">
        <f t="shared" si="183"/>
        <v>AIS</v>
      </c>
      <c r="Z596" s="30"/>
    </row>
    <row r="597" spans="1:26">
      <c r="C597" s="32" t="str">
        <f t="shared" si="180"/>
        <v>Axiata</v>
      </c>
      <c r="D597" s="28" t="str">
        <f t="shared" si="180"/>
        <v>MYR 2.24</v>
      </c>
      <c r="E597" s="28" t="str">
        <f t="shared" si="180"/>
        <v>MYR 4.50</v>
      </c>
      <c r="F597" s="29">
        <f t="shared" si="180"/>
        <v>1.0089285714285712</v>
      </c>
      <c r="G597" s="28" t="str">
        <f t="shared" si="180"/>
        <v>Buy</v>
      </c>
      <c r="H597" s="30"/>
      <c r="I597" s="31">
        <f>AXI!D$11/Prices!$C$139/1000</f>
        <v>5.1940971802927685</v>
      </c>
      <c r="J597" s="31">
        <f>AXI!E$11/Prices!$C$139/1000</f>
        <v>5.1940971802927685</v>
      </c>
      <c r="K597" s="31">
        <f>AXI!F$11/Prices!$C$139/1000</f>
        <v>5.1940971802927685</v>
      </c>
      <c r="L597" s="31">
        <f>AXI!G$11/Prices!$C$139/1000</f>
        <v>5.1940971802927685</v>
      </c>
      <c r="M597" s="29">
        <f t="shared" si="181"/>
        <v>0</v>
      </c>
      <c r="N597" s="30"/>
      <c r="O597" s="31">
        <f>AXI!D$12/Prices!$C$139/1000</f>
        <v>3.4547348025716667</v>
      </c>
      <c r="P597" s="31">
        <f>AXI!E$12/Prices!$C$139/1000</f>
        <v>3.3508254188178683</v>
      </c>
      <c r="Q597" s="31">
        <f>AXI!F$12/Prices!$C$139/1000</f>
        <v>3.1036623215394163</v>
      </c>
      <c r="R597" s="31">
        <f>AXI!G$12/Prices!$C$139/1000</f>
        <v>2.7979871440889235</v>
      </c>
      <c r="S597" s="29">
        <f t="shared" si="182"/>
        <v>-6.7868896359688624E-2</v>
      </c>
      <c r="T597" s="30"/>
      <c r="U597" s="32" t="str">
        <f t="shared" si="183"/>
        <v>MYR 2.24</v>
      </c>
      <c r="V597" s="28" t="str">
        <f t="shared" si="183"/>
        <v>Axiata</v>
      </c>
      <c r="Z597" s="30"/>
    </row>
    <row r="598" spans="1:26">
      <c r="C598" s="32" t="str">
        <f t="shared" si="180"/>
        <v>Bharti Airtel</v>
      </c>
      <c r="D598" s="28" t="str">
        <f t="shared" si="180"/>
        <v>INR 1815</v>
      </c>
      <c r="E598" s="28" t="str">
        <f t="shared" si="180"/>
        <v>INR 2750</v>
      </c>
      <c r="F598" s="29">
        <f t="shared" si="180"/>
        <v>0.51540199482008031</v>
      </c>
      <c r="G598" s="28" t="str">
        <f t="shared" si="180"/>
        <v>Buy</v>
      </c>
      <c r="H598" s="30"/>
      <c r="I598" s="31">
        <f>BHART!D$11/1000/Prices!$C$132</f>
        <v>117.33766731213029</v>
      </c>
      <c r="J598" s="31">
        <f>BHART!E$11/1000/Prices!$C$132</f>
        <v>117.33766731213029</v>
      </c>
      <c r="K598" s="31">
        <f>BHART!F$11/1000/Prices!$C$132</f>
        <v>117.33766731213029</v>
      </c>
      <c r="L598" s="31">
        <f>BHART!G$11/1000/Prices!$C$132</f>
        <v>117.33766731213029</v>
      </c>
      <c r="M598" s="29">
        <f t="shared" si="181"/>
        <v>0</v>
      </c>
      <c r="N598" s="30"/>
      <c r="O598" s="31">
        <f>BHART!D$12/1000/Prices!$C$132</f>
        <v>18.280780355301189</v>
      </c>
      <c r="P598" s="31">
        <f>BHART!E$12/1000/Prices!$C$132</f>
        <v>14.010019472244371</v>
      </c>
      <c r="Q598" s="31">
        <f>BHART!F$12/1000/Prices!$C$132</f>
        <v>8.9858647301039394</v>
      </c>
      <c r="R598" s="31">
        <f>BHART!G$12/1000/Prices!$C$132</f>
        <v>3.5695371986189417</v>
      </c>
      <c r="S598" s="29">
        <f t="shared" si="182"/>
        <v>-0.41985165118637213</v>
      </c>
      <c r="T598" s="30"/>
      <c r="U598" s="32" t="str">
        <f t="shared" si="183"/>
        <v>INR 1815</v>
      </c>
      <c r="V598" s="28" t="str">
        <f t="shared" si="183"/>
        <v>Bharti Airtel</v>
      </c>
      <c r="Z598" s="30"/>
    </row>
    <row r="599" spans="1:26">
      <c r="A599" s="5"/>
      <c r="C599" s="32" t="str">
        <f t="shared" si="180"/>
        <v>China Mobile</v>
      </c>
      <c r="D599" s="28" t="str">
        <f t="shared" si="180"/>
        <v>HKD 83.9</v>
      </c>
      <c r="E599" s="28" t="str">
        <f t="shared" si="180"/>
        <v>HKD 115.0</v>
      </c>
      <c r="F599" s="29">
        <f t="shared" si="180"/>
        <v>0.37067938021454094</v>
      </c>
      <c r="G599" s="28" t="str">
        <f t="shared" si="180"/>
        <v>Buy</v>
      </c>
      <c r="H599" s="30"/>
      <c r="I599" s="31">
        <f>_CM!D$11/Prices!$C$155</f>
        <v>229.24965004321567</v>
      </c>
      <c r="J599" s="31">
        <f>_CM!E$11/Prices!$C$155</f>
        <v>229.24965004321567</v>
      </c>
      <c r="K599" s="31">
        <f>_CM!F$11/Prices!$C$155</f>
        <v>229.24965004321567</v>
      </c>
      <c r="L599" s="31">
        <f>_CM!G$11/Prices!$C$155</f>
        <v>229.24965004321567</v>
      </c>
      <c r="M599" s="29">
        <f t="shared" si="181"/>
        <v>0</v>
      </c>
      <c r="N599" s="30"/>
      <c r="O599" s="31">
        <f>_CM!D$12/Prices!$C$155</f>
        <v>-29.424179269463846</v>
      </c>
      <c r="P599" s="31">
        <f>_CM!E$12/Prices!$C$155</f>
        <v>-37.30084069303193</v>
      </c>
      <c r="Q599" s="31">
        <f>_CM!F$12/Prices!$C$155</f>
        <v>-34.713900210930362</v>
      </c>
      <c r="R599" s="31">
        <f>_CM!G$12/Prices!$C$155</f>
        <v>-42.683375161935011</v>
      </c>
      <c r="S599" s="29">
        <f t="shared" si="182"/>
        <v>0.13201313283772675</v>
      </c>
      <c r="T599" s="30"/>
      <c r="U599" s="32" t="str">
        <f t="shared" si="183"/>
        <v>HKD 83.9</v>
      </c>
      <c r="V599" s="28" t="str">
        <f t="shared" si="183"/>
        <v>China Mobile</v>
      </c>
      <c r="Z599" s="30"/>
    </row>
    <row r="600" spans="1:26">
      <c r="A600" s="5"/>
      <c r="C600" s="32" t="str">
        <f t="shared" si="180"/>
        <v>CelcomDigi</v>
      </c>
      <c r="D600" s="28" t="str">
        <f t="shared" si="180"/>
        <v>MYR 3.0</v>
      </c>
      <c r="E600" s="28" t="str">
        <f t="shared" si="180"/>
        <v>MYR 5.6</v>
      </c>
      <c r="F600" s="29">
        <f t="shared" si="180"/>
        <v>0.88552188552188538</v>
      </c>
      <c r="G600" s="28" t="str">
        <f t="shared" si="180"/>
        <v>Buy</v>
      </c>
      <c r="H600" s="30"/>
      <c r="I600" s="31">
        <f>DIGI!D$11/1000/Prices!$C$139</f>
        <v>8.7875506974387765</v>
      </c>
      <c r="J600" s="31">
        <f>DIGI!E$11/1000/Prices!$C$139</f>
        <v>8.7875506974387765</v>
      </c>
      <c r="K600" s="31">
        <f>DIGI!F$11/1000/Prices!$C$139</f>
        <v>8.7875506974387765</v>
      </c>
      <c r="L600" s="31">
        <f>DIGI!G$11/1000/Prices!$C$139</f>
        <v>8.7875506974387765</v>
      </c>
      <c r="M600" s="29">
        <f t="shared" si="181"/>
        <v>0</v>
      </c>
      <c r="N600" s="30"/>
      <c r="O600" s="31">
        <f>DIGI!D$12/1000/Prices!$C$139</f>
        <v>3.0023956621373555</v>
      </c>
      <c r="P600" s="31">
        <f>DIGI!E$12/1000/Prices!$C$139</f>
        <v>2.7353116051993482</v>
      </c>
      <c r="Q600" s="31">
        <f>DIGI!F$12/1000/Prices!$C$139</f>
        <v>2.3981034202055027</v>
      </c>
      <c r="R600" s="31">
        <f>DIGI!G$12/1000/Prices!$C$139</f>
        <v>2.0739153999619111</v>
      </c>
      <c r="S600" s="29">
        <f t="shared" si="182"/>
        <v>-0.11602285310576466</v>
      </c>
      <c r="T600" s="30"/>
      <c r="U600" s="32" t="str">
        <f t="shared" si="183"/>
        <v>MYR 3.0</v>
      </c>
      <c r="V600" s="28" t="str">
        <f t="shared" si="183"/>
        <v>CelcomDigi</v>
      </c>
      <c r="Z600" s="30"/>
    </row>
    <row r="601" spans="1:26">
      <c r="A601" s="5"/>
      <c r="C601" s="32" t="str">
        <f t="shared" si="180"/>
        <v>Vodafone IDEA</v>
      </c>
      <c r="D601" s="28" t="str">
        <f t="shared" si="180"/>
        <v>INR 9.5</v>
      </c>
      <c r="E601" s="28" t="str">
        <f t="shared" si="180"/>
        <v>INR 10.0</v>
      </c>
      <c r="F601" s="29">
        <f t="shared" si="180"/>
        <v>5.0420168067226934E-2</v>
      </c>
      <c r="G601" s="28" t="str">
        <f t="shared" si="180"/>
        <v>Neutral</v>
      </c>
      <c r="H601" s="30"/>
      <c r="I601" s="31">
        <f>IDEA!D$11/1000/Prices!$C$132</f>
        <v>7.2114523992678841</v>
      </c>
      <c r="J601" s="31">
        <f>IDEA!E$11/1000/Prices!$C$132</f>
        <v>7.2114523992678841</v>
      </c>
      <c r="K601" s="31">
        <f>IDEA!F$11/1000/Prices!$C$132</f>
        <v>7.2114523992678841</v>
      </c>
      <c r="L601" s="31">
        <f>IDEA!G$11/1000/Prices!$C$132</f>
        <v>7.2114523992678841</v>
      </c>
      <c r="M601" s="29">
        <f t="shared" si="181"/>
        <v>0</v>
      </c>
      <c r="N601" s="30"/>
      <c r="O601" s="31">
        <f>IDEA!D$12/1000/Prices!$C$132</f>
        <v>24.456882986392369</v>
      </c>
      <c r="P601" s="31">
        <f>IDEA!E$12/1000/Prices!$C$132</f>
        <v>27.689206341585514</v>
      </c>
      <c r="Q601" s="31">
        <f>IDEA!F$12/1000/Prices!$C$132</f>
        <v>30.739719104204685</v>
      </c>
      <c r="R601" s="31">
        <f>IDEA!G$12/1000/Prices!$C$132</f>
        <v>33.484218886978951</v>
      </c>
      <c r="S601" s="29">
        <f t="shared" si="182"/>
        <v>0.11040060275770491</v>
      </c>
      <c r="T601" s="30"/>
      <c r="U601" s="32" t="str">
        <f t="shared" si="183"/>
        <v>INR 9.5</v>
      </c>
      <c r="V601" s="28" t="str">
        <f t="shared" si="183"/>
        <v>Vodafone IDEA</v>
      </c>
      <c r="Z601" s="30"/>
    </row>
    <row r="602" spans="1:26">
      <c r="A602" s="5"/>
      <c r="C602" s="32" t="str">
        <f t="shared" si="180"/>
        <v>Indosat</v>
      </c>
      <c r="D602" s="28" t="str">
        <f t="shared" si="180"/>
        <v>IDR 1,970</v>
      </c>
      <c r="E602" s="28" t="str">
        <f t="shared" si="180"/>
        <v>IDR 2,800</v>
      </c>
      <c r="F602" s="29">
        <f t="shared" si="180"/>
        <v>0.42131979695431476</v>
      </c>
      <c r="G602" s="28" t="str">
        <f t="shared" si="180"/>
        <v>Buy</v>
      </c>
      <c r="H602" s="30"/>
      <c r="I602" s="31">
        <f>INDO!D$11/Prices!$C$152</f>
        <v>3.6954446935169405</v>
      </c>
      <c r="J602" s="31">
        <f>INDO!E$11/Prices!$C$152</f>
        <v>3.6954446935169405</v>
      </c>
      <c r="K602" s="31">
        <f>INDO!F$11/Prices!$C$152</f>
        <v>3.6954446935169405</v>
      </c>
      <c r="L602" s="31">
        <f>INDO!G$11/Prices!$C$152</f>
        <v>3.6954446935169405</v>
      </c>
      <c r="M602" s="29">
        <f t="shared" si="181"/>
        <v>0</v>
      </c>
      <c r="N602" s="30"/>
      <c r="O602" s="31">
        <f>INDO!D$12/Prices!$C$152</f>
        <v>3.001511787139258</v>
      </c>
      <c r="P602" s="31">
        <f>INDO!E$12/Prices!$C$152</f>
        <v>3.490318653041212</v>
      </c>
      <c r="Q602" s="31">
        <f>INDO!F$12/Prices!$C$152</f>
        <v>3.4374986667588101</v>
      </c>
      <c r="R602" s="31">
        <f>INDO!G$12/Prices!$C$152</f>
        <v>3.3766190964450042</v>
      </c>
      <c r="S602" s="29">
        <f t="shared" si="182"/>
        <v>4.0033527133066293E-2</v>
      </c>
      <c r="T602" s="30"/>
      <c r="U602" s="32" t="str">
        <f t="shared" si="183"/>
        <v>IDR 1,970</v>
      </c>
      <c r="V602" s="28" t="str">
        <f t="shared" si="183"/>
        <v>Indosat</v>
      </c>
      <c r="Z602" s="30"/>
    </row>
    <row r="603" spans="1:26">
      <c r="A603" s="5"/>
      <c r="C603" s="32" t="str">
        <f t="shared" si="180"/>
        <v>LG Uplus</v>
      </c>
      <c r="D603" s="28" t="str">
        <f t="shared" si="180"/>
        <v>KRW 16,600</v>
      </c>
      <c r="E603" s="28" t="str">
        <f t="shared" si="180"/>
        <v>KRW 19,000</v>
      </c>
      <c r="F603" s="29">
        <f t="shared" si="180"/>
        <v>0.14457831325301207</v>
      </c>
      <c r="G603" s="28" t="str">
        <f t="shared" si="180"/>
        <v>Buy</v>
      </c>
      <c r="H603" s="30"/>
      <c r="I603" s="31">
        <f>_LG!D$11/Prices!$C$153</f>
        <v>4.8230895258899498</v>
      </c>
      <c r="J603" s="31">
        <f>_LG!E$11/Prices!$C$153</f>
        <v>4.7693619580955833</v>
      </c>
      <c r="K603" s="31">
        <f>_LG!F$11/Prices!$C$153</f>
        <v>4.7046991513486081</v>
      </c>
      <c r="L603" s="31">
        <f>_LG!G$11/Prices!$C$153</f>
        <v>4.6302449598097422</v>
      </c>
      <c r="M603" s="29">
        <f t="shared" si="181"/>
        <v>-1.3509558761849227E-2</v>
      </c>
      <c r="N603" s="30"/>
      <c r="O603" s="31">
        <f>_LG!D$12/Prices!$C$153</f>
        <v>3.3034187051101687</v>
      </c>
      <c r="P603" s="31">
        <f>_LG!E$12/Prices!$C$153</f>
        <v>3.0181175714615662</v>
      </c>
      <c r="Q603" s="31">
        <f>_LG!F$12/Prices!$C$153</f>
        <v>2.7323299014630353</v>
      </c>
      <c r="R603" s="31">
        <f>_LG!G$12/Prices!$C$153</f>
        <v>2.4535296848449808</v>
      </c>
      <c r="S603" s="29">
        <f t="shared" si="182"/>
        <v>-9.4387174625924608E-2</v>
      </c>
      <c r="T603" s="30"/>
      <c r="U603" s="32" t="str">
        <f t="shared" si="183"/>
        <v>KRW 16,600</v>
      </c>
      <c r="V603" s="28" t="str">
        <f t="shared" si="183"/>
        <v>LG Uplus</v>
      </c>
      <c r="Z603" s="30"/>
    </row>
    <row r="604" spans="1:26">
      <c r="C604" s="32" t="str">
        <f t="shared" si="180"/>
        <v>Maxis</v>
      </c>
      <c r="D604" s="28" t="str">
        <f t="shared" si="180"/>
        <v>MYR 3.50</v>
      </c>
      <c r="E604" s="28" t="str">
        <f t="shared" si="180"/>
        <v>MYR 5.10</v>
      </c>
      <c r="F604" s="29">
        <f t="shared" si="180"/>
        <v>0.45714285714285707</v>
      </c>
      <c r="G604" s="28" t="str">
        <f t="shared" si="180"/>
        <v>Buy</v>
      </c>
      <c r="H604" s="30"/>
      <c r="I604" s="31">
        <f>MAXI!D$11/1000/Prices!$C$139</f>
        <v>6.9135049210172665</v>
      </c>
      <c r="J604" s="31">
        <f>MAXI!E$11/1000/Prices!$C$139</f>
        <v>6.916153097059536</v>
      </c>
      <c r="K604" s="31">
        <f>MAXI!F$11/1000/Prices!$C$139</f>
        <v>6.916153097059536</v>
      </c>
      <c r="L604" s="31">
        <f>MAXI!G$11/1000/Prices!$C$139</f>
        <v>6.916153097059536</v>
      </c>
      <c r="M604" s="29">
        <f t="shared" si="181"/>
        <v>1.2766500840855066E-4</v>
      </c>
      <c r="N604" s="30"/>
      <c r="O604" s="31">
        <f>MAXI!D$12/1000/Prices!$C$139</f>
        <v>2.1161729399097977</v>
      </c>
      <c r="P604" s="31">
        <f>MAXI!E$12/1000/Prices!$C$139</f>
        <v>2.0131681740019509</v>
      </c>
      <c r="Q604" s="31">
        <f>MAXI!F$12/1000/Prices!$C$139</f>
        <v>1.9270854199240497</v>
      </c>
      <c r="R604" s="31">
        <f>MAXI!G$12/1000/Prices!$C$139</f>
        <v>1.8508898791059234</v>
      </c>
      <c r="S604" s="29">
        <f t="shared" si="182"/>
        <v>-4.366553376597071E-2</v>
      </c>
      <c r="T604" s="30"/>
      <c r="U604" s="32" t="str">
        <f t="shared" si="183"/>
        <v>MYR 3.50</v>
      </c>
      <c r="V604" s="28" t="str">
        <f t="shared" si="183"/>
        <v>Maxis</v>
      </c>
      <c r="Z604" s="30"/>
    </row>
    <row r="605" spans="1:26">
      <c r="A605" s="5"/>
      <c r="C605" s="32" t="str">
        <f t="shared" si="180"/>
        <v>SK Telecom</v>
      </c>
      <c r="D605" s="28" t="str">
        <f t="shared" si="180"/>
        <v>KRW 100,000</v>
      </c>
      <c r="E605" s="28" t="str">
        <f t="shared" si="180"/>
        <v>KRW 78,000</v>
      </c>
      <c r="F605" s="29">
        <f t="shared" si="180"/>
        <v>-0.21999999999999997</v>
      </c>
      <c r="G605" s="28" t="str">
        <f t="shared" si="180"/>
        <v>Neutral</v>
      </c>
      <c r="H605" s="30"/>
      <c r="I605" s="31">
        <f>SKT!D$11/Prices!$C$153</f>
        <v>14.343023591509278</v>
      </c>
      <c r="J605" s="31">
        <f>SKT!E$11/Prices!$C$153</f>
        <v>14.28017462684385</v>
      </c>
      <c r="K605" s="31">
        <f>SKT!F$11/Prices!$C$153</f>
        <v>14.154476697513005</v>
      </c>
      <c r="L605" s="31">
        <f>SKT!G$11/Prices!$C$153</f>
        <v>14.028778768182155</v>
      </c>
      <c r="M605" s="29">
        <f t="shared" si="181"/>
        <v>-7.3570756165187712E-3</v>
      </c>
      <c r="N605" s="30"/>
      <c r="O605" s="31">
        <f>SKT!D$12/Prices!$C$153</f>
        <v>5.9608588207321107</v>
      </c>
      <c r="P605" s="31">
        <f>SKT!E$12/Prices!$C$153</f>
        <v>5.2174120542782783</v>
      </c>
      <c r="Q605" s="31">
        <f>SKT!F$12/Prices!$C$153</f>
        <v>4.3930844230169726</v>
      </c>
      <c r="R605" s="31">
        <f>SKT!G$12/Prices!$C$153</f>
        <v>3.4834080697971004</v>
      </c>
      <c r="S605" s="29">
        <f t="shared" si="182"/>
        <v>-0.16395079312052607</v>
      </c>
      <c r="T605" s="30"/>
      <c r="U605" s="32" t="str">
        <f t="shared" si="183"/>
        <v>KRW 100,000</v>
      </c>
      <c r="V605" s="28" t="str">
        <f t="shared" si="183"/>
        <v>SK Telecom</v>
      </c>
      <c r="Z605" s="30"/>
    </row>
    <row r="606" spans="1:26">
      <c r="A606" s="5"/>
      <c r="C606" s="32" t="str">
        <f t="shared" si="180"/>
        <v>True Corp</v>
      </c>
      <c r="D606" s="28" t="str">
        <f t="shared" si="180"/>
        <v>THB 13.5</v>
      </c>
      <c r="E606" s="28" t="str">
        <f t="shared" si="180"/>
        <v>THB 18.0</v>
      </c>
      <c r="F606" s="29">
        <f t="shared" si="180"/>
        <v>0.33333333333333326</v>
      </c>
      <c r="G606" s="28" t="str">
        <f t="shared" si="180"/>
        <v>Buy</v>
      </c>
      <c r="H606" s="30"/>
      <c r="I606" s="31">
        <f>TRUECORP!D$11/1000/Prices!$C$143</f>
        <v>14.383397365539947</v>
      </c>
      <c r="J606" s="31">
        <f>TRUECORP!E$11/1000/Prices!$C$143</f>
        <v>14.383397365539947</v>
      </c>
      <c r="K606" s="31">
        <f>TRUECORP!F$11/1000/Prices!$C$143</f>
        <v>14.383397365539947</v>
      </c>
      <c r="L606" s="31">
        <f>TRUECORP!G$11/1000/Prices!$C$143</f>
        <v>14.383397365539947</v>
      </c>
      <c r="M606" s="29">
        <f>(L606/I606)^(1/3)-1</f>
        <v>0</v>
      </c>
      <c r="N606" s="30"/>
      <c r="O606" s="31">
        <f>TRUECORP!D$12/1000/Prices!$C$143</f>
        <v>13.057317558627494</v>
      </c>
      <c r="P606" s="31">
        <f>TRUECORP!E$12/1000/Prices!$C$143</f>
        <v>11.769597688494631</v>
      </c>
      <c r="Q606" s="31">
        <f>TRUECORP!F$12/1000/Prices!$C$143</f>
        <v>10.6623169822007</v>
      </c>
      <c r="R606" s="31">
        <f>TRUECORP!G$12/1000/Prices!$C$143</f>
        <v>9.6220718814657822</v>
      </c>
      <c r="S606" s="29">
        <f>(R606/O606)^(1/3)-1</f>
        <v>-9.6756433656316032E-2</v>
      </c>
      <c r="T606" s="30"/>
      <c r="U606" s="32" t="str">
        <f t="shared" si="183"/>
        <v>THB 13.5</v>
      </c>
      <c r="V606" s="28" t="str">
        <f t="shared" si="183"/>
        <v>True Corp</v>
      </c>
      <c r="Z606" s="30"/>
    </row>
    <row r="607" spans="1:26">
      <c r="A607" s="5"/>
      <c r="C607" s="32" t="str">
        <f t="shared" si="180"/>
        <v>XL Axiata</v>
      </c>
      <c r="D607" s="28" t="str">
        <f t="shared" si="180"/>
        <v>IDR 3,070</v>
      </c>
      <c r="E607" s="28" t="str">
        <f t="shared" si="180"/>
        <v>IDR 4,500</v>
      </c>
      <c r="F607" s="29">
        <f t="shared" si="180"/>
        <v>0.46579804560260585</v>
      </c>
      <c r="G607" s="28" t="str">
        <f t="shared" si="180"/>
        <v>Buy</v>
      </c>
      <c r="H607" s="30"/>
      <c r="I607" s="31">
        <f>XLAX!D$11/Prices!$C$152</f>
        <v>3.0543754544132615</v>
      </c>
      <c r="J607" s="31">
        <f>XLAX!E$11/Prices!$C$152</f>
        <v>3.0543754544132615</v>
      </c>
      <c r="K607" s="31">
        <f>XLAX!F$11/Prices!$C$152</f>
        <v>3.0543754544132615</v>
      </c>
      <c r="L607" s="31">
        <f>XLAX!G$11/Prices!$C$152</f>
        <v>3.0543754544132615</v>
      </c>
      <c r="M607" s="29">
        <f t="shared" si="181"/>
        <v>0</v>
      </c>
      <c r="N607" s="40"/>
      <c r="O607" s="31">
        <f>XLAX!D$12/Prices!$C$152</f>
        <v>3.7476784681890583</v>
      </c>
      <c r="P607" s="31">
        <f>XLAX!E$12/Prices!$C$152</f>
        <v>3.5853116978367048</v>
      </c>
      <c r="Q607" s="31">
        <f>XLAX!F$12/Prices!$C$152</f>
        <v>3.4300881816655262</v>
      </c>
      <c r="R607" s="31">
        <f>XLAX!G$12/Prices!$C$152</f>
        <v>3.2276870937550814</v>
      </c>
      <c r="S607" s="29">
        <f t="shared" si="182"/>
        <v>-4.8571038145801326E-2</v>
      </c>
      <c r="T607" s="30"/>
      <c r="U607" s="32" t="str">
        <f t="shared" si="183"/>
        <v>IDR 3,070</v>
      </c>
      <c r="V607" s="28" t="str">
        <f t="shared" si="183"/>
        <v>XL Axiata</v>
      </c>
      <c r="Z607" s="30"/>
    </row>
    <row r="608" spans="1:26">
      <c r="A608" s="5"/>
      <c r="C608" s="35" t="str">
        <f>C557</f>
        <v>Agg. Emerging Asia Cellular</v>
      </c>
      <c r="D608" s="36"/>
      <c r="E608" s="36"/>
      <c r="F608" s="37"/>
      <c r="G608" s="36"/>
      <c r="H608" s="30"/>
      <c r="I608" s="38">
        <f>'EM ASIA CELLULAR'!$D$11/1000</f>
        <v>446.99838670495365</v>
      </c>
      <c r="J608" s="38">
        <f>'EM ASIA CELLULAR'!$E$11/1000</f>
        <v>446.88445834853604</v>
      </c>
      <c r="K608" s="38">
        <f>'EM ASIA CELLULAR'!$F$11/1000</f>
        <v>446.69409761245828</v>
      </c>
      <c r="L608" s="38">
        <f>'EM ASIA CELLULAR'!$G$11/1000</f>
        <v>446.49394549158853</v>
      </c>
      <c r="M608" s="39">
        <f t="shared" si="181"/>
        <v>-3.7631089412537566E-4</v>
      </c>
      <c r="N608" s="40"/>
      <c r="O608" s="38">
        <f>'EM ASIA CELLULAR'!$D$12/1000</f>
        <v>56.820338959860344</v>
      </c>
      <c r="P608" s="38">
        <f>'EM ASIA CELLULAR'!$E$12/1000</f>
        <v>44.571029036940281</v>
      </c>
      <c r="Q608" s="38">
        <f>'EM ASIA CELLULAR'!$F$12/1000</f>
        <v>41.289878581763709</v>
      </c>
      <c r="R608" s="38">
        <f>'EM ASIA CELLULAR'!$G$12/1000</f>
        <v>26.702547437903117</v>
      </c>
      <c r="S608" s="39">
        <f t="shared" si="182"/>
        <v>-0.22253122030301509</v>
      </c>
      <c r="T608" s="30"/>
      <c r="U608" s="41"/>
      <c r="V608" s="42" t="str">
        <f>V557</f>
        <v>Agg. Emerging Asia Cellular</v>
      </c>
      <c r="Z608" s="30"/>
    </row>
    <row r="609" spans="1:29">
      <c r="A609" s="5"/>
      <c r="C609" s="27"/>
      <c r="D609" s="28"/>
      <c r="E609" s="28"/>
      <c r="F609" s="52"/>
      <c r="G609" s="28"/>
      <c r="H609" s="30"/>
      <c r="I609" s="46"/>
      <c r="J609" s="46"/>
      <c r="K609" s="46"/>
      <c r="L609" s="46"/>
      <c r="M609" s="45"/>
      <c r="N609" s="30"/>
      <c r="O609" s="46"/>
      <c r="P609" s="46"/>
      <c r="Q609" s="46"/>
      <c r="R609" s="46"/>
      <c r="S609" s="45"/>
      <c r="T609" s="30"/>
      <c r="U609" s="32"/>
      <c r="V609" s="34"/>
      <c r="Z609" s="30"/>
    </row>
    <row r="610" spans="1:29">
      <c r="A610" s="5"/>
      <c r="C610" s="35" t="str">
        <f>C559</f>
        <v>Agg. Emerging  Cellular</v>
      </c>
      <c r="D610" s="36"/>
      <c r="E610" s="36"/>
      <c r="F610" s="37"/>
      <c r="G610" s="36"/>
      <c r="H610" s="30"/>
      <c r="I610" s="38">
        <f>'EM CELLULAR'!$D$11/1000</f>
        <v>544.55492556967101</v>
      </c>
      <c r="J610" s="38">
        <f>'EM CELLULAR'!$E$11/1000</f>
        <v>543.55565680634265</v>
      </c>
      <c r="K610" s="38">
        <f>'EM CELLULAR'!$F$11/1000</f>
        <v>542.47995566335419</v>
      </c>
      <c r="L610" s="38">
        <f>'EM CELLULAR'!$G$11/1000</f>
        <v>541.39967578034305</v>
      </c>
      <c r="M610" s="39">
        <f t="shared" ref="M610" si="184">(L610/I610)^(1/3)-1</f>
        <v>-1.9351359939608903E-3</v>
      </c>
      <c r="N610" s="30"/>
      <c r="O610" s="38">
        <f>'EM CELLULAR'!$D$12/1000</f>
        <v>86.274672083437707</v>
      </c>
      <c r="P610" s="38">
        <f>'EM CELLULAR'!$E$12/1000</f>
        <v>75.229167970459727</v>
      </c>
      <c r="Q610" s="38">
        <f>'EM CELLULAR'!$F$12/1000</f>
        <v>69.08621097220194</v>
      </c>
      <c r="R610" s="38">
        <f>'EM CELLULAR'!$G$12/1000</f>
        <v>51.093075524873917</v>
      </c>
      <c r="S610" s="39">
        <f t="shared" ref="S610" si="185">(R610/O610)^(1/3)-1</f>
        <v>-0.16023150765326777</v>
      </c>
      <c r="T610" s="30"/>
      <c r="U610" s="41"/>
      <c r="V610" s="42" t="str">
        <f>V559</f>
        <v>Agg. Emerging  Cellular</v>
      </c>
      <c r="Z610" s="30"/>
    </row>
    <row r="611" spans="1:29">
      <c r="C611" s="27"/>
      <c r="D611" s="28"/>
      <c r="E611" s="28"/>
      <c r="F611" s="29"/>
      <c r="G611" s="28"/>
      <c r="H611" s="30"/>
      <c r="I611" s="31"/>
      <c r="J611" s="31"/>
      <c r="K611" s="31"/>
      <c r="L611" s="31"/>
      <c r="M611" s="29"/>
      <c r="N611" s="30"/>
      <c r="O611" s="31"/>
      <c r="P611" s="31"/>
      <c r="Q611" s="31"/>
      <c r="R611" s="31"/>
      <c r="S611" s="29"/>
      <c r="T611" s="30"/>
      <c r="U611" s="32"/>
      <c r="V611" s="34"/>
      <c r="Z611" s="30"/>
    </row>
    <row r="612" spans="1:29">
      <c r="C612" s="51" t="str">
        <f>C561</f>
        <v>Agg. EMEA sector</v>
      </c>
      <c r="D612" s="36"/>
      <c r="E612" s="36"/>
      <c r="F612" s="37"/>
      <c r="G612" s="36"/>
      <c r="H612" s="30"/>
      <c r="I612" s="38">
        <f>'EMEA AGG'!$D$11/1000</f>
        <v>71.300548483729273</v>
      </c>
      <c r="J612" s="38">
        <f>'EMEA AGG'!$E$11/1000</f>
        <v>70.877644414185809</v>
      </c>
      <c r="K612" s="38">
        <f>'EMEA AGG'!$F$11/1000</f>
        <v>70.454740344642374</v>
      </c>
      <c r="L612" s="38">
        <f>'EMEA AGG'!$G$11/1000</f>
        <v>70.037048919868226</v>
      </c>
      <c r="M612" s="39">
        <f>(L612/I612)^(1/3)-1</f>
        <v>-5.9421576936141696E-3</v>
      </c>
      <c r="N612" s="40"/>
      <c r="O612" s="38">
        <f>'EMEA AGG'!$D$12/1000</f>
        <v>10.26793394219589</v>
      </c>
      <c r="P612" s="38">
        <f>'EMEA AGG'!$E$12/1000</f>
        <v>10.125857846906523</v>
      </c>
      <c r="Q612" s="38">
        <f>'EMEA AGG'!$F$12/1000</f>
        <v>7.637532045142593</v>
      </c>
      <c r="R612" s="38">
        <f>'EMEA AGG'!$G$12/1000</f>
        <v>4.9496964105098371</v>
      </c>
      <c r="S612" s="39">
        <f>(R612/O612)^(1/3)-1</f>
        <v>-0.21591135339740897</v>
      </c>
      <c r="T612" s="30"/>
      <c r="U612" s="41"/>
      <c r="V612" s="42" t="str">
        <f>V561</f>
        <v>Agg. EMEA sector</v>
      </c>
      <c r="Z612" s="33"/>
    </row>
    <row r="613" spans="1:29">
      <c r="C613" s="25" t="str">
        <f>C562</f>
        <v>Agg. LatAm sector</v>
      </c>
      <c r="D613" s="28"/>
      <c r="E613" s="28"/>
      <c r="F613" s="29"/>
      <c r="G613" s="28"/>
      <c r="H613" s="30"/>
      <c r="I613" s="44">
        <f>'LATAM AGG'!$D$11/1000</f>
        <v>122.43856536283286</v>
      </c>
      <c r="J613" s="44">
        <f>'LATAM AGG'!$E$11/1000</f>
        <v>119.8469791054588</v>
      </c>
      <c r="K613" s="44">
        <f>'LATAM AGG'!$F$11/1000</f>
        <v>117.30987410808389</v>
      </c>
      <c r="L613" s="44">
        <f>'LATAM AGG'!$G$11/1000</f>
        <v>114.77025037070815</v>
      </c>
      <c r="M613" s="43">
        <f>(L613/I613)^(1/3)-1</f>
        <v>-2.1328295147128973E-2</v>
      </c>
      <c r="N613" s="40"/>
      <c r="O613" s="44">
        <f>'LATAM AGG'!$D$12/1000</f>
        <v>60.738975893251471</v>
      </c>
      <c r="P613" s="44">
        <f>'LATAM AGG'!$E$12/1000</f>
        <v>59.233244082400255</v>
      </c>
      <c r="Q613" s="44">
        <f>'LATAM AGG'!$F$12/1000</f>
        <v>55.878505197416146</v>
      </c>
      <c r="R613" s="44">
        <f>'LATAM AGG'!$G$12/1000</f>
        <v>51.63908197177043</v>
      </c>
      <c r="S613" s="43">
        <f>(R613/O613)^(1/3)-1</f>
        <v>-5.2664782620756023E-2</v>
      </c>
      <c r="T613" s="30"/>
      <c r="U613" s="32"/>
      <c r="V613" s="34" t="str">
        <f>V562</f>
        <v>Agg. LatAm sector</v>
      </c>
      <c r="Z613" s="30"/>
    </row>
    <row r="614" spans="1:29">
      <c r="C614" s="51" t="str">
        <f>C563</f>
        <v>Agg. Emerging Asia sector</v>
      </c>
      <c r="D614" s="36"/>
      <c r="E614" s="36"/>
      <c r="F614" s="37"/>
      <c r="G614" s="36"/>
      <c r="H614" s="30"/>
      <c r="I614" s="38">
        <f>'AGG EM ASIA'!$D$11/1000</f>
        <v>559.89382652152608</v>
      </c>
      <c r="J614" s="38">
        <f>'AGG EM ASIA'!$E$11/1000</f>
        <v>559.57491880808254</v>
      </c>
      <c r="K614" s="38">
        <f>'AGG EM ASIA'!$F$11/1000</f>
        <v>559.1795787149789</v>
      </c>
      <c r="L614" s="38">
        <f>'AGG EM ASIA'!$G$11/1000</f>
        <v>558.77444723708322</v>
      </c>
      <c r="M614" s="39">
        <f>(L614/I614)^(1/3)-1</f>
        <v>-6.6686815830951929E-4</v>
      </c>
      <c r="N614" s="40"/>
      <c r="O614" s="38">
        <f>'AGG EM ASIA'!$D$12/1000</f>
        <v>56.654099717722254</v>
      </c>
      <c r="P614" s="38">
        <f>'AGG EM ASIA'!$E$12/1000</f>
        <v>37.961436996782432</v>
      </c>
      <c r="Q614" s="38">
        <f>'AGG EM ASIA'!$F$12/1000</f>
        <v>35.885146264663227</v>
      </c>
      <c r="R614" s="38">
        <f>'AGG EM ASIA'!$G$12/1000</f>
        <v>13.089321935276853</v>
      </c>
      <c r="S614" s="39">
        <f>(R614/O614)^(1/3)-1</f>
        <v>-0.38638598704472471</v>
      </c>
      <c r="T614" s="30"/>
      <c r="U614" s="41"/>
      <c r="V614" s="42" t="str">
        <f>V563</f>
        <v>Agg. Emerging Asia sector</v>
      </c>
      <c r="Z614" s="33"/>
    </row>
    <row r="615" spans="1:29">
      <c r="C615" s="25"/>
      <c r="D615" s="28"/>
      <c r="E615" s="28"/>
      <c r="F615" s="29"/>
      <c r="G615" s="28"/>
      <c r="H615" s="30"/>
      <c r="I615" s="44"/>
      <c r="J615" s="44"/>
      <c r="K615" s="44"/>
      <c r="L615" s="44"/>
      <c r="M615" s="43"/>
      <c r="N615" s="40"/>
      <c r="O615" s="44"/>
      <c r="P615" s="44"/>
      <c r="Q615" s="44"/>
      <c r="R615" s="44"/>
      <c r="S615" s="43"/>
      <c r="T615" s="30"/>
      <c r="U615" s="32"/>
      <c r="V615" s="34"/>
      <c r="Z615" s="30"/>
    </row>
    <row r="616" spans="1:29">
      <c r="C616" s="51" t="str">
        <f>C565</f>
        <v>Agg. Global EM sector</v>
      </c>
      <c r="D616" s="36"/>
      <c r="E616" s="36"/>
      <c r="F616" s="37"/>
      <c r="G616" s="36"/>
      <c r="H616" s="30"/>
      <c r="I616" s="38">
        <f>'AGG EM'!$D$11/1000</f>
        <v>753.63294036808816</v>
      </c>
      <c r="J616" s="38">
        <f>'AGG EM'!$E$11/1000</f>
        <v>750.29954232772718</v>
      </c>
      <c r="K616" s="38">
        <f>'AGG EM'!$F$11/1000</f>
        <v>746.94419316770507</v>
      </c>
      <c r="L616" s="38">
        <f>'AGG EM'!$G$11/1000</f>
        <v>743.58174652765956</v>
      </c>
      <c r="M616" s="39">
        <f>(L616/I616)^(1/3)-1</f>
        <v>-4.4655744975489187E-3</v>
      </c>
      <c r="N616" s="40"/>
      <c r="O616" s="38">
        <f>'AGG EM'!$D$12/1000</f>
        <v>127.66100955316962</v>
      </c>
      <c r="P616" s="38">
        <f>'AGG EM'!$E$12/1000</f>
        <v>107.32053892608921</v>
      </c>
      <c r="Q616" s="38">
        <f>'AGG EM'!$F$12/1000</f>
        <v>99.401183507221958</v>
      </c>
      <c r="R616" s="38">
        <f>'AGG EM'!$G$12/1000</f>
        <v>69.678100317557124</v>
      </c>
      <c r="S616" s="39">
        <f>(R616/O616)^(1/3)-1</f>
        <v>-0.18276678575631766</v>
      </c>
      <c r="T616" s="30"/>
      <c r="U616" s="41"/>
      <c r="V616" s="42" t="str">
        <f>V565</f>
        <v>Agg. Global EM sector (ex-consensus)</v>
      </c>
      <c r="Z616" s="33"/>
    </row>
    <row r="617" spans="1:29">
      <c r="C617" s="27"/>
      <c r="D617" s="28"/>
      <c r="E617" s="28"/>
      <c r="F617" s="29"/>
      <c r="G617" s="28"/>
      <c r="H617" s="105"/>
      <c r="I617" s="31"/>
      <c r="J617" s="31"/>
      <c r="K617" s="31"/>
      <c r="L617" s="31"/>
      <c r="M617" s="29"/>
      <c r="N617" s="30"/>
      <c r="O617" s="31"/>
      <c r="P617" s="31"/>
      <c r="Q617" s="31"/>
      <c r="R617" s="31"/>
      <c r="S617" s="29"/>
      <c r="T617" s="30"/>
      <c r="U617" s="32"/>
      <c r="V617" s="34"/>
      <c r="X617" s="1"/>
      <c r="Z617" s="33"/>
    </row>
    <row r="618" spans="1:29">
      <c r="C618" s="27"/>
      <c r="D618" s="28"/>
      <c r="E618" s="28"/>
      <c r="F618" s="29"/>
      <c r="G618" s="28"/>
      <c r="H618" s="105"/>
      <c r="I618" s="31"/>
      <c r="J618" s="31"/>
      <c r="K618" s="31"/>
      <c r="L618" s="31"/>
      <c r="M618" s="29"/>
      <c r="N618" s="30"/>
      <c r="O618" s="31"/>
      <c r="P618" s="31"/>
      <c r="Q618" s="31"/>
      <c r="R618" s="31"/>
      <c r="S618" s="29"/>
      <c r="T618" s="30"/>
      <c r="U618" s="32"/>
      <c r="V618" s="34"/>
      <c r="X618" s="1"/>
      <c r="Z618" s="33"/>
    </row>
    <row r="619" spans="1:29" s="25" customFormat="1">
      <c r="B619" s="113"/>
      <c r="C619" s="130"/>
      <c r="D619" s="131" t="s">
        <v>379</v>
      </c>
      <c r="E619" s="131" t="s">
        <v>50</v>
      </c>
      <c r="F619" s="131" t="s">
        <v>52</v>
      </c>
      <c r="G619" s="131" t="s">
        <v>49</v>
      </c>
      <c r="H619" s="105"/>
      <c r="I619" s="132" t="s">
        <v>16</v>
      </c>
      <c r="J619" s="132"/>
      <c r="K619" s="132"/>
      <c r="L619" s="132"/>
      <c r="M619" s="132"/>
      <c r="N619" s="30"/>
      <c r="O619" s="132"/>
      <c r="P619" s="132"/>
      <c r="Q619" s="132"/>
      <c r="R619" s="132"/>
      <c r="S619" s="132"/>
      <c r="T619" s="30"/>
      <c r="U619" s="133"/>
      <c r="V619" s="131"/>
      <c r="Z619" s="33"/>
      <c r="AC619" s="106"/>
    </row>
    <row r="620" spans="1:29">
      <c r="A620" s="25" t="s">
        <v>415</v>
      </c>
      <c r="C620" s="32" t="str">
        <f t="shared" ref="C620:G622" si="186">C569</f>
        <v>America Movil</v>
      </c>
      <c r="D620" s="28" t="str">
        <f t="shared" si="186"/>
        <v>USD 22.8</v>
      </c>
      <c r="E620" s="28" t="str">
        <f t="shared" si="186"/>
        <v>USD 24.0</v>
      </c>
      <c r="F620" s="29">
        <f t="shared" si="186"/>
        <v>5.2631578947368363E-2</v>
      </c>
      <c r="G620" s="28" t="str">
        <f t="shared" si="186"/>
        <v>Buy</v>
      </c>
      <c r="H620" s="30"/>
      <c r="I620" s="31">
        <f>AMX!D$18/1000</f>
        <v>105.52554526942622</v>
      </c>
      <c r="J620" s="31">
        <f>AMX!E$18/1000</f>
        <v>99.402961996268303</v>
      </c>
      <c r="K620" s="31">
        <f>AMX!F$18/1000</f>
        <v>93.128956635763856</v>
      </c>
      <c r="L620" s="31">
        <f>AMX!G$18/1000</f>
        <v>86.288587836815807</v>
      </c>
      <c r="M620" s="29">
        <f t="shared" ref="M620:M623" si="187">(L620/I620)^(1/3)-1</f>
        <v>-6.4884507499426869E-2</v>
      </c>
      <c r="N620" s="30"/>
      <c r="O620" s="31"/>
      <c r="P620" s="31"/>
      <c r="Q620" s="31"/>
      <c r="R620" s="31"/>
      <c r="S620" s="29"/>
      <c r="T620" s="30"/>
      <c r="U620" s="32"/>
      <c r="V620" s="28"/>
      <c r="Z620" s="33"/>
    </row>
    <row r="621" spans="1:29">
      <c r="A621" s="5"/>
      <c r="C621" s="32" t="str">
        <f t="shared" si="186"/>
        <v>Vivo</v>
      </c>
      <c r="D621" s="28" t="str">
        <f t="shared" si="186"/>
        <v>BRL 39.88</v>
      </c>
      <c r="E621" s="28" t="str">
        <f t="shared" si="186"/>
        <v>BRL 43.00</v>
      </c>
      <c r="F621" s="29">
        <f t="shared" si="186"/>
        <v>7.8234704112337017E-2</v>
      </c>
      <c r="G621" s="28" t="str">
        <f t="shared" si="186"/>
        <v>Buy</v>
      </c>
      <c r="H621" s="30"/>
      <c r="I621" s="31">
        <f>VIVO!D$18/Prices!$C$140/1000</f>
        <v>28.284793301037428</v>
      </c>
      <c r="J621" s="31">
        <f>VIVO!E$18/Prices!$C$140/1000</f>
        <v>26.073318155222196</v>
      </c>
      <c r="K621" s="31">
        <f>VIVO!F$18/Prices!$C$140/1000</f>
        <v>23.526272728641814</v>
      </c>
      <c r="L621" s="31">
        <f>VIVO!G$18/Prices!$C$140/1000</f>
        <v>20.767420955412618</v>
      </c>
      <c r="M621" s="29">
        <f t="shared" si="187"/>
        <v>-9.7854641731786596E-2</v>
      </c>
      <c r="N621" s="30"/>
      <c r="O621" s="31"/>
      <c r="P621" s="31"/>
      <c r="Q621" s="31"/>
      <c r="R621" s="31"/>
      <c r="S621" s="29"/>
      <c r="T621" s="30"/>
      <c r="U621" s="32"/>
      <c r="V621" s="28"/>
      <c r="X621" s="110"/>
      <c r="Y621" s="109"/>
      <c r="Z621" s="30"/>
    </row>
    <row r="622" spans="1:29">
      <c r="A622" s="5"/>
      <c r="C622" s="32" t="str">
        <f t="shared" si="186"/>
        <v>Televisa</v>
      </c>
      <c r="D622" s="28" t="str">
        <f t="shared" si="186"/>
        <v>USD 3.1</v>
      </c>
      <c r="E622" s="28" t="str">
        <f t="shared" si="186"/>
        <v>USD 3.7</v>
      </c>
      <c r="F622" s="29">
        <f t="shared" si="186"/>
        <v>0.21311475409836089</v>
      </c>
      <c r="G622" s="28" t="str">
        <f t="shared" si="186"/>
        <v>Neutral</v>
      </c>
      <c r="H622" s="30"/>
      <c r="I622" s="31">
        <f>TVIS!D$18/1000</f>
        <v>2.4039129600078759</v>
      </c>
      <c r="J622" s="31">
        <f>TVIS!E$18/1000</f>
        <v>2.2402963355877867</v>
      </c>
      <c r="K622" s="31">
        <f>TVIS!F$18/1000</f>
        <v>2.0227188215890672</v>
      </c>
      <c r="L622" s="31">
        <f>TVIS!G$18/1000</f>
        <v>1.7247285810839952</v>
      </c>
      <c r="M622" s="29">
        <f>(L622/I622)^(1/3)-1</f>
        <v>-0.10477127852148782</v>
      </c>
      <c r="N622" s="30"/>
      <c r="O622" s="31"/>
      <c r="P622" s="31"/>
      <c r="Q622" s="31"/>
      <c r="R622" s="31"/>
      <c r="S622" s="29"/>
      <c r="T622" s="30"/>
      <c r="U622" s="32"/>
      <c r="V622" s="28"/>
      <c r="Z622" s="33"/>
    </row>
    <row r="623" spans="1:29">
      <c r="A623" s="5"/>
      <c r="C623" s="35" t="str">
        <f>C572</f>
        <v>Agg. LatAm Incumbent</v>
      </c>
      <c r="D623" s="36"/>
      <c r="E623" s="36"/>
      <c r="F623" s="37"/>
      <c r="G623" s="36"/>
      <c r="H623" s="30"/>
      <c r="I623" s="38">
        <f>'LATAM INCUMB'!D$18/1000</f>
        <v>136.21425153047153</v>
      </c>
      <c r="J623" s="38">
        <f>'LATAM INCUMB'!$E$18/1000</f>
        <v>127.71657648707829</v>
      </c>
      <c r="K623" s="38">
        <f>'LATAM INCUMB'!$F$18/1000</f>
        <v>118.67794818599474</v>
      </c>
      <c r="L623" s="38">
        <f>'LATAM INCUMB'!$G$18/1000</f>
        <v>108.78073737331241</v>
      </c>
      <c r="M623" s="39">
        <f t="shared" si="187"/>
        <v>-7.2223965534345624E-2</v>
      </c>
      <c r="N623" s="40"/>
      <c r="O623" s="38"/>
      <c r="P623" s="38"/>
      <c r="Q623" s="38"/>
      <c r="R623" s="38"/>
      <c r="S623" s="39"/>
      <c r="T623" s="30"/>
      <c r="U623" s="41"/>
      <c r="V623" s="42"/>
      <c r="W623" s="140"/>
      <c r="Z623" s="33"/>
    </row>
    <row r="624" spans="1:29">
      <c r="C624" s="32"/>
      <c r="D624" s="28"/>
      <c r="E624" s="28"/>
      <c r="F624" s="29"/>
      <c r="G624" s="28"/>
      <c r="H624" s="30"/>
      <c r="I624" s="31"/>
      <c r="J624" s="31"/>
      <c r="K624" s="31"/>
      <c r="L624" s="31"/>
      <c r="M624" s="29"/>
      <c r="N624" s="40"/>
      <c r="O624" s="31"/>
      <c r="P624" s="31"/>
      <c r="Q624" s="31"/>
      <c r="R624" s="31"/>
      <c r="S624" s="29"/>
      <c r="T624" s="30"/>
      <c r="U624" s="32"/>
      <c r="V624" s="34"/>
      <c r="Z624" s="33"/>
    </row>
    <row r="625" spans="1:26">
      <c r="A625" s="5"/>
      <c r="C625" s="32" t="str">
        <f t="shared" ref="C625:G628" si="188">C574</f>
        <v>China Telecom</v>
      </c>
      <c r="D625" s="28" t="str">
        <f t="shared" si="188"/>
        <v>HKD 5.01</v>
      </c>
      <c r="E625" s="28" t="str">
        <f t="shared" si="188"/>
        <v>HKD 8.75</v>
      </c>
      <c r="F625" s="29">
        <f t="shared" si="188"/>
        <v>0.7465069860279443</v>
      </c>
      <c r="G625" s="28" t="str">
        <f t="shared" si="188"/>
        <v>Buy</v>
      </c>
      <c r="H625" s="30"/>
      <c r="I625" s="31">
        <f>_CT!D$18/1000/Prices!$C$155</f>
        <v>33.448612606942739</v>
      </c>
      <c r="J625" s="31">
        <f>_CT!E$18/1000/Prices!$C$155</f>
        <v>30.218818712984017</v>
      </c>
      <c r="K625" s="31">
        <f>_CT!F$18/1000/Prices!$C$155</f>
        <v>31.705208780932079</v>
      </c>
      <c r="L625" s="31">
        <f>_CT!G$18/1000/Prices!$C$155</f>
        <v>27.416702682039016</v>
      </c>
      <c r="M625" s="29">
        <f t="shared" ref="M625:M628" si="189">(L625/I625)^(1/3)-1</f>
        <v>-6.4136797936974688E-2</v>
      </c>
      <c r="N625" s="40"/>
      <c r="O625" s="31"/>
      <c r="P625" s="31"/>
      <c r="Q625" s="31"/>
      <c r="R625" s="31"/>
      <c r="S625" s="135"/>
      <c r="T625" s="30"/>
      <c r="U625" s="32"/>
      <c r="V625" s="28"/>
      <c r="Z625" s="33"/>
    </row>
    <row r="626" spans="1:26">
      <c r="A626" s="5"/>
      <c r="C626" s="32" t="str">
        <f t="shared" si="188"/>
        <v>China Unicom</v>
      </c>
      <c r="D626" s="28" t="str">
        <f t="shared" si="188"/>
        <v>HKD 7.26</v>
      </c>
      <c r="E626" s="28" t="str">
        <f t="shared" si="188"/>
        <v>HKD 13.20</v>
      </c>
      <c r="F626" s="29">
        <f t="shared" si="188"/>
        <v>0.81818181818181812</v>
      </c>
      <c r="G626" s="28" t="str">
        <f t="shared" si="188"/>
        <v>Buy</v>
      </c>
      <c r="H626" s="30"/>
      <c r="I626" s="31">
        <f>_CU!D$18/1000/Prices!$C$155</f>
        <v>14.438043514656666</v>
      </c>
      <c r="J626" s="31">
        <f>_CU!E$18/1000/Prices!$C$155</f>
        <v>11.545670398346379</v>
      </c>
      <c r="K626" s="31">
        <f>_CU!F$18/1000/Prices!$C$155</f>
        <v>12.160995901540071</v>
      </c>
      <c r="L626" s="31">
        <f>_CU!G$18/1000/Prices!$C$155</f>
        <v>9.1400605385696974</v>
      </c>
      <c r="M626" s="29">
        <f t="shared" si="189"/>
        <v>-0.14135513844200831</v>
      </c>
      <c r="N626" s="40"/>
      <c r="O626" s="31"/>
      <c r="P626" s="31"/>
      <c r="Q626" s="31"/>
      <c r="R626" s="31"/>
      <c r="S626" s="135"/>
      <c r="T626" s="30"/>
      <c r="U626" s="32"/>
      <c r="V626" s="28"/>
      <c r="Z626" s="33"/>
    </row>
    <row r="627" spans="1:26">
      <c r="C627" s="32" t="str">
        <f t="shared" si="188"/>
        <v>KT Corp</v>
      </c>
      <c r="D627" s="28" t="str">
        <f t="shared" si="188"/>
        <v>KRW 61,700</v>
      </c>
      <c r="E627" s="28" t="str">
        <f t="shared" si="188"/>
        <v>KRW 105,000</v>
      </c>
      <c r="F627" s="29">
        <f t="shared" si="188"/>
        <v>0.70178282009724469</v>
      </c>
      <c r="G627" s="28" t="str">
        <f t="shared" si="188"/>
        <v>Buy</v>
      </c>
      <c r="H627" s="30"/>
      <c r="I627" s="31">
        <f>_KT!D$18/Prices!$C$153</f>
        <v>12.932595495832446</v>
      </c>
      <c r="J627" s="31">
        <f>_KT!E$18/Prices!$C$153</f>
        <v>11.399093150276336</v>
      </c>
      <c r="K627" s="31">
        <f>_KT!F$18/Prices!$C$153</f>
        <v>9.765116845253031</v>
      </c>
      <c r="L627" s="31">
        <f>_KT!G$18/Prices!$C$153</f>
        <v>8.0076540899605391</v>
      </c>
      <c r="M627" s="29">
        <f t="shared" si="189"/>
        <v>-0.1476724296832963</v>
      </c>
      <c r="N627" s="40"/>
      <c r="O627" s="31"/>
      <c r="P627" s="31"/>
      <c r="Q627" s="31"/>
      <c r="R627" s="31"/>
      <c r="S627" s="29"/>
      <c r="T627" s="30"/>
      <c r="U627" s="32"/>
      <c r="V627" s="28"/>
      <c r="Z627" s="33"/>
    </row>
    <row r="628" spans="1:26">
      <c r="C628" s="32" t="str">
        <f t="shared" si="188"/>
        <v>Telkom Indonesia</v>
      </c>
      <c r="D628" s="28" t="str">
        <f t="shared" si="188"/>
        <v>IDR 2,810</v>
      </c>
      <c r="E628" s="28" t="str">
        <f t="shared" si="188"/>
        <v>IDR 3,500</v>
      </c>
      <c r="F628" s="29">
        <f t="shared" si="188"/>
        <v>0.24555160142348753</v>
      </c>
      <c r="G628" s="28" t="str">
        <f t="shared" si="188"/>
        <v>Neutral</v>
      </c>
      <c r="H628" s="30"/>
      <c r="I628" s="31">
        <f>PTT!D$18/Prices!$C$152</f>
        <v>31.831083362052979</v>
      </c>
      <c r="J628" s="31">
        <f>PTT!E$18/Prices!$C$152</f>
        <v>31.244675433474033</v>
      </c>
      <c r="K628" s="31">
        <f>PTT!F$18/Prices!$C$152</f>
        <v>30.133268743724617</v>
      </c>
      <c r="L628" s="31">
        <f>PTT!G$18/Prices!$C$152</f>
        <v>28.976881146712426</v>
      </c>
      <c r="M628" s="29">
        <f t="shared" si="189"/>
        <v>-3.082975277525446E-2</v>
      </c>
      <c r="N628" s="40"/>
      <c r="O628" s="31"/>
      <c r="P628" s="31"/>
      <c r="Q628" s="31"/>
      <c r="R628" s="31"/>
      <c r="S628" s="135"/>
      <c r="T628" s="30"/>
      <c r="U628" s="32"/>
      <c r="V628" s="28"/>
      <c r="Z628" s="33"/>
    </row>
    <row r="629" spans="1:26">
      <c r="C629" s="35" t="str">
        <f>C578</f>
        <v>Agg. Emerging Asia Incumbent</v>
      </c>
      <c r="D629" s="36"/>
      <c r="E629" s="36"/>
      <c r="F629" s="37"/>
      <c r="G629" s="36"/>
      <c r="H629" s="30"/>
      <c r="I629" s="38">
        <f>'EM ASIA INCUMB'!D$18/1000</f>
        <v>92.650334979484825</v>
      </c>
      <c r="J629" s="38">
        <f>'EM ASIA INCUMB'!$E$18/1000</f>
        <v>84.408257695080778</v>
      </c>
      <c r="K629" s="38">
        <f>'EM ASIA INCUMB'!$F$18/1000</f>
        <v>83.764590271449791</v>
      </c>
      <c r="L629" s="38">
        <f>'EM ASIA INCUMB'!$G$18/1000</f>
        <v>73.541298457281684</v>
      </c>
      <c r="M629" s="39">
        <f>(L623/I623)^(1/3)-1</f>
        <v>-7.2223965534345624E-2</v>
      </c>
      <c r="N629" s="40"/>
      <c r="O629" s="38"/>
      <c r="P629" s="38"/>
      <c r="Q629" s="38"/>
      <c r="R629" s="38"/>
      <c r="S629" s="39"/>
      <c r="T629" s="30"/>
      <c r="U629" s="41"/>
      <c r="V629" s="42"/>
      <c r="Z629" s="33"/>
    </row>
    <row r="630" spans="1:26">
      <c r="C630" s="27"/>
      <c r="D630" s="28"/>
      <c r="E630" s="28"/>
      <c r="F630" s="52"/>
      <c r="G630" s="28"/>
      <c r="H630" s="30"/>
      <c r="I630" s="46"/>
      <c r="J630" s="46"/>
      <c r="K630" s="46"/>
      <c r="L630" s="46"/>
      <c r="M630" s="45"/>
      <c r="N630" s="40"/>
      <c r="O630" s="46"/>
      <c r="P630" s="46"/>
      <c r="Q630" s="46"/>
      <c r="R630" s="46"/>
      <c r="S630" s="45"/>
      <c r="T630" s="30"/>
      <c r="U630" s="32"/>
      <c r="V630" s="34"/>
      <c r="Z630" s="33"/>
    </row>
    <row r="631" spans="1:26">
      <c r="C631" s="35" t="str">
        <f>C580</f>
        <v>Agg. Emerging Incumbent</v>
      </c>
      <c r="D631" s="36"/>
      <c r="E631" s="36"/>
      <c r="F631" s="37"/>
      <c r="G631" s="36"/>
      <c r="H631" s="30"/>
      <c r="I631" s="38">
        <f>'EM INCUMB'!D$18/1000</f>
        <v>228.86458650995633</v>
      </c>
      <c r="J631" s="38">
        <f>'EM INCUMB'!$E$18/1000</f>
        <v>212.12483418215905</v>
      </c>
      <c r="K631" s="38">
        <f>'EM INCUMB'!$F$18/1000</f>
        <v>202.44253845744453</v>
      </c>
      <c r="L631" s="38">
        <f>'EM INCUMB'!$G$18/1000</f>
        <v>182.32203583059407</v>
      </c>
      <c r="M631" s="39">
        <f>(L625/I625)^(1/3)-1</f>
        <v>-6.4136797936974688E-2</v>
      </c>
      <c r="N631" s="40"/>
      <c r="O631" s="38"/>
      <c r="P631" s="38"/>
      <c r="Q631" s="38"/>
      <c r="R631" s="38"/>
      <c r="S631" s="39"/>
      <c r="T631" s="30"/>
      <c r="U631" s="41"/>
      <c r="V631" s="42"/>
      <c r="Z631" s="33"/>
    </row>
    <row r="632" spans="1:26">
      <c r="C632" s="27"/>
      <c r="D632" s="28"/>
      <c r="E632" s="28"/>
      <c r="F632" s="29"/>
      <c r="G632" s="28"/>
      <c r="H632" s="30"/>
      <c r="I632" s="31"/>
      <c r="J632" s="31"/>
      <c r="K632" s="31"/>
      <c r="L632" s="31"/>
      <c r="M632" s="29"/>
      <c r="N632" s="40"/>
      <c r="O632" s="31"/>
      <c r="P632" s="31"/>
      <c r="Q632" s="31"/>
      <c r="R632" s="31"/>
      <c r="S632" s="29"/>
      <c r="T632" s="30"/>
      <c r="U632" s="32"/>
      <c r="V632" s="34"/>
      <c r="Z632" s="33"/>
    </row>
    <row r="633" spans="1:26">
      <c r="A633" s="25" t="s">
        <v>1091</v>
      </c>
      <c r="C633" s="32" t="str">
        <f t="shared" ref="C633:G637" si="190">C582</f>
        <v>Airtel Africa</v>
      </c>
      <c r="D633" s="28" t="str">
        <f t="shared" si="190"/>
        <v>GBP3.60</v>
      </c>
      <c r="E633" s="28" t="str">
        <f t="shared" si="190"/>
        <v>GBP4.60</v>
      </c>
      <c r="F633" s="29">
        <f t="shared" si="190"/>
        <v>0.2791991101223581</v>
      </c>
      <c r="G633" s="28" t="str">
        <f t="shared" si="190"/>
        <v>Buy</v>
      </c>
      <c r="H633" s="30"/>
      <c r="I633" s="31">
        <f>AAF!D$18/1000</f>
        <v>24.999915713253802</v>
      </c>
      <c r="J633" s="31">
        <f>AAF!E$18/1000</f>
        <v>24.047367955371683</v>
      </c>
      <c r="K633" s="31">
        <f>AAF!F$18/1000</f>
        <v>22.897156079417218</v>
      </c>
      <c r="L633" s="31">
        <f>AAF!G$18/1000</f>
        <v>21.624740841913727</v>
      </c>
      <c r="M633" s="29">
        <f t="shared" ref="M633" si="191">(L633/I633)^(1/3)-1</f>
        <v>-4.7194791984891404E-2</v>
      </c>
      <c r="N633" s="40"/>
      <c r="O633" s="31"/>
      <c r="P633" s="31"/>
      <c r="Q633" s="31"/>
      <c r="R633" s="31"/>
      <c r="S633" s="135"/>
      <c r="T633" s="30"/>
      <c r="U633" s="32"/>
      <c r="V633" s="28"/>
      <c r="Z633" s="33"/>
    </row>
    <row r="634" spans="1:26">
      <c r="C634" s="32" t="str">
        <f t="shared" si="190"/>
        <v>MTN</v>
      </c>
      <c r="D634" s="28" t="str">
        <f t="shared" si="190"/>
        <v>ZAR 206.35</v>
      </c>
      <c r="E634" s="28" t="str">
        <f t="shared" si="190"/>
        <v>ZAR 280.00</v>
      </c>
      <c r="F634" s="29">
        <f t="shared" si="190"/>
        <v>0.35691785800823839</v>
      </c>
      <c r="G634" s="28" t="str">
        <f t="shared" si="190"/>
        <v>Buy</v>
      </c>
      <c r="H634" s="30"/>
      <c r="I634" s="31">
        <f>MTN!D$18/1000/Prices!$C$150</f>
        <v>30.997688208639229</v>
      </c>
      <c r="J634" s="31">
        <f>MTN!E$18/1000/Prices!$C$150</f>
        <v>29.50755582543924</v>
      </c>
      <c r="K634" s="31">
        <f>MTN!F$18/1000/Prices!$C$150</f>
        <v>27.675904651994383</v>
      </c>
      <c r="L634" s="31">
        <f>MTN!G$18/1000/Prices!$C$150</f>
        <v>25.656453587805917</v>
      </c>
      <c r="M634" s="29">
        <f t="shared" ref="M634:M638" si="192">(L634/I634)^(1/3)-1</f>
        <v>-6.1093296481221415E-2</v>
      </c>
      <c r="N634" s="40"/>
      <c r="O634" s="31"/>
      <c r="P634" s="31"/>
      <c r="Q634" s="31"/>
      <c r="R634" s="31"/>
      <c r="S634" s="135"/>
      <c r="T634" s="30"/>
      <c r="U634" s="32"/>
      <c r="V634" s="28"/>
      <c r="Z634" s="33"/>
    </row>
    <row r="635" spans="1:26">
      <c r="C635" s="32" t="str">
        <f t="shared" si="190"/>
        <v>Safaricom</v>
      </c>
      <c r="D635" s="28" t="str">
        <f t="shared" si="190"/>
        <v>KES 29.90</v>
      </c>
      <c r="E635" s="28" t="str">
        <f t="shared" si="190"/>
        <v>KES 40.0</v>
      </c>
      <c r="F635" s="29">
        <f t="shared" si="190"/>
        <v>0.33779264214046822</v>
      </c>
      <c r="G635" s="28" t="str">
        <f t="shared" si="190"/>
        <v>Buy</v>
      </c>
      <c r="H635" s="30"/>
      <c r="I635" s="31">
        <f>SAF!D$18/1000/Prices!$C$159</f>
        <v>9.7533612787569233</v>
      </c>
      <c r="J635" s="31">
        <f>SAF!E$18/1000/Prices!$C$159</f>
        <v>9.165508094680284</v>
      </c>
      <c r="K635" s="31">
        <f>SAF!F$18/1000/Prices!$C$159</f>
        <v>8.4811643204467906</v>
      </c>
      <c r="L635" s="31">
        <f>SAF!G$18/1000/Prices!$C$159</f>
        <v>7.6848007853531479</v>
      </c>
      <c r="M635" s="29">
        <f>(L635/I635)^(1/3)-1</f>
        <v>-7.6381193313868168E-2</v>
      </c>
      <c r="N635" s="40"/>
      <c r="O635" s="31"/>
      <c r="P635" s="31"/>
      <c r="Q635" s="31"/>
      <c r="R635" s="31"/>
      <c r="S635" s="135"/>
      <c r="T635" s="30"/>
      <c r="U635" s="32"/>
      <c r="V635" s="28"/>
      <c r="Z635" s="33"/>
    </row>
    <row r="636" spans="1:26">
      <c r="C636" s="32" t="str">
        <f t="shared" si="190"/>
        <v>VEON</v>
      </c>
      <c r="D636" s="28" t="str">
        <f t="shared" si="190"/>
        <v>USD 54.9</v>
      </c>
      <c r="E636" s="28" t="str">
        <f t="shared" si="190"/>
        <v>USD 100.0</v>
      </c>
      <c r="F636" s="29">
        <f t="shared" si="190"/>
        <v>0.82116190129302513</v>
      </c>
      <c r="G636" s="28" t="str">
        <f t="shared" si="190"/>
        <v>Buy</v>
      </c>
      <c r="H636" s="30"/>
      <c r="I636" s="31">
        <f>VIMP!D$18/1000</f>
        <v>8.5480444990589319</v>
      </c>
      <c r="J636" s="31">
        <f>VIMP!E$18/1000</f>
        <v>8.1724359022846027</v>
      </c>
      <c r="K636" s="31">
        <f>VIMP!F$18/1000</f>
        <v>7.695132666109366</v>
      </c>
      <c r="L636" s="31">
        <f>VIMP!G$18/1000</f>
        <v>7.1314538694106169</v>
      </c>
      <c r="M636" s="29">
        <f t="shared" si="192"/>
        <v>-5.8608149599005399E-2</v>
      </c>
      <c r="N636" s="40"/>
      <c r="O636" s="31"/>
      <c r="P636" s="31"/>
      <c r="Q636" s="31"/>
      <c r="R636" s="31"/>
      <c r="S636" s="29"/>
      <c r="T636" s="30"/>
      <c r="U636" s="32"/>
      <c r="V636" s="28"/>
      <c r="Z636" s="33"/>
    </row>
    <row r="637" spans="1:26">
      <c r="C637" s="32" t="str">
        <f t="shared" si="190"/>
        <v>Vodacom</v>
      </c>
      <c r="D637" s="28" t="str">
        <f t="shared" si="190"/>
        <v>ZAR 145.6</v>
      </c>
      <c r="E637" s="28" t="str">
        <f t="shared" si="190"/>
        <v>ZAR 215.0</v>
      </c>
      <c r="F637" s="29">
        <f t="shared" si="190"/>
        <v>0.47685121582634959</v>
      </c>
      <c r="G637" s="28" t="str">
        <f t="shared" si="190"/>
        <v>Buy</v>
      </c>
      <c r="H637" s="30"/>
      <c r="I637" s="31">
        <f>VODA!D$18/1000/Prices!$C$150</f>
        <v>22.358897004267725</v>
      </c>
      <c r="J637" s="31">
        <f>VODA!E$18/1000/Prices!$C$150</f>
        <v>22.961535729132262</v>
      </c>
      <c r="K637" s="31">
        <f>VODA!F$18/1000/Prices!$C$150</f>
        <v>21.004735769859163</v>
      </c>
      <c r="L637" s="31">
        <f>VODA!G$18/1000/Prices!$C$150</f>
        <v>18.665322892487652</v>
      </c>
      <c r="M637" s="29">
        <f t="shared" si="192"/>
        <v>-5.8410275128917055E-2</v>
      </c>
      <c r="N637" s="40"/>
      <c r="O637" s="31"/>
      <c r="P637" s="31"/>
      <c r="Q637" s="31"/>
      <c r="R637" s="31"/>
      <c r="S637" s="29"/>
      <c r="T637" s="30"/>
      <c r="U637" s="32"/>
      <c r="V637" s="28"/>
      <c r="Z637" s="33"/>
    </row>
    <row r="638" spans="1:26">
      <c r="C638" s="35" t="str">
        <f>C587</f>
        <v>Agg. EMEA Cellular</v>
      </c>
      <c r="D638" s="36"/>
      <c r="E638" s="36"/>
      <c r="F638" s="37"/>
      <c r="G638" s="36"/>
      <c r="H638" s="30"/>
      <c r="I638" s="38">
        <f>'EMEA CELLULAR'!D$18/1000</f>
        <v>96.657906703976622</v>
      </c>
      <c r="J638" s="38">
        <f>'EMEA CELLULAR'!$E$18/1000</f>
        <v>93.854403506908071</v>
      </c>
      <c r="K638" s="38">
        <f>'EMEA CELLULAR'!$F$18/1000</f>
        <v>87.754093487826935</v>
      </c>
      <c r="L638" s="38">
        <f>'EMEA CELLULAR'!$G$18/1000</f>
        <v>80.762771976971067</v>
      </c>
      <c r="M638" s="39">
        <f t="shared" si="192"/>
        <v>-5.8129321502576436E-2</v>
      </c>
      <c r="N638" s="40"/>
      <c r="O638" s="38"/>
      <c r="P638" s="38"/>
      <c r="Q638" s="38"/>
      <c r="R638" s="38"/>
      <c r="S638" s="39"/>
      <c r="T638" s="30"/>
      <c r="U638" s="41"/>
      <c r="V638" s="42"/>
      <c r="Z638" s="33"/>
    </row>
    <row r="639" spans="1:26">
      <c r="A639" s="5"/>
      <c r="C639" s="27"/>
      <c r="D639" s="28"/>
      <c r="E639" s="28"/>
      <c r="F639" s="29"/>
      <c r="G639" s="28"/>
      <c r="H639" s="30"/>
      <c r="I639" s="31"/>
      <c r="J639" s="31"/>
      <c r="K639" s="31"/>
      <c r="L639" s="31"/>
      <c r="M639" s="29"/>
      <c r="N639" s="40"/>
      <c r="O639" s="31"/>
      <c r="P639" s="31"/>
      <c r="Q639" s="31"/>
      <c r="R639" s="31"/>
      <c r="S639" s="29"/>
      <c r="T639" s="30"/>
      <c r="U639" s="32"/>
      <c r="V639" s="34"/>
      <c r="Z639" s="33"/>
    </row>
    <row r="640" spans="1:26">
      <c r="A640" s="5"/>
      <c r="C640" s="32" t="str">
        <f t="shared" ref="C640:G642" si="193">C589</f>
        <v>Entel</v>
      </c>
      <c r="D640" s="28" t="str">
        <f t="shared" si="193"/>
        <v>CLP 3,643</v>
      </c>
      <c r="E640" s="28" t="str">
        <f t="shared" si="193"/>
        <v>CLP 3,150</v>
      </c>
      <c r="F640" s="29">
        <f t="shared" si="193"/>
        <v>-0.13532802635190777</v>
      </c>
      <c r="G640" s="28" t="str">
        <f t="shared" si="193"/>
        <v>Neutral</v>
      </c>
      <c r="H640" s="30"/>
      <c r="I640" s="31">
        <f>ENTEL!D$18/Prices!$C$145/1000</f>
        <v>2.8298401846179053</v>
      </c>
      <c r="J640" s="31">
        <f>ENTEL!E$18/Prices!$C$145/1000</f>
        <v>2.8589614844376534</v>
      </c>
      <c r="K640" s="31">
        <f>ENTEL!F$18/Prices!$C$145/1000</f>
        <v>2.857789151740898</v>
      </c>
      <c r="L640" s="31">
        <f>ENTEL!G$18/Prices!$C$145/1000</f>
        <v>2.8080273665827162</v>
      </c>
      <c r="M640" s="29">
        <f t="shared" ref="M640:M645" si="194">(L640/I640)^(1/3)-1</f>
        <v>-2.5760117540247762E-3</v>
      </c>
      <c r="N640" s="40"/>
      <c r="O640" s="31"/>
      <c r="P640" s="31"/>
      <c r="Q640" s="31"/>
      <c r="R640" s="31"/>
      <c r="S640" s="135"/>
      <c r="T640" s="30"/>
      <c r="U640" s="32"/>
      <c r="V640" s="28"/>
      <c r="Z640" s="33"/>
    </row>
    <row r="641" spans="1:29">
      <c r="A641" s="5"/>
      <c r="C641" s="32" t="str">
        <f t="shared" si="193"/>
        <v>Millicom</v>
      </c>
      <c r="D641" s="28" t="str">
        <f t="shared" si="193"/>
        <v>USD  83.6</v>
      </c>
      <c r="E641" s="28" t="str">
        <f t="shared" si="193"/>
        <v>USD 70.0</v>
      </c>
      <c r="F641" s="29">
        <f t="shared" si="193"/>
        <v>-0.16292974588938713</v>
      </c>
      <c r="G641" s="28" t="str">
        <f t="shared" si="193"/>
        <v>Buy</v>
      </c>
      <c r="H641" s="30"/>
      <c r="I641" s="31">
        <f>MILLI!D$18/1000</f>
        <v>23.208910614743584</v>
      </c>
      <c r="J641" s="31">
        <f>MILLI!E$18/1000</f>
        <v>23.681484618181361</v>
      </c>
      <c r="K641" s="31">
        <f>MILLI!F$18/1000</f>
        <v>22.771572567736666</v>
      </c>
      <c r="L641" s="31">
        <f>MILLI!G$18/1000</f>
        <v>21.80580503139543</v>
      </c>
      <c r="M641" s="29">
        <f t="shared" si="194"/>
        <v>-2.0572133656651226E-2</v>
      </c>
      <c r="N641" s="40"/>
      <c r="O641" s="31"/>
      <c r="P641" s="31"/>
      <c r="Q641" s="31"/>
      <c r="R641" s="31"/>
      <c r="S641" s="135"/>
      <c r="T641" s="30"/>
      <c r="U641" s="32"/>
      <c r="V641" s="28"/>
      <c r="Z641" s="33"/>
    </row>
    <row r="642" spans="1:29">
      <c r="A642" s="5"/>
      <c r="C642" s="32" t="str">
        <f t="shared" si="193"/>
        <v>TIM Participacoes</v>
      </c>
      <c r="D642" s="28" t="str">
        <f t="shared" si="193"/>
        <v>BRL 25.99</v>
      </c>
      <c r="E642" s="28" t="str">
        <f t="shared" si="193"/>
        <v>BRL 28.00</v>
      </c>
      <c r="F642" s="29">
        <f t="shared" si="193"/>
        <v>7.7337437475952342E-2</v>
      </c>
      <c r="G642" s="28" t="str">
        <f t="shared" si="193"/>
        <v>Buy</v>
      </c>
      <c r="H642" s="30"/>
      <c r="I642" s="31">
        <f>TIMP!D$18/Prices!$C$140/1000</f>
        <v>8.7215789301600406</v>
      </c>
      <c r="J642" s="31">
        <f>TIMP!E$18/Prices!$C$140/1000</f>
        <v>7.5622730564856706</v>
      </c>
      <c r="K642" s="31">
        <f>TIMP!F$18/Prices!$C$140/1000</f>
        <v>6.2458636532078646</v>
      </c>
      <c r="L642" s="31">
        <f>TIMP!G$18/Prices!$C$140/1000</f>
        <v>4.775459892078735</v>
      </c>
      <c r="M642" s="29">
        <f t="shared" si="194"/>
        <v>-0.18189942960481742</v>
      </c>
      <c r="N642" s="40"/>
      <c r="O642" s="31"/>
      <c r="P642" s="31"/>
      <c r="Q642" s="31"/>
      <c r="R642" s="31"/>
      <c r="S642" s="29"/>
      <c r="T642" s="30"/>
      <c r="U642" s="32"/>
      <c r="V642" s="28"/>
      <c r="Z642" s="33"/>
    </row>
    <row r="643" spans="1:29">
      <c r="A643" s="25"/>
      <c r="B643" s="26" t="s">
        <v>483</v>
      </c>
      <c r="C643" s="32" t="s">
        <v>688</v>
      </c>
      <c r="D643" s="28" t="str">
        <f>'EM Multiples'!B643&amp;TEXT(Prices!C$115,"0.00")</f>
        <v>MXN59.40</v>
      </c>
      <c r="E643" s="28" t="str">
        <f>'EM Multiples'!B643&amp;TEXT(Prices!E$115,"0.00")</f>
        <v>MXN75.00</v>
      </c>
      <c r="F643" s="29">
        <f>Prices!F$115</f>
        <v>0.26262626262626276</v>
      </c>
      <c r="G643" s="28" t="str">
        <f>Prices!D$52</f>
        <v>Buy</v>
      </c>
      <c r="H643" s="30"/>
      <c r="I643" s="31">
        <f>MEGA!D$18/1000/Prices!$C$160</f>
        <v>4.4386187146375979</v>
      </c>
      <c r="J643" s="31">
        <f>MEGA!E$18/1000/Prices!$C$160</f>
        <v>4.2283290824877335</v>
      </c>
      <c r="K643" s="31">
        <f>MEGA!F$18/1000/Prices!$C$160</f>
        <v>3.9357820905384631</v>
      </c>
      <c r="L643" s="31">
        <f>MEGA!G$18/1000/Prices!$C$160</f>
        <v>3.5672597975628326</v>
      </c>
      <c r="M643" s="29">
        <f t="shared" si="194"/>
        <v>-7.0258321798250978E-2</v>
      </c>
      <c r="N643" s="30"/>
      <c r="O643" s="31"/>
      <c r="P643" s="31"/>
      <c r="Q643" s="31"/>
      <c r="R643" s="31"/>
      <c r="S643" s="29"/>
      <c r="T643" s="30"/>
      <c r="U643" s="32"/>
      <c r="V643" s="28"/>
      <c r="Z643" s="30"/>
    </row>
    <row r="644" spans="1:29">
      <c r="A644" s="5"/>
      <c r="B644" s="26" t="s">
        <v>331</v>
      </c>
      <c r="C644" s="32" t="s">
        <v>675</v>
      </c>
      <c r="D644" s="28" t="str">
        <f>'EM Multiples'!B644&amp;TEXT(Prices!C$118,"0.00")</f>
        <v>USD8.53</v>
      </c>
      <c r="E644" s="28" t="str">
        <f>'EM Multiples'!B644&amp;TEXT(Prices!E$118,"0.00")</f>
        <v>USD14.90</v>
      </c>
      <c r="F644" s="29">
        <f>Prices!F$118</f>
        <v>0.74780058651026393</v>
      </c>
      <c r="G644" s="28" t="str">
        <f>Prices!D$118</f>
        <v>Buy</v>
      </c>
      <c r="H644" s="30"/>
      <c r="I644" s="31">
        <f>LiLAC!D$18/1000</f>
        <v>11.03388010292054</v>
      </c>
      <c r="J644" s="31">
        <f>LiLAC!E$18/1000</f>
        <v>10.909612167883466</v>
      </c>
      <c r="K644" s="31">
        <f>LiLAC!F$18/1000</f>
        <v>10.68655827780171</v>
      </c>
      <c r="L644" s="31">
        <f>LiLAC!G$18/1000</f>
        <v>10.350473483835414</v>
      </c>
      <c r="M644" s="29">
        <f t="shared" si="194"/>
        <v>-2.1087248962392668E-2</v>
      </c>
      <c r="N644" s="30"/>
      <c r="O644" s="31"/>
      <c r="P644" s="31"/>
      <c r="Q644" s="31"/>
      <c r="R644" s="31"/>
      <c r="S644" s="29"/>
      <c r="T644" s="30"/>
      <c r="U644" s="32"/>
      <c r="V644" s="28"/>
      <c r="Z644" s="30"/>
    </row>
    <row r="645" spans="1:29">
      <c r="A645" s="5"/>
      <c r="C645" s="35" t="str">
        <f>C594</f>
        <v>Agg. LatAm Other</v>
      </c>
      <c r="D645" s="36"/>
      <c r="E645" s="36"/>
      <c r="F645" s="37"/>
      <c r="G645" s="36"/>
      <c r="H645" s="30"/>
      <c r="I645" s="38">
        <f>'LATAM OTHER'!D$18/1000</f>
        <v>50.23282854707967</v>
      </c>
      <c r="J645" s="38">
        <f>'LATAM OTHER'!$E$18/1000</f>
        <v>49.240660409475886</v>
      </c>
      <c r="K645" s="38">
        <f>'LATAM OTHER'!$F$18/1000</f>
        <v>46.497565741025603</v>
      </c>
      <c r="L645" s="38">
        <f>'LATAM OTHER'!$G$18/1000</f>
        <v>43.307025571455121</v>
      </c>
      <c r="M645" s="39">
        <f t="shared" si="194"/>
        <v>-4.8248490426733626E-2</v>
      </c>
      <c r="N645" s="40"/>
      <c r="O645" s="38"/>
      <c r="P645" s="38"/>
      <c r="Q645" s="38"/>
      <c r="R645" s="38"/>
      <c r="S645" s="39"/>
      <c r="T645" s="30"/>
      <c r="U645" s="41"/>
      <c r="V645" s="42"/>
      <c r="Z645" s="33"/>
    </row>
    <row r="646" spans="1:29">
      <c r="C646" s="27"/>
      <c r="D646" s="28"/>
      <c r="E646" s="28"/>
      <c r="F646" s="29"/>
      <c r="G646" s="28"/>
      <c r="H646" s="30"/>
      <c r="I646" s="31"/>
      <c r="J646" s="31"/>
      <c r="K646" s="31"/>
      <c r="L646" s="31"/>
      <c r="M646" s="29"/>
      <c r="N646" s="30"/>
      <c r="O646" s="31"/>
      <c r="P646" s="31"/>
      <c r="Q646" s="31"/>
      <c r="R646" s="31"/>
      <c r="S646" s="29"/>
      <c r="T646" s="30"/>
      <c r="U646" s="32"/>
      <c r="V646" s="34"/>
      <c r="Z646" s="33"/>
    </row>
    <row r="647" spans="1:29">
      <c r="A647" s="5"/>
      <c r="C647" s="32" t="str">
        <f t="shared" ref="C647:G656" si="195">C596</f>
        <v>AIS</v>
      </c>
      <c r="D647" s="28" t="str">
        <f t="shared" si="195"/>
        <v>THB 349.0</v>
      </c>
      <c r="E647" s="28" t="str">
        <f t="shared" si="195"/>
        <v>THB 330.0</v>
      </c>
      <c r="F647" s="29">
        <f t="shared" si="195"/>
        <v>-5.4441260744985676E-2</v>
      </c>
      <c r="G647" s="28" t="str">
        <f t="shared" si="195"/>
        <v>Buy</v>
      </c>
      <c r="H647" s="30"/>
      <c r="I647" s="31">
        <f>ADVANCED!D$18/1000/Prices!$C$143</f>
        <v>37.867899663935368</v>
      </c>
      <c r="J647" s="31">
        <f>ADVANCED!E$18/1000/Prices!$C$143</f>
        <v>35.664380057752375</v>
      </c>
      <c r="K647" s="31">
        <f>ADVANCED!F$18/1000/Prices!$C$143</f>
        <v>33.413972615644255</v>
      </c>
      <c r="L647" s="31">
        <f>ADVANCED!G$18/1000/Prices!$C$143</f>
        <v>31.056373461412349</v>
      </c>
      <c r="M647" s="29">
        <f t="shared" ref="M647:M658" si="196">(L647/I647)^(1/3)-1</f>
        <v>-6.3962658892193547E-2</v>
      </c>
      <c r="N647" s="30"/>
      <c r="O647" s="31"/>
      <c r="P647" s="31"/>
      <c r="Q647" s="31"/>
      <c r="R647" s="31"/>
      <c r="S647" s="29"/>
      <c r="T647" s="30"/>
      <c r="U647" s="32"/>
      <c r="V647" s="28"/>
      <c r="Z647" s="33"/>
    </row>
    <row r="648" spans="1:29">
      <c r="C648" s="32" t="str">
        <f t="shared" si="195"/>
        <v>Axiata</v>
      </c>
      <c r="D648" s="28" t="str">
        <f t="shared" si="195"/>
        <v>MYR 2.24</v>
      </c>
      <c r="E648" s="28" t="str">
        <f t="shared" si="195"/>
        <v>MYR 4.50</v>
      </c>
      <c r="F648" s="29">
        <f t="shared" si="195"/>
        <v>1.0089285714285712</v>
      </c>
      <c r="G648" s="28" t="str">
        <f t="shared" si="195"/>
        <v>Buy</v>
      </c>
      <c r="H648" s="30"/>
      <c r="I648" s="31">
        <f>AXI!D$18/Prices!$C$139/1000</f>
        <v>8.090697356050951</v>
      </c>
      <c r="J648" s="31">
        <f>AXI!E$18/Prices!$C$139/1000</f>
        <v>9.6698758524983095</v>
      </c>
      <c r="K648" s="31">
        <f>AXI!F$18/Prices!$C$139/1000</f>
        <v>9.1661868875655053</v>
      </c>
      <c r="L648" s="31">
        <f>AXI!G$18/Prices!$C$139/1000</f>
        <v>8.6050519827822196</v>
      </c>
      <c r="M648" s="29">
        <f t="shared" si="196"/>
        <v>2.0757345981561981E-2</v>
      </c>
      <c r="N648" s="30"/>
      <c r="O648" s="31"/>
      <c r="P648" s="31"/>
      <c r="Q648" s="31"/>
      <c r="R648" s="31"/>
      <c r="S648" s="29"/>
      <c r="T648" s="30"/>
      <c r="U648" s="32"/>
      <c r="V648" s="28"/>
      <c r="Z648" s="33"/>
    </row>
    <row r="649" spans="1:29">
      <c r="C649" s="32" t="str">
        <f t="shared" si="195"/>
        <v>Bharti Airtel</v>
      </c>
      <c r="D649" s="28" t="str">
        <f t="shared" si="195"/>
        <v>INR 1815</v>
      </c>
      <c r="E649" s="28" t="str">
        <f t="shared" si="195"/>
        <v>INR 2750</v>
      </c>
      <c r="F649" s="29">
        <f t="shared" si="195"/>
        <v>0.51540199482008031</v>
      </c>
      <c r="G649" s="28" t="str">
        <f t="shared" si="195"/>
        <v>Buy</v>
      </c>
      <c r="H649" s="30"/>
      <c r="I649" s="31">
        <f>BHART!D$18/1000/Prices!$C$132</f>
        <v>145.11369200148934</v>
      </c>
      <c r="J649" s="31">
        <f>BHART!E$18/1000/Prices!$C$132</f>
        <v>139.49678891394097</v>
      </c>
      <c r="K649" s="31">
        <f>BHART!F$18/1000/Prices!$C$132</f>
        <v>132.33399776962028</v>
      </c>
      <c r="L649" s="31">
        <f>BHART!G$18/1000/Prices!$C$132</f>
        <v>123.87014397889759</v>
      </c>
      <c r="M649" s="29">
        <f t="shared" si="196"/>
        <v>-5.1393527502109126E-2</v>
      </c>
      <c r="N649" s="30"/>
      <c r="O649" s="31"/>
      <c r="P649" s="31"/>
      <c r="Q649" s="31"/>
      <c r="R649" s="31"/>
      <c r="S649" s="29"/>
      <c r="T649" s="30"/>
      <c r="U649" s="32"/>
      <c r="V649" s="28"/>
      <c r="Z649" s="33"/>
    </row>
    <row r="650" spans="1:29">
      <c r="A650" s="5"/>
      <c r="C650" s="32" t="str">
        <f t="shared" si="195"/>
        <v>China Mobile</v>
      </c>
      <c r="D650" s="28" t="str">
        <f t="shared" si="195"/>
        <v>HKD 83.9</v>
      </c>
      <c r="E650" s="28" t="str">
        <f t="shared" si="195"/>
        <v>HKD 115.0</v>
      </c>
      <c r="F650" s="29">
        <f t="shared" si="195"/>
        <v>0.37067938021454094</v>
      </c>
      <c r="G650" s="28" t="str">
        <f t="shared" si="195"/>
        <v>Buy</v>
      </c>
      <c r="H650" s="30"/>
      <c r="I650" s="31">
        <f>_CM!D$18/Prices!$C$155</f>
        <v>181.50284418229631</v>
      </c>
      <c r="J650" s="31">
        <f>_CM!E$18/Prices!$C$155</f>
        <v>157.76016384079472</v>
      </c>
      <c r="K650" s="31">
        <f>_CM!F$18/Prices!$C$155</f>
        <v>143.15400067234566</v>
      </c>
      <c r="L650" s="31">
        <f>_CM!G$18/Prices!$C$155</f>
        <v>117.16095496169324</v>
      </c>
      <c r="M650" s="29">
        <f t="shared" si="196"/>
        <v>-0.13576240207749379</v>
      </c>
      <c r="N650" s="30"/>
      <c r="O650" s="31"/>
      <c r="P650" s="31"/>
      <c r="Q650" s="31"/>
      <c r="R650" s="31"/>
      <c r="S650" s="29"/>
      <c r="T650" s="30"/>
      <c r="U650" s="32"/>
      <c r="V650" s="28"/>
      <c r="Z650" s="33"/>
    </row>
    <row r="651" spans="1:29">
      <c r="A651" s="5"/>
      <c r="C651" s="32" t="str">
        <f t="shared" si="195"/>
        <v>CelcomDigi</v>
      </c>
      <c r="D651" s="28" t="str">
        <f t="shared" si="195"/>
        <v>MYR 3.0</v>
      </c>
      <c r="E651" s="28" t="str">
        <f t="shared" si="195"/>
        <v>MYR 5.6</v>
      </c>
      <c r="F651" s="29">
        <f t="shared" si="195"/>
        <v>0.88552188552188538</v>
      </c>
      <c r="G651" s="28" t="str">
        <f t="shared" si="195"/>
        <v>Buy</v>
      </c>
      <c r="H651" s="30"/>
      <c r="I651" s="31">
        <f>DIGI!D$18/1000/Prices!$C$139</f>
        <v>11.789946359576131</v>
      </c>
      <c r="J651" s="31">
        <f>DIGI!E$18/1000/Prices!$C$139</f>
        <v>11.088061594907856</v>
      </c>
      <c r="K651" s="31">
        <f>DIGI!F$18/1000/Prices!$C$139</f>
        <v>10.281384637389232</v>
      </c>
      <c r="L651" s="31">
        <f>DIGI!G$18/1000/Prices!$C$139</f>
        <v>9.4345155445959943</v>
      </c>
      <c r="M651" s="29">
        <f t="shared" si="196"/>
        <v>-7.1598304202061369E-2</v>
      </c>
      <c r="N651" s="30"/>
      <c r="O651" s="31"/>
      <c r="P651" s="31"/>
      <c r="Q651" s="31"/>
      <c r="R651" s="31"/>
      <c r="S651" s="29"/>
      <c r="T651" s="30"/>
      <c r="U651" s="32"/>
      <c r="V651" s="28"/>
      <c r="Z651" s="33"/>
    </row>
    <row r="652" spans="1:29">
      <c r="A652" s="5"/>
      <c r="C652" s="32" t="str">
        <f t="shared" si="195"/>
        <v>Vodafone IDEA</v>
      </c>
      <c r="D652" s="28" t="str">
        <f t="shared" si="195"/>
        <v>INR 9.5</v>
      </c>
      <c r="E652" s="28" t="str">
        <f t="shared" si="195"/>
        <v>INR 10.0</v>
      </c>
      <c r="F652" s="29">
        <f t="shared" si="195"/>
        <v>5.0420168067226934E-2</v>
      </c>
      <c r="G652" s="28" t="str">
        <f t="shared" si="195"/>
        <v>Neutral</v>
      </c>
      <c r="H652" s="30"/>
      <c r="I652" s="31">
        <f>IDEA!D$18/1000/Prices!$C$132</f>
        <v>31.668335385660257</v>
      </c>
      <c r="J652" s="31">
        <f>IDEA!E$18/1000/Prices!$C$132</f>
        <v>34.900658740853402</v>
      </c>
      <c r="K652" s="31">
        <f>IDEA!F$18/1000/Prices!$C$132</f>
        <v>37.951171503472573</v>
      </c>
      <c r="L652" s="31">
        <f>IDEA!G$18/1000/Prices!$C$132</f>
        <v>40.695671286246828</v>
      </c>
      <c r="M652" s="29">
        <f t="shared" si="196"/>
        <v>8.7195535491702891E-2</v>
      </c>
      <c r="N652" s="30"/>
      <c r="O652" s="31"/>
      <c r="P652" s="31"/>
      <c r="Q652" s="31"/>
      <c r="R652" s="31"/>
      <c r="S652" s="29"/>
      <c r="T652" s="30"/>
      <c r="U652" s="32"/>
      <c r="V652" s="28"/>
      <c r="Z652" s="33"/>
      <c r="AC652" s="47"/>
    </row>
    <row r="653" spans="1:29">
      <c r="A653" s="5"/>
      <c r="C653" s="32" t="str">
        <f t="shared" si="195"/>
        <v>Indosat</v>
      </c>
      <c r="D653" s="28" t="str">
        <f t="shared" si="195"/>
        <v>IDR 1,970</v>
      </c>
      <c r="E653" s="28" t="str">
        <f t="shared" si="195"/>
        <v>IDR 2,800</v>
      </c>
      <c r="F653" s="29">
        <f t="shared" si="195"/>
        <v>0.42131979695431476</v>
      </c>
      <c r="G653" s="28" t="str">
        <f t="shared" si="195"/>
        <v>Buy</v>
      </c>
      <c r="H653" s="30"/>
      <c r="I653" s="31">
        <f>INDO!D$18/Prices!$C$152</f>
        <v>6.6969564806561985</v>
      </c>
      <c r="J653" s="31">
        <f>INDO!E$18/Prices!$C$152</f>
        <v>7.0008176816022898</v>
      </c>
      <c r="K653" s="31">
        <f>INDO!F$18/Prices!$C$152</f>
        <v>6.6889492036240759</v>
      </c>
      <c r="L653" s="31">
        <f>INDO!G$18/Prices!$C$152</f>
        <v>6.3305004925726474</v>
      </c>
      <c r="M653" s="29">
        <f t="shared" si="196"/>
        <v>-1.858312003851792E-2</v>
      </c>
      <c r="N653" s="30"/>
      <c r="O653" s="31"/>
      <c r="P653" s="31"/>
      <c r="Q653" s="31"/>
      <c r="R653" s="31"/>
      <c r="S653" s="29"/>
      <c r="T653" s="30"/>
      <c r="U653" s="32"/>
      <c r="V653" s="28"/>
      <c r="Z653" s="33"/>
      <c r="AC653" s="47"/>
    </row>
    <row r="654" spans="1:29">
      <c r="A654" s="5"/>
      <c r="C654" s="32" t="str">
        <f t="shared" si="195"/>
        <v>LG Uplus</v>
      </c>
      <c r="D654" s="28" t="str">
        <f t="shared" si="195"/>
        <v>KRW 16,600</v>
      </c>
      <c r="E654" s="28" t="str">
        <f t="shared" si="195"/>
        <v>KRW 19,000</v>
      </c>
      <c r="F654" s="29">
        <f t="shared" si="195"/>
        <v>0.14457831325301207</v>
      </c>
      <c r="G654" s="28" t="str">
        <f t="shared" si="195"/>
        <v>Buy</v>
      </c>
      <c r="H654" s="30"/>
      <c r="I654" s="31">
        <f>_LG!D$18/Prices!$C$153</f>
        <v>9.5176959310568865</v>
      </c>
      <c r="J654" s="31">
        <f>_LG!E$18/Prices!$C$153</f>
        <v>8.9433832284203163</v>
      </c>
      <c r="K654" s="31">
        <f>_LG!F$18/Prices!$C$153</f>
        <v>8.3433005768654187</v>
      </c>
      <c r="L654" s="31">
        <f>_LG!G$18/Prices!$C$153</f>
        <v>7.7127338565446291</v>
      </c>
      <c r="M654" s="29">
        <f t="shared" si="196"/>
        <v>-6.7693225851148786E-2</v>
      </c>
      <c r="N654" s="30"/>
      <c r="O654" s="31"/>
      <c r="P654" s="31"/>
      <c r="Q654" s="31"/>
      <c r="R654" s="31"/>
      <c r="S654" s="29"/>
      <c r="T654" s="30"/>
      <c r="U654" s="32"/>
      <c r="V654" s="28"/>
      <c r="Z654" s="33"/>
      <c r="AC654" s="47"/>
    </row>
    <row r="655" spans="1:29">
      <c r="C655" s="32" t="str">
        <f t="shared" si="195"/>
        <v>Maxis</v>
      </c>
      <c r="D655" s="28" t="str">
        <f t="shared" si="195"/>
        <v>MYR 3.50</v>
      </c>
      <c r="E655" s="28" t="str">
        <f t="shared" si="195"/>
        <v>MYR 5.10</v>
      </c>
      <c r="F655" s="29">
        <f t="shared" si="195"/>
        <v>0.45714285714285707</v>
      </c>
      <c r="G655" s="28" t="str">
        <f t="shared" si="195"/>
        <v>Buy</v>
      </c>
      <c r="H655" s="30"/>
      <c r="I655" s="31">
        <f>MAXI!D$18/1000/Prices!$C$139</f>
        <v>9.029677860927066</v>
      </c>
      <c r="J655" s="31">
        <f>MAXI!E$18/1000/Prices!$C$139</f>
        <v>8.5276334939615239</v>
      </c>
      <c r="K655" s="31">
        <f>MAXI!F$18/1000/Prices!$C$139</f>
        <v>8.0052967736673875</v>
      </c>
      <c r="L655" s="31">
        <f>MAXI!G$18/1000/Prices!$C$139</f>
        <v>7.4618387928646301</v>
      </c>
      <c r="M655" s="29">
        <f t="shared" si="196"/>
        <v>-6.1593079814401319E-2</v>
      </c>
      <c r="N655" s="30"/>
      <c r="O655" s="31"/>
      <c r="P655" s="31"/>
      <c r="Q655" s="31"/>
      <c r="R655" s="31"/>
      <c r="S655" s="29"/>
      <c r="T655" s="30"/>
      <c r="U655" s="32"/>
      <c r="V655" s="28"/>
      <c r="Z655" s="33"/>
    </row>
    <row r="656" spans="1:29">
      <c r="A656" s="5"/>
      <c r="C656" s="32" t="str">
        <f t="shared" si="195"/>
        <v>SK Telecom</v>
      </c>
      <c r="D656" s="28" t="str">
        <f t="shared" si="195"/>
        <v>KRW 100,000</v>
      </c>
      <c r="E656" s="28" t="str">
        <f t="shared" si="195"/>
        <v>KRW 78,000</v>
      </c>
      <c r="F656" s="29">
        <f t="shared" si="195"/>
        <v>-0.21999999999999997</v>
      </c>
      <c r="G656" s="28" t="str">
        <f t="shared" si="195"/>
        <v>Neutral</v>
      </c>
      <c r="H656" s="30"/>
      <c r="I656" s="31">
        <f>SKT!D$18/Prices!$C$153</f>
        <v>21.630470692634539</v>
      </c>
      <c r="J656" s="31">
        <f>SKT!E$18/Prices!$C$153</f>
        <v>20.487722452477009</v>
      </c>
      <c r="K656" s="31">
        <f>SKT!F$18/Prices!$C$153</f>
        <v>19.393250211369221</v>
      </c>
      <c r="L656" s="31">
        <f>SKT!G$18/Prices!$C$153</f>
        <v>18.2345019578399</v>
      </c>
      <c r="M656" s="29">
        <f t="shared" si="196"/>
        <v>-5.5339016170667277E-2</v>
      </c>
      <c r="N656" s="30"/>
      <c r="O656" s="31"/>
      <c r="P656" s="31"/>
      <c r="Q656" s="31"/>
      <c r="R656" s="31"/>
      <c r="S656" s="29"/>
      <c r="T656" s="30"/>
      <c r="U656" s="32"/>
      <c r="V656" s="28"/>
      <c r="Z656" s="33"/>
    </row>
    <row r="657" spans="1:26">
      <c r="A657" s="5"/>
      <c r="C657" s="32" t="str">
        <f t="shared" ref="C657:G657" si="197">C606</f>
        <v>True Corp</v>
      </c>
      <c r="D657" s="28" t="str">
        <f t="shared" si="197"/>
        <v>THB 13.5</v>
      </c>
      <c r="E657" s="28" t="str">
        <f t="shared" si="197"/>
        <v>THB 18.0</v>
      </c>
      <c r="F657" s="29">
        <f t="shared" si="197"/>
        <v>0.33333333333333326</v>
      </c>
      <c r="G657" s="28" t="str">
        <f t="shared" si="197"/>
        <v>Buy</v>
      </c>
      <c r="H657" s="30"/>
      <c r="I657" s="31">
        <f>TRUECORP!D$18/1000/Prices!$C$143</f>
        <v>27.440714924167441</v>
      </c>
      <c r="J657" s="31">
        <f>TRUECORP!E$18/1000/Prices!$C$143</f>
        <v>25.744164214935271</v>
      </c>
      <c r="K657" s="31">
        <f>TRUECORP!F$18/1000/Prices!$C$143</f>
        <v>23.983829128855685</v>
      </c>
      <c r="L657" s="31">
        <f>TRUECORP!G$18/1000/Prices!$C$143</f>
        <v>22.079166835953764</v>
      </c>
      <c r="M657" s="29">
        <f>(L657/I657)^(1/3)-1</f>
        <v>-6.9901195049633214E-2</v>
      </c>
      <c r="N657" s="30"/>
      <c r="O657" s="31"/>
      <c r="P657" s="31"/>
      <c r="Q657" s="31"/>
      <c r="R657" s="31"/>
      <c r="S657" s="29"/>
      <c r="T657" s="30"/>
      <c r="U657" s="32"/>
      <c r="V657" s="28"/>
      <c r="Z657" s="33"/>
    </row>
    <row r="658" spans="1:26">
      <c r="A658" s="5"/>
      <c r="C658" s="32" t="str">
        <f t="shared" ref="C658:G658" si="198">C607</f>
        <v>XL Axiata</v>
      </c>
      <c r="D658" s="28" t="str">
        <f t="shared" si="198"/>
        <v>IDR 3,070</v>
      </c>
      <c r="E658" s="28" t="str">
        <f t="shared" si="198"/>
        <v>IDR 4,500</v>
      </c>
      <c r="F658" s="29">
        <f t="shared" si="198"/>
        <v>0.46579804560260585</v>
      </c>
      <c r="G658" s="28" t="str">
        <f t="shared" si="198"/>
        <v>Buy</v>
      </c>
      <c r="H658" s="30"/>
      <c r="I658" s="31">
        <f>XLAX!D$18/Prices!$C$152</f>
        <v>6.8020539226023198</v>
      </c>
      <c r="J658" s="31">
        <f>XLAX!E$18/Prices!$C$152</f>
        <v>6.6396871522499668</v>
      </c>
      <c r="K658" s="31">
        <f>XLAX!F$18/Prices!$C$152</f>
        <v>6.3869107444908098</v>
      </c>
      <c r="L658" s="31">
        <f>XLAX!G$18/Prices!$C$152</f>
        <v>6.0263159896787037</v>
      </c>
      <c r="M658" s="29">
        <f t="shared" si="196"/>
        <v>-3.955917991134128E-2</v>
      </c>
      <c r="N658" s="40"/>
      <c r="O658" s="31"/>
      <c r="P658" s="31"/>
      <c r="Q658" s="31"/>
      <c r="R658" s="31"/>
      <c r="S658" s="29"/>
      <c r="T658" s="30"/>
      <c r="U658" s="32"/>
      <c r="V658" s="28"/>
      <c r="Z658" s="33"/>
    </row>
    <row r="659" spans="1:26">
      <c r="A659" s="5"/>
      <c r="C659" s="35" t="str">
        <f>C608</f>
        <v>Agg. Emerging Asia Cellular</v>
      </c>
      <c r="D659" s="36"/>
      <c r="E659" s="36"/>
      <c r="F659" s="37"/>
      <c r="G659" s="36"/>
      <c r="H659" s="30"/>
      <c r="I659" s="38">
        <f>'EM ASIA CELLULAR'!D$18/1000</f>
        <v>497.15098476105283</v>
      </c>
      <c r="J659" s="38">
        <f>'EM ASIA CELLULAR'!$E$18/1000</f>
        <v>465.92333722439406</v>
      </c>
      <c r="K659" s="38">
        <f>'EM ASIA CELLULAR'!$F$18/1000</f>
        <v>439.10225072491011</v>
      </c>
      <c r="L659" s="38">
        <f>'EM ASIA CELLULAR'!$G$18/1000</f>
        <v>398.66776914108254</v>
      </c>
      <c r="M659" s="39">
        <f>(L623/I623)^(1/3)-1</f>
        <v>-7.2223965534345624E-2</v>
      </c>
      <c r="N659" s="40"/>
      <c r="O659" s="38"/>
      <c r="P659" s="38"/>
      <c r="Q659" s="38"/>
      <c r="R659" s="38"/>
      <c r="S659" s="39"/>
      <c r="T659" s="30"/>
      <c r="U659" s="41"/>
      <c r="V659" s="42"/>
      <c r="Z659" s="33"/>
    </row>
    <row r="660" spans="1:26">
      <c r="A660" s="5"/>
      <c r="C660" s="27"/>
      <c r="D660" s="28"/>
      <c r="E660" s="28"/>
      <c r="F660" s="52"/>
      <c r="G660" s="28"/>
      <c r="H660" s="30"/>
      <c r="I660" s="46"/>
      <c r="J660" s="46"/>
      <c r="K660" s="46"/>
      <c r="L660" s="46"/>
      <c r="M660" s="45"/>
      <c r="N660" s="30"/>
      <c r="O660" s="46"/>
      <c r="P660" s="46"/>
      <c r="Q660" s="46"/>
      <c r="R660" s="46"/>
      <c r="S660" s="45"/>
      <c r="T660" s="30"/>
      <c r="U660" s="32"/>
      <c r="V660" s="34"/>
      <c r="Z660" s="33"/>
    </row>
    <row r="661" spans="1:26">
      <c r="A661" s="5"/>
      <c r="C661" s="35" t="str">
        <f>C610</f>
        <v>Agg. Emerging  Cellular</v>
      </c>
      <c r="D661" s="36"/>
      <c r="E661" s="36"/>
      <c r="F661" s="37"/>
      <c r="G661" s="36"/>
      <c r="H661" s="30"/>
      <c r="I661" s="38">
        <f>'EM CELLULAR'!D$18/1000</f>
        <v>644.04172001210907</v>
      </c>
      <c r="J661" s="38">
        <f>'EM CELLULAR'!$E$18/1000</f>
        <v>609.01840114077811</v>
      </c>
      <c r="K661" s="38">
        <f>'EM CELLULAR'!$F$18/1000</f>
        <v>573.3539099537627</v>
      </c>
      <c r="L661" s="38">
        <f>'EM CELLULAR'!$G$18/1000</f>
        <v>522.73756668950875</v>
      </c>
      <c r="M661" s="39">
        <f>(L625/I625)^(1/3)-1</f>
        <v>-6.4136797936974688E-2</v>
      </c>
      <c r="N661" s="30"/>
      <c r="O661" s="38"/>
      <c r="P661" s="38"/>
      <c r="Q661" s="38"/>
      <c r="R661" s="38"/>
      <c r="S661" s="39"/>
      <c r="T661" s="30"/>
      <c r="U661" s="41"/>
      <c r="V661" s="42"/>
      <c r="Z661" s="33"/>
    </row>
    <row r="662" spans="1:26">
      <c r="C662" s="27"/>
      <c r="D662" s="28"/>
      <c r="E662" s="28"/>
      <c r="F662" s="29"/>
      <c r="G662" s="28"/>
      <c r="H662" s="30"/>
      <c r="I662" s="31"/>
      <c r="J662" s="31"/>
      <c r="K662" s="31"/>
      <c r="L662" s="31"/>
      <c r="M662" s="29"/>
      <c r="N662" s="30"/>
      <c r="O662" s="31"/>
      <c r="P662" s="31"/>
      <c r="Q662" s="31"/>
      <c r="R662" s="31"/>
      <c r="S662" s="29"/>
      <c r="T662" s="30"/>
      <c r="U662" s="32"/>
      <c r="V662" s="34"/>
      <c r="Z662" s="33"/>
    </row>
    <row r="663" spans="1:26">
      <c r="C663" s="51" t="str">
        <f>C612</f>
        <v>Agg. EMEA sector</v>
      </c>
      <c r="D663" s="36"/>
      <c r="E663" s="36"/>
      <c r="F663" s="37"/>
      <c r="G663" s="36"/>
      <c r="H663" s="30"/>
      <c r="I663" s="38">
        <f>'EMEA AGG'!$D$18/1000</f>
        <v>96.657906703976622</v>
      </c>
      <c r="J663" s="38">
        <f>'EMEA AGG'!$E$18/1000</f>
        <v>93.854403506908071</v>
      </c>
      <c r="K663" s="38">
        <f>'EMEA AGG'!$F$18/1000</f>
        <v>87.754093487826935</v>
      </c>
      <c r="L663" s="38">
        <f>'EMEA AGG'!$G$18/1000</f>
        <v>80.762771976971067</v>
      </c>
      <c r="M663" s="39">
        <f>(L663/I663)^(1/3)-1</f>
        <v>-5.8129321502576436E-2</v>
      </c>
      <c r="N663" s="40"/>
      <c r="O663" s="38"/>
      <c r="P663" s="38"/>
      <c r="Q663" s="38"/>
      <c r="R663" s="38"/>
      <c r="S663" s="39"/>
      <c r="T663" s="30"/>
      <c r="U663" s="41"/>
      <c r="V663" s="42"/>
      <c r="Z663" s="33"/>
    </row>
    <row r="664" spans="1:26">
      <c r="C664" s="25" t="str">
        <f>C613</f>
        <v>Agg. LatAm sector</v>
      </c>
      <c r="D664" s="28"/>
      <c r="E664" s="28"/>
      <c r="F664" s="29"/>
      <c r="G664" s="28"/>
      <c r="H664" s="30"/>
      <c r="I664" s="44">
        <f>'LATAM AGG'!$D$18/1000</f>
        <v>186.44708007755119</v>
      </c>
      <c r="J664" s="44">
        <f>'LATAM AGG'!$E$18/1000</f>
        <v>176.95723689655418</v>
      </c>
      <c r="K664" s="44">
        <f>'LATAM AGG'!$F$18/1000</f>
        <v>165.17551392702035</v>
      </c>
      <c r="L664" s="44">
        <f>'LATAM AGG'!$G$18/1000</f>
        <v>152.08776294476755</v>
      </c>
      <c r="M664" s="43">
        <f>(L664/I664)^(1/3)-1</f>
        <v>-6.5642888954259848E-2</v>
      </c>
      <c r="N664" s="40"/>
      <c r="O664" s="44"/>
      <c r="P664" s="44"/>
      <c r="Q664" s="44"/>
      <c r="R664" s="44"/>
      <c r="S664" s="43"/>
      <c r="T664" s="30"/>
      <c r="U664" s="32"/>
      <c r="V664" s="34"/>
      <c r="Z664" s="33"/>
    </row>
    <row r="665" spans="1:26">
      <c r="C665" s="51" t="str">
        <f>C614</f>
        <v>Agg. Emerging Asia sector</v>
      </c>
      <c r="D665" s="36"/>
      <c r="E665" s="36"/>
      <c r="F665" s="37"/>
      <c r="G665" s="36"/>
      <c r="H665" s="30"/>
      <c r="I665" s="38">
        <f>'AGG EM ASIA'!$D$18/1000</f>
        <v>589.80131974053768</v>
      </c>
      <c r="J665" s="38">
        <f>'AGG EM ASIA'!$E$18/1000</f>
        <v>550.33159491947481</v>
      </c>
      <c r="K665" s="38">
        <f>'AGG EM ASIA'!$F$18/1000</f>
        <v>522.86684099636</v>
      </c>
      <c r="L665" s="38">
        <f>'AGG EM ASIA'!$G$18/1000</f>
        <v>472.20906759836419</v>
      </c>
      <c r="M665" s="39">
        <f>(L665/I665)^(1/3)-1</f>
        <v>-7.1440949259138908E-2</v>
      </c>
      <c r="N665" s="40"/>
      <c r="O665" s="38"/>
      <c r="P665" s="38"/>
      <c r="Q665" s="38"/>
      <c r="R665" s="38"/>
      <c r="S665" s="39"/>
      <c r="T665" s="30"/>
      <c r="U665" s="41"/>
      <c r="V665" s="42"/>
      <c r="Z665" s="33"/>
    </row>
    <row r="666" spans="1:26">
      <c r="C666" s="25"/>
      <c r="D666" s="28"/>
      <c r="E666" s="28"/>
      <c r="F666" s="29"/>
      <c r="G666" s="28"/>
      <c r="H666" s="30"/>
      <c r="I666" s="44"/>
      <c r="J666" s="44"/>
      <c r="K666" s="44"/>
      <c r="L666" s="44"/>
      <c r="M666" s="43"/>
      <c r="N666" s="40"/>
      <c r="O666" s="44"/>
      <c r="P666" s="44"/>
      <c r="Q666" s="44"/>
      <c r="R666" s="44"/>
      <c r="S666" s="43"/>
      <c r="T666" s="30"/>
      <c r="U666" s="32"/>
      <c r="V666" s="34"/>
      <c r="Z666" s="33"/>
    </row>
    <row r="667" spans="1:26">
      <c r="C667" s="51" t="str">
        <f>C616</f>
        <v>Agg. Global EM sector</v>
      </c>
      <c r="D667" s="36"/>
      <c r="E667" s="36"/>
      <c r="F667" s="37"/>
      <c r="G667" s="36"/>
      <c r="H667" s="30"/>
      <c r="I667" s="38">
        <f>'AGG EM'!$D$18/1000</f>
        <v>872.90630652206528</v>
      </c>
      <c r="J667" s="38">
        <f>'AGG EM'!$E$18/1000</f>
        <v>821.14323532293713</v>
      </c>
      <c r="K667" s="38">
        <f>'AGG EM'!$F$18/1000</f>
        <v>775.79644841120717</v>
      </c>
      <c r="L667" s="38">
        <f>'AGG EM'!$G$18/1000</f>
        <v>705.05960252010289</v>
      </c>
      <c r="M667" s="39">
        <f>(L667/I667)^(1/3)-1</f>
        <v>-6.8707582714456983E-2</v>
      </c>
      <c r="N667" s="40"/>
      <c r="O667" s="38"/>
      <c r="P667" s="38"/>
      <c r="Q667" s="38"/>
      <c r="R667" s="38"/>
      <c r="S667" s="39"/>
      <c r="T667" s="30"/>
      <c r="U667" s="41"/>
      <c r="V667" s="42"/>
      <c r="Z667" s="33"/>
    </row>
    <row r="668" spans="1:26">
      <c r="U668" s="5"/>
      <c r="V668" s="47"/>
      <c r="X668" s="1"/>
      <c r="Z668" s="33"/>
    </row>
    <row r="669" spans="1:26">
      <c r="U669" s="5"/>
      <c r="V669" s="47"/>
      <c r="X669" s="1"/>
      <c r="Z669" s="33"/>
    </row>
  </sheetData>
  <phoneticPr fontId="7" type="noConversion"/>
  <conditionalFormatting sqref="C8:G55 I8:M55 O8:S55 U8:V55 C59:G106 I59:M106 O59:S106 U59:V106 C110:G157 I110:M157 O110:S157 U110:V157 C161:G208 I161:M208 O161:S208 U161:V208 C212:G259 I212:M259 O212:S259 U212:V259 C263:G310 I263:M310 O263:S310 U263:V310 C314:G361 I314:M361 O314:S361 U314:V361 C365:G412 I365:M412 O365:S412 U365:V412 C416:G463 I416:M463 O416:S463 U416:V463 C467:G514 I467:M514 O467:S514 U467:V514 C518:G565 I518:M565 O518:S565 U518:V565 C569:G616 I569:M616 O569:S616 U569:V616 C620:G667 I620:M667 O620:S667 U620:V667">
    <cfRule type="expression" dxfId="2" priority="52">
      <formula>EVEN(ROW())=ROW()</formula>
    </cfRule>
  </conditionalFormatting>
  <hyperlinks>
    <hyperlink ref="Y1" location="Prices!A1" display="Jump to Prices" xr:uid="{83B29D5B-D30E-4ECA-AAEB-9ED957BF6088}"/>
  </hyperlinks>
  <printOptions horizontalCentered="1" verticalCentered="1"/>
  <pageMargins left="0.31496062992125984" right="0" top="0" bottom="0" header="0" footer="0"/>
  <pageSetup paperSize="9" scale="59"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56" max="22" man="1"/>
    <brk id="107" max="22" man="1"/>
    <brk id="158" max="22" man="1"/>
    <brk id="209" max="22" man="1"/>
    <brk id="260" max="22" man="1"/>
    <brk id="311" max="22" man="1"/>
    <brk id="362" max="22" man="1"/>
    <brk id="413" max="22" man="1"/>
    <brk id="464" max="22" man="1"/>
    <brk id="515" max="22" man="1"/>
    <brk id="566" max="22" man="1"/>
    <brk id="617" max="2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pageSetUpPr fitToPage="1"/>
  </sheetPr>
  <dimension ref="B1:AR48"/>
  <sheetViews>
    <sheetView showGridLines="0" zoomScale="80" zoomScaleNormal="80" workbookViewId="0">
      <selection activeCell="I31" sqref="I31"/>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642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1094</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Prices!C29</f>
        <v>5.65</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513.16314199999999</v>
      </c>
      <c r="E10" s="408">
        <v>513.16314199999999</v>
      </c>
      <c r="F10" s="408">
        <v>513.16314199999999</v>
      </c>
      <c r="G10" s="408">
        <v>513.16314199999999</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2899.3717523</v>
      </c>
      <c r="E11" s="409">
        <f>$C$9*E10</f>
        <v>2899.3717523</v>
      </c>
      <c r="F11" s="409">
        <f>$C$9*F10</f>
        <v>2899.3717523</v>
      </c>
      <c r="G11" s="409">
        <f>$C$9*G10</f>
        <v>2899.3717523</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1021.9999114600001</v>
      </c>
      <c r="E12" s="410">
        <v>898.85710394447153</v>
      </c>
      <c r="F12" s="410">
        <v>1021.6462304220968</v>
      </c>
      <c r="G12" s="410">
        <v>957.43235292143947</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692.80145845567574</v>
      </c>
      <c r="E13" s="410">
        <v>692.80145845567574</v>
      </c>
      <c r="F13" s="410">
        <v>483.48994615133404</v>
      </c>
      <c r="G13" s="410">
        <v>483.48994615133404</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0</v>
      </c>
      <c r="E14" s="410">
        <f t="shared" ref="E14:G15" si="2">D14</f>
        <v>0</v>
      </c>
      <c r="F14" s="410">
        <f t="shared" si="2"/>
        <v>0</v>
      </c>
      <c r="G14" s="410">
        <f t="shared" si="2"/>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0</v>
      </c>
      <c r="E15" s="410">
        <f t="shared" si="2"/>
        <v>0</v>
      </c>
      <c r="F15" s="410">
        <f t="shared" si="2"/>
        <v>0</v>
      </c>
      <c r="G15" s="410">
        <f t="shared" si="2"/>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230.92341389999999</v>
      </c>
      <c r="F16" s="410">
        <v>410.53051359999995</v>
      </c>
      <c r="G16" s="410">
        <v>577.56511632099989</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252.27272727272714</v>
      </c>
      <c r="E17" s="410">
        <v>252.27272727272714</v>
      </c>
      <c r="F17" s="410">
        <v>252.27272727272714</v>
      </c>
      <c r="G17" s="410">
        <v>252.27272727272714</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4361.9003949429489</v>
      </c>
      <c r="E18" s="411">
        <f>E11+E12+E13-E14+E15-E16-E17</f>
        <v>4007.8341735274198</v>
      </c>
      <c r="F18" s="411">
        <f>F11+F12+F13-F14+F15-F16-F17</f>
        <v>3741.7046880007038</v>
      </c>
      <c r="G18" s="411">
        <f>G11+G12+G13-G14+G15-G16-G17</f>
        <v>3510.4562077790465</v>
      </c>
      <c r="H18" s="230">
        <f>IF(D18=0,"nm",IF(G18=0,"nm",(G18/D18)^(1/3)-1))</f>
        <v>-6.9829407331336246E-2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1910.387143012965</v>
      </c>
      <c r="D23" s="416">
        <v>1823.1701208901243</v>
      </c>
      <c r="E23" s="416">
        <v>1827.1646197864529</v>
      </c>
      <c r="F23" s="416">
        <v>1807.9352982358048</v>
      </c>
      <c r="G23" s="416">
        <v>1788.3378064018402</v>
      </c>
      <c r="H23" s="233">
        <f t="shared" ref="H23:H33" si="4">IF(D23=0,"nm",IF(G23=0,"nm",(G23/D23)^(1/3)-1))</f>
        <v>-6.4094452711144223E-3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400</v>
      </c>
      <c r="C24" s="422">
        <v>657.50145238159052</v>
      </c>
      <c r="D24" s="416">
        <v>680.47051769899281</v>
      </c>
      <c r="E24" s="416">
        <v>687.59040825455577</v>
      </c>
      <c r="F24" s="416">
        <v>670.96887658020592</v>
      </c>
      <c r="G24" s="416">
        <v>648.85400182870831</v>
      </c>
      <c r="H24" s="233">
        <f t="shared" si="4"/>
        <v>-1.5733830763602685E-2</v>
      </c>
      <c r="I24" s="209"/>
      <c r="J24" s="13"/>
      <c r="K24" s="13"/>
      <c r="L24" s="13"/>
      <c r="M24" s="13"/>
      <c r="N24" s="13"/>
      <c r="O24" s="208"/>
      <c r="S24" s="72"/>
      <c r="T24" s="26"/>
      <c r="U24" s="26"/>
      <c r="V24" s="26"/>
      <c r="W24" s="26" t="s">
        <v>640</v>
      </c>
      <c r="X24" s="26" t="s">
        <v>206</v>
      </c>
    </row>
    <row r="25" spans="2:24">
      <c r="B25" s="5" t="s">
        <v>335</v>
      </c>
      <c r="C25" s="422">
        <v>282.02154826158966</v>
      </c>
      <c r="D25" s="416">
        <v>314.13632831899281</v>
      </c>
      <c r="E25" s="416">
        <v>343.83206489365926</v>
      </c>
      <c r="F25" s="416">
        <v>328.15244278671923</v>
      </c>
      <c r="G25" s="416">
        <v>306.76172685935188</v>
      </c>
      <c r="H25" s="233">
        <f t="shared" si="4"/>
        <v>-7.8873126453591347E-3</v>
      </c>
      <c r="I25" s="208"/>
      <c r="J25" s="207" t="s">
        <v>8</v>
      </c>
      <c r="K25" s="207"/>
      <c r="L25" s="252">
        <v>238.66157663977344</v>
      </c>
      <c r="M25" s="252">
        <v>0</v>
      </c>
      <c r="N25" s="252">
        <v>0</v>
      </c>
      <c r="O25" s="252">
        <v>0</v>
      </c>
      <c r="P25" s="233" t="str">
        <f>IF(L25=0,"nm",IF(O25=0,"nm",(O25/L25)^(1/3)-1))</f>
        <v>nm</v>
      </c>
      <c r="S25" s="72"/>
      <c r="T25" s="26"/>
      <c r="U25" s="26"/>
      <c r="V25" s="113" t="s">
        <v>225</v>
      </c>
      <c r="W25" s="242">
        <f>D37/L9</f>
        <v>1.7767639504344468</v>
      </c>
      <c r="X25" s="242">
        <v>1</v>
      </c>
    </row>
    <row r="26" spans="2:24">
      <c r="B26" s="5" t="s">
        <v>336</v>
      </c>
      <c r="C26" s="422">
        <v>218.56669990273198</v>
      </c>
      <c r="D26" s="416">
        <v>243.45565444721944</v>
      </c>
      <c r="E26" s="416">
        <v>266.46985029258593</v>
      </c>
      <c r="F26" s="416">
        <v>254.3181431597074</v>
      </c>
      <c r="G26" s="416">
        <v>237.74033831599772</v>
      </c>
      <c r="H26" s="233">
        <f t="shared" si="4"/>
        <v>-7.8873126453591347E-3</v>
      </c>
      <c r="I26" s="209"/>
      <c r="J26" s="209" t="s">
        <v>9</v>
      </c>
      <c r="K26" s="209"/>
      <c r="L26" s="235">
        <f>D11+L25</f>
        <v>3138.0333289397736</v>
      </c>
      <c r="M26" s="235">
        <f>E11+M25</f>
        <v>2899.3717523</v>
      </c>
      <c r="N26" s="235">
        <f>F11+N25</f>
        <v>2899.3717523</v>
      </c>
      <c r="O26" s="235">
        <f>G11+O25</f>
        <v>2899.3717523</v>
      </c>
      <c r="P26" s="233">
        <f>IF(L26=0,"nm",IF(O26=0,"nm",(O26/L26)^(1/3)-1))</f>
        <v>-2.6022815009880573E-2</v>
      </c>
      <c r="Q26" s="5"/>
      <c r="S26" s="72"/>
      <c r="T26" s="26"/>
      <c r="U26" s="26"/>
      <c r="V26" s="113" t="s">
        <v>158</v>
      </c>
      <c r="W26" s="242">
        <f t="shared" ref="W26:W33" si="6">D38/L10</f>
        <v>0.96141755148817731</v>
      </c>
      <c r="X26" s="242">
        <v>1</v>
      </c>
    </row>
    <row r="27" spans="2:24">
      <c r="B27" s="5" t="s">
        <v>488</v>
      </c>
      <c r="C27" s="422">
        <v>2056.127521201407</v>
      </c>
      <c r="D27" s="416">
        <v>2206.9276263454572</v>
      </c>
      <c r="E27" s="416">
        <v>2094.0750092113431</v>
      </c>
      <c r="F27" s="416">
        <v>2304.049033091741</v>
      </c>
      <c r="G27" s="416">
        <v>2344.3791034418564</v>
      </c>
      <c r="H27" s="233">
        <f t="shared" si="4"/>
        <v>2.0343925924479311E-2</v>
      </c>
      <c r="I27" s="209"/>
      <c r="J27" s="208"/>
      <c r="K27" s="208"/>
      <c r="L27" s="208"/>
      <c r="M27" s="208"/>
      <c r="N27" s="208"/>
      <c r="O27" s="208"/>
      <c r="Q27" s="25"/>
      <c r="S27" s="72"/>
      <c r="T27" s="26"/>
      <c r="U27" s="26"/>
      <c r="V27" s="113" t="s">
        <v>159</v>
      </c>
      <c r="W27" s="242">
        <f t="shared" si="6"/>
        <v>0.88334675562966336</v>
      </c>
      <c r="X27" s="242">
        <v>1</v>
      </c>
    </row>
    <row r="28" spans="2:24" ht="12.6" thickBot="1">
      <c r="B28" s="5" t="s">
        <v>492</v>
      </c>
      <c r="C28" s="422">
        <v>1714.595284718268</v>
      </c>
      <c r="D28" s="416">
        <v>1575.1853142182676</v>
      </c>
      <c r="E28" s="416">
        <v>1413.1994976991641</v>
      </c>
      <c r="F28" s="416">
        <v>1302.280497156532</v>
      </c>
      <c r="G28" s="416">
        <v>1226.2500598217814</v>
      </c>
      <c r="H28" s="233">
        <f t="shared" si="4"/>
        <v>-8.0081973769157933E-2</v>
      </c>
      <c r="I28" s="208"/>
      <c r="J28" s="249" t="s">
        <v>1073</v>
      </c>
      <c r="K28" s="249"/>
      <c r="L28" s="249"/>
      <c r="M28" s="249"/>
      <c r="N28" s="220"/>
      <c r="O28" s="220"/>
      <c r="P28" s="220"/>
      <c r="Q28" s="5"/>
      <c r="S28" s="72"/>
      <c r="T28" s="26"/>
      <c r="U28" s="26"/>
      <c r="V28" s="113" t="s">
        <v>381</v>
      </c>
      <c r="W28" s="242">
        <f t="shared" si="6"/>
        <v>0.84792681076832044</v>
      </c>
      <c r="X28" s="242">
        <v>1</v>
      </c>
    </row>
    <row r="29" spans="2:24" ht="12.6" thickTop="1">
      <c r="B29" s="5" t="s">
        <v>489</v>
      </c>
      <c r="C29" s="422">
        <v>227.66898646050265</v>
      </c>
      <c r="D29" s="416">
        <v>171.21265709421198</v>
      </c>
      <c r="E29" s="416">
        <v>227.02136805728594</v>
      </c>
      <c r="F29" s="416">
        <v>197.29893790747991</v>
      </c>
      <c r="G29" s="416">
        <v>162.47725187500197</v>
      </c>
      <c r="H29" s="233">
        <f t="shared" si="4"/>
        <v>-1.7304654137962228E-2</v>
      </c>
      <c r="I29" s="212"/>
      <c r="J29" s="209"/>
      <c r="K29" s="209"/>
      <c r="L29" s="209"/>
      <c r="M29" s="209"/>
      <c r="N29" s="209"/>
      <c r="O29" s="211"/>
      <c r="Q29" s="5"/>
      <c r="S29" s="72"/>
      <c r="T29" s="26"/>
      <c r="U29" s="26"/>
      <c r="V29" s="113" t="s">
        <v>434</v>
      </c>
      <c r="W29" s="242">
        <f t="shared" si="6"/>
        <v>1.6306381992964916</v>
      </c>
      <c r="X29" s="242">
        <v>1</v>
      </c>
    </row>
    <row r="30" spans="2:24">
      <c r="B30" s="5" t="s">
        <v>490</v>
      </c>
      <c r="C30" s="422">
        <v>154.14924538494876</v>
      </c>
      <c r="D30" s="416">
        <v>232.52163348299985</v>
      </c>
      <c r="E30" s="416">
        <v>227.76599598150307</v>
      </c>
      <c r="F30" s="416">
        <v>253.34438880286098</v>
      </c>
      <c r="G30" s="416">
        <v>258.13094227186167</v>
      </c>
      <c r="H30" s="233">
        <f t="shared" si="4"/>
        <v>3.5441499651144071E-2</v>
      </c>
      <c r="I30" s="214"/>
      <c r="J30" s="208"/>
      <c r="K30" s="208"/>
      <c r="L30" s="208"/>
      <c r="M30" s="208"/>
      <c r="N30" s="208"/>
      <c r="O30" s="5"/>
      <c r="Q30" s="5"/>
      <c r="S30" s="72"/>
      <c r="T30" s="26"/>
      <c r="U30" s="26"/>
      <c r="V30" s="113" t="s">
        <v>493</v>
      </c>
      <c r="W30" s="242">
        <f t="shared" si="6"/>
        <v>0.92413437711602708</v>
      </c>
      <c r="X30" s="242">
        <v>1</v>
      </c>
    </row>
    <row r="31" spans="2:24">
      <c r="B31" s="5" t="s">
        <v>491</v>
      </c>
      <c r="C31" s="422">
        <v>179.60709969999999</v>
      </c>
      <c r="D31" s="416">
        <v>179.60709969999999</v>
      </c>
      <c r="E31" s="416">
        <v>179.60709969999999</v>
      </c>
      <c r="F31" s="416">
        <v>167.03460272099997</v>
      </c>
      <c r="G31" s="416">
        <v>150.33114244889998</v>
      </c>
      <c r="H31" s="233">
        <f t="shared" si="4"/>
        <v>-5.7585804282582087E-2</v>
      </c>
      <c r="I31" s="214"/>
      <c r="J31" s="212"/>
      <c r="K31" s="212"/>
      <c r="L31" s="212"/>
      <c r="M31" s="212"/>
      <c r="N31" s="212"/>
      <c r="O31" s="5"/>
      <c r="Q31" s="5"/>
      <c r="S31" s="72"/>
      <c r="T31" s="26"/>
      <c r="U31" s="26"/>
      <c r="V31" s="113" t="s">
        <v>390</v>
      </c>
      <c r="W31" s="242">
        <f t="shared" si="6"/>
        <v>0.89412336665593617</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0.52856468816365321</v>
      </c>
      <c r="X32" s="242">
        <v>1</v>
      </c>
    </row>
    <row r="33" spans="2:24">
      <c r="B33" s="5" t="s">
        <v>3</v>
      </c>
      <c r="C33" s="422">
        <v>73.320077681649934</v>
      </c>
      <c r="D33" s="416">
        <v>65.288310009999975</v>
      </c>
      <c r="E33" s="416">
        <v>49.895465281464951</v>
      </c>
      <c r="F33" s="416">
        <v>51.757589047461423</v>
      </c>
      <c r="G33" s="416">
        <v>56.362135505826579</v>
      </c>
      <c r="H33" s="233">
        <f t="shared" si="4"/>
        <v>-4.7823765686226927E-2</v>
      </c>
      <c r="I33" s="5"/>
      <c r="J33" s="214"/>
      <c r="K33" s="214"/>
      <c r="L33" s="214"/>
      <c r="M33" s="214"/>
      <c r="N33" s="214"/>
      <c r="O33" s="211"/>
      <c r="Q33" s="5"/>
      <c r="S33" s="72"/>
      <c r="T33" s="26"/>
      <c r="U33" s="26"/>
      <c r="V33" s="113" t="s">
        <v>481</v>
      </c>
      <c r="W33" s="242">
        <f t="shared" si="6"/>
        <v>1.6052486021706716</v>
      </c>
      <c r="X33" s="242">
        <v>1</v>
      </c>
    </row>
    <row r="34" spans="2:24">
      <c r="B34" s="5"/>
      <c r="C34" s="207"/>
      <c r="D34" s="13"/>
      <c r="E34" s="13"/>
      <c r="F34" s="13"/>
      <c r="G34" s="13"/>
      <c r="H34" s="231"/>
      <c r="I34" s="33"/>
      <c r="J34" s="214"/>
      <c r="K34" s="214"/>
      <c r="L34" s="214"/>
      <c r="M34" s="214"/>
      <c r="N34" s="214"/>
      <c r="O34" s="211"/>
      <c r="Q34" s="5"/>
      <c r="S34" s="72"/>
      <c r="T34" s="26"/>
      <c r="U34" s="26"/>
      <c r="V34" s="113" t="s">
        <v>482</v>
      </c>
      <c r="W34" s="242">
        <f>D47/L19</f>
        <v>1.1184138982297795</v>
      </c>
      <c r="X34" s="242">
        <v>1</v>
      </c>
    </row>
    <row r="35" spans="2:24" ht="12.6" thickBot="1">
      <c r="B35" s="249" t="s">
        <v>641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8">D$18/D23</f>
        <v>2.3924812857361566</v>
      </c>
      <c r="E37" s="406">
        <f t="shared" si="8"/>
        <v>2.1934718580506605</v>
      </c>
      <c r="F37" s="406">
        <f t="shared" si="8"/>
        <v>2.069600992719089</v>
      </c>
      <c r="G37" s="406">
        <f t="shared" si="8"/>
        <v>1.9629715343557668</v>
      </c>
      <c r="H37" s="13">
        <f t="shared" ref="H37:H45" si="9">H23</f>
        <v>-6.4094452711144223E-3</v>
      </c>
      <c r="I37" s="5"/>
      <c r="J37" s="217"/>
      <c r="K37" s="217"/>
      <c r="L37" s="217"/>
      <c r="M37" s="217"/>
      <c r="N37" s="217"/>
      <c r="O37" s="14"/>
      <c r="Q37" s="5"/>
      <c r="R37" s="5"/>
      <c r="S37" s="26"/>
      <c r="T37" s="26"/>
      <c r="U37" s="26"/>
      <c r="V37" s="26"/>
      <c r="W37" s="26"/>
      <c r="X37" s="26"/>
    </row>
    <row r="38" spans="2:24">
      <c r="B38" s="5" t="s">
        <v>337</v>
      </c>
      <c r="C38" s="207"/>
      <c r="D38" s="406">
        <f>D$18/D24</f>
        <v>6.4101239972786628</v>
      </c>
      <c r="E38" s="406">
        <f t="shared" si="8"/>
        <v>5.8288104741037374</v>
      </c>
      <c r="F38" s="406">
        <f t="shared" si="8"/>
        <v>5.5765696720113516</v>
      </c>
      <c r="G38" s="406">
        <f t="shared" si="8"/>
        <v>5.4102405130973912</v>
      </c>
      <c r="H38" s="13">
        <f t="shared" si="9"/>
        <v>-1.5733830763602685E-2</v>
      </c>
      <c r="I38" s="217"/>
      <c r="J38" s="13"/>
      <c r="K38" s="13"/>
      <c r="L38" s="13"/>
      <c r="M38" s="13"/>
      <c r="N38" s="13"/>
      <c r="O38" s="5"/>
      <c r="Q38" s="5"/>
      <c r="R38" s="5"/>
      <c r="S38" s="26"/>
      <c r="T38" s="26"/>
      <c r="U38" s="26"/>
      <c r="V38" s="26"/>
      <c r="W38" s="26"/>
      <c r="X38" s="26"/>
    </row>
    <row r="39" spans="2:24">
      <c r="B39" s="5" t="s">
        <v>338</v>
      </c>
      <c r="C39" s="207"/>
      <c r="D39" s="406">
        <f t="shared" si="8"/>
        <v>13.885373965769455</v>
      </c>
      <c r="E39" s="406">
        <f t="shared" si="8"/>
        <v>11.656371184482072</v>
      </c>
      <c r="F39" s="406">
        <f t="shared" si="8"/>
        <v>11.402336841455734</v>
      </c>
      <c r="G39" s="406">
        <f t="shared" si="8"/>
        <v>11.443592535872529</v>
      </c>
      <c r="H39" s="13">
        <f t="shared" si="9"/>
        <v>-7.8873126453591347E-3</v>
      </c>
      <c r="I39" s="13"/>
      <c r="J39" s="5"/>
      <c r="K39" s="5"/>
      <c r="L39" s="5"/>
      <c r="M39" s="5"/>
      <c r="N39" s="5"/>
      <c r="O39" s="5"/>
      <c r="Q39" s="5"/>
      <c r="R39" s="5"/>
      <c r="S39" s="26"/>
      <c r="T39" s="26"/>
      <c r="U39" s="26"/>
      <c r="V39" s="26"/>
      <c r="W39" s="26"/>
      <c r="X39" s="26"/>
    </row>
    <row r="40" spans="2:24">
      <c r="B40" s="5" t="s">
        <v>339</v>
      </c>
      <c r="C40" s="207"/>
      <c r="D40" s="406">
        <f>D$18/D26</f>
        <v>17.91661156873478</v>
      </c>
      <c r="E40" s="406">
        <f t="shared" si="8"/>
        <v>15.040478947718803</v>
      </c>
      <c r="F40" s="406">
        <f t="shared" si="8"/>
        <v>14.71269269865256</v>
      </c>
      <c r="G40" s="406">
        <f>G$18/G26</f>
        <v>14.765925852738746</v>
      </c>
      <c r="H40" s="13">
        <f t="shared" si="9"/>
        <v>-7.8873126453591347E-3</v>
      </c>
      <c r="I40" s="5"/>
      <c r="J40" s="217"/>
      <c r="K40" s="217"/>
      <c r="L40" s="217"/>
      <c r="M40" s="217"/>
      <c r="N40" s="217"/>
      <c r="O40" s="14"/>
      <c r="Q40" s="5"/>
      <c r="R40" s="5"/>
      <c r="S40" s="26"/>
      <c r="T40" s="26"/>
      <c r="U40" s="26"/>
      <c r="V40" s="26"/>
      <c r="W40" s="242"/>
      <c r="X40" s="242"/>
    </row>
    <row r="41" spans="2:24">
      <c r="B41" s="5" t="s">
        <v>434</v>
      </c>
      <c r="C41" s="207"/>
      <c r="D41" s="406">
        <f t="shared" si="8"/>
        <v>1.9764582865664699</v>
      </c>
      <c r="E41" s="406">
        <f t="shared" si="8"/>
        <v>1.9138923657929638</v>
      </c>
      <c r="F41" s="406">
        <f t="shared" si="8"/>
        <v>1.6239692099693779</v>
      </c>
      <c r="G41" s="406">
        <f t="shared" si="8"/>
        <v>1.4973927222884882</v>
      </c>
      <c r="H41" s="13">
        <f t="shared" si="9"/>
        <v>2.0343925924479311E-2</v>
      </c>
      <c r="I41" s="207"/>
      <c r="J41" s="13"/>
      <c r="K41" s="13"/>
      <c r="L41" s="13"/>
      <c r="M41" s="13"/>
      <c r="N41" s="13"/>
      <c r="O41" s="5"/>
      <c r="Q41" s="5"/>
      <c r="R41" s="5"/>
      <c r="S41" s="26"/>
      <c r="T41" s="26"/>
      <c r="U41" s="26"/>
      <c r="V41" s="26"/>
      <c r="W41" s="242"/>
      <c r="X41" s="242"/>
    </row>
    <row r="42" spans="2:24">
      <c r="B42" s="5" t="s">
        <v>493</v>
      </c>
      <c r="C42" s="207"/>
      <c r="D42" s="406">
        <f>D18/D28</f>
        <v>2.769134752318124</v>
      </c>
      <c r="E42" s="406">
        <f>E18/E28</f>
        <v>2.8360002816676562</v>
      </c>
      <c r="F42" s="406">
        <f>F18/F28</f>
        <v>2.8731941361101079</v>
      </c>
      <c r="G42" s="406">
        <f>G18/G28</f>
        <v>2.8627572163293049</v>
      </c>
      <c r="H42" s="13">
        <f t="shared" si="9"/>
        <v>-8.0081973769157933E-2</v>
      </c>
      <c r="I42" s="208"/>
      <c r="J42" s="5"/>
      <c r="K42" s="5"/>
      <c r="L42" s="5"/>
      <c r="M42" s="5"/>
      <c r="N42" s="5"/>
      <c r="O42" s="5"/>
      <c r="Q42" s="5"/>
      <c r="R42" s="5"/>
      <c r="S42" s="26"/>
      <c r="T42" s="26"/>
      <c r="U42" s="26"/>
      <c r="V42" s="26"/>
      <c r="W42" s="242"/>
      <c r="X42" s="242"/>
    </row>
    <row r="43" spans="2:24">
      <c r="B43" s="5" t="s">
        <v>390</v>
      </c>
      <c r="C43" s="207"/>
      <c r="D43" s="406">
        <f>L26/D29</f>
        <v>18.328278891279808</v>
      </c>
      <c r="E43" s="406">
        <f>M26/E29</f>
        <v>12.771360586499419</v>
      </c>
      <c r="F43" s="406">
        <f>N26/F29</f>
        <v>14.695323670011913</v>
      </c>
      <c r="G43" s="406">
        <f>O26/G29</f>
        <v>17.844785770567828</v>
      </c>
      <c r="H43" s="13">
        <f t="shared" si="9"/>
        <v>-1.7304654137962228E-2</v>
      </c>
      <c r="I43" s="207"/>
      <c r="J43" s="207"/>
      <c r="K43" s="207"/>
      <c r="L43" s="207"/>
      <c r="M43" s="207"/>
      <c r="N43" s="207"/>
      <c r="O43" s="14"/>
      <c r="Q43" s="5"/>
      <c r="R43" s="5"/>
      <c r="S43" s="26"/>
      <c r="T43" s="26"/>
      <c r="U43" s="26"/>
      <c r="V43" s="26"/>
      <c r="W43" s="242"/>
      <c r="X43" s="242"/>
    </row>
    <row r="44" spans="2:24">
      <c r="B44" s="5" t="s">
        <v>437</v>
      </c>
      <c r="C44" s="53"/>
      <c r="D44" s="406">
        <f>D11/D30</f>
        <v>12.469255909093635</v>
      </c>
      <c r="E44" s="406">
        <f>E11/E30</f>
        <v>12.729607594873199</v>
      </c>
      <c r="F44" s="406">
        <f>F11/F30</f>
        <v>11.444389062653114</v>
      </c>
      <c r="G44" s="406">
        <f>G11/G30</f>
        <v>11.232174363840514</v>
      </c>
      <c r="H44" s="13">
        <f t="shared" si="9"/>
        <v>3.5441499651144071E-2</v>
      </c>
      <c r="I44" s="207"/>
      <c r="J44" s="208"/>
      <c r="K44" s="208"/>
      <c r="L44" s="208"/>
      <c r="M44" s="208"/>
      <c r="N44" s="208"/>
      <c r="O44" s="208"/>
      <c r="Q44" s="5"/>
      <c r="R44" s="5"/>
      <c r="S44" s="26"/>
      <c r="T44" s="26"/>
      <c r="U44" s="26"/>
      <c r="V44" s="26"/>
      <c r="W44" s="255"/>
      <c r="X44" s="255"/>
    </row>
    <row r="45" spans="2:24">
      <c r="B45" s="5" t="s">
        <v>481</v>
      </c>
      <c r="C45" s="207"/>
      <c r="D45" s="208">
        <f>D31/D11</f>
        <v>6.1946902654867256E-2</v>
      </c>
      <c r="E45" s="208">
        <f>E31/E11</f>
        <v>6.1946902654867256E-2</v>
      </c>
      <c r="F45" s="208">
        <f>F31/F11</f>
        <v>5.7610619469026535E-2</v>
      </c>
      <c r="G45" s="208">
        <f>G31/G11</f>
        <v>5.184955752212389E-2</v>
      </c>
      <c r="H45" s="13">
        <f t="shared" si="9"/>
        <v>-5.7585804282582087E-2</v>
      </c>
      <c r="I45" s="208"/>
      <c r="J45" s="207"/>
      <c r="K45" s="207"/>
      <c r="L45" s="207"/>
      <c r="M45" s="207"/>
      <c r="N45" s="207"/>
      <c r="O45" s="208"/>
      <c r="Q45" s="5"/>
      <c r="R45" s="5"/>
      <c r="S45" s="26"/>
      <c r="T45" s="26"/>
      <c r="U45" s="26"/>
      <c r="V45" s="26"/>
      <c r="W45" s="26"/>
      <c r="X45" s="26"/>
    </row>
    <row r="46" spans="2:24">
      <c r="B46" s="5" t="s">
        <v>505</v>
      </c>
      <c r="C46" s="207"/>
      <c r="D46" s="208">
        <f>(D31+D32)/D11</f>
        <v>6.1946902654867256E-2</v>
      </c>
      <c r="E46" s="208">
        <f>(E31+E32)/E11</f>
        <v>6.1946902654867256E-2</v>
      </c>
      <c r="F46" s="208">
        <f>(F31+F32)/F11</f>
        <v>5.7610619469026535E-2</v>
      </c>
      <c r="G46" s="208">
        <f>(G31+G32)/G11</f>
        <v>5.184955752212389E-2</v>
      </c>
      <c r="H46" s="233">
        <f>((G31+G32)/(D31+D32))^(1/3)-1</f>
        <v>-5.7585804282582087E-2</v>
      </c>
      <c r="I46" s="207"/>
      <c r="J46" s="207"/>
      <c r="K46" s="207"/>
      <c r="L46" s="207"/>
      <c r="M46" s="207"/>
      <c r="N46" s="207"/>
      <c r="O46" s="14"/>
      <c r="Q46" s="5"/>
      <c r="R46" s="5"/>
      <c r="S46" s="26"/>
      <c r="T46" s="26"/>
      <c r="U46" s="26"/>
      <c r="V46" s="26"/>
      <c r="W46" s="26"/>
      <c r="X46" s="26"/>
    </row>
    <row r="47" spans="2:24">
      <c r="B47" s="5" t="s">
        <v>482</v>
      </c>
      <c r="C47" s="5"/>
      <c r="D47" s="208">
        <f>1/D43</f>
        <v>5.4560496701944995E-2</v>
      </c>
      <c r="E47" s="208">
        <f>1/E43</f>
        <v>7.8300193094312756E-2</v>
      </c>
      <c r="F47" s="208">
        <f>1/F43</f>
        <v>6.804885842975035E-2</v>
      </c>
      <c r="G47" s="208">
        <f>1/G43</f>
        <v>5.6038778658208548E-2</v>
      </c>
      <c r="H47" s="13">
        <f>H29</f>
        <v>-1.7304654137962228E-2</v>
      </c>
      <c r="I47" s="13"/>
      <c r="J47" s="208"/>
      <c r="K47" s="208"/>
      <c r="L47" s="208"/>
      <c r="M47" s="208"/>
      <c r="N47" s="208"/>
      <c r="O47" s="208"/>
      <c r="Q47" s="5"/>
      <c r="R47" s="5"/>
      <c r="S47" s="26"/>
      <c r="T47" s="26"/>
      <c r="U47" s="26"/>
      <c r="V47" s="26"/>
      <c r="W47" s="26"/>
      <c r="X47" s="26"/>
    </row>
    <row r="48" spans="2:24">
      <c r="B48" s="5" t="s">
        <v>518</v>
      </c>
      <c r="C48" s="5"/>
      <c r="D48" s="248">
        <f>D31/D29</f>
        <v>1.0490293343275952</v>
      </c>
      <c r="E48" s="248">
        <f>E31/E29</f>
        <v>0.79114623102208792</v>
      </c>
      <c r="F48" s="248">
        <f>F31/F29</f>
        <v>0.84660669992723481</v>
      </c>
      <c r="G48" s="248">
        <f>G31/G29</f>
        <v>0.92524424628103441</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7">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332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439</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795</v>
      </c>
      <c r="C9" s="241">
        <f>Prices!C60/1000</f>
        <v>0.1515</v>
      </c>
      <c r="D9" s="412">
        <v>0</v>
      </c>
      <c r="E9" s="413">
        <v>0</v>
      </c>
      <c r="F9" s="413">
        <v>0</v>
      </c>
      <c r="G9" s="413">
        <v>0</v>
      </c>
      <c r="H9" s="209"/>
      <c r="I9" s="209"/>
      <c r="J9" s="5" t="s">
        <v>225</v>
      </c>
      <c r="L9" s="406">
        <f>'AGG ASIA INCUMB'!D37</f>
        <v>1.1353891943134662</v>
      </c>
      <c r="M9" s="406">
        <f>'AGG ASIA INCUMB'!E37</f>
        <v>1.0420024027378185</v>
      </c>
      <c r="N9" s="406">
        <f>'AGG ASIA INCUMB'!F37</f>
        <v>0.97362964111173989</v>
      </c>
      <c r="O9" s="406">
        <f>'AGG ASIA INCUMB'!G37</f>
        <v>0.87129606684247685</v>
      </c>
      <c r="P9" s="240">
        <f>'AGG ASIA CELLULAR'!H37</f>
        <v>4.2453225639905945E-2</v>
      </c>
    </row>
    <row r="10" spans="2:44">
      <c r="B10" s="5" t="s">
        <v>226</v>
      </c>
      <c r="C10" s="5"/>
      <c r="D10" s="408">
        <v>81204.608328711649</v>
      </c>
      <c r="E10" s="408">
        <v>79670.865997423301</v>
      </c>
      <c r="F10" s="408">
        <v>78137.123666134954</v>
      </c>
      <c r="G10" s="408">
        <v>76603.381334846606</v>
      </c>
      <c r="H10" s="207"/>
      <c r="I10" s="207"/>
      <c r="J10" s="5" t="s">
        <v>158</v>
      </c>
      <c r="L10" s="406">
        <f>'AGG ASIA INCUMB'!D38</f>
        <v>4.3103578846804975</v>
      </c>
      <c r="M10" s="406">
        <f>'AGG ASIA INCUMB'!E38</f>
        <v>3.9128368380348117</v>
      </c>
      <c r="N10" s="406">
        <f>'AGG ASIA INCUMB'!F38</f>
        <v>3.6397486062260676</v>
      </c>
      <c r="O10" s="406">
        <f>'AGG ASIA INCUMB'!G38</f>
        <v>3.2391229175829546</v>
      </c>
      <c r="P10" s="240">
        <f>'AGG ASIA CELLULAR'!H38</f>
        <v>6.2023194374214885E-2</v>
      </c>
    </row>
    <row r="11" spans="2:44">
      <c r="B11" s="25" t="s">
        <v>728</v>
      </c>
      <c r="C11" s="5"/>
      <c r="D11" s="409">
        <f>($C$9*D10)</f>
        <v>12302.498161799815</v>
      </c>
      <c r="E11" s="409">
        <f>($C$9*E10)</f>
        <v>12070.136198609629</v>
      </c>
      <c r="F11" s="409">
        <f>($C$9*F10)</f>
        <v>11837.774235419445</v>
      </c>
      <c r="G11" s="409">
        <f>($C$9*G10)</f>
        <v>11605.412272229261</v>
      </c>
      <c r="H11" s="209"/>
      <c r="I11" s="209"/>
      <c r="J11" s="5" t="s">
        <v>159</v>
      </c>
      <c r="L11" s="406">
        <f>'AGG ASIA INCUMB'!D39</f>
        <v>10.190705463747499</v>
      </c>
      <c r="M11" s="406">
        <f>'AGG ASIA INCUMB'!E39</f>
        <v>8.5583839118103686</v>
      </c>
      <c r="N11" s="406">
        <f>'AGG ASIA INCUMB'!F39</f>
        <v>7.5238379752898625</v>
      </c>
      <c r="O11" s="406">
        <f>'AGG ASIA INCUMB'!G39</f>
        <v>6.4065644587599344</v>
      </c>
      <c r="P11" s="240">
        <f>'AGG ASIA CELLULAR'!H39</f>
        <v>9.9519809908189316E-2</v>
      </c>
    </row>
    <row r="12" spans="2:44">
      <c r="B12" s="5" t="s">
        <v>22</v>
      </c>
      <c r="C12" s="209"/>
      <c r="D12" s="410">
        <v>6146.6751934687099</v>
      </c>
      <c r="E12" s="410">
        <v>5882.6233011110762</v>
      </c>
      <c r="F12" s="410">
        <v>5456.2854228067445</v>
      </c>
      <c r="G12" s="410">
        <v>4871.256251078823</v>
      </c>
      <c r="H12" s="207"/>
      <c r="I12" s="207"/>
      <c r="J12" s="5" t="s">
        <v>381</v>
      </c>
      <c r="L12" s="406">
        <f>'AGG ASIA INCUMB'!D40</f>
        <v>13.344931401968319</v>
      </c>
      <c r="M12" s="406">
        <f>'AGG ASIA INCUMB'!E40</f>
        <v>11.238034837553611</v>
      </c>
      <c r="N12" s="406">
        <f>'AGG ASIA INCUMB'!F40</f>
        <v>9.8913843223038338</v>
      </c>
      <c r="O12" s="406">
        <f>'AGG ASIA INCUMB'!G40</f>
        <v>8.4309901634846316</v>
      </c>
      <c r="P12" s="240">
        <f>'AGG ASIA CELLULAR'!H40</f>
        <v>9.3976312177183274E-2</v>
      </c>
    </row>
    <row r="13" spans="2:44">
      <c r="B13" s="5" t="s">
        <v>433</v>
      </c>
      <c r="C13" s="216"/>
      <c r="D13" s="410">
        <v>1103.5728899999999</v>
      </c>
      <c r="E13" s="410">
        <v>1103.5728899999999</v>
      </c>
      <c r="F13" s="410">
        <v>1103.5728899999999</v>
      </c>
      <c r="G13" s="410">
        <v>1103.5728899999999</v>
      </c>
      <c r="H13" s="207"/>
      <c r="I13" s="207"/>
      <c r="J13" s="5" t="s">
        <v>434</v>
      </c>
      <c r="L13" s="406">
        <f>'AGG ASIA INCUMB'!D41</f>
        <v>1.0508968001720602</v>
      </c>
      <c r="M13" s="406">
        <f>'AGG ASIA INCUMB'!E41</f>
        <v>0.99070013170896654</v>
      </c>
      <c r="N13" s="406">
        <f>'AGG ASIA INCUMB'!F41</f>
        <v>0.92777684089070633</v>
      </c>
      <c r="O13" s="406">
        <f>'AGG ASIA INCUMB'!G41</f>
        <v>0.85951313303026078</v>
      </c>
      <c r="P13" s="240">
        <f>'AGG ASIA CELLULAR'!H41</f>
        <v>-2.0614341370516209E-3</v>
      </c>
    </row>
    <row r="14" spans="2:44">
      <c r="B14" s="5" t="s">
        <v>436</v>
      </c>
      <c r="C14" s="216"/>
      <c r="D14" s="414">
        <v>278.41480000000001</v>
      </c>
      <c r="E14" s="407">
        <f>D14</f>
        <v>278.41480000000001</v>
      </c>
      <c r="F14" s="407">
        <f>D14</f>
        <v>278.41480000000001</v>
      </c>
      <c r="G14" s="407">
        <f>D14</f>
        <v>278.41480000000001</v>
      </c>
      <c r="H14" s="207"/>
      <c r="I14" s="207"/>
      <c r="J14" s="5" t="s">
        <v>493</v>
      </c>
      <c r="L14" s="406">
        <f>'AGG ASIA INCUMB'!D42</f>
        <v>1.4291550262030754</v>
      </c>
      <c r="M14" s="406">
        <f>'AGG ASIA INCUMB'!E42</f>
        <v>1.3849407655473556</v>
      </c>
      <c r="N14" s="406">
        <f>'AGG ASIA INCUMB'!F42</f>
        <v>1.3767574546734138</v>
      </c>
      <c r="O14" s="406">
        <f>'AGG ASIA INCUMB'!G42</f>
        <v>1.3160442661234328</v>
      </c>
      <c r="P14" s="240">
        <f>'AGG ASIA CELLULAR'!H42</f>
        <v>-5.1778981276664693E-2</v>
      </c>
    </row>
    <row r="15" spans="2:44">
      <c r="B15" s="5" t="s">
        <v>435</v>
      </c>
      <c r="C15" s="228"/>
      <c r="D15" s="414">
        <v>3373.1</v>
      </c>
      <c r="E15" s="407">
        <f>D15</f>
        <v>3373.1</v>
      </c>
      <c r="F15" s="407">
        <f>D15</f>
        <v>3373.1</v>
      </c>
      <c r="G15" s="407">
        <f>D15</f>
        <v>3373.1</v>
      </c>
      <c r="H15" s="207"/>
      <c r="I15" s="207"/>
      <c r="J15" s="5" t="s">
        <v>390</v>
      </c>
      <c r="L15" s="406">
        <f>'AGG ASIA INCUMB'!D43</f>
        <v>32.210485313716404</v>
      </c>
      <c r="M15" s="406">
        <f>'AGG ASIA INCUMB'!E43</f>
        <v>25.503088693758627</v>
      </c>
      <c r="N15" s="406">
        <f>'AGG ASIA INCUMB'!F43</f>
        <v>21.809224253297693</v>
      </c>
      <c r="O15" s="406">
        <f>'AGG ASIA INCUMB'!G43</f>
        <v>18.855968911926709</v>
      </c>
      <c r="P15" s="240">
        <f>'AGG ASIA CELLULAR'!H43</f>
        <v>0.13833270138668818</v>
      </c>
    </row>
    <row r="16" spans="2:44">
      <c r="B16" s="5" t="s">
        <v>438</v>
      </c>
      <c r="C16" s="216"/>
      <c r="D16" s="410">
        <v>0</v>
      </c>
      <c r="E16" s="410">
        <v>430.22267638608582</v>
      </c>
      <c r="F16" s="410">
        <v>859.97685654982797</v>
      </c>
      <c r="G16" s="410">
        <v>1288.955792024969</v>
      </c>
      <c r="H16" s="207"/>
      <c r="I16" s="207"/>
      <c r="J16" s="5" t="s">
        <v>437</v>
      </c>
      <c r="L16" s="406">
        <f>'AGG ASIA INCUMB'!D44</f>
        <v>12.339496878071898</v>
      </c>
      <c r="M16" s="406">
        <f>'AGG ASIA INCUMB'!E44</f>
        <v>11.047105057261978</v>
      </c>
      <c r="N16" s="406">
        <f>'AGG ASIA INCUMB'!F44</f>
        <v>10.00172451501094</v>
      </c>
      <c r="O16" s="406">
        <f>'AGG ASIA INCUMB'!G44</f>
        <v>9.0964327955584316</v>
      </c>
      <c r="P16" s="240">
        <f>'AGG ASIA CELLULAR'!H44</f>
        <v>0.12716783491985639</v>
      </c>
    </row>
    <row r="17" spans="2:24">
      <c r="B17" s="5" t="s">
        <v>4</v>
      </c>
      <c r="C17" s="216"/>
      <c r="D17" s="410">
        <v>0</v>
      </c>
      <c r="E17" s="410">
        <v>0</v>
      </c>
      <c r="F17" s="410">
        <v>0</v>
      </c>
      <c r="G17" s="410">
        <v>0</v>
      </c>
      <c r="H17" s="207"/>
      <c r="I17" s="207"/>
      <c r="J17" s="5" t="s">
        <v>481</v>
      </c>
      <c r="L17" s="208">
        <f>'AGG ASIA INCUMB'!D45</f>
        <v>5.1414904280051979E-2</v>
      </c>
      <c r="M17" s="208">
        <f>'AGG ASIA INCUMB'!E45</f>
        <v>5.6854140225317415E-2</v>
      </c>
      <c r="N17" s="208">
        <f>'AGG ASIA INCUMB'!F45</f>
        <v>6.1823755137670577E-2</v>
      </c>
      <c r="O17" s="208">
        <f>'AGG ASIA INCUMB'!G45</f>
        <v>6.6884920782751739E-2</v>
      </c>
      <c r="P17" s="240">
        <f>'AGG ASIA CELLULAR'!H45</f>
        <v>9.6611807454481724E-2</v>
      </c>
      <c r="S17" s="72"/>
      <c r="T17" s="26"/>
      <c r="U17" s="26"/>
      <c r="V17" s="26"/>
      <c r="W17" s="26"/>
      <c r="X17" s="26"/>
    </row>
    <row r="18" spans="2:24" ht="12.6" thickBot="1">
      <c r="B18" s="25" t="s">
        <v>484</v>
      </c>
      <c r="C18" s="209"/>
      <c r="D18" s="411">
        <f>D11+D12+D13-D14+D15-D16-D17</f>
        <v>22647.431445268525</v>
      </c>
      <c r="E18" s="411">
        <f>E11+E12+E13-E14+E15-E16-E17</f>
        <v>21720.794913334619</v>
      </c>
      <c r="F18" s="411">
        <f>F11+F12+F13-F14+F15-F16-F17</f>
        <v>20632.340891676362</v>
      </c>
      <c r="G18" s="411">
        <f>G11+G12+G13-G14+G15-G16-G17</f>
        <v>19385.970821283117</v>
      </c>
      <c r="H18" s="230">
        <f>IF(D18=0,"nm",IF(G18=0,"nm",(G18/D18)^(1/3)-1))</f>
        <v>-5.0511883364002474E-2</v>
      </c>
      <c r="I18" s="214"/>
      <c r="J18" s="5" t="s">
        <v>33</v>
      </c>
      <c r="L18" s="208">
        <f>'AGG ASIA INCUMB'!D46</f>
        <v>5.8529095772616578E-2</v>
      </c>
      <c r="M18" s="208">
        <f>'AGG ASIA INCUMB'!E46</f>
        <v>7.0436799652068588E-2</v>
      </c>
      <c r="N18" s="208">
        <f>'AGG ASIA INCUMB'!F46</f>
        <v>-5.36316297625479E-2</v>
      </c>
      <c r="O18" s="208">
        <f>'AGG ASIA INCUMB'!G46</f>
        <v>7.4325003833795672E-2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INCUMB'!D47</f>
        <v>3.1045791153421813E-2</v>
      </c>
      <c r="M19" s="208">
        <f>'AGG ASIA INCUMB'!E47</f>
        <v>3.9210936840161248E-2</v>
      </c>
      <c r="N19" s="208">
        <f>'AGG ASIA INCUMB'!F47</f>
        <v>4.5852158168752551E-2</v>
      </c>
      <c r="O19" s="208">
        <f>'AGG ASIA INCUMB'!G47</f>
        <v>5.3033604619886897E-2</v>
      </c>
      <c r="P19" s="240">
        <f>'AGG ASIA CELLULAR'!H47</f>
        <v>0.13833270138668818</v>
      </c>
      <c r="S19" s="72"/>
      <c r="T19" s="26"/>
      <c r="U19" s="26"/>
      <c r="V19" s="26"/>
      <c r="W19" s="26"/>
      <c r="X19" s="26"/>
    </row>
    <row r="20" spans="2:24">
      <c r="H20" s="231"/>
      <c r="I20" s="13"/>
      <c r="J20" s="5" t="s">
        <v>504</v>
      </c>
      <c r="L20" s="248">
        <f>'AGG ASIA INCUMB'!D48</f>
        <v>0.84851530587757729</v>
      </c>
      <c r="M20" s="248">
        <f>'AGG ASIA INCUMB'!E48</f>
        <v>0.74595605814417199</v>
      </c>
      <c r="N20" s="248">
        <f>'AGG ASIA INCUMB'!F48</f>
        <v>0.70506562361833436</v>
      </c>
      <c r="O20" s="248">
        <f>'AGG ASIA INCUMB'!G48</f>
        <v>0.67645596035498334</v>
      </c>
      <c r="P20" s="240" t="str">
        <f>'AGG ASIA CELLULAR'!H48</f>
        <v>nm</v>
      </c>
      <c r="S20" s="72"/>
      <c r="T20" s="26"/>
      <c r="U20" s="26"/>
      <c r="V20" s="26"/>
      <c r="W20" s="26"/>
      <c r="X20" s="26"/>
    </row>
    <row r="21" spans="2:24" ht="12.6" thickBot="1">
      <c r="B21" s="249" t="s">
        <v>770</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13704.7</v>
      </c>
      <c r="D23" s="416">
        <v>14251.203475597018</v>
      </c>
      <c r="E23" s="416">
        <v>14842.848213594189</v>
      </c>
      <c r="F23" s="416">
        <v>15452.548755663553</v>
      </c>
      <c r="G23" s="416">
        <v>16088.563388027684</v>
      </c>
      <c r="H23" s="233">
        <f>IF(D23=0,"nm",IF(G23=0,"nm",(G23/D23)^(1/3)-1))</f>
        <v>4.1250544896828556E-2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3239.3</v>
      </c>
      <c r="D24" s="416">
        <v>3499.7028618653067</v>
      </c>
      <c r="E24" s="416">
        <v>3789.9475975327855</v>
      </c>
      <c r="F24" s="416">
        <v>3987.5769849917665</v>
      </c>
      <c r="G24" s="416">
        <v>4178.2134593323617</v>
      </c>
      <c r="H24" s="233">
        <f>IF(D24=0,"nm",IF(G24=0,"nm",(G24/D24)^(1/3)-1))</f>
        <v>6.0847971687951974E-2</v>
      </c>
      <c r="I24" s="209"/>
      <c r="J24" s="13"/>
      <c r="K24" s="13"/>
      <c r="L24" s="13"/>
      <c r="M24" s="13"/>
      <c r="N24" s="13"/>
      <c r="O24" s="208"/>
      <c r="S24" s="72"/>
      <c r="T24" s="26"/>
      <c r="U24" s="26"/>
      <c r="V24" s="26"/>
      <c r="W24" s="26" t="s">
        <v>332</v>
      </c>
      <c r="X24" s="26" t="s">
        <v>211</v>
      </c>
    </row>
    <row r="25" spans="2:24">
      <c r="B25" s="5" t="s">
        <v>157</v>
      </c>
      <c r="C25" s="422">
        <v>1152</v>
      </c>
      <c r="D25" s="416">
        <v>1155.1031885012794</v>
      </c>
      <c r="E25" s="416">
        <v>1449.1459877579759</v>
      </c>
      <c r="F25" s="416">
        <v>1651.7170738882969</v>
      </c>
      <c r="G25" s="416">
        <v>1847.5341896355667</v>
      </c>
      <c r="H25" s="233">
        <f>IF(D25=0,"nm",IF(G25=0,"nm",(G25/D25)^(1/3)-1))</f>
        <v>0.16947398973519467</v>
      </c>
      <c r="I25" s="208"/>
      <c r="J25" s="207" t="s">
        <v>8</v>
      </c>
      <c r="K25" s="207"/>
      <c r="L25" s="252">
        <v>0</v>
      </c>
      <c r="M25" s="252">
        <v>0</v>
      </c>
      <c r="N25" s="252">
        <v>0</v>
      </c>
      <c r="O25" s="252">
        <v>0</v>
      </c>
      <c r="P25" s="233" t="str">
        <f>IF(L25=0,"nm",IF(O25=0,"nm",(O25/L25)^(1/3)-1))</f>
        <v>nm</v>
      </c>
      <c r="S25" s="72"/>
      <c r="T25" s="26"/>
      <c r="U25" s="26"/>
      <c r="V25" s="113" t="s">
        <v>225</v>
      </c>
      <c r="W25" s="242">
        <f>D37/L9</f>
        <v>1.3996603377783798</v>
      </c>
      <c r="X25" s="242">
        <v>1</v>
      </c>
    </row>
    <row r="26" spans="2:24">
      <c r="B26" s="5" t="s">
        <v>487</v>
      </c>
      <c r="C26" s="422">
        <v>794.87999999999988</v>
      </c>
      <c r="D26" s="416">
        <v>797.02120006588268</v>
      </c>
      <c r="E26" s="416">
        <v>999.9107315530033</v>
      </c>
      <c r="F26" s="416">
        <v>1139.6847809829248</v>
      </c>
      <c r="G26" s="416">
        <v>1274.7985908485409</v>
      </c>
      <c r="H26" s="233">
        <f>IF(D26=0,"nm",IF(G26=0,"nm",(G26/D26)^(1/3)-1))</f>
        <v>0.16947398973519467</v>
      </c>
      <c r="I26" s="209"/>
      <c r="J26" s="209" t="s">
        <v>9</v>
      </c>
      <c r="K26" s="209"/>
      <c r="L26" s="235">
        <f>D11+L25</f>
        <v>12302.498161799815</v>
      </c>
      <c r="M26" s="235">
        <f>E11+M25</f>
        <v>12070.136198609629</v>
      </c>
      <c r="N26" s="235">
        <f>F11+N25</f>
        <v>11837.774235419445</v>
      </c>
      <c r="O26" s="235">
        <f>G11+O25</f>
        <v>11605.412272229261</v>
      </c>
      <c r="P26" s="233">
        <f>IF(L26=0,"nm",IF(O26=0,"nm",(O26/L26)^(1/3)-1))</f>
        <v>-1.9255785810206705E-2</v>
      </c>
      <c r="Q26" s="5"/>
      <c r="S26" s="72"/>
      <c r="T26" s="26"/>
      <c r="U26" s="26"/>
      <c r="V26" s="113" t="s">
        <v>158</v>
      </c>
      <c r="W26" s="242">
        <f t="shared" ref="W26:W33" si="4">D38/L10</f>
        <v>1.5013240799174583</v>
      </c>
      <c r="X26" s="242">
        <v>1</v>
      </c>
    </row>
    <row r="27" spans="2:24">
      <c r="B27" s="5" t="s">
        <v>488</v>
      </c>
      <c r="C27" s="423">
        <v>17531.099999999999</v>
      </c>
      <c r="D27" s="416">
        <v>18086.134240712072</v>
      </c>
      <c r="E27" s="416">
        <v>18587.645582496101</v>
      </c>
      <c r="F27" s="416">
        <v>19032.422098671286</v>
      </c>
      <c r="G27" s="416">
        <v>19417.722862785413</v>
      </c>
      <c r="H27" s="233">
        <f>IF(ISERROR((G27/D27)^(1/3)-1),"na",(G27/D27)^(1/3)-1)</f>
        <v>2.3962808369832223E-2</v>
      </c>
      <c r="I27" s="209"/>
      <c r="J27" s="208"/>
      <c r="K27" s="208"/>
      <c r="L27" s="208"/>
      <c r="M27" s="208"/>
      <c r="N27" s="208"/>
      <c r="O27" s="208"/>
      <c r="Q27" s="25"/>
      <c r="S27" s="72"/>
      <c r="T27" s="26"/>
      <c r="U27" s="26"/>
      <c r="V27" s="113" t="s">
        <v>159</v>
      </c>
      <c r="W27" s="242">
        <f t="shared" si="4"/>
        <v>1.923950620748426</v>
      </c>
      <c r="X27" s="242">
        <v>1</v>
      </c>
    </row>
    <row r="28" spans="2:24" ht="12.6" thickBot="1">
      <c r="B28" s="5" t="s">
        <v>492</v>
      </c>
      <c r="C28" s="422">
        <v>10662.3</v>
      </c>
      <c r="D28" s="416">
        <v>11306.547611310827</v>
      </c>
      <c r="E28" s="416">
        <v>11889.606448250881</v>
      </c>
      <c r="F28" s="416">
        <v>12408.290629037851</v>
      </c>
      <c r="G28" s="416">
        <v>12859.831682473907</v>
      </c>
      <c r="H28" s="233">
        <f>IF(ISERROR((G28/D28)^(1/3)-1),"na",(G28/D28)^(1/3)-1)</f>
        <v>4.3842774773172444E-2</v>
      </c>
      <c r="I28" s="208"/>
      <c r="J28" s="249" t="s">
        <v>1073</v>
      </c>
      <c r="K28" s="249"/>
      <c r="L28" s="249"/>
      <c r="M28" s="249"/>
      <c r="N28" s="220"/>
      <c r="O28" s="220"/>
      <c r="P28" s="220"/>
      <c r="Q28" s="5"/>
      <c r="S28" s="72"/>
      <c r="T28" s="26"/>
      <c r="U28" s="26"/>
      <c r="V28" s="113" t="s">
        <v>381</v>
      </c>
      <c r="W28" s="242">
        <f t="shared" si="4"/>
        <v>2.1292798027030369</v>
      </c>
      <c r="X28" s="242">
        <v>1</v>
      </c>
    </row>
    <row r="29" spans="2:24" ht="12.6" thickTop="1">
      <c r="B29" s="5" t="s">
        <v>489</v>
      </c>
      <c r="C29" s="422">
        <v>255.01217785204801</v>
      </c>
      <c r="D29" s="416">
        <v>202.28487964593791</v>
      </c>
      <c r="E29" s="416">
        <v>416.21797553843021</v>
      </c>
      <c r="F29" s="416">
        <v>567.33401553507588</v>
      </c>
      <c r="G29" s="416">
        <v>713.78456723269505</v>
      </c>
      <c r="H29" s="233">
        <f>IF(D29=0,"nm",IF(G29=0,"nm",(G29/D29)^(1/3)-1))</f>
        <v>0.52242033945110022</v>
      </c>
      <c r="I29" s="212"/>
      <c r="J29" s="209"/>
      <c r="K29" s="209"/>
      <c r="L29" s="209"/>
      <c r="M29" s="209"/>
      <c r="N29" s="209"/>
      <c r="O29" s="211"/>
      <c r="Q29" s="5"/>
      <c r="S29" s="72"/>
      <c r="T29" s="26"/>
      <c r="U29" s="26"/>
      <c r="V29" s="113" t="s">
        <v>434</v>
      </c>
      <c r="W29" s="242">
        <f t="shared" si="4"/>
        <v>1.1915523679115618</v>
      </c>
      <c r="X29" s="242">
        <v>1</v>
      </c>
    </row>
    <row r="30" spans="2:24">
      <c r="B30" s="5" t="s">
        <v>490</v>
      </c>
      <c r="C30" s="423">
        <v>1000</v>
      </c>
      <c r="D30" s="416">
        <v>1103.8322125830457</v>
      </c>
      <c r="E30" s="416">
        <v>1267.2584408397977</v>
      </c>
      <c r="F30" s="416">
        <v>1365.0077216668299</v>
      </c>
      <c r="G30" s="416">
        <v>1455.7981332670511</v>
      </c>
      <c r="H30" s="233">
        <f>IF(D30=0,"nm",IF(G30=0,"nm",(G30/D30)^(1/3)-1))</f>
        <v>9.664492076898723E-2</v>
      </c>
      <c r="I30" s="214"/>
      <c r="J30" s="208"/>
      <c r="K30" s="208"/>
      <c r="L30" s="208"/>
      <c r="M30" s="208"/>
      <c r="N30" s="208"/>
      <c r="O30" s="5"/>
      <c r="Q30" s="5"/>
      <c r="S30" s="72"/>
      <c r="T30" s="26"/>
      <c r="U30" s="26"/>
      <c r="V30" s="113" t="s">
        <v>493</v>
      </c>
      <c r="W30" s="242">
        <f t="shared" si="4"/>
        <v>1.4015532306827507</v>
      </c>
      <c r="X30" s="242">
        <v>1</v>
      </c>
    </row>
    <row r="31" spans="2:24">
      <c r="B31" s="5" t="s">
        <v>491</v>
      </c>
      <c r="C31" s="423">
        <v>430.23942343199997</v>
      </c>
      <c r="D31" s="416">
        <v>430.38442414217172</v>
      </c>
      <c r="E31" s="416">
        <v>430.22267638608582</v>
      </c>
      <c r="F31" s="416">
        <v>429.75418016374215</v>
      </c>
      <c r="G31" s="416">
        <v>428.97893547514093</v>
      </c>
      <c r="H31" s="233">
        <f>IF(D31=0,"nm",IF(G31=0,"nm",(G31/D31)^(1/3)-1))</f>
        <v>-1.0897400236270505E-3</v>
      </c>
      <c r="I31" s="214"/>
      <c r="J31" s="212"/>
      <c r="K31" s="212"/>
      <c r="L31" s="212"/>
      <c r="M31" s="212"/>
      <c r="N31" s="212"/>
      <c r="O31" s="5"/>
      <c r="Q31" s="5"/>
      <c r="S31" s="72"/>
      <c r="T31" s="26"/>
      <c r="U31" s="26"/>
      <c r="V31" s="113" t="s">
        <v>390</v>
      </c>
      <c r="W31" s="242">
        <f t="shared" si="4"/>
        <v>1.8881331578766993</v>
      </c>
      <c r="X31" s="242">
        <v>1</v>
      </c>
    </row>
    <row r="32" spans="2:24">
      <c r="B32" s="5" t="s">
        <v>506</v>
      </c>
      <c r="C32" s="424">
        <v>235.44212219999685</v>
      </c>
      <c r="D32" s="416">
        <v>258.20999999999998</v>
      </c>
      <c r="E32" s="416">
        <v>501.43</v>
      </c>
      <c r="F32" s="416">
        <v>-4549.76</v>
      </c>
      <c r="G32" s="416">
        <v>253.69</v>
      </c>
      <c r="H32" s="233">
        <f>IF(D32=0,"nm",IF(G32=0,"nm",(G32/D32)^(1/3)-1))</f>
        <v>-5.8694265950181013E-3</v>
      </c>
      <c r="I32" s="214"/>
      <c r="J32" s="214"/>
      <c r="K32" s="214"/>
      <c r="L32" s="214"/>
      <c r="M32" s="214"/>
      <c r="N32" s="214"/>
      <c r="O32" s="211"/>
      <c r="Q32" s="5"/>
      <c r="S32" s="72"/>
      <c r="T32" s="26"/>
      <c r="U32" s="26"/>
      <c r="V32" s="113" t="s">
        <v>437</v>
      </c>
      <c r="W32" s="242">
        <f t="shared" si="4"/>
        <v>0.90321843407047131</v>
      </c>
      <c r="X32" s="242">
        <v>1</v>
      </c>
    </row>
    <row r="33" spans="2:24">
      <c r="B33" s="5" t="s">
        <v>3</v>
      </c>
      <c r="C33" s="423">
        <v>-110.363</v>
      </c>
      <c r="D33" s="416">
        <v>-101.88729999999998</v>
      </c>
      <c r="E33" s="416">
        <v>-93.835384999999974</v>
      </c>
      <c r="F33" s="416">
        <v>-86.186065749999955</v>
      </c>
      <c r="G33" s="416">
        <v>-78.919212462499956</v>
      </c>
      <c r="H33" s="233">
        <f>IF(ISERROR((G33/D33)^(1/3)-1),"na",(G33/D33)^(1/3)-1)</f>
        <v>-8.1623216261149545E-2</v>
      </c>
      <c r="I33" s="5"/>
      <c r="J33" s="214"/>
      <c r="K33" s="214"/>
      <c r="L33" s="214"/>
      <c r="M33" s="214"/>
      <c r="N33" s="214"/>
      <c r="O33" s="211"/>
      <c r="Q33" s="5"/>
      <c r="S33" s="72"/>
      <c r="T33" s="26"/>
      <c r="U33" s="26"/>
      <c r="V33" s="113" t="s">
        <v>481</v>
      </c>
      <c r="W33" s="242">
        <f t="shared" si="4"/>
        <v>0.6804155106325448</v>
      </c>
      <c r="X33" s="242">
        <v>1</v>
      </c>
    </row>
    <row r="34" spans="2:24">
      <c r="D34" s="5"/>
      <c r="E34" s="5"/>
      <c r="F34" s="5"/>
      <c r="G34" s="5"/>
      <c r="I34" s="33"/>
      <c r="J34" s="214"/>
      <c r="K34" s="214"/>
      <c r="L34" s="214"/>
      <c r="M34" s="214"/>
      <c r="N34" s="214"/>
      <c r="O34" s="211"/>
      <c r="Q34" s="5"/>
      <c r="S34" s="72"/>
      <c r="T34" s="26"/>
      <c r="U34" s="26"/>
      <c r="V34" s="113" t="s">
        <v>482</v>
      </c>
      <c r="W34" s="242">
        <f>D47/L19</f>
        <v>0.52962366336733913</v>
      </c>
      <c r="X34" s="242">
        <v>1</v>
      </c>
    </row>
    <row r="35" spans="2:24" ht="12.6" thickBot="1">
      <c r="B35" s="249" t="s">
        <v>544</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1.5891592232227088</v>
      </c>
      <c r="E37" s="406">
        <f t="shared" ref="E37:G41" si="6">E$18/E23</f>
        <v>1.463384560750348</v>
      </c>
      <c r="F37" s="406">
        <f t="shared" si="6"/>
        <v>1.335206328607399</v>
      </c>
      <c r="G37" s="406">
        <f t="shared" si="6"/>
        <v>1.2049535035371277</v>
      </c>
      <c r="H37" s="13">
        <f t="shared" ref="H37:H45" si="7">H23</f>
        <v>4.1250544896828556E-2</v>
      </c>
      <c r="I37" s="5"/>
      <c r="J37" s="217"/>
      <c r="K37" s="217"/>
      <c r="L37" s="217"/>
      <c r="M37" s="217"/>
      <c r="N37" s="217"/>
      <c r="O37" s="14"/>
      <c r="Q37" s="5"/>
      <c r="R37" s="5"/>
      <c r="S37" s="26"/>
      <c r="T37" s="26"/>
      <c r="U37" s="26"/>
      <c r="V37" s="26"/>
      <c r="W37" s="26"/>
      <c r="X37" s="26"/>
    </row>
    <row r="38" spans="2:24">
      <c r="B38" s="5" t="s">
        <v>158</v>
      </c>
      <c r="C38" s="207"/>
      <c r="D38" s="406">
        <f>D$18/D24</f>
        <v>6.4712440853329101</v>
      </c>
      <c r="E38" s="406">
        <f t="shared" si="6"/>
        <v>5.731159693995405</v>
      </c>
      <c r="F38" s="406">
        <f t="shared" si="6"/>
        <v>5.1741548738322258</v>
      </c>
      <c r="G38" s="406">
        <f t="shared" si="6"/>
        <v>4.6397751120118231</v>
      </c>
      <c r="H38" s="13">
        <f t="shared" si="7"/>
        <v>6.0847971687951974E-2</v>
      </c>
      <c r="I38" s="217"/>
      <c r="J38" s="13"/>
      <c r="K38" s="13"/>
      <c r="L38" s="13"/>
      <c r="M38" s="13"/>
      <c r="N38" s="13"/>
      <c r="O38" s="5"/>
      <c r="Q38" s="5"/>
      <c r="R38" s="5"/>
      <c r="S38" s="26"/>
      <c r="T38" s="26"/>
      <c r="U38" s="26"/>
      <c r="V38" s="26"/>
      <c r="W38" s="26"/>
      <c r="X38" s="26"/>
    </row>
    <row r="39" spans="2:24">
      <c r="B39" s="5" t="s">
        <v>159</v>
      </c>
      <c r="C39" s="207"/>
      <c r="D39" s="406">
        <f>D$18/D25</f>
        <v>19.606414102841377</v>
      </c>
      <c r="E39" s="406">
        <f t="shared" si="6"/>
        <v>14.988686506967882</v>
      </c>
      <c r="F39" s="406">
        <f t="shared" si="6"/>
        <v>12.491449787526804</v>
      </c>
      <c r="G39" s="406">
        <f t="shared" si="6"/>
        <v>10.492888808248294</v>
      </c>
      <c r="H39" s="13">
        <f t="shared" si="7"/>
        <v>0.16947398973519467</v>
      </c>
      <c r="I39" s="13"/>
      <c r="J39" s="5"/>
      <c r="K39" s="5"/>
      <c r="L39" s="5"/>
      <c r="M39" s="5"/>
      <c r="N39" s="5"/>
      <c r="O39" s="5"/>
      <c r="Q39" s="5"/>
      <c r="R39" s="5"/>
      <c r="S39" s="26"/>
      <c r="T39" s="26"/>
      <c r="U39" s="26"/>
      <c r="V39" s="26"/>
      <c r="W39" s="26"/>
      <c r="X39" s="26"/>
    </row>
    <row r="40" spans="2:24">
      <c r="B40" s="5" t="s">
        <v>381</v>
      </c>
      <c r="C40" s="207"/>
      <c r="D40" s="406">
        <f>D$18/D26</f>
        <v>28.415092902668665</v>
      </c>
      <c r="E40" s="406">
        <f t="shared" si="6"/>
        <v>21.722734068069396</v>
      </c>
      <c r="F40" s="406">
        <f t="shared" si="6"/>
        <v>18.103550416705513</v>
      </c>
      <c r="G40" s="406">
        <f t="shared" si="6"/>
        <v>15.207085229345353</v>
      </c>
      <c r="H40" s="13">
        <f t="shared" si="7"/>
        <v>0.16947398973519467</v>
      </c>
      <c r="I40" s="5"/>
      <c r="J40" s="217"/>
      <c r="K40" s="217"/>
      <c r="L40" s="217"/>
      <c r="M40" s="217"/>
      <c r="N40" s="217"/>
      <c r="O40" s="14"/>
      <c r="Q40" s="5"/>
      <c r="R40" s="5"/>
      <c r="S40" s="26"/>
      <c r="T40" s="26"/>
      <c r="U40" s="26"/>
      <c r="V40" s="26"/>
      <c r="W40" s="242"/>
      <c r="X40" s="242"/>
    </row>
    <row r="41" spans="2:24">
      <c r="B41" s="5" t="s">
        <v>434</v>
      </c>
      <c r="C41" s="207"/>
      <c r="D41" s="406">
        <f>D$18/D27</f>
        <v>1.2521985706757017</v>
      </c>
      <c r="E41" s="406">
        <f t="shared" si="6"/>
        <v>1.1685608495671442</v>
      </c>
      <c r="F41" s="406">
        <f t="shared" si="6"/>
        <v>1.0840628052861843</v>
      </c>
      <c r="G41" s="406">
        <f t="shared" si="6"/>
        <v>0.99836479067464967</v>
      </c>
      <c r="H41" s="13">
        <f t="shared" si="7"/>
        <v>2.3962808369832223E-2</v>
      </c>
      <c r="I41" s="207"/>
      <c r="J41" s="13"/>
      <c r="K41" s="13"/>
      <c r="L41" s="13"/>
      <c r="M41" s="13"/>
      <c r="N41" s="13"/>
      <c r="O41" s="5"/>
      <c r="Q41" s="5"/>
      <c r="R41" s="5"/>
      <c r="S41" s="26"/>
      <c r="T41" s="26"/>
      <c r="U41" s="26"/>
      <c r="V41" s="26"/>
      <c r="W41" s="242"/>
      <c r="X41" s="242"/>
    </row>
    <row r="42" spans="2:24">
      <c r="B42" s="5" t="s">
        <v>493</v>
      </c>
      <c r="C42" s="207"/>
      <c r="D42" s="406">
        <f>D18/D28</f>
        <v>2.0030368441214117</v>
      </c>
      <c r="E42" s="406">
        <f>E18/E28</f>
        <v>1.8268724879897127</v>
      </c>
      <c r="F42" s="406">
        <f>F18/F28</f>
        <v>1.6627867212742913</v>
      </c>
      <c r="G42" s="406">
        <f>G18/G28</f>
        <v>1.5074824694403579</v>
      </c>
      <c r="H42" s="13">
        <f t="shared" si="7"/>
        <v>4.3842774773172444E-2</v>
      </c>
      <c r="I42" s="208"/>
      <c r="J42" s="5"/>
      <c r="K42" s="5"/>
      <c r="L42" s="5"/>
      <c r="M42" s="5"/>
      <c r="N42" s="5"/>
      <c r="O42" s="5"/>
      <c r="Q42" s="5"/>
      <c r="R42" s="5"/>
      <c r="S42" s="26"/>
      <c r="T42" s="26"/>
      <c r="U42" s="26"/>
      <c r="V42" s="26"/>
      <c r="W42" s="242"/>
      <c r="X42" s="242"/>
    </row>
    <row r="43" spans="2:24">
      <c r="B43" s="5" t="s">
        <v>390</v>
      </c>
      <c r="C43" s="207"/>
      <c r="D43" s="406">
        <f>L26/D29</f>
        <v>60.8176853521284</v>
      </c>
      <c r="E43" s="406">
        <f>M26/E29</f>
        <v>28.999555300309634</v>
      </c>
      <c r="F43" s="406">
        <f>N26/F29</f>
        <v>20.865616922783587</v>
      </c>
      <c r="G43" s="406">
        <f>O26/G29</f>
        <v>16.258984580211408</v>
      </c>
      <c r="H43" s="13">
        <f t="shared" si="7"/>
        <v>0.52242033945110022</v>
      </c>
      <c r="I43" s="207"/>
      <c r="J43" s="207"/>
      <c r="K43" s="207"/>
      <c r="L43" s="207"/>
      <c r="M43" s="207"/>
      <c r="N43" s="207"/>
      <c r="O43" s="14"/>
      <c r="Q43" s="5"/>
      <c r="R43" s="5"/>
      <c r="S43" s="26"/>
      <c r="T43" s="26"/>
      <c r="U43" s="26"/>
      <c r="V43" s="26"/>
      <c r="W43" s="242"/>
      <c r="X43" s="242"/>
    </row>
    <row r="44" spans="2:24">
      <c r="B44" s="5" t="s">
        <v>437</v>
      </c>
      <c r="C44" s="53"/>
      <c r="D44" s="406">
        <f>D11/D30</f>
        <v>11.145261047429569</v>
      </c>
      <c r="E44" s="406">
        <f>E11/E30</f>
        <v>9.5246050920843643</v>
      </c>
      <c r="F44" s="406">
        <f>F11/F30</f>
        <v>8.6723130188334583</v>
      </c>
      <c r="G44" s="406">
        <f>G11/G30</f>
        <v>7.9718554427493338</v>
      </c>
      <c r="H44" s="13">
        <f t="shared" si="7"/>
        <v>9.664492076898723E-2</v>
      </c>
      <c r="I44" s="207"/>
      <c r="J44" s="208"/>
      <c r="K44" s="208"/>
      <c r="L44" s="208"/>
      <c r="M44" s="208"/>
      <c r="N44" s="208"/>
      <c r="O44" s="208"/>
      <c r="Q44" s="5"/>
      <c r="R44" s="5"/>
      <c r="S44" s="26"/>
      <c r="T44" s="26"/>
      <c r="U44" s="26"/>
      <c r="V44" s="26"/>
      <c r="W44" s="255"/>
      <c r="X44" s="255"/>
    </row>
    <row r="45" spans="2:24">
      <c r="B45" s="5" t="s">
        <v>481</v>
      </c>
      <c r="C45" s="207"/>
      <c r="D45" s="208">
        <f>D31/D11</f>
        <v>3.4983498349834982E-2</v>
      </c>
      <c r="E45" s="208">
        <f>E31/E11</f>
        <v>3.5643564356435647E-2</v>
      </c>
      <c r="F45" s="208">
        <f>F31/F11</f>
        <v>3.6303630363036299E-2</v>
      </c>
      <c r="G45" s="208">
        <f>G31/G11</f>
        <v>3.6963696369636957E-2</v>
      </c>
      <c r="H45" s="13">
        <f t="shared" si="7"/>
        <v>-1.0897400236270505E-3</v>
      </c>
      <c r="I45" s="208"/>
      <c r="J45" s="207"/>
      <c r="K45" s="207"/>
      <c r="L45" s="207"/>
      <c r="M45" s="207"/>
      <c r="N45" s="207"/>
      <c r="O45" s="208"/>
      <c r="Q45" s="5"/>
      <c r="R45" s="5"/>
      <c r="S45" s="26"/>
      <c r="T45" s="26"/>
      <c r="U45" s="26"/>
      <c r="V45" s="26"/>
      <c r="W45" s="26"/>
      <c r="X45" s="26"/>
    </row>
    <row r="46" spans="2:24">
      <c r="B46" s="5" t="s">
        <v>505</v>
      </c>
      <c r="C46" s="207"/>
      <c r="D46" s="208">
        <f>(D31+D32)/D11</f>
        <v>5.5971918474274546E-2</v>
      </c>
      <c r="E46" s="208">
        <f>(E31+E32)/E11</f>
        <v>7.7186591854150235E-2</v>
      </c>
      <c r="F46" s="208">
        <f>(F31+F32)/F11</f>
        <v>-0.34803889125617166</v>
      </c>
      <c r="G46" s="208">
        <f>(G31+G32)/G11</f>
        <v>5.8823324795510112E-2</v>
      </c>
      <c r="H46" s="233">
        <f>((G31+G32)/(D31+D32))^(1/3)-1</f>
        <v>-2.8766652972656015E-3</v>
      </c>
      <c r="I46" s="207"/>
      <c r="J46" s="207"/>
      <c r="K46" s="207"/>
      <c r="L46" s="207"/>
      <c r="M46" s="207"/>
      <c r="N46" s="207"/>
      <c r="O46" s="14"/>
      <c r="Q46" s="5"/>
      <c r="R46" s="5"/>
      <c r="S46" s="26"/>
      <c r="T46" s="26"/>
      <c r="U46" s="26"/>
      <c r="V46" s="26"/>
      <c r="W46" s="26"/>
      <c r="X46" s="26"/>
    </row>
    <row r="47" spans="2:24">
      <c r="B47" s="5" t="s">
        <v>482</v>
      </c>
      <c r="C47" s="5"/>
      <c r="D47" s="208">
        <f>1/D43</f>
        <v>1.644258564281259E-2</v>
      </c>
      <c r="E47" s="208">
        <f>1/E43</f>
        <v>3.4483287403697625E-2</v>
      </c>
      <c r="F47" s="208">
        <f>1/F43</f>
        <v>4.7925733693887571E-2</v>
      </c>
      <c r="G47" s="208">
        <f>1/G43</f>
        <v>6.1504455894317446E-2</v>
      </c>
      <c r="H47" s="13">
        <f>H29</f>
        <v>0.52242033945110022</v>
      </c>
      <c r="I47" s="13"/>
      <c r="J47" s="208"/>
      <c r="K47" s="208"/>
      <c r="L47" s="208"/>
      <c r="M47" s="208"/>
      <c r="N47" s="208"/>
      <c r="O47" s="208"/>
      <c r="Q47" s="5"/>
      <c r="R47" s="5"/>
      <c r="S47" s="26"/>
      <c r="T47" s="26"/>
      <c r="U47" s="26"/>
      <c r="V47" s="26"/>
      <c r="W47" s="26"/>
      <c r="X47" s="26"/>
    </row>
    <row r="48" spans="2:24">
      <c r="B48" s="5" t="s">
        <v>518</v>
      </c>
      <c r="C48" s="5"/>
      <c r="D48" s="248">
        <f>D31/D29</f>
        <v>2.1276153951569672</v>
      </c>
      <c r="E48" s="248">
        <f>E31/E29</f>
        <v>1.0336475156546008</v>
      </c>
      <c r="F48" s="248">
        <f>F31/F29</f>
        <v>0.75749764406145015</v>
      </c>
      <c r="G48" s="248">
        <f>G31/G29</f>
        <v>0.60099216930154364</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69"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751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404</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21">
        <f>Prices!C30</f>
        <v>21</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60.014414000000002</v>
      </c>
      <c r="E10" s="408">
        <v>60.014414000000002</v>
      </c>
      <c r="F10" s="408">
        <v>60.014414000000002</v>
      </c>
      <c r="G10" s="408">
        <v>60.014414000000002</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1260.302694</v>
      </c>
      <c r="E11" s="409">
        <f>$C$9*E10</f>
        <v>1260.302694</v>
      </c>
      <c r="F11" s="409">
        <f>$C$9*F10</f>
        <v>1260.302694</v>
      </c>
      <c r="G11" s="409">
        <f>$C$9*G10</f>
        <v>1260.302694</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1815.1295</v>
      </c>
      <c r="E12" s="410">
        <v>1723.8640456151913</v>
      </c>
      <c r="F12" s="410">
        <v>1647.1686986946177</v>
      </c>
      <c r="G12" s="410">
        <v>1696.1435532638457</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323.03750795956745</v>
      </c>
      <c r="E13" s="410">
        <v>323.03750795956745</v>
      </c>
      <c r="F13" s="410">
        <v>317.03750795956745</v>
      </c>
      <c r="G13" s="410">
        <v>311.03750795956745</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f>OBELSOP!R16</f>
        <v>0</v>
      </c>
      <c r="E14" s="410">
        <f t="shared" ref="E14:G15" si="2">D14</f>
        <v>0</v>
      </c>
      <c r="F14" s="410">
        <f t="shared" si="2"/>
        <v>0</v>
      </c>
      <c r="G14" s="410">
        <f t="shared" si="2"/>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f>OBELSOP!T13</f>
        <v>0</v>
      </c>
      <c r="E15" s="410">
        <f t="shared" si="2"/>
        <v>0</v>
      </c>
      <c r="F15" s="410">
        <f t="shared" si="2"/>
        <v>0</v>
      </c>
      <c r="G15" s="410">
        <f t="shared" si="2"/>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0</v>
      </c>
      <c r="F16" s="410">
        <v>0</v>
      </c>
      <c r="G16" s="410">
        <v>0</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19.351330026712581</v>
      </c>
      <c r="E17" s="410">
        <v>19.351330026712581</v>
      </c>
      <c r="F17" s="410">
        <v>19.351330026712581</v>
      </c>
      <c r="G17" s="410">
        <v>19.351330026712581</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3379.1183719328546</v>
      </c>
      <c r="E18" s="411">
        <f>E11+E12+E13-E14+E15-E16-E17</f>
        <v>3287.8529175480462</v>
      </c>
      <c r="F18" s="411">
        <f>F11+F12+F13-F14+F15-F16-F17</f>
        <v>3205.1575706274725</v>
      </c>
      <c r="G18" s="411">
        <f>G11+G12+G13-G14+G15-G16-G17</f>
        <v>3248.1324251967003</v>
      </c>
      <c r="H18" s="230">
        <f>IF(D18=0,"nm",IF(G18=0,"nm",(G18/D18)^(1/3)-1))</f>
        <v>-1.3091762830969134E-2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1993.7425000000001</v>
      </c>
      <c r="D23" s="416">
        <v>1963.3529999999996</v>
      </c>
      <c r="E23" s="416">
        <v>1981.3933002381439</v>
      </c>
      <c r="F23" s="416">
        <v>2004.8767390012877</v>
      </c>
      <c r="G23" s="416">
        <v>2030.3941908114318</v>
      </c>
      <c r="H23" s="233">
        <f t="shared" ref="H23:H32" si="4">IF(D23=0,"nm",IF(G23=0,"nm",(G23/D23)^(1/3)-1))</f>
        <v>1.1254942588671213E-2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524.84349999999995</v>
      </c>
      <c r="D24" s="416">
        <v>547.30150000000003</v>
      </c>
      <c r="E24" s="416">
        <v>565.7273945899575</v>
      </c>
      <c r="F24" s="416">
        <v>571.00141019697105</v>
      </c>
      <c r="G24" s="416">
        <v>572.54182052018132</v>
      </c>
      <c r="H24" s="233">
        <f t="shared" si="4"/>
        <v>1.5142145595676837E-2</v>
      </c>
      <c r="I24" s="209"/>
      <c r="J24" s="13"/>
      <c r="K24" s="13"/>
      <c r="L24" s="13"/>
      <c r="M24" s="13"/>
      <c r="N24" s="13"/>
      <c r="O24" s="208"/>
      <c r="S24" s="72"/>
      <c r="T24" s="26"/>
      <c r="U24" s="26"/>
      <c r="V24" s="26"/>
      <c r="W24" s="26" t="s">
        <v>56</v>
      </c>
      <c r="X24" s="26" t="s">
        <v>210</v>
      </c>
    </row>
    <row r="25" spans="2:24">
      <c r="B25" s="5" t="s">
        <v>157</v>
      </c>
      <c r="C25" s="422">
        <v>156.34349999999995</v>
      </c>
      <c r="D25" s="416">
        <v>171.4321030000001</v>
      </c>
      <c r="E25" s="416">
        <v>203.23629858985504</v>
      </c>
      <c r="F25" s="416">
        <v>205.25494915686858</v>
      </c>
      <c r="G25" s="416">
        <v>187.95719264757872</v>
      </c>
      <c r="H25" s="233">
        <f t="shared" si="4"/>
        <v>3.1150996116782403E-2</v>
      </c>
      <c r="I25" s="208"/>
      <c r="J25" s="207" t="s">
        <v>8</v>
      </c>
      <c r="K25" s="207"/>
      <c r="L25" s="252">
        <v>502.18041262681851</v>
      </c>
      <c r="M25" s="252">
        <v>100</v>
      </c>
      <c r="N25" s="252">
        <v>100</v>
      </c>
      <c r="O25" s="252">
        <v>100</v>
      </c>
      <c r="P25" s="233">
        <f>IF(L25=0,"nm",IF(O25=0,"nm",(O25/L25)^(1/3)-1))</f>
        <v>-0.41604406471556199</v>
      </c>
      <c r="S25" s="72"/>
      <c r="T25" s="26"/>
      <c r="U25" s="26"/>
      <c r="V25" s="113" t="s">
        <v>225</v>
      </c>
      <c r="W25" s="242">
        <f>D37/L9</f>
        <v>1.2781628773927753</v>
      </c>
      <c r="X25" s="242">
        <v>1</v>
      </c>
    </row>
    <row r="26" spans="2:24">
      <c r="B26" s="5" t="s">
        <v>487</v>
      </c>
      <c r="C26" s="422">
        <v>117.25762499999996</v>
      </c>
      <c r="D26" s="416">
        <v>128.57407725000007</v>
      </c>
      <c r="E26" s="416">
        <v>152.42722394239127</v>
      </c>
      <c r="F26" s="416">
        <v>153.94121186765142</v>
      </c>
      <c r="G26" s="416">
        <v>140.96789448568404</v>
      </c>
      <c r="H26" s="233">
        <f t="shared" si="4"/>
        <v>3.1150996116782403E-2</v>
      </c>
      <c r="I26" s="209"/>
      <c r="J26" s="209" t="s">
        <v>9</v>
      </c>
      <c r="K26" s="209"/>
      <c r="L26" s="235">
        <f>D11+L25</f>
        <v>1762.4831066268184</v>
      </c>
      <c r="M26" s="235">
        <f>E11+M25</f>
        <v>1360.302694</v>
      </c>
      <c r="N26" s="235">
        <f>F11+N25</f>
        <v>1360.302694</v>
      </c>
      <c r="O26" s="235">
        <f>G11+O25</f>
        <v>1360.302694</v>
      </c>
      <c r="P26" s="233">
        <f>IF(L26=0,"nm",IF(O26=0,"nm",(O26/L26)^(1/3)-1))</f>
        <v>-8.2716605201222038E-2</v>
      </c>
      <c r="Q26" s="5"/>
      <c r="S26" s="72"/>
      <c r="T26" s="26"/>
      <c r="U26" s="26"/>
      <c r="V26" s="113" t="s">
        <v>158</v>
      </c>
      <c r="W26" s="242">
        <f t="shared" ref="W26:W33" si="6">D38/L10</f>
        <v>0.92602429911680262</v>
      </c>
      <c r="X26" s="242">
        <v>1</v>
      </c>
    </row>
    <row r="27" spans="2:24">
      <c r="B27" s="5" t="s">
        <v>488</v>
      </c>
      <c r="C27" s="422">
        <v>2864.0880176000001</v>
      </c>
      <c r="D27" s="416">
        <v>2823.661364</v>
      </c>
      <c r="E27" s="416">
        <v>2746.1864290446974</v>
      </c>
      <c r="F27" s="416">
        <v>2689.7356079372994</v>
      </c>
      <c r="G27" s="416">
        <v>2666.2047262174647</v>
      </c>
      <c r="H27" s="233">
        <f t="shared" si="4"/>
        <v>-1.8944385617045145E-2</v>
      </c>
      <c r="I27" s="209"/>
      <c r="J27" s="208"/>
      <c r="K27" s="208"/>
      <c r="L27" s="208"/>
      <c r="M27" s="208"/>
      <c r="N27" s="208"/>
      <c r="O27" s="208"/>
      <c r="Q27" s="25"/>
      <c r="S27" s="72"/>
      <c r="T27" s="26"/>
      <c r="U27" s="26"/>
      <c r="V27" s="113" t="s">
        <v>159</v>
      </c>
      <c r="W27" s="242">
        <f t="shared" si="6"/>
        <v>1.2539634852913952</v>
      </c>
      <c r="X27" s="242">
        <v>1</v>
      </c>
    </row>
    <row r="28" spans="2:24" ht="12.6" thickBot="1">
      <c r="B28" s="5" t="s">
        <v>492</v>
      </c>
      <c r="C28" s="422">
        <v>1803.8695</v>
      </c>
      <c r="D28" s="416">
        <v>1812.3530000000001</v>
      </c>
      <c r="E28" s="416">
        <v>1742.5947312758171</v>
      </c>
      <c r="F28" s="416">
        <v>1693.665980033571</v>
      </c>
      <c r="G28" s="416">
        <v>1672.2979438247821</v>
      </c>
      <c r="H28" s="233">
        <f t="shared" si="4"/>
        <v>-2.6452928074725435E-2</v>
      </c>
      <c r="I28" s="208"/>
      <c r="J28" s="249" t="s">
        <v>1073</v>
      </c>
      <c r="K28" s="249"/>
      <c r="L28" s="249"/>
      <c r="M28" s="249"/>
      <c r="N28" s="220"/>
      <c r="O28" s="220"/>
      <c r="P28" s="220"/>
      <c r="Q28" s="5"/>
      <c r="S28" s="72"/>
      <c r="T28" s="26"/>
      <c r="U28" s="26"/>
      <c r="V28" s="113" t="s">
        <v>381</v>
      </c>
      <c r="W28" s="242">
        <f t="shared" si="6"/>
        <v>1.2438055163852202</v>
      </c>
      <c r="X28" s="242">
        <v>1</v>
      </c>
    </row>
    <row r="29" spans="2:24" ht="12.6" thickTop="1">
      <c r="B29" s="5" t="s">
        <v>489</v>
      </c>
      <c r="C29" s="422">
        <v>27.946504279154674</v>
      </c>
      <c r="D29" s="416">
        <v>62.433607279154835</v>
      </c>
      <c r="E29" s="416">
        <v>85.736938943634925</v>
      </c>
      <c r="F29" s="416">
        <v>85.506682241316412</v>
      </c>
      <c r="G29" s="416">
        <v>65.021914584954573</v>
      </c>
      <c r="H29" s="233">
        <f t="shared" si="4"/>
        <v>1.3632301201466301E-2</v>
      </c>
      <c r="I29" s="212"/>
      <c r="J29" s="209"/>
      <c r="K29" s="209"/>
      <c r="L29" s="209"/>
      <c r="M29" s="209"/>
      <c r="N29" s="209"/>
      <c r="O29" s="211"/>
      <c r="Q29" s="5"/>
      <c r="S29" s="72"/>
      <c r="T29" s="26"/>
      <c r="U29" s="26"/>
      <c r="V29" s="113" t="s">
        <v>434</v>
      </c>
      <c r="W29" s="242">
        <f t="shared" si="6"/>
        <v>0.98732640761870927</v>
      </c>
      <c r="X29" s="242">
        <v>1</v>
      </c>
    </row>
    <row r="30" spans="2:24">
      <c r="B30" s="5" t="s">
        <v>490</v>
      </c>
      <c r="C30" s="422">
        <v>42.529336266666547</v>
      </c>
      <c r="D30" s="416">
        <v>64.407013066666707</v>
      </c>
      <c r="E30" s="416">
        <v>91.902391180469934</v>
      </c>
      <c r="F30" s="416">
        <v>135.63979385278867</v>
      </c>
      <c r="G30" s="416">
        <v>184.57966777768308</v>
      </c>
      <c r="H30" s="233">
        <f t="shared" si="4"/>
        <v>0.42042039801887521</v>
      </c>
      <c r="I30" s="214"/>
      <c r="J30" s="208"/>
      <c r="K30" s="208"/>
      <c r="L30" s="208"/>
      <c r="M30" s="208"/>
      <c r="N30" s="208"/>
      <c r="O30" s="5"/>
      <c r="Q30" s="5"/>
      <c r="S30" s="72"/>
      <c r="T30" s="26"/>
      <c r="U30" s="26"/>
      <c r="V30" s="113" t="s">
        <v>493</v>
      </c>
      <c r="W30" s="242">
        <f t="shared" si="6"/>
        <v>0.62223100905516249</v>
      </c>
      <c r="X30" s="242">
        <v>1</v>
      </c>
    </row>
    <row r="31" spans="2:24">
      <c r="B31" s="5" t="s">
        <v>491</v>
      </c>
      <c r="C31" s="422">
        <v>0</v>
      </c>
      <c r="D31" s="416">
        <v>0</v>
      </c>
      <c r="E31" s="416">
        <v>0</v>
      </c>
      <c r="F31" s="416">
        <v>0</v>
      </c>
      <c r="G31" s="416">
        <v>90.02162100000001</v>
      </c>
      <c r="H31" s="233" t="str">
        <f t="shared" si="4"/>
        <v>nm</v>
      </c>
      <c r="I31" s="214"/>
      <c r="J31" s="212"/>
      <c r="K31" s="212"/>
      <c r="L31" s="212"/>
      <c r="M31" s="212"/>
      <c r="N31" s="212"/>
      <c r="O31" s="5"/>
      <c r="Q31" s="5"/>
      <c r="S31" s="72"/>
      <c r="T31" s="26"/>
      <c r="U31" s="26"/>
      <c r="V31" s="113" t="s">
        <v>390</v>
      </c>
      <c r="W31" s="242">
        <f t="shared" si="6"/>
        <v>1.3771533242597065</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0.82946738387829333</v>
      </c>
      <c r="X32" s="242">
        <v>1</v>
      </c>
    </row>
    <row r="33" spans="2:24">
      <c r="B33" s="5" t="s">
        <v>3</v>
      </c>
      <c r="C33" s="422">
        <v>114.56300000000002</v>
      </c>
      <c r="D33" s="416">
        <v>96.98599999999999</v>
      </c>
      <c r="E33" s="416">
        <v>92.266542011679235</v>
      </c>
      <c r="F33" s="416">
        <v>87.887567557442281</v>
      </c>
      <c r="G33" s="416">
        <v>87.164855311954057</v>
      </c>
      <c r="H33" s="233">
        <f>IF(D33=0,"nm",IF(G33=0,"nm",(G33/D33)^(1/3)-1))</f>
        <v>-3.4962650882081947E-2</v>
      </c>
      <c r="I33" s="5"/>
      <c r="J33" s="214"/>
      <c r="K33" s="214"/>
      <c r="L33" s="214"/>
      <c r="M33" s="214"/>
      <c r="N33" s="214"/>
      <c r="O33" s="211"/>
      <c r="Q33" s="5"/>
      <c r="S33" s="72"/>
      <c r="T33" s="26"/>
      <c r="U33" s="26"/>
      <c r="V33" s="113" t="s">
        <v>481</v>
      </c>
      <c r="W33" s="242">
        <f t="shared" si="6"/>
        <v>0</v>
      </c>
      <c r="X33" s="242">
        <v>1</v>
      </c>
    </row>
    <row r="34" spans="2:24">
      <c r="B34" s="5"/>
      <c r="C34" s="207"/>
      <c r="D34" s="13"/>
      <c r="E34" s="13"/>
      <c r="F34" s="13"/>
      <c r="G34" s="13"/>
      <c r="H34" s="231"/>
      <c r="I34" s="33"/>
      <c r="J34" s="214"/>
      <c r="K34" s="214"/>
      <c r="L34" s="214"/>
      <c r="M34" s="214"/>
      <c r="N34" s="214"/>
      <c r="O34" s="211"/>
      <c r="Q34" s="5"/>
      <c r="S34" s="72"/>
      <c r="T34" s="26"/>
      <c r="U34" s="26"/>
      <c r="V34" s="113" t="s">
        <v>482</v>
      </c>
      <c r="W34" s="242">
        <f>D47/L19</f>
        <v>0.72613555976968169</v>
      </c>
      <c r="X34" s="242">
        <v>1</v>
      </c>
    </row>
    <row r="35" spans="2:24" ht="12.6" thickBot="1">
      <c r="B35" s="249" t="s">
        <v>340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1.7210956827085375</v>
      </c>
      <c r="E37" s="406">
        <f t="shared" ref="E37:G41" si="8">E$18/E23</f>
        <v>1.6593641036097573</v>
      </c>
      <c r="F37" s="406">
        <f t="shared" si="8"/>
        <v>1.598680611269945</v>
      </c>
      <c r="G37" s="406">
        <f t="shared" si="8"/>
        <v>1.5997545894763463</v>
      </c>
      <c r="H37" s="13">
        <f t="shared" ref="H37:H46" si="9">H23</f>
        <v>1.1254942588671213E-2</v>
      </c>
      <c r="I37" s="5"/>
      <c r="J37" s="217"/>
      <c r="K37" s="217"/>
      <c r="L37" s="217"/>
      <c r="M37" s="217"/>
      <c r="N37" s="217"/>
      <c r="O37" s="14"/>
      <c r="Q37" s="5"/>
      <c r="R37" s="5"/>
      <c r="S37" s="26"/>
      <c r="T37" s="26"/>
      <c r="U37" s="26"/>
      <c r="V37" s="26"/>
      <c r="W37" s="26"/>
      <c r="X37" s="26"/>
    </row>
    <row r="38" spans="2:24">
      <c r="B38" s="5" t="s">
        <v>158</v>
      </c>
      <c r="C38" s="207"/>
      <c r="D38" s="406">
        <f>D$18/D24</f>
        <v>6.1741441818318687</v>
      </c>
      <c r="E38" s="406">
        <f t="shared" si="8"/>
        <v>5.8117265470785648</v>
      </c>
      <c r="F38" s="406">
        <f t="shared" si="8"/>
        <v>5.6132218123976791</v>
      </c>
      <c r="G38" s="406">
        <f t="shared" si="8"/>
        <v>5.6731793360450391</v>
      </c>
      <c r="H38" s="13">
        <f t="shared" si="9"/>
        <v>1.5142145595676837E-2</v>
      </c>
      <c r="I38" s="217"/>
      <c r="J38" s="13"/>
      <c r="K38" s="13"/>
      <c r="L38" s="13"/>
      <c r="M38" s="13"/>
      <c r="N38" s="13"/>
      <c r="O38" s="5"/>
      <c r="Q38" s="5"/>
      <c r="R38" s="5"/>
      <c r="S38" s="26"/>
      <c r="T38" s="26"/>
      <c r="U38" s="26"/>
      <c r="V38" s="26"/>
      <c r="W38" s="26"/>
      <c r="X38" s="26"/>
    </row>
    <row r="39" spans="2:24">
      <c r="B39" s="5" t="s">
        <v>159</v>
      </c>
      <c r="C39" s="207"/>
      <c r="D39" s="406">
        <f>D$18/D25</f>
        <v>19.711117770822963</v>
      </c>
      <c r="E39" s="406">
        <f t="shared" si="8"/>
        <v>16.177488668907326</v>
      </c>
      <c r="F39" s="406">
        <f t="shared" si="8"/>
        <v>15.615494699608398</v>
      </c>
      <c r="G39" s="406">
        <f t="shared" si="8"/>
        <v>17.281235048487744</v>
      </c>
      <c r="H39" s="13">
        <f t="shared" si="9"/>
        <v>3.1150996116782403E-2</v>
      </c>
      <c r="I39" s="13"/>
      <c r="J39" s="5"/>
      <c r="K39" s="5"/>
      <c r="L39" s="5"/>
      <c r="M39" s="5"/>
      <c r="N39" s="5"/>
      <c r="O39" s="5"/>
      <c r="Q39" s="5"/>
      <c r="R39" s="5"/>
      <c r="S39" s="26"/>
      <c r="T39" s="26"/>
      <c r="U39" s="26"/>
      <c r="V39" s="26"/>
      <c r="W39" s="26"/>
      <c r="X39" s="26"/>
    </row>
    <row r="40" spans="2:24">
      <c r="B40" s="5" t="s">
        <v>381</v>
      </c>
      <c r="C40" s="207"/>
      <c r="D40" s="406">
        <f>D$18/D26</f>
        <v>26.281490361097283</v>
      </c>
      <c r="E40" s="406">
        <f t="shared" si="8"/>
        <v>21.569984891876437</v>
      </c>
      <c r="F40" s="406">
        <f t="shared" si="8"/>
        <v>20.820659599477867</v>
      </c>
      <c r="G40" s="406">
        <f t="shared" si="8"/>
        <v>23.041646731316991</v>
      </c>
      <c r="H40" s="13">
        <f t="shared" si="9"/>
        <v>3.1150996116782403E-2</v>
      </c>
      <c r="I40" s="5"/>
      <c r="J40" s="217"/>
      <c r="K40" s="217"/>
      <c r="L40" s="217"/>
      <c r="M40" s="217"/>
      <c r="N40" s="217"/>
      <c r="O40" s="14"/>
      <c r="Q40" s="5"/>
      <c r="R40" s="5"/>
      <c r="S40" s="26"/>
      <c r="T40" s="26"/>
      <c r="U40" s="26"/>
      <c r="V40" s="26"/>
      <c r="W40" s="242"/>
      <c r="X40" s="242"/>
    </row>
    <row r="41" spans="2:24">
      <c r="B41" s="5" t="s">
        <v>434</v>
      </c>
      <c r="C41" s="207"/>
      <c r="D41" s="406">
        <f>D$18/D27</f>
        <v>1.1967151638700733</v>
      </c>
      <c r="E41" s="406">
        <f t="shared" si="8"/>
        <v>1.1972431597412618</v>
      </c>
      <c r="F41" s="406">
        <f t="shared" si="8"/>
        <v>1.1916255118790056</v>
      </c>
      <c r="G41" s="406">
        <f t="shared" si="8"/>
        <v>1.2182606959086801</v>
      </c>
      <c r="H41" s="13">
        <f t="shared" si="9"/>
        <v>-1.8944385617045145E-2</v>
      </c>
      <c r="I41" s="207"/>
      <c r="J41" s="13"/>
      <c r="K41" s="13"/>
      <c r="L41" s="13"/>
      <c r="M41" s="13"/>
      <c r="N41" s="13"/>
      <c r="O41" s="5"/>
      <c r="Q41" s="5"/>
      <c r="R41" s="5"/>
      <c r="S41" s="26"/>
      <c r="T41" s="26"/>
      <c r="U41" s="26"/>
      <c r="V41" s="26"/>
      <c r="W41" s="242"/>
      <c r="X41" s="242"/>
    </row>
    <row r="42" spans="2:24">
      <c r="B42" s="5" t="s">
        <v>493</v>
      </c>
      <c r="C42" s="207"/>
      <c r="D42" s="406">
        <f>D18/D28</f>
        <v>1.864492387483484</v>
      </c>
      <c r="E42" s="406">
        <f>E18/E28</f>
        <v>1.8867570632104971</v>
      </c>
      <c r="F42" s="406">
        <f>F18/F28</f>
        <v>1.8924378291898745</v>
      </c>
      <c r="G42" s="406">
        <f>G18/G28</f>
        <v>1.9423168205109202</v>
      </c>
      <c r="H42" s="13">
        <f t="shared" si="9"/>
        <v>-2.6452928074725435E-2</v>
      </c>
      <c r="I42" s="208"/>
      <c r="J42" s="5"/>
      <c r="K42" s="5"/>
      <c r="L42" s="5"/>
      <c r="M42" s="5"/>
      <c r="N42" s="5"/>
      <c r="O42" s="5"/>
      <c r="Q42" s="5"/>
      <c r="R42" s="5"/>
      <c r="S42" s="26"/>
      <c r="T42" s="26"/>
      <c r="U42" s="26"/>
      <c r="V42" s="26"/>
      <c r="W42" s="242"/>
      <c r="X42" s="242"/>
    </row>
    <row r="43" spans="2:24">
      <c r="B43" s="5" t="s">
        <v>390</v>
      </c>
      <c r="C43" s="207"/>
      <c r="D43" s="406">
        <f>L26/D29</f>
        <v>28.229717670266211</v>
      </c>
      <c r="E43" s="406">
        <f>M26/E29</f>
        <v>15.866004907106475</v>
      </c>
      <c r="F43" s="406">
        <f>N26/F29</f>
        <v>15.908729684552167</v>
      </c>
      <c r="G43" s="406">
        <f>O26/G29</f>
        <v>20.920680399570401</v>
      </c>
      <c r="H43" s="13">
        <f t="shared" si="9"/>
        <v>1.3632301201466301E-2</v>
      </c>
      <c r="I43" s="207"/>
      <c r="J43" s="207"/>
      <c r="K43" s="207"/>
      <c r="L43" s="207"/>
      <c r="M43" s="207"/>
      <c r="N43" s="207"/>
      <c r="O43" s="14"/>
      <c r="Q43" s="5"/>
      <c r="R43" s="5"/>
      <c r="S43" s="26"/>
      <c r="T43" s="26"/>
      <c r="U43" s="26"/>
      <c r="V43" s="26"/>
      <c r="W43" s="242"/>
      <c r="X43" s="242"/>
    </row>
    <row r="44" spans="2:24">
      <c r="B44" s="5" t="s">
        <v>437</v>
      </c>
      <c r="C44" s="53"/>
      <c r="D44" s="406">
        <f>D11/D30</f>
        <v>19.567786705082568</v>
      </c>
      <c r="E44" s="406">
        <f>E11/E30</f>
        <v>13.713491866877838</v>
      </c>
      <c r="F44" s="406">
        <f>F11/F30</f>
        <v>9.2915409128962558</v>
      </c>
      <c r="G44" s="406">
        <f>G11/G30</f>
        <v>6.8279605721144279</v>
      </c>
      <c r="H44" s="13">
        <f t="shared" si="9"/>
        <v>0.42042039801887521</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7.1428571428571438E-2</v>
      </c>
      <c r="H45" s="13" t="str">
        <f t="shared" si="9"/>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7.1428571428571438E-2</v>
      </c>
      <c r="H46" s="13" t="str">
        <f t="shared" si="9"/>
        <v>nm</v>
      </c>
      <c r="I46" s="207"/>
      <c r="J46" s="207"/>
      <c r="K46" s="207"/>
      <c r="L46" s="207"/>
      <c r="M46" s="207"/>
      <c r="N46" s="207"/>
      <c r="O46" s="14"/>
      <c r="Q46" s="5"/>
      <c r="R46" s="5"/>
      <c r="S46" s="26"/>
      <c r="T46" s="26"/>
      <c r="U46" s="26"/>
      <c r="V46" s="26"/>
      <c r="W46" s="26"/>
      <c r="X46" s="26"/>
    </row>
    <row r="47" spans="2:24">
      <c r="B47" s="5" t="s">
        <v>482</v>
      </c>
      <c r="C47" s="5"/>
      <c r="D47" s="208">
        <f>1/D43</f>
        <v>3.5423662810956116E-2</v>
      </c>
      <c r="E47" s="208">
        <f>1/E43</f>
        <v>6.3027838819846457E-2</v>
      </c>
      <c r="F47" s="208">
        <f>1/F43</f>
        <v>6.2858570095073563E-2</v>
      </c>
      <c r="G47" s="208">
        <f>1/G43</f>
        <v>4.7799592599317882E-2</v>
      </c>
      <c r="H47" s="13">
        <f>H29</f>
        <v>1.3632301201466301E-2</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1.3844812410496157</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MOBBSOP!A1" display="Jump to Mobistar SOP" xr:uid="{00000000-0004-0000-3F00-000001000000}"/>
  </hyperlinks>
  <pageMargins left="0.75" right="0.75" top="1" bottom="1" header="0.5" footer="0.5"/>
  <pageSetup scale="71"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601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Prices!C11</f>
        <v>17.64</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2660.056599</v>
      </c>
      <c r="E10" s="408">
        <v>2660.056599</v>
      </c>
      <c r="F10" s="408">
        <v>2660.056599</v>
      </c>
      <c r="G10" s="408">
        <v>2660.056599</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46923.39840636</v>
      </c>
      <c r="E11" s="409">
        <f>$C$9*E10</f>
        <v>46923.39840636</v>
      </c>
      <c r="F11" s="409">
        <f>$C$9*F10</f>
        <v>46923.39840636</v>
      </c>
      <c r="G11" s="409">
        <f>$C$9*G10</f>
        <v>46923.39840636</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28188.40625</v>
      </c>
      <c r="E12" s="410">
        <v>40800.85506647508</v>
      </c>
      <c r="F12" s="410">
        <v>41640.988156114989</v>
      </c>
      <c r="G12" s="410">
        <v>39715.265069353634</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15273.39285013576</v>
      </c>
      <c r="E13" s="410">
        <v>14764.078375393779</v>
      </c>
      <c r="F13" s="410">
        <v>13638.400048438694</v>
      </c>
      <c r="G13" s="410">
        <v>13077.318109868449</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E14</f>
        <v>1026</v>
      </c>
      <c r="E14" s="410">
        <f>ORASOP!R40</f>
        <v>1026</v>
      </c>
      <c r="F14" s="410">
        <f>E14</f>
        <v>1026</v>
      </c>
      <c r="G14" s="410">
        <f>F14</f>
        <v>1026</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ORASOP!T34</f>
        <v>14172.217713679993</v>
      </c>
      <c r="E15" s="410">
        <f>D15</f>
        <v>14172.217713679993</v>
      </c>
      <c r="F15" s="410">
        <f>E15</f>
        <v>14172.217713679993</v>
      </c>
      <c r="G15" s="410">
        <f>F15</f>
        <v>14172.217713679993</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1995.0424492500001</v>
      </c>
      <c r="F16" s="410">
        <v>4089.8370209625004</v>
      </c>
      <c r="G16" s="410">
        <v>6268.4233755435007</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2085.3060647771626</v>
      </c>
      <c r="E17" s="410">
        <v>2046.7162886213375</v>
      </c>
      <c r="F17" s="410">
        <v>2005.579587239228</v>
      </c>
      <c r="G17" s="410">
        <v>1961.727863565899</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101446.10915539859</v>
      </c>
      <c r="E18" s="411">
        <f>E11+E12+E13-E14+E15-E16-E17</f>
        <v>111592.79082403753</v>
      </c>
      <c r="F18" s="411">
        <f>F11+F12+F13-F14+F15-F16-F17</f>
        <v>109253.58771639194</v>
      </c>
      <c r="G18" s="411">
        <f>G11+G12+G13-G14+G15-G16-G17</f>
        <v>104632.04806015267</v>
      </c>
      <c r="H18" s="230">
        <f>IF(D18=0,"nm",IF(G18=0,"nm",(G18/D18)^(1/3)-1))</f>
        <v>1.0360696928774837E-2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40263</v>
      </c>
      <c r="D23" s="416">
        <v>40400</v>
      </c>
      <c r="E23" s="416">
        <v>48708.985286927389</v>
      </c>
      <c r="F23" s="416">
        <v>49567.404792240937</v>
      </c>
      <c r="G23" s="416">
        <v>50494.190423981468</v>
      </c>
      <c r="H23" s="233">
        <f t="shared" ref="H23:H32" si="3">IF(D23=0,"nm",IF(G23=0,"nm",(G23/D23)^(1/3)-1))</f>
        <v>7.7176035339029614E-2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12109</v>
      </c>
      <c r="D24" s="416">
        <v>12470</v>
      </c>
      <c r="E24" s="416">
        <v>15241.903194037481</v>
      </c>
      <c r="F24" s="416">
        <v>15693.82526067968</v>
      </c>
      <c r="G24" s="416">
        <v>16181.470577632979</v>
      </c>
      <c r="H24" s="233">
        <f t="shared" si="3"/>
        <v>9.0729798533138561E-2</v>
      </c>
      <c r="I24" s="209"/>
      <c r="J24" s="13"/>
      <c r="K24" s="13"/>
      <c r="L24" s="13"/>
      <c r="M24" s="13"/>
      <c r="N24" s="13"/>
      <c r="O24" s="208"/>
      <c r="S24" s="72"/>
      <c r="T24" s="26"/>
      <c r="U24" s="26"/>
      <c r="V24" s="26"/>
      <c r="W24" s="26" t="s">
        <v>603</v>
      </c>
      <c r="X24" s="26" t="s">
        <v>207</v>
      </c>
    </row>
    <row r="25" spans="2:24">
      <c r="B25" s="5" t="s">
        <v>157</v>
      </c>
      <c r="C25" s="422">
        <v>5684</v>
      </c>
      <c r="D25" s="416">
        <v>6262</v>
      </c>
      <c r="E25" s="416">
        <v>8080.1487022730043</v>
      </c>
      <c r="F25" s="416">
        <v>8627.3236489538576</v>
      </c>
      <c r="G25" s="416">
        <v>8958.9130943271593</v>
      </c>
      <c r="H25" s="233">
        <f t="shared" si="3"/>
        <v>0.12680150962284586</v>
      </c>
      <c r="I25" s="208"/>
      <c r="J25" s="207" t="s">
        <v>8</v>
      </c>
      <c r="K25" s="207"/>
      <c r="L25" s="252">
        <v>0</v>
      </c>
      <c r="M25" s="252">
        <v>0</v>
      </c>
      <c r="N25" s="252">
        <v>0</v>
      </c>
      <c r="O25" s="252">
        <v>0</v>
      </c>
      <c r="P25" s="233" t="str">
        <f>IF(L25=0,"nm",IF(O25=0,"nm",(O25/L25)^(1/3)-1))</f>
        <v>nm</v>
      </c>
      <c r="S25" s="72"/>
      <c r="T25" s="26"/>
      <c r="U25" s="26"/>
      <c r="V25" s="113" t="s">
        <v>225</v>
      </c>
      <c r="W25" s="242">
        <f>D37/L9</f>
        <v>0.96152184742892755</v>
      </c>
      <c r="X25" s="242">
        <v>1</v>
      </c>
    </row>
    <row r="26" spans="2:24">
      <c r="B26" s="5" t="s">
        <v>487</v>
      </c>
      <c r="C26" s="422">
        <v>4189.3516634594143</v>
      </c>
      <c r="D26" s="416">
        <v>4617.3776452482134</v>
      </c>
      <c r="E26" s="416">
        <v>5934.7313668274128</v>
      </c>
      <c r="F26" s="416">
        <v>6338.4654169875803</v>
      </c>
      <c r="G26" s="416">
        <v>6583.9258719615746</v>
      </c>
      <c r="H26" s="233">
        <f t="shared" si="3"/>
        <v>0.12554581842943158</v>
      </c>
      <c r="I26" s="209"/>
      <c r="J26" s="209" t="s">
        <v>9</v>
      </c>
      <c r="K26" s="209"/>
      <c r="L26" s="235">
        <f>D11+L25</f>
        <v>46923.39840636</v>
      </c>
      <c r="M26" s="235">
        <f>E11+M25</f>
        <v>46923.39840636</v>
      </c>
      <c r="N26" s="235">
        <f>F11+N25</f>
        <v>46923.39840636</v>
      </c>
      <c r="O26" s="235">
        <f>G11+O25</f>
        <v>46923.39840636</v>
      </c>
      <c r="P26" s="233">
        <f>IF(L26=0,"nm",IF(O26=0,"nm",(O26/L26)^(1/3)-1))</f>
        <v>0</v>
      </c>
      <c r="Q26" s="5"/>
      <c r="S26" s="72"/>
      <c r="T26" s="26"/>
      <c r="U26" s="26"/>
      <c r="V26" s="113" t="s">
        <v>158</v>
      </c>
      <c r="W26" s="242">
        <f t="shared" ref="W26:W33" si="5">D38/L10</f>
        <v>1.0568880403355718</v>
      </c>
      <c r="X26" s="242">
        <v>1</v>
      </c>
    </row>
    <row r="27" spans="2:24">
      <c r="B27" s="5" t="s">
        <v>488</v>
      </c>
      <c r="C27" s="423">
        <v>63305.915926085319</v>
      </c>
      <c r="D27" s="416">
        <v>61342.824284342634</v>
      </c>
      <c r="E27" s="416">
        <v>75902.815579745264</v>
      </c>
      <c r="F27" s="416">
        <v>77293.635514864931</v>
      </c>
      <c r="G27" s="416">
        <v>76218.315714277502</v>
      </c>
      <c r="H27" s="233">
        <f t="shared" si="3"/>
        <v>7.5057912540763105E-2</v>
      </c>
      <c r="I27" s="209"/>
      <c r="J27" s="208"/>
      <c r="K27" s="208"/>
      <c r="L27" s="208"/>
      <c r="M27" s="208"/>
      <c r="N27" s="208"/>
      <c r="O27" s="208"/>
      <c r="Q27" s="25"/>
      <c r="S27" s="72"/>
      <c r="T27" s="26"/>
      <c r="U27" s="26"/>
      <c r="V27" s="113" t="s">
        <v>159</v>
      </c>
      <c r="W27" s="242">
        <f t="shared" si="5"/>
        <v>1.1030331682214372</v>
      </c>
      <c r="X27" s="242">
        <v>1</v>
      </c>
    </row>
    <row r="28" spans="2:24" ht="12.6" thickBot="1">
      <c r="B28" s="5" t="s">
        <v>492</v>
      </c>
      <c r="C28" s="422">
        <v>30421.359995898001</v>
      </c>
      <c r="D28" s="416">
        <v>31902.591832780497</v>
      </c>
      <c r="E28" s="416">
        <v>46406.294521201853</v>
      </c>
      <c r="F28" s="416">
        <v>47230.8157054412</v>
      </c>
      <c r="G28" s="416">
        <v>45653.833986968195</v>
      </c>
      <c r="H28" s="233">
        <f t="shared" si="3"/>
        <v>0.12689580605789597</v>
      </c>
      <c r="I28" s="208"/>
      <c r="J28" s="249" t="s">
        <v>1073</v>
      </c>
      <c r="K28" s="249"/>
      <c r="L28" s="249"/>
      <c r="M28" s="249"/>
      <c r="N28" s="220"/>
      <c r="O28" s="220"/>
      <c r="P28" s="220"/>
      <c r="Q28" s="5"/>
      <c r="S28" s="72"/>
      <c r="T28" s="26"/>
      <c r="U28" s="26"/>
      <c r="V28" s="113" t="s">
        <v>381</v>
      </c>
      <c r="W28" s="242">
        <f t="shared" si="5"/>
        <v>1.1079259426660066</v>
      </c>
      <c r="X28" s="242">
        <v>1</v>
      </c>
    </row>
    <row r="29" spans="2:24" ht="12.6" thickTop="1">
      <c r="B29" s="5" t="s">
        <v>489</v>
      </c>
      <c r="C29" s="422">
        <v>584.10334219599872</v>
      </c>
      <c r="D29" s="416">
        <v>1809.354392780001</v>
      </c>
      <c r="E29" s="416">
        <v>3257.784194670422</v>
      </c>
      <c r="F29" s="416">
        <v>3697.8607934776346</v>
      </c>
      <c r="G29" s="416">
        <v>4013.7000032378573</v>
      </c>
      <c r="H29" s="233">
        <f t="shared" si="3"/>
        <v>0.30418867066557631</v>
      </c>
      <c r="I29" s="212"/>
      <c r="J29" s="209"/>
      <c r="K29" s="209"/>
      <c r="L29" s="209"/>
      <c r="M29" s="209"/>
      <c r="N29" s="209"/>
      <c r="O29" s="211"/>
      <c r="Q29" s="5"/>
      <c r="S29" s="72"/>
      <c r="T29" s="26"/>
      <c r="U29" s="26"/>
      <c r="V29" s="113" t="s">
        <v>434</v>
      </c>
      <c r="W29" s="242">
        <f t="shared" si="5"/>
        <v>1.0021594846280748</v>
      </c>
      <c r="X29" s="242">
        <v>1</v>
      </c>
    </row>
    <row r="30" spans="2:24">
      <c r="B30" s="5" t="s">
        <v>490</v>
      </c>
      <c r="C30" s="423">
        <v>2735</v>
      </c>
      <c r="D30" s="416">
        <v>2822</v>
      </c>
      <c r="E30" s="416">
        <v>4216.0200609641533</v>
      </c>
      <c r="F30" s="416">
        <v>2942.9362951450794</v>
      </c>
      <c r="G30" s="416">
        <v>3335.2029391868095</v>
      </c>
      <c r="H30" s="233">
        <f t="shared" si="3"/>
        <v>5.7276108513626411E-2</v>
      </c>
      <c r="I30" s="214"/>
      <c r="J30" s="208"/>
      <c r="K30" s="208"/>
      <c r="L30" s="208"/>
      <c r="M30" s="208"/>
      <c r="N30" s="208"/>
      <c r="O30" s="5"/>
      <c r="Q30" s="5"/>
      <c r="S30" s="72"/>
      <c r="T30" s="26"/>
      <c r="U30" s="26"/>
      <c r="V30" s="113" t="s">
        <v>493</v>
      </c>
      <c r="W30" s="242">
        <f t="shared" si="5"/>
        <v>0.83965733075478677</v>
      </c>
      <c r="X30" s="242">
        <v>1</v>
      </c>
    </row>
    <row r="31" spans="2:24">
      <c r="B31" s="5" t="s">
        <v>491</v>
      </c>
      <c r="C31" s="423">
        <v>1995.0424492500001</v>
      </c>
      <c r="D31" s="416">
        <v>1995.0424492500001</v>
      </c>
      <c r="E31" s="416">
        <v>2094.7945717125003</v>
      </c>
      <c r="F31" s="416">
        <v>2178.5863545810003</v>
      </c>
      <c r="G31" s="416">
        <v>2352.8732629474807</v>
      </c>
      <c r="H31" s="233">
        <f t="shared" si="3"/>
        <v>5.6530724958862022E-2</v>
      </c>
      <c r="I31" s="214"/>
      <c r="J31" s="212"/>
      <c r="K31" s="212"/>
      <c r="L31" s="212"/>
      <c r="M31" s="212"/>
      <c r="N31" s="212"/>
      <c r="O31" s="5"/>
      <c r="Q31" s="5"/>
      <c r="S31" s="72"/>
      <c r="T31" s="26"/>
      <c r="U31" s="26"/>
      <c r="V31" s="113" t="s">
        <v>390</v>
      </c>
      <c r="W31" s="242">
        <f t="shared" si="5"/>
        <v>1.4630205068565962</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1.1755795510944771</v>
      </c>
      <c r="X32" s="242">
        <v>1</v>
      </c>
    </row>
    <row r="33" spans="2:24">
      <c r="B33" s="5" t="s">
        <v>3</v>
      </c>
      <c r="C33" s="423">
        <v>1066</v>
      </c>
      <c r="D33" s="416">
        <v>1254</v>
      </c>
      <c r="E33" s="416">
        <v>1187.6549249918853</v>
      </c>
      <c r="F33" s="416">
        <v>1201.0519312588121</v>
      </c>
      <c r="G33" s="416">
        <v>1182.327861652303</v>
      </c>
      <c r="H33" s="233">
        <f>IF(D33=0,"nm",IF(G33=0,"nm",(G33/D33)^(1/3)-1))</f>
        <v>-1.9426552219352966E-2</v>
      </c>
      <c r="I33" s="5"/>
      <c r="J33" s="214"/>
      <c r="K33" s="214"/>
      <c r="L33" s="214"/>
      <c r="M33" s="214"/>
      <c r="N33" s="214"/>
      <c r="O33" s="211"/>
      <c r="Q33" s="5"/>
      <c r="S33" s="72"/>
      <c r="T33" s="26"/>
      <c r="U33" s="26"/>
      <c r="V33" s="113" t="s">
        <v>481</v>
      </c>
      <c r="W33" s="242">
        <f t="shared" si="5"/>
        <v>1.1062389266786754</v>
      </c>
      <c r="X33" s="242">
        <v>1</v>
      </c>
    </row>
    <row r="34" spans="2:24">
      <c r="D34" s="224"/>
      <c r="E34" s="224"/>
      <c r="F34" s="224"/>
      <c r="G34" s="224"/>
      <c r="H34" s="231"/>
      <c r="I34" s="33"/>
      <c r="J34" s="214"/>
      <c r="K34" s="214"/>
      <c r="L34" s="214"/>
      <c r="M34" s="214"/>
      <c r="N34" s="214"/>
      <c r="O34" s="211"/>
      <c r="Q34" s="5"/>
      <c r="S34" s="72"/>
      <c r="T34" s="26"/>
      <c r="U34" s="26"/>
      <c r="V34" s="113" t="s">
        <v>482</v>
      </c>
      <c r="W34" s="242">
        <f>D47/L19</f>
        <v>0.68351741845954783</v>
      </c>
      <c r="X34" s="242">
        <v>1</v>
      </c>
    </row>
    <row r="35" spans="2:24" ht="12.6" thickBot="1">
      <c r="B35" s="249" t="s">
        <v>602</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2.511042305826698</v>
      </c>
      <c r="E37" s="406">
        <f t="shared" ref="E37:G41" si="7">E$18/E23</f>
        <v>2.291010378612568</v>
      </c>
      <c r="F37" s="406">
        <f t="shared" si="7"/>
        <v>2.2041417777332173</v>
      </c>
      <c r="G37" s="406">
        <f t="shared" si="7"/>
        <v>2.0721601273650525</v>
      </c>
      <c r="H37" s="13">
        <f t="shared" ref="H37:H45" si="8">H23</f>
        <v>7.7176035339029614E-2</v>
      </c>
      <c r="I37" s="5"/>
      <c r="J37" s="217"/>
      <c r="K37" s="217"/>
      <c r="L37" s="217"/>
      <c r="M37" s="217"/>
      <c r="N37" s="217"/>
      <c r="O37" s="14"/>
      <c r="Q37" s="5"/>
      <c r="R37" s="5"/>
      <c r="S37" s="26"/>
      <c r="T37" s="26"/>
      <c r="U37" s="26"/>
      <c r="V37" s="26"/>
      <c r="W37" s="26"/>
      <c r="X37" s="26"/>
    </row>
    <row r="38" spans="2:24">
      <c r="B38" s="5" t="s">
        <v>158</v>
      </c>
      <c r="C38" s="207"/>
      <c r="D38" s="406">
        <f>D$18/D24</f>
        <v>8.1352132442180096</v>
      </c>
      <c r="E38" s="406">
        <f t="shared" si="7"/>
        <v>7.321447289318292</v>
      </c>
      <c r="F38" s="406">
        <f t="shared" si="7"/>
        <v>6.9615651953334101</v>
      </c>
      <c r="G38" s="406">
        <f t="shared" si="7"/>
        <v>6.4661643426142925</v>
      </c>
      <c r="H38" s="13">
        <f t="shared" si="8"/>
        <v>9.0729798533138561E-2</v>
      </c>
      <c r="I38" s="217"/>
      <c r="J38" s="13"/>
      <c r="K38" s="13"/>
      <c r="L38" s="13"/>
      <c r="M38" s="13"/>
      <c r="N38" s="13"/>
      <c r="O38" s="5"/>
      <c r="Q38" s="5"/>
      <c r="R38" s="5"/>
      <c r="S38" s="26"/>
      <c r="T38" s="26"/>
      <c r="U38" s="26"/>
      <c r="V38" s="26"/>
      <c r="W38" s="26"/>
      <c r="X38" s="26"/>
    </row>
    <row r="39" spans="2:24">
      <c r="B39" s="5" t="s">
        <v>159</v>
      </c>
      <c r="C39" s="207"/>
      <c r="D39" s="406">
        <f>D$18/D25</f>
        <v>16.200272940817406</v>
      </c>
      <c r="E39" s="406">
        <f t="shared" si="7"/>
        <v>13.810734794106656</v>
      </c>
      <c r="F39" s="406">
        <f t="shared" si="7"/>
        <v>12.663670932252547</v>
      </c>
      <c r="G39" s="406">
        <f t="shared" si="7"/>
        <v>11.67910068537291</v>
      </c>
      <c r="H39" s="13">
        <f t="shared" si="8"/>
        <v>0.12680150962284586</v>
      </c>
      <c r="I39" s="13"/>
      <c r="J39" s="5"/>
      <c r="K39" s="5"/>
      <c r="L39" s="5"/>
      <c r="M39" s="5"/>
      <c r="N39" s="5"/>
      <c r="O39" s="5"/>
      <c r="Q39" s="5"/>
      <c r="R39" s="5"/>
      <c r="S39" s="26"/>
      <c r="T39" s="26"/>
      <c r="U39" s="26"/>
      <c r="V39" s="26"/>
      <c r="W39" s="26"/>
      <c r="X39" s="26"/>
    </row>
    <row r="40" spans="2:24">
      <c r="B40" s="5" t="s">
        <v>381</v>
      </c>
      <c r="C40" s="207"/>
      <c r="D40" s="406">
        <f>D$18/D26</f>
        <v>21.970502945497156</v>
      </c>
      <c r="E40" s="406">
        <f t="shared" si="7"/>
        <v>18.803343222541304</v>
      </c>
      <c r="F40" s="406">
        <f t="shared" si="7"/>
        <v>17.236599165404268</v>
      </c>
      <c r="G40" s="406">
        <f t="shared" si="7"/>
        <v>15.892045277383907</v>
      </c>
      <c r="H40" s="13">
        <f t="shared" si="8"/>
        <v>0.12554581842943158</v>
      </c>
      <c r="I40" s="5"/>
      <c r="J40" s="217"/>
      <c r="K40" s="217"/>
      <c r="L40" s="217"/>
      <c r="M40" s="217"/>
      <c r="N40" s="217"/>
      <c r="O40" s="14"/>
      <c r="Q40" s="5"/>
      <c r="R40" s="5"/>
      <c r="S40" s="26"/>
      <c r="T40" s="26"/>
      <c r="U40" s="26"/>
      <c r="V40" s="26"/>
      <c r="W40" s="242"/>
      <c r="X40" s="242"/>
    </row>
    <row r="41" spans="2:24">
      <c r="B41" s="5" t="s">
        <v>434</v>
      </c>
      <c r="C41" s="207"/>
      <c r="D41" s="406">
        <f>D$18/D27</f>
        <v>1.6537567407259413</v>
      </c>
      <c r="E41" s="406">
        <f t="shared" si="7"/>
        <v>1.4702062100291331</v>
      </c>
      <c r="F41" s="406">
        <f t="shared" si="7"/>
        <v>1.41348750112007</v>
      </c>
      <c r="G41" s="406">
        <f t="shared" si="7"/>
        <v>1.3727940204345475</v>
      </c>
      <c r="H41" s="13">
        <f t="shared" si="8"/>
        <v>7.5057912540763105E-2</v>
      </c>
      <c r="I41" s="207"/>
      <c r="J41" s="13"/>
      <c r="K41" s="13"/>
      <c r="L41" s="13"/>
      <c r="M41" s="13"/>
      <c r="N41" s="13"/>
      <c r="O41" s="5"/>
      <c r="Q41" s="5"/>
      <c r="R41" s="5"/>
      <c r="S41" s="26"/>
      <c r="T41" s="26"/>
      <c r="U41" s="26"/>
      <c r="V41" s="26"/>
      <c r="W41" s="242"/>
      <c r="X41" s="242"/>
    </row>
    <row r="42" spans="2:24">
      <c r="B42" s="5" t="s">
        <v>493</v>
      </c>
      <c r="C42" s="207"/>
      <c r="D42" s="406">
        <f>D18/D28</f>
        <v>3.1798704533830651</v>
      </c>
      <c r="E42" s="406">
        <f>E18/E28</f>
        <v>2.4046908285912298</v>
      </c>
      <c r="F42" s="406">
        <f>F18/F28</f>
        <v>2.3131844344539965</v>
      </c>
      <c r="G42" s="406">
        <f>G18/G28</f>
        <v>2.2918567603767888</v>
      </c>
      <c r="H42" s="13">
        <f t="shared" si="8"/>
        <v>0.12689580605789597</v>
      </c>
      <c r="I42" s="208"/>
      <c r="J42" s="5"/>
      <c r="K42" s="5"/>
      <c r="L42" s="5"/>
      <c r="M42" s="5"/>
      <c r="N42" s="5"/>
      <c r="O42" s="5"/>
      <c r="Q42" s="5"/>
      <c r="R42" s="5"/>
      <c r="S42" s="26"/>
      <c r="T42" s="26"/>
      <c r="U42" s="26"/>
      <c r="V42" s="26"/>
      <c r="W42" s="242"/>
      <c r="X42" s="242"/>
    </row>
    <row r="43" spans="2:24">
      <c r="B43" s="5" t="s">
        <v>390</v>
      </c>
      <c r="C43" s="207"/>
      <c r="D43" s="406">
        <f>L26/D29</f>
        <v>25.933779802122714</v>
      </c>
      <c r="E43" s="406">
        <f>M26/E29</f>
        <v>14.403470457964778</v>
      </c>
      <c r="F43" s="406">
        <f>N26/F29</f>
        <v>12.689336085642944</v>
      </c>
      <c r="G43" s="406">
        <f>O26/G29</f>
        <v>11.690808572764988</v>
      </c>
      <c r="H43" s="13">
        <f t="shared" si="8"/>
        <v>0.30418867066557631</v>
      </c>
      <c r="I43" s="207"/>
      <c r="J43" s="207"/>
      <c r="K43" s="207"/>
      <c r="L43" s="207"/>
      <c r="M43" s="207"/>
      <c r="N43" s="207"/>
      <c r="O43" s="14"/>
      <c r="Q43" s="5"/>
      <c r="R43" s="5"/>
      <c r="S43" s="26"/>
      <c r="T43" s="26"/>
      <c r="U43" s="26"/>
      <c r="V43" s="26"/>
      <c r="W43" s="242"/>
      <c r="X43" s="242"/>
    </row>
    <row r="44" spans="2:24">
      <c r="B44" s="5" t="s">
        <v>437</v>
      </c>
      <c r="C44" s="53"/>
      <c r="D44" s="406">
        <f>D11/D30</f>
        <v>16.627710278653439</v>
      </c>
      <c r="E44" s="406">
        <f>E11/E30</f>
        <v>11.129785372897201</v>
      </c>
      <c r="F44" s="406">
        <f>F11/F30</f>
        <v>15.94441527115924</v>
      </c>
      <c r="G44" s="406">
        <f>G11/G30</f>
        <v>14.069128404462512</v>
      </c>
      <c r="H44" s="13">
        <f t="shared" si="8"/>
        <v>5.7276108513626411E-2</v>
      </c>
      <c r="I44" s="207"/>
      <c r="J44" s="208"/>
      <c r="K44" s="208"/>
      <c r="L44" s="208"/>
      <c r="M44" s="208"/>
      <c r="N44" s="208"/>
      <c r="O44" s="208"/>
      <c r="Q44" s="5"/>
      <c r="R44" s="5"/>
      <c r="S44" s="26"/>
      <c r="T44" s="26"/>
      <c r="U44" s="26"/>
      <c r="V44" s="26"/>
      <c r="W44" s="255"/>
      <c r="X44" s="255"/>
    </row>
    <row r="45" spans="2:24">
      <c r="B45" s="5" t="s">
        <v>481</v>
      </c>
      <c r="C45" s="207"/>
      <c r="D45" s="208">
        <f>D31/D11</f>
        <v>4.2517006802721094E-2</v>
      </c>
      <c r="E45" s="208">
        <f>E31/E11</f>
        <v>4.4642857142857151E-2</v>
      </c>
      <c r="F45" s="208">
        <f>F31/F11</f>
        <v>4.6428571428571437E-2</v>
      </c>
      <c r="G45" s="208">
        <f>G31/G11</f>
        <v>5.0142857142857156E-2</v>
      </c>
      <c r="H45" s="13">
        <f t="shared" si="8"/>
        <v>5.6530724958862022E-2</v>
      </c>
      <c r="I45" s="208"/>
      <c r="J45" s="207"/>
      <c r="K45" s="207"/>
      <c r="L45" s="207"/>
      <c r="M45" s="207"/>
      <c r="N45" s="207"/>
      <c r="O45" s="208"/>
      <c r="Q45" s="5"/>
      <c r="R45" s="5"/>
      <c r="S45" s="26"/>
      <c r="T45" s="26"/>
      <c r="U45" s="26"/>
      <c r="V45" s="26"/>
      <c r="W45" s="26"/>
      <c r="X45" s="26"/>
    </row>
    <row r="46" spans="2:24">
      <c r="B46" s="5" t="s">
        <v>505</v>
      </c>
      <c r="C46" s="207"/>
      <c r="D46" s="208">
        <f>(D31+D32)/D11</f>
        <v>4.2517006802721094E-2</v>
      </c>
      <c r="E46" s="208">
        <f>(E31+E32)/E11</f>
        <v>4.4642857142857151E-2</v>
      </c>
      <c r="F46" s="208">
        <f>(F31+F32)/F11</f>
        <v>4.6428571428571437E-2</v>
      </c>
      <c r="G46" s="208">
        <f>(G31+G32)/G11</f>
        <v>5.0142857142857156E-2</v>
      </c>
      <c r="H46" s="233">
        <f>((G31+G32)/(D31+D32))^(1/3)-1</f>
        <v>5.6530724958862022E-2</v>
      </c>
      <c r="I46" s="207"/>
      <c r="J46" s="207"/>
      <c r="K46" s="207"/>
      <c r="L46" s="207"/>
      <c r="M46" s="207"/>
      <c r="N46" s="207"/>
      <c r="O46" s="14"/>
      <c r="Q46" s="5"/>
      <c r="R46" s="5"/>
      <c r="S46" s="26"/>
      <c r="T46" s="26"/>
      <c r="U46" s="26"/>
      <c r="V46" s="26"/>
      <c r="W46" s="26"/>
      <c r="X46" s="26"/>
    </row>
    <row r="47" spans="2:24">
      <c r="B47" s="5" t="s">
        <v>482</v>
      </c>
      <c r="C47" s="5"/>
      <c r="D47" s="208">
        <f>1/D43</f>
        <v>3.8559747465664401E-2</v>
      </c>
      <c r="E47" s="208">
        <f>1/E43</f>
        <v>6.9427712086362059E-2</v>
      </c>
      <c r="F47" s="208">
        <f>1/F43</f>
        <v>7.8806329444723822E-2</v>
      </c>
      <c r="G47" s="208">
        <f>1/G43</f>
        <v>8.5537282881323451E-2</v>
      </c>
      <c r="H47" s="13">
        <f>H29</f>
        <v>0.30418867066557631</v>
      </c>
      <c r="I47" s="13"/>
      <c r="J47" s="208"/>
      <c r="K47" s="208"/>
      <c r="L47" s="208"/>
      <c r="M47" s="208"/>
      <c r="N47" s="208"/>
      <c r="O47" s="208"/>
      <c r="Q47" s="5"/>
      <c r="R47" s="5"/>
      <c r="S47" s="26"/>
      <c r="T47" s="26"/>
      <c r="U47" s="26"/>
      <c r="V47" s="26"/>
      <c r="W47" s="26"/>
      <c r="X47" s="26"/>
    </row>
    <row r="48" spans="2:24">
      <c r="B48" s="5" t="s">
        <v>518</v>
      </c>
      <c r="C48" s="5"/>
      <c r="D48" s="248">
        <f>D31/D29</f>
        <v>1.1026266922671224</v>
      </c>
      <c r="E48" s="248">
        <f>E31/E29</f>
        <v>0.6430120740162848</v>
      </c>
      <c r="F48" s="248">
        <f>F31/F29</f>
        <v>0.58914774683342253</v>
      </c>
      <c r="G48" s="248">
        <f>G31/G29</f>
        <v>0.5862105441486446</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ORASOP!A1" display="Jump to Orange SOP" xr:uid="{00000000-0004-0000-2600-000001000000}"/>
  </hyperlinks>
  <pageMargins left="0.75" right="0.75" top="1" bottom="1" header="0.5" footer="0.5"/>
  <pageSetup scale="7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5">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374</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Prices!C12</f>
        <v>18.29</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403.85312699999997</v>
      </c>
      <c r="E10" s="408">
        <v>394.26974885173712</v>
      </c>
      <c r="F10" s="408">
        <v>384.68637070347427</v>
      </c>
      <c r="G10" s="408">
        <v>375.40299255521137</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7386.473692829999</v>
      </c>
      <c r="E11" s="409">
        <f>$C$9*E10</f>
        <v>7211.1937064982712</v>
      </c>
      <c r="F11" s="409">
        <f>$C$9*F10</f>
        <v>7035.9137201665444</v>
      </c>
      <c r="G11" s="409">
        <f>$C$9*G10</f>
        <v>6866.1207338348158</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553</v>
      </c>
      <c r="E12" s="410">
        <v>346.85069309099129</v>
      </c>
      <c r="F12" s="410">
        <v>442.52770697225401</v>
      </c>
      <c r="G12" s="410">
        <v>411.42975473179274</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395.04032556449619</v>
      </c>
      <c r="E13" s="410">
        <v>395.04032556449619</v>
      </c>
      <c r="F13" s="410">
        <v>395.04032556449619</v>
      </c>
      <c r="G13" s="410">
        <v>395.04032556449619</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v>0</v>
      </c>
      <c r="E14" s="410">
        <f t="shared" ref="E14:G15" si="2">D14</f>
        <v>0</v>
      </c>
      <c r="F14" s="410">
        <f t="shared" si="2"/>
        <v>0</v>
      </c>
      <c r="G14" s="410">
        <f t="shared" si="2"/>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OTESOP!T19</f>
        <v>0</v>
      </c>
      <c r="E15" s="410">
        <f t="shared" si="2"/>
        <v>0</v>
      </c>
      <c r="F15" s="410">
        <f t="shared" si="2"/>
        <v>0</v>
      </c>
      <c r="G15" s="410">
        <f t="shared" si="2"/>
        <v>0</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345.93227764251412</v>
      </c>
      <c r="F16" s="410">
        <v>726.45778304927967</v>
      </c>
      <c r="G16" s="410">
        <v>1116.2977970610684</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145.91250187985216</v>
      </c>
      <c r="E17" s="410">
        <v>145.91250187985216</v>
      </c>
      <c r="F17" s="410">
        <v>145.91250187985216</v>
      </c>
      <c r="G17" s="410">
        <v>145.91250187985216</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8188.6015165146428</v>
      </c>
      <c r="E18" s="411">
        <f>E11+E12+E13-E14+E15-E16-E17</f>
        <v>7461.2399456313924</v>
      </c>
      <c r="F18" s="411">
        <f>F11+F12+F13-F14+F15-F16-F17</f>
        <v>7001.1114677741625</v>
      </c>
      <c r="G18" s="411">
        <f>G11+G12+G13-G14+G15-G16-G17</f>
        <v>6410.3805151901843</v>
      </c>
      <c r="H18" s="230">
        <f>IF(D18=0,"nm",IF(G18=0,"nm",(G18/D18)^(1/3)-1))</f>
        <v>-7.8366984392384098E-2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3526.1000000000004</v>
      </c>
      <c r="D23" s="416">
        <v>3582.3999999999996</v>
      </c>
      <c r="E23" s="416">
        <v>3430.4773538084819</v>
      </c>
      <c r="F23" s="416">
        <v>3413.6612588079506</v>
      </c>
      <c r="G23" s="416">
        <v>3459.6552192943254</v>
      </c>
      <c r="H23" s="233">
        <f t="shared" ref="H23:H32" si="4">IF(D23=0,"nm",IF(G23=0,"nm",(G23/D23)^(1/3)-1))</f>
        <v>-1.1554076471450236E-2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1350.3000000000004</v>
      </c>
      <c r="D24" s="416">
        <v>1368.8999999999999</v>
      </c>
      <c r="E24" s="416">
        <v>1407.2610406828417</v>
      </c>
      <c r="F24" s="416">
        <v>1439.6580910716207</v>
      </c>
      <c r="G24" s="416">
        <v>1466.6562864046321</v>
      </c>
      <c r="H24" s="233">
        <f t="shared" si="4"/>
        <v>2.3258925503916172E-2</v>
      </c>
      <c r="I24" s="209"/>
      <c r="J24" s="13"/>
      <c r="K24" s="13"/>
      <c r="L24" s="13"/>
      <c r="M24" s="13"/>
      <c r="N24" s="13"/>
      <c r="O24" s="208"/>
      <c r="S24" s="72"/>
      <c r="T24" s="26"/>
      <c r="U24" s="26"/>
      <c r="V24" s="26"/>
      <c r="W24" s="26" t="s">
        <v>374</v>
      </c>
      <c r="X24" s="26" t="s">
        <v>204</v>
      </c>
    </row>
    <row r="25" spans="2:24">
      <c r="B25" s="5" t="s">
        <v>157</v>
      </c>
      <c r="C25" s="422">
        <v>750.7000000000005</v>
      </c>
      <c r="D25" s="416">
        <v>743.39999999999986</v>
      </c>
      <c r="E25" s="416">
        <v>804.26104068284167</v>
      </c>
      <c r="F25" s="416">
        <v>836.65809107162067</v>
      </c>
      <c r="G25" s="416">
        <v>886.15628640463206</v>
      </c>
      <c r="H25" s="233">
        <f t="shared" si="4"/>
        <v>6.0301205854351947E-2</v>
      </c>
      <c r="I25" s="208"/>
      <c r="J25" s="207" t="s">
        <v>8</v>
      </c>
      <c r="K25" s="207"/>
      <c r="L25" s="252">
        <v>793</v>
      </c>
      <c r="M25" s="252">
        <v>793</v>
      </c>
      <c r="N25" s="252">
        <v>793</v>
      </c>
      <c r="O25" s="252">
        <v>793</v>
      </c>
      <c r="P25" s="233">
        <f>IF(L25=0,"nm",IF(O25=0,"nm",(O25/L25)^(1/3)-1))</f>
        <v>0</v>
      </c>
      <c r="S25" s="72"/>
      <c r="T25" s="26"/>
      <c r="U25" s="26"/>
      <c r="V25" s="113" t="s">
        <v>225</v>
      </c>
      <c r="W25" s="242">
        <f t="shared" ref="W25:W33" si="6">D37/L9</f>
        <v>0.87526747047662579</v>
      </c>
      <c r="X25" s="242">
        <v>1</v>
      </c>
    </row>
    <row r="26" spans="2:24">
      <c r="B26" s="5" t="s">
        <v>487</v>
      </c>
      <c r="C26" s="422">
        <v>568.56400000000065</v>
      </c>
      <c r="D26" s="416">
        <v>562.59199999999987</v>
      </c>
      <c r="E26" s="416">
        <v>611.23839091895968</v>
      </c>
      <c r="F26" s="416">
        <v>635.86014921443177</v>
      </c>
      <c r="G26" s="416">
        <v>673.47877766752038</v>
      </c>
      <c r="H26" s="233">
        <f t="shared" si="4"/>
        <v>6.1801792700511893E-2</v>
      </c>
      <c r="I26" s="209"/>
      <c r="J26" s="209" t="s">
        <v>9</v>
      </c>
      <c r="K26" s="209"/>
      <c r="L26" s="235">
        <f>D11+L25</f>
        <v>8179.473692829999</v>
      </c>
      <c r="M26" s="235">
        <f>E11+M25</f>
        <v>8004.1937064982712</v>
      </c>
      <c r="N26" s="235">
        <f>F11+N25</f>
        <v>7828.9137201665444</v>
      </c>
      <c r="O26" s="235">
        <f>G11+O25</f>
        <v>7659.1207338348158</v>
      </c>
      <c r="P26" s="233">
        <f>IF(L26=0,"nm",IF(O26=0,"nm",(O26/L26)^(1/3)-1))</f>
        <v>-2.1671920691400115E-2</v>
      </c>
      <c r="Q26" s="5"/>
      <c r="S26" s="72"/>
      <c r="T26" s="26"/>
      <c r="U26" s="26"/>
      <c r="V26" s="113" t="s">
        <v>158</v>
      </c>
      <c r="W26" s="242">
        <f t="shared" si="6"/>
        <v>0.77713784032475985</v>
      </c>
      <c r="X26" s="242">
        <v>1</v>
      </c>
    </row>
    <row r="27" spans="2:24">
      <c r="B27" s="5" t="s">
        <v>488</v>
      </c>
      <c r="C27" s="423">
        <v>2607.9</v>
      </c>
      <c r="D27" s="416">
        <v>2663.9</v>
      </c>
      <c r="E27" s="416">
        <v>2356.7419636795989</v>
      </c>
      <c r="F27" s="416">
        <v>2572.3091201668803</v>
      </c>
      <c r="G27" s="416">
        <v>2620.2815934595128</v>
      </c>
      <c r="H27" s="233">
        <f t="shared" si="4"/>
        <v>-5.4880267958250517E-3</v>
      </c>
      <c r="I27" s="209"/>
      <c r="J27" s="208"/>
      <c r="K27" s="208"/>
      <c r="L27" s="208"/>
      <c r="M27" s="208"/>
      <c r="N27" s="208"/>
      <c r="O27" s="208"/>
      <c r="Q27" s="25"/>
      <c r="S27" s="72"/>
      <c r="T27" s="26"/>
      <c r="U27" s="26"/>
      <c r="V27" s="113" t="s">
        <v>159</v>
      </c>
      <c r="W27" s="242">
        <f t="shared" si="6"/>
        <v>0.74998645684154153</v>
      </c>
      <c r="X27" s="242">
        <v>1</v>
      </c>
    </row>
    <row r="28" spans="2:24" ht="12.6" thickBot="1">
      <c r="B28" s="5" t="s">
        <v>492</v>
      </c>
      <c r="C28" s="422">
        <v>2227.6</v>
      </c>
      <c r="D28" s="416">
        <v>2304.6</v>
      </c>
      <c r="E28" s="416">
        <v>2263.5540911428179</v>
      </c>
      <c r="F28" s="416">
        <v>2230.9070543030466</v>
      </c>
      <c r="G28" s="416">
        <v>2182.4403003903499</v>
      </c>
      <c r="H28" s="233">
        <f t="shared" si="4"/>
        <v>-1.799069031118905E-2</v>
      </c>
      <c r="I28" s="208"/>
      <c r="J28" s="249" t="s">
        <v>1073</v>
      </c>
      <c r="K28" s="249"/>
      <c r="L28" s="249"/>
      <c r="M28" s="249"/>
      <c r="N28" s="220"/>
      <c r="O28" s="220"/>
      <c r="P28" s="220"/>
      <c r="Q28" s="5"/>
      <c r="S28" s="72"/>
      <c r="T28" s="26"/>
      <c r="U28" s="26"/>
      <c r="V28" s="113" t="s">
        <v>381</v>
      </c>
      <c r="W28" s="242">
        <f t="shared" si="6"/>
        <v>0.73398454961059378</v>
      </c>
      <c r="X28" s="242">
        <v>1</v>
      </c>
    </row>
    <row r="29" spans="2:24" ht="12.6" thickTop="1">
      <c r="B29" s="5" t="s">
        <v>489</v>
      </c>
      <c r="C29" s="422">
        <v>489.48233281123373</v>
      </c>
      <c r="D29" s="416">
        <v>666.48233281123316</v>
      </c>
      <c r="E29" s="416">
        <v>734.33164932024158</v>
      </c>
      <c r="F29" s="416">
        <v>550.89656433512471</v>
      </c>
      <c r="G29" s="416">
        <v>628.47169446693363</v>
      </c>
      <c r="H29" s="233">
        <f t="shared" si="4"/>
        <v>-1.9383882789354545E-2</v>
      </c>
      <c r="I29" s="212"/>
      <c r="J29" s="209"/>
      <c r="K29" s="209"/>
      <c r="L29" s="209"/>
      <c r="M29" s="209"/>
      <c r="N29" s="209"/>
      <c r="O29" s="211"/>
      <c r="Q29" s="5"/>
      <c r="S29" s="72"/>
      <c r="T29" s="26"/>
      <c r="U29" s="26"/>
      <c r="V29" s="113" t="s">
        <v>434</v>
      </c>
      <c r="W29" s="242">
        <f t="shared" si="6"/>
        <v>1.8627605566470964</v>
      </c>
      <c r="X29" s="242">
        <v>1</v>
      </c>
    </row>
    <row r="30" spans="2:24">
      <c r="B30" s="5" t="s">
        <v>490</v>
      </c>
      <c r="C30" s="423">
        <v>469.93804609031622</v>
      </c>
      <c r="D30" s="416">
        <v>537.06282055421025</v>
      </c>
      <c r="E30" s="416">
        <v>553.4034076518285</v>
      </c>
      <c r="F30" s="416">
        <v>588.36719468412014</v>
      </c>
      <c r="G30" s="416">
        <v>610.12260774300262</v>
      </c>
      <c r="H30" s="233">
        <f t="shared" si="4"/>
        <v>4.3431659501470543E-2</v>
      </c>
      <c r="I30" s="214"/>
      <c r="J30" s="208"/>
      <c r="K30" s="208"/>
      <c r="L30" s="208"/>
      <c r="M30" s="208"/>
      <c r="N30" s="208"/>
      <c r="O30" s="5"/>
      <c r="Q30" s="5"/>
      <c r="S30" s="72"/>
      <c r="T30" s="26"/>
      <c r="U30" s="26"/>
      <c r="V30" s="113" t="s">
        <v>493</v>
      </c>
      <c r="W30" s="242">
        <f t="shared" si="6"/>
        <v>0.93822464476008327</v>
      </c>
      <c r="X30" s="242">
        <v>1</v>
      </c>
    </row>
    <row r="31" spans="2:24">
      <c r="B31" s="5" t="s">
        <v>491</v>
      </c>
      <c r="C31" s="423">
        <v>297.79999040000001</v>
      </c>
      <c r="D31" s="416">
        <v>354.34073362979996</v>
      </c>
      <c r="E31" s="416">
        <v>380.52550540676555</v>
      </c>
      <c r="F31" s="416">
        <v>389.84001401178875</v>
      </c>
      <c r="G31" s="416">
        <v>395.64955710433253</v>
      </c>
      <c r="H31" s="233">
        <f t="shared" si="4"/>
        <v>3.7440507544908019E-2</v>
      </c>
      <c r="I31" s="214"/>
      <c r="J31" s="212"/>
      <c r="K31" s="212"/>
      <c r="L31" s="212"/>
      <c r="M31" s="212"/>
      <c r="N31" s="212"/>
      <c r="O31" s="5"/>
      <c r="Q31" s="5"/>
      <c r="S31" s="72"/>
      <c r="T31" s="26"/>
      <c r="U31" s="26"/>
      <c r="V31" s="113" t="s">
        <v>390</v>
      </c>
      <c r="W31" s="242">
        <f t="shared" si="6"/>
        <v>0.69234301170548251</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0.97237020152218978</v>
      </c>
      <c r="X32" s="242">
        <v>1</v>
      </c>
    </row>
    <row r="33" spans="2:24">
      <c r="B33" s="5" t="s">
        <v>3</v>
      </c>
      <c r="C33" s="423">
        <v>20.999999999999996</v>
      </c>
      <c r="D33" s="416">
        <v>17.7</v>
      </c>
      <c r="E33" s="416">
        <v>21.894858599571698</v>
      </c>
      <c r="F33" s="416">
        <v>16.685798068533387</v>
      </c>
      <c r="G33" s="416">
        <v>21.738732830088733</v>
      </c>
      <c r="H33" s="233">
        <f>IF(D33=0,"nm",IF(G33=0,"nm",(G33/D33)^(1/3)-1))</f>
        <v>7.0911674178702366E-2</v>
      </c>
      <c r="I33" s="5"/>
      <c r="J33" s="214"/>
      <c r="K33" s="214"/>
      <c r="L33" s="214"/>
      <c r="M33" s="214"/>
      <c r="N33" s="214"/>
      <c r="O33" s="211"/>
      <c r="Q33" s="5"/>
      <c r="S33" s="72"/>
      <c r="T33" s="26"/>
      <c r="U33" s="26"/>
      <c r="V33" s="113" t="s">
        <v>481</v>
      </c>
      <c r="W33" s="242">
        <f t="shared" si="6"/>
        <v>1.248159764132329</v>
      </c>
      <c r="X33" s="242">
        <v>1</v>
      </c>
    </row>
    <row r="34" spans="2:24">
      <c r="B34" s="531"/>
      <c r="C34" s="532"/>
      <c r="D34" s="533"/>
      <c r="E34" s="533"/>
      <c r="F34" s="533"/>
      <c r="G34" s="533"/>
      <c r="H34" s="534"/>
      <c r="I34" s="5"/>
      <c r="J34" s="214"/>
      <c r="K34" s="214"/>
      <c r="L34" s="214"/>
      <c r="M34" s="214"/>
      <c r="N34" s="214"/>
      <c r="O34" s="211"/>
      <c r="Q34" s="5"/>
      <c r="S34" s="72"/>
      <c r="T34" s="26"/>
      <c r="U34" s="26"/>
      <c r="V34" s="113"/>
      <c r="W34" s="242"/>
      <c r="X34" s="242"/>
    </row>
    <row r="35" spans="2:24" ht="12.6" thickBot="1">
      <c r="B35" s="249" t="s">
        <v>503</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2.2857864885313322</v>
      </c>
      <c r="E37" s="406">
        <f t="shared" ref="E37:G41" si="8">E$18/E23</f>
        <v>2.1749859206468738</v>
      </c>
      <c r="F37" s="406">
        <f t="shared" si="8"/>
        <v>2.0509098404857395</v>
      </c>
      <c r="G37" s="406">
        <f t="shared" si="8"/>
        <v>1.8528957681793869</v>
      </c>
      <c r="H37" s="13">
        <f t="shared" ref="H37:H45" si="9">H23</f>
        <v>-1.1554076471450236E-2</v>
      </c>
      <c r="I37" s="5"/>
      <c r="J37" s="217"/>
      <c r="K37" s="217"/>
      <c r="L37" s="217"/>
      <c r="M37" s="217"/>
      <c r="N37" s="217"/>
      <c r="O37" s="14"/>
      <c r="Q37" s="5"/>
      <c r="R37" s="5"/>
      <c r="S37" s="26"/>
      <c r="T37" s="26"/>
      <c r="U37" s="26"/>
      <c r="V37" s="26"/>
      <c r="W37" s="26"/>
      <c r="X37" s="26"/>
    </row>
    <row r="38" spans="2:24">
      <c r="B38" s="5" t="s">
        <v>158</v>
      </c>
      <c r="C38" s="207"/>
      <c r="D38" s="406">
        <f>D$18/D24</f>
        <v>5.9818843717690431</v>
      </c>
      <c r="E38" s="406">
        <f t="shared" si="8"/>
        <v>5.3019587197631752</v>
      </c>
      <c r="F38" s="406">
        <f t="shared" si="8"/>
        <v>4.8630376276097822</v>
      </c>
      <c r="G38" s="406">
        <f t="shared" si="8"/>
        <v>4.3707449213643779</v>
      </c>
      <c r="H38" s="13">
        <f t="shared" si="9"/>
        <v>2.3258925503916172E-2</v>
      </c>
      <c r="I38" s="217"/>
      <c r="J38" s="13"/>
      <c r="K38" s="13"/>
      <c r="L38" s="13"/>
      <c r="M38" s="13"/>
      <c r="N38" s="13"/>
      <c r="O38" s="5"/>
      <c r="Q38" s="5"/>
      <c r="R38" s="5"/>
      <c r="S38" s="26"/>
      <c r="T38" s="26"/>
      <c r="U38" s="26"/>
      <c r="V38" s="26"/>
      <c r="W38" s="26"/>
      <c r="X38" s="26"/>
    </row>
    <row r="39" spans="2:24">
      <c r="B39" s="5" t="s">
        <v>159</v>
      </c>
      <c r="C39" s="207"/>
      <c r="D39" s="406">
        <f>D$18/D25</f>
        <v>11.015067953342271</v>
      </c>
      <c r="E39" s="406">
        <f t="shared" si="8"/>
        <v>9.2771371087384473</v>
      </c>
      <c r="F39" s="406">
        <f t="shared" si="8"/>
        <v>8.3679480811652667</v>
      </c>
      <c r="G39" s="406">
        <f t="shared" si="8"/>
        <v>7.2339164248315333</v>
      </c>
      <c r="H39" s="13">
        <f t="shared" si="9"/>
        <v>6.0301205854351947E-2</v>
      </c>
      <c r="I39" s="13"/>
      <c r="J39" s="5"/>
      <c r="K39" s="5"/>
      <c r="L39" s="5"/>
      <c r="M39" s="5"/>
      <c r="N39" s="5"/>
      <c r="O39" s="5"/>
      <c r="Q39" s="5"/>
      <c r="R39" s="5"/>
      <c r="S39" s="26"/>
      <c r="T39" s="26"/>
      <c r="U39" s="26"/>
      <c r="V39" s="26"/>
      <c r="W39" s="26"/>
      <c r="X39" s="26"/>
    </row>
    <row r="40" spans="2:24">
      <c r="B40" s="5" t="s">
        <v>381</v>
      </c>
      <c r="C40" s="207"/>
      <c r="D40" s="406">
        <f>D$18/D26</f>
        <v>14.555133234234836</v>
      </c>
      <c r="E40" s="406">
        <f t="shared" si="8"/>
        <v>12.20675935360322</v>
      </c>
      <c r="F40" s="406">
        <f t="shared" si="8"/>
        <v>11.010458001533243</v>
      </c>
      <c r="G40" s="406">
        <f t="shared" si="8"/>
        <v>9.5183110853046493</v>
      </c>
      <c r="H40" s="13">
        <f t="shared" si="9"/>
        <v>6.1801792700511893E-2</v>
      </c>
      <c r="I40" s="5"/>
      <c r="J40" s="217"/>
      <c r="K40" s="217"/>
      <c r="L40" s="217"/>
      <c r="M40" s="217"/>
      <c r="N40" s="217"/>
      <c r="O40" s="14"/>
      <c r="Q40" s="5"/>
      <c r="R40" s="5"/>
      <c r="S40" s="26"/>
      <c r="T40" s="26"/>
      <c r="U40" s="26"/>
      <c r="V40" s="26"/>
      <c r="W40" s="242"/>
      <c r="X40" s="242"/>
    </row>
    <row r="41" spans="2:24">
      <c r="B41" s="5" t="s">
        <v>434</v>
      </c>
      <c r="C41" s="207"/>
      <c r="D41" s="406">
        <f>D$18/D27</f>
        <v>3.0739147552515642</v>
      </c>
      <c r="E41" s="406">
        <f t="shared" si="8"/>
        <v>3.1659129682496521</v>
      </c>
      <c r="F41" s="406">
        <f t="shared" si="8"/>
        <v>2.7217224449758048</v>
      </c>
      <c r="G41" s="406">
        <f t="shared" si="8"/>
        <v>2.446447180024903</v>
      </c>
      <c r="H41" s="13">
        <f t="shared" si="9"/>
        <v>-5.4880267958250517E-3</v>
      </c>
      <c r="I41" s="207"/>
      <c r="J41" s="13"/>
      <c r="K41" s="13"/>
      <c r="L41" s="13"/>
      <c r="M41" s="13"/>
      <c r="N41" s="13"/>
      <c r="O41" s="5"/>
      <c r="Q41" s="5"/>
      <c r="R41" s="5"/>
      <c r="S41" s="26"/>
      <c r="T41" s="26"/>
      <c r="U41" s="26"/>
      <c r="V41" s="26"/>
      <c r="W41" s="242"/>
      <c r="X41" s="242"/>
    </row>
    <row r="42" spans="2:24">
      <c r="B42" s="5" t="s">
        <v>493</v>
      </c>
      <c r="C42" s="207"/>
      <c r="D42" s="406">
        <f>D18/D28</f>
        <v>3.5531552184824453</v>
      </c>
      <c r="E42" s="406">
        <f>E18/E28</f>
        <v>3.2962498995835259</v>
      </c>
      <c r="F42" s="406">
        <f>F18/F28</f>
        <v>3.1382353891750845</v>
      </c>
      <c r="G42" s="406">
        <f>G18/G28</f>
        <v>2.9372535478031758</v>
      </c>
      <c r="H42" s="13">
        <f t="shared" si="9"/>
        <v>-1.799069031118905E-2</v>
      </c>
      <c r="I42" s="208"/>
      <c r="J42" s="5"/>
      <c r="K42" s="5"/>
      <c r="L42" s="5"/>
      <c r="M42" s="5"/>
      <c r="N42" s="5"/>
      <c r="O42" s="5"/>
      <c r="Q42" s="5"/>
      <c r="R42" s="5"/>
      <c r="S42" s="26"/>
      <c r="T42" s="26"/>
      <c r="U42" s="26"/>
      <c r="V42" s="26"/>
      <c r="W42" s="242"/>
      <c r="X42" s="242"/>
    </row>
    <row r="43" spans="2:24">
      <c r="B43" s="5" t="s">
        <v>390</v>
      </c>
      <c r="C43" s="207"/>
      <c r="D43" s="406">
        <f>L26/D29</f>
        <v>12.272603923841233</v>
      </c>
      <c r="E43" s="406">
        <f>M26/E29</f>
        <v>10.899971033398353</v>
      </c>
      <c r="F43" s="406">
        <f>N26/F29</f>
        <v>14.211222626910436</v>
      </c>
      <c r="G43" s="406">
        <f>O26/G29</f>
        <v>12.186898473337358</v>
      </c>
      <c r="H43" s="13">
        <f t="shared" si="9"/>
        <v>-1.9383882789354545E-2</v>
      </c>
      <c r="I43" s="207"/>
      <c r="J43" s="207"/>
      <c r="K43" s="207"/>
      <c r="L43" s="207"/>
      <c r="M43" s="207"/>
      <c r="N43" s="207"/>
      <c r="O43" s="14"/>
      <c r="Q43" s="5"/>
      <c r="R43" s="5"/>
      <c r="S43" s="26"/>
      <c r="T43" s="26"/>
      <c r="U43" s="26"/>
      <c r="V43" s="26"/>
      <c r="W43" s="242"/>
      <c r="X43" s="242"/>
    </row>
    <row r="44" spans="2:24">
      <c r="B44" s="5" t="s">
        <v>437</v>
      </c>
      <c r="C44" s="53"/>
      <c r="D44" s="406">
        <f>D11/D30</f>
        <v>13.753463114813439</v>
      </c>
      <c r="E44" s="406">
        <f>E11/E30</f>
        <v>13.03062757979106</v>
      </c>
      <c r="F44" s="406">
        <f>F11/F30</f>
        <v>11.958371887038933</v>
      </c>
      <c r="G44" s="406">
        <f>G11/G30</f>
        <v>11.253673682465772</v>
      </c>
      <c r="H44" s="13">
        <f t="shared" si="9"/>
        <v>4.3431659501470543E-2</v>
      </c>
      <c r="I44" s="207"/>
      <c r="J44" s="208"/>
      <c r="K44" s="208"/>
      <c r="L44" s="208"/>
      <c r="M44" s="208"/>
      <c r="N44" s="208"/>
      <c r="O44" s="208"/>
      <c r="Q44" s="5"/>
      <c r="R44" s="5"/>
      <c r="S44" s="26"/>
      <c r="T44" s="26"/>
      <c r="U44" s="26"/>
      <c r="V44" s="26"/>
      <c r="W44" s="255"/>
      <c r="X44" s="255"/>
    </row>
    <row r="45" spans="2:24">
      <c r="B45" s="5" t="s">
        <v>481</v>
      </c>
      <c r="C45" s="207"/>
      <c r="D45" s="208">
        <f>D31/D11</f>
        <v>4.7971569163477314E-2</v>
      </c>
      <c r="E45" s="208">
        <f>E31/E11</f>
        <v>5.2768726079825044E-2</v>
      </c>
      <c r="F45" s="208">
        <f>F31/F11</f>
        <v>5.5407162383816301E-2</v>
      </c>
      <c r="G45" s="208">
        <f>G31/G11</f>
        <v>5.7623448879168954E-2</v>
      </c>
      <c r="H45" s="13">
        <f t="shared" si="9"/>
        <v>3.7440507544908019E-2</v>
      </c>
      <c r="I45" s="208"/>
      <c r="J45" s="207"/>
      <c r="K45" s="207"/>
      <c r="L45" s="207"/>
      <c r="M45" s="207"/>
      <c r="N45" s="207"/>
      <c r="O45" s="208"/>
      <c r="Q45" s="5"/>
      <c r="R45" s="5"/>
      <c r="S45" s="26"/>
      <c r="T45" s="26"/>
      <c r="U45" s="26"/>
      <c r="V45" s="26"/>
      <c r="W45" s="26"/>
      <c r="X45" s="26"/>
    </row>
    <row r="46" spans="2:24">
      <c r="B46" s="5" t="s">
        <v>505</v>
      </c>
      <c r="C46" s="207"/>
      <c r="D46" s="208">
        <f>(D31+D32)/D11</f>
        <v>4.7971569163477314E-2</v>
      </c>
      <c r="E46" s="208">
        <f>(E31+E32)/E11</f>
        <v>5.2768726079825044E-2</v>
      </c>
      <c r="F46" s="208">
        <f>(F31+F32)/F11</f>
        <v>5.5407162383816301E-2</v>
      </c>
      <c r="G46" s="208">
        <f>(G31+G32)/G11</f>
        <v>5.7623448879168954E-2</v>
      </c>
      <c r="H46" s="233">
        <f>((G31+G32)/(D31+D32))^(1/3)-1</f>
        <v>3.7440507544908019E-2</v>
      </c>
      <c r="I46" s="207"/>
      <c r="J46" s="207"/>
      <c r="K46" s="207"/>
      <c r="L46" s="207"/>
      <c r="M46" s="207"/>
      <c r="N46" s="207"/>
      <c r="O46" s="14"/>
      <c r="Q46" s="5"/>
      <c r="R46" s="5"/>
      <c r="S46" s="26"/>
      <c r="T46" s="26"/>
      <c r="U46" s="26"/>
      <c r="V46" s="26"/>
      <c r="W46" s="26"/>
      <c r="X46" s="26"/>
    </row>
    <row r="47" spans="2:24">
      <c r="B47" s="5" t="s">
        <v>482</v>
      </c>
      <c r="C47" s="5"/>
      <c r="D47" s="208">
        <f>1/D43</f>
        <v>8.1482300431562169E-2</v>
      </c>
      <c r="E47" s="208">
        <f>1/E43</f>
        <v>9.1743363072793752E-2</v>
      </c>
      <c r="F47" s="208">
        <f>1/F43</f>
        <v>7.0366922414289351E-2</v>
      </c>
      <c r="G47" s="208">
        <f>1/G43</f>
        <v>8.2055331977025317E-2</v>
      </c>
      <c r="H47" s="13">
        <f>H29</f>
        <v>-1.9383882789354545E-2</v>
      </c>
      <c r="I47" s="13"/>
      <c r="J47" s="208"/>
      <c r="K47" s="208"/>
      <c r="L47" s="208"/>
      <c r="M47" s="208"/>
      <c r="N47" s="208"/>
      <c r="O47" s="208"/>
      <c r="Q47" s="5"/>
      <c r="R47" s="5"/>
      <c r="S47" s="26"/>
      <c r="T47" s="26"/>
      <c r="U47" s="26"/>
      <c r="V47" s="26"/>
      <c r="W47" s="26"/>
      <c r="X47" s="26"/>
    </row>
    <row r="48" spans="2:24">
      <c r="B48" s="5" t="s">
        <v>518</v>
      </c>
      <c r="C48" s="5"/>
      <c r="D48" s="248">
        <f>D31/D29</f>
        <v>0.53165810432691452</v>
      </c>
      <c r="E48" s="248">
        <f>E31/E29</f>
        <v>0.51819297964211619</v>
      </c>
      <c r="F48" s="248">
        <f>F31/F29</f>
        <v>0.70764647893980859</v>
      </c>
      <c r="G48" s="248">
        <f>G31/G29</f>
        <v>0.62954236537243002</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OTESOP!A1" display="Jump to OTE SOP" xr:uid="{00000000-0004-0000-4600-000001000000}"/>
  </hyperlinks>
  <pageMargins left="0.75" right="0.75" top="1" bottom="1" header="0.5" footer="0.5"/>
  <pageSetup scale="7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B1:AR48"/>
  <sheetViews>
    <sheetView showGridLines="0" topLeftCell="A4" zoomScale="80" zoomScaleNormal="80" zoomScaleSheetLayoutView="80" workbookViewId="0">
      <selection activeCell="E18" sqref="E18"/>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7" width="8.6640625" style="23" customWidth="1"/>
    <col min="18" max="28" width="8.6640625" style="5" customWidth="1"/>
    <col min="29" max="44" width="9.109375" style="5"/>
    <col min="45" max="16384" width="9.109375" style="23"/>
  </cols>
  <sheetData>
    <row r="1" spans="2:44" s="489" customFormat="1">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686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21">
        <f>Prices!C13</f>
        <v>6.63</v>
      </c>
      <c r="D9" s="410">
        <v>0</v>
      </c>
      <c r="E9" s="410">
        <v>0</v>
      </c>
      <c r="F9" s="410">
        <v>0</v>
      </c>
      <c r="G9" s="410">
        <v>0</v>
      </c>
      <c r="H9" s="209" t="s">
        <v>20</v>
      </c>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323.76127299999996</v>
      </c>
      <c r="E10" s="408">
        <v>323.76127299999996</v>
      </c>
      <c r="F10" s="408">
        <v>323.76127299999996</v>
      </c>
      <c r="G10" s="408">
        <v>323.76127299999996</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165</v>
      </c>
      <c r="C11" s="5"/>
      <c r="D11" s="409">
        <f>$C$9*(D10-D9)</f>
        <v>2146.5372399899998</v>
      </c>
      <c r="E11" s="409">
        <f>$C$9*(E10-E9)</f>
        <v>2146.5372399899998</v>
      </c>
      <c r="F11" s="409">
        <f>$C$9*(F10-F9)</f>
        <v>2146.5372399899998</v>
      </c>
      <c r="G11" s="409">
        <f>$C$9*(G10-G9)</f>
        <v>2146.5372399899998</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4268</v>
      </c>
      <c r="E12" s="410">
        <v>4290.7832370351352</v>
      </c>
      <c r="F12" s="410">
        <v>4318.1672415133644</v>
      </c>
      <c r="G12" s="410">
        <v>4384.3705957888587</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1356.7735614608414</v>
      </c>
      <c r="E13" s="410">
        <v>1340.5303932181305</v>
      </c>
      <c r="F13" s="410">
        <v>1284.4532711094957</v>
      </c>
      <c r="G13" s="410">
        <v>1256.6550589416913</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v>0</v>
      </c>
      <c r="E14" s="410">
        <f t="shared" ref="E14:G15" si="2">D14</f>
        <v>0</v>
      </c>
      <c r="F14" s="410">
        <f t="shared" si="2"/>
        <v>0</v>
      </c>
      <c r="G14" s="410">
        <f t="shared" si="2"/>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-PROXSOP!J36</f>
        <v>383.75873645703757</v>
      </c>
      <c r="E15" s="410">
        <f t="shared" si="2"/>
        <v>383.75873645703757</v>
      </c>
      <c r="F15" s="410">
        <f t="shared" si="2"/>
        <v>383.75873645703757</v>
      </c>
      <c r="G15" s="410">
        <f t="shared" si="2"/>
        <v>383.75873645703757</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0</v>
      </c>
      <c r="F16" s="410">
        <v>97.12838189999998</v>
      </c>
      <c r="G16" s="410">
        <v>226.30912982699999</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163.71707598670352</v>
      </c>
      <c r="E17" s="410">
        <v>163.71707598670352</v>
      </c>
      <c r="F17" s="410">
        <v>163.71707598670352</v>
      </c>
      <c r="G17" s="410">
        <v>163.71707598670352</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26"/>
      <c r="T17" s="26"/>
      <c r="U17" s="26"/>
      <c r="V17" s="26"/>
      <c r="W17" s="26"/>
      <c r="X17" s="26"/>
    </row>
    <row r="18" spans="2:24" ht="12.6" thickBot="1">
      <c r="B18" s="25" t="s">
        <v>484</v>
      </c>
      <c r="C18" s="209"/>
      <c r="D18" s="411">
        <f>D11+D12+D13-D14+D15-D16-D17</f>
        <v>7991.3524619211757</v>
      </c>
      <c r="E18" s="411">
        <f>E11+E12+E13-E14+E15-E16-E17</f>
        <v>7997.8925307135996</v>
      </c>
      <c r="F18" s="411">
        <f>F11+F12+F13-F14+F15-F16-F17</f>
        <v>7872.0710311831945</v>
      </c>
      <c r="G18" s="411">
        <f>G11+G12+G13-G14+G15-G16-G17</f>
        <v>7781.2954253638836</v>
      </c>
      <c r="H18" s="230">
        <f>IF(D18=0,"nm",IF(G18=0,"nm",(G18/D18)^(1/3)-1))</f>
        <v>-8.8397586574854303E-3</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26"/>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26"/>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26"/>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6429</v>
      </c>
      <c r="D23" s="416">
        <v>6307</v>
      </c>
      <c r="E23" s="416">
        <v>6103.5240755712166</v>
      </c>
      <c r="F23" s="416">
        <v>6096.0813983380413</v>
      </c>
      <c r="G23" s="416">
        <v>6117.9303036889614</v>
      </c>
      <c r="H23" s="233">
        <f t="shared" ref="H23:H30" si="4">IF(D23=0,"nm",IF(G23=0,"nm",(G23/D23)^(1/3)-1))</f>
        <v>-1.0094133458249832E-2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2">
        <v>1851</v>
      </c>
      <c r="D24" s="416">
        <v>1884</v>
      </c>
      <c r="E24" s="416">
        <v>1828.9320882339823</v>
      </c>
      <c r="F24" s="416">
        <v>1841.9759747077994</v>
      </c>
      <c r="G24" s="416">
        <v>1851.9416015317024</v>
      </c>
      <c r="H24" s="233">
        <f t="shared" si="4"/>
        <v>-5.7045247471647631E-3</v>
      </c>
      <c r="I24" s="209"/>
      <c r="J24" s="13"/>
      <c r="K24" s="13"/>
      <c r="L24" s="13"/>
      <c r="M24" s="13"/>
      <c r="N24" s="13"/>
      <c r="O24" s="208"/>
      <c r="S24" s="26"/>
      <c r="T24" s="26"/>
      <c r="U24" s="26"/>
      <c r="V24" s="26"/>
      <c r="W24" s="26" t="s">
        <v>47</v>
      </c>
      <c r="X24" s="26" t="s">
        <v>203</v>
      </c>
    </row>
    <row r="25" spans="2:24">
      <c r="B25" s="5" t="s">
        <v>157</v>
      </c>
      <c r="C25" s="422">
        <v>496</v>
      </c>
      <c r="D25" s="416">
        <v>634</v>
      </c>
      <c r="E25" s="416">
        <v>607.22758823398226</v>
      </c>
      <c r="F25" s="416">
        <v>620.35047470779955</v>
      </c>
      <c r="G25" s="416">
        <v>658.83320153170234</v>
      </c>
      <c r="H25" s="233">
        <f t="shared" si="4"/>
        <v>1.28895092621375E-2</v>
      </c>
      <c r="I25" s="208"/>
      <c r="J25" s="207" t="s">
        <v>8</v>
      </c>
      <c r="K25" s="207"/>
      <c r="L25" s="252">
        <v>453</v>
      </c>
      <c r="M25" s="252">
        <v>453</v>
      </c>
      <c r="N25" s="252">
        <v>453</v>
      </c>
      <c r="O25" s="252">
        <v>453</v>
      </c>
      <c r="P25" s="233">
        <f>IF(L25=0,"nm",IF(O25=0,"nm",(O25/L25)^(1/3)-1))</f>
        <v>0</v>
      </c>
      <c r="S25" s="26"/>
      <c r="T25" s="26"/>
      <c r="U25" s="26"/>
      <c r="V25" s="113" t="s">
        <v>225</v>
      </c>
      <c r="W25" s="242">
        <f>D37/L9</f>
        <v>0.48517965540960079</v>
      </c>
      <c r="X25" s="242">
        <v>1</v>
      </c>
    </row>
    <row r="26" spans="2:24">
      <c r="B26" s="5" t="s">
        <v>487</v>
      </c>
      <c r="C26" s="422">
        <v>372</v>
      </c>
      <c r="D26" s="416">
        <v>475.5</v>
      </c>
      <c r="E26" s="416">
        <v>455.4206911754867</v>
      </c>
      <c r="F26" s="416">
        <v>465.26285603084966</v>
      </c>
      <c r="G26" s="416">
        <v>494.12490114877676</v>
      </c>
      <c r="H26" s="233">
        <f t="shared" si="4"/>
        <v>1.28895092621375E-2</v>
      </c>
      <c r="I26" s="209"/>
      <c r="J26" s="209" t="s">
        <v>9</v>
      </c>
      <c r="K26" s="209"/>
      <c r="L26" s="235">
        <f>D11+L25</f>
        <v>2599.5372399899998</v>
      </c>
      <c r="M26" s="235">
        <f>E11+M25</f>
        <v>2599.5372399899998</v>
      </c>
      <c r="N26" s="235">
        <f>F11+N25</f>
        <v>2599.5372399899998</v>
      </c>
      <c r="O26" s="235">
        <f>G11+O25</f>
        <v>2599.5372399899998</v>
      </c>
      <c r="P26" s="233">
        <f>IF(L26=0,"nm",IF(O26=0,"nm",(O26/L26)^(1/3)-1))</f>
        <v>0</v>
      </c>
      <c r="Q26" s="5"/>
      <c r="S26" s="26"/>
      <c r="T26" s="26"/>
      <c r="U26" s="26"/>
      <c r="V26" s="113" t="s">
        <v>158</v>
      </c>
      <c r="W26" s="242">
        <f t="shared" ref="W26:W33" si="6">D38/L10</f>
        <v>0.55106068724292179</v>
      </c>
      <c r="X26" s="242">
        <v>1</v>
      </c>
    </row>
    <row r="27" spans="2:24">
      <c r="B27" s="5" t="s">
        <v>488</v>
      </c>
      <c r="C27" s="422">
        <v>9147</v>
      </c>
      <c r="D27" s="416">
        <v>8935</v>
      </c>
      <c r="E27" s="416">
        <v>8657.8713672112681</v>
      </c>
      <c r="F27" s="416">
        <v>8758.3770609242947</v>
      </c>
      <c r="G27" s="416">
        <v>8841.215840169416</v>
      </c>
      <c r="H27" s="233">
        <f t="shared" si="4"/>
        <v>-3.5110693763504841E-3</v>
      </c>
      <c r="I27" s="209"/>
      <c r="J27" s="208"/>
      <c r="K27" s="208"/>
      <c r="L27" s="208"/>
      <c r="M27" s="208"/>
      <c r="N27" s="208"/>
      <c r="O27" s="208"/>
      <c r="Q27" s="25"/>
      <c r="S27" s="26"/>
      <c r="T27" s="26"/>
      <c r="U27" s="26"/>
      <c r="V27" s="113" t="s">
        <v>159</v>
      </c>
      <c r="W27" s="242">
        <f t="shared" si="6"/>
        <v>0.85821730679995989</v>
      </c>
      <c r="X27" s="242">
        <v>1</v>
      </c>
    </row>
    <row r="28" spans="2:24" ht="12.6" thickBot="1">
      <c r="B28" s="5" t="s">
        <v>492</v>
      </c>
      <c r="C28" s="422">
        <v>4745</v>
      </c>
      <c r="D28" s="416">
        <v>4967</v>
      </c>
      <c r="E28" s="416">
        <v>5394.0070367015687</v>
      </c>
      <c r="F28" s="416">
        <v>5827.9710208795732</v>
      </c>
      <c r="G28" s="416">
        <v>6248.7764190224007</v>
      </c>
      <c r="H28" s="233">
        <f t="shared" si="4"/>
        <v>7.9527247853140137E-2</v>
      </c>
      <c r="I28" s="208"/>
      <c r="J28" s="249" t="s">
        <v>1073</v>
      </c>
      <c r="K28" s="249"/>
      <c r="L28" s="249"/>
      <c r="M28" s="249"/>
      <c r="N28" s="220"/>
      <c r="O28" s="220"/>
      <c r="P28" s="220"/>
      <c r="Q28" s="5"/>
      <c r="S28" s="26"/>
      <c r="T28" s="26"/>
      <c r="U28" s="26"/>
      <c r="V28" s="113" t="s">
        <v>381</v>
      </c>
      <c r="W28" s="242">
        <f t="shared" si="6"/>
        <v>0.84750154273670508</v>
      </c>
      <c r="X28" s="242">
        <v>1</v>
      </c>
    </row>
    <row r="29" spans="2:24" ht="12.6" thickTop="1">
      <c r="B29" s="5" t="s">
        <v>489</v>
      </c>
      <c r="C29" s="422">
        <v>236.41541566994431</v>
      </c>
      <c r="D29" s="416">
        <v>440.41541566994431</v>
      </c>
      <c r="E29" s="416">
        <v>245.20446984208621</v>
      </c>
      <c r="F29" s="416">
        <v>252.77497398902864</v>
      </c>
      <c r="G29" s="416">
        <v>293.44313599399095</v>
      </c>
      <c r="H29" s="233">
        <f>IF(D29=0,"nm",IF(G29=0,"nm",(G29/D29)^(1/3)-1))</f>
        <v>-0.12658533206196498</v>
      </c>
      <c r="I29" s="212"/>
      <c r="J29" s="209"/>
      <c r="K29" s="209"/>
      <c r="L29" s="209"/>
      <c r="M29" s="209"/>
      <c r="N29" s="209"/>
      <c r="O29" s="211"/>
      <c r="Q29" s="5"/>
      <c r="S29" s="26"/>
      <c r="T29" s="26"/>
      <c r="U29" s="26"/>
      <c r="V29" s="113" t="s">
        <v>434</v>
      </c>
      <c r="W29" s="242">
        <f t="shared" si="6"/>
        <v>0.54198958694710075</v>
      </c>
      <c r="X29" s="242">
        <v>1</v>
      </c>
    </row>
    <row r="30" spans="2:24">
      <c r="B30" s="5" t="s">
        <v>490</v>
      </c>
      <c r="C30" s="422">
        <v>551.58612672487493</v>
      </c>
      <c r="D30" s="416">
        <v>424.91577770562435</v>
      </c>
      <c r="E30" s="416">
        <v>360.23389623015908</v>
      </c>
      <c r="F30" s="416">
        <v>373.5332859691793</v>
      </c>
      <c r="G30" s="416">
        <v>394.14631341782371</v>
      </c>
      <c r="H30" s="233">
        <f t="shared" si="4"/>
        <v>-2.4744958978268672E-2</v>
      </c>
      <c r="I30" s="214"/>
      <c r="J30" s="208"/>
      <c r="K30" s="208"/>
      <c r="L30" s="208"/>
      <c r="M30" s="208"/>
      <c r="N30" s="208"/>
      <c r="O30" s="5"/>
      <c r="Q30" s="5"/>
      <c r="S30" s="26"/>
      <c r="T30" s="26"/>
      <c r="U30" s="26"/>
      <c r="V30" s="113" t="s">
        <v>493</v>
      </c>
      <c r="W30" s="242">
        <f t="shared" si="6"/>
        <v>0.42483352642208067</v>
      </c>
      <c r="X30" s="242">
        <v>1</v>
      </c>
    </row>
    <row r="31" spans="2:24">
      <c r="B31" s="5" t="s">
        <v>491</v>
      </c>
      <c r="C31" s="422">
        <v>194.25676379999996</v>
      </c>
      <c r="D31" s="416">
        <v>194.25676379999996</v>
      </c>
      <c r="E31" s="416">
        <v>97.12838189999998</v>
      </c>
      <c r="F31" s="416">
        <v>129.180747927</v>
      </c>
      <c r="G31" s="416">
        <v>161.47593490874999</v>
      </c>
      <c r="H31" s="233">
        <f>IF(D31=0,"nm",IF(G31=0,"nm",(G31/D31)^(1/3)-1))</f>
        <v>-5.9748822216098452E-2</v>
      </c>
      <c r="I31" s="214"/>
      <c r="J31" s="212"/>
      <c r="K31" s="212"/>
      <c r="L31" s="212"/>
      <c r="M31" s="212"/>
      <c r="N31" s="212"/>
      <c r="O31" s="5"/>
      <c r="Q31" s="5"/>
      <c r="S31" s="26"/>
      <c r="T31" s="26"/>
      <c r="U31" s="26"/>
      <c r="V31" s="113" t="s">
        <v>390</v>
      </c>
      <c r="W31" s="242">
        <f t="shared" si="6"/>
        <v>0.33297998232826925</v>
      </c>
      <c r="X31" s="242">
        <v>1</v>
      </c>
    </row>
    <row r="32" spans="2:24">
      <c r="B32" s="5" t="s">
        <v>506</v>
      </c>
      <c r="C32" s="424">
        <v>0</v>
      </c>
      <c r="D32" s="416">
        <v>0</v>
      </c>
      <c r="E32" s="416">
        <v>0</v>
      </c>
      <c r="F32" s="416">
        <v>0</v>
      </c>
      <c r="G32" s="416">
        <v>0</v>
      </c>
      <c r="H32" s="233" t="str">
        <f>IF(D32=0,"nm",IF(G32=0,"nm",(G32/D32)^(1/3)-1))</f>
        <v>nm</v>
      </c>
      <c r="I32" s="214"/>
      <c r="J32" s="214"/>
      <c r="K32" s="214"/>
      <c r="L32" s="214"/>
      <c r="M32" s="214"/>
      <c r="N32" s="214"/>
      <c r="O32" s="211"/>
      <c r="Q32" s="5"/>
      <c r="S32" s="26"/>
      <c r="T32" s="26"/>
      <c r="U32" s="26"/>
      <c r="V32" s="113" t="s">
        <v>437</v>
      </c>
      <c r="W32" s="242">
        <f t="shared" si="6"/>
        <v>0.35715369234897582</v>
      </c>
      <c r="X32" s="242">
        <v>1</v>
      </c>
    </row>
    <row r="33" spans="2:24">
      <c r="B33" s="5" t="s">
        <v>3</v>
      </c>
      <c r="C33" s="422">
        <v>159</v>
      </c>
      <c r="D33" s="416">
        <v>146</v>
      </c>
      <c r="E33" s="416">
        <v>141.06355499612818</v>
      </c>
      <c r="F33" s="416">
        <v>143.22289387613162</v>
      </c>
      <c r="G33" s="416">
        <v>146.84225946597095</v>
      </c>
      <c r="H33" s="233">
        <f>IF(D33=0,"nm",IF(G33=0,"nm",(G33/D33)^(1/3)-1))</f>
        <v>1.9192808217667334E-3</v>
      </c>
      <c r="I33" s="5"/>
      <c r="J33" s="214"/>
      <c r="K33" s="214"/>
      <c r="L33" s="214"/>
      <c r="M33" s="214"/>
      <c r="N33" s="214"/>
      <c r="O33" s="211"/>
      <c r="Q33" s="5"/>
      <c r="S33" s="26"/>
      <c r="T33" s="26"/>
      <c r="U33" s="26"/>
      <c r="V33" s="113" t="s">
        <v>481</v>
      </c>
      <c r="W33" s="242">
        <f t="shared" si="6"/>
        <v>2.3546370638445651</v>
      </c>
      <c r="X33" s="242">
        <v>1</v>
      </c>
    </row>
    <row r="34" spans="2:24">
      <c r="B34" s="5"/>
      <c r="C34" s="207"/>
      <c r="D34" s="13"/>
      <c r="E34" s="13"/>
      <c r="F34" s="13"/>
      <c r="G34" s="13"/>
      <c r="H34" s="231"/>
      <c r="I34" s="33"/>
      <c r="J34" s="214"/>
      <c r="K34" s="214"/>
      <c r="L34" s="214"/>
      <c r="M34" s="214"/>
      <c r="N34" s="214"/>
      <c r="O34" s="211"/>
      <c r="Q34" s="5"/>
      <c r="S34" s="26"/>
      <c r="T34" s="26"/>
      <c r="U34" s="26"/>
      <c r="V34" s="113" t="s">
        <v>482</v>
      </c>
      <c r="W34" s="242">
        <f>D47/L19</f>
        <v>3.0031835337601378</v>
      </c>
      <c r="X34" s="242">
        <v>1</v>
      </c>
    </row>
    <row r="35" spans="2:24" ht="12.6" thickBot="1">
      <c r="B35" s="249" t="s">
        <v>388</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1.2670607994167078</v>
      </c>
      <c r="E37" s="406">
        <f t="shared" ref="E37:G41" si="8">E$18/E23</f>
        <v>1.3103728979663429</v>
      </c>
      <c r="F37" s="406">
        <f t="shared" si="8"/>
        <v>1.291332991933037</v>
      </c>
      <c r="G37" s="406">
        <f>G$18/G23</f>
        <v>1.2718836336974866</v>
      </c>
      <c r="H37" s="13">
        <f t="shared" ref="H37:H45" si="9">H23</f>
        <v>-1.0094133458249832E-2</v>
      </c>
      <c r="I37" s="5"/>
      <c r="J37" s="217"/>
      <c r="K37" s="217"/>
      <c r="L37" s="217"/>
      <c r="M37" s="217"/>
      <c r="N37" s="217"/>
      <c r="O37" s="14"/>
      <c r="Q37" s="5"/>
      <c r="S37" s="26"/>
      <c r="T37" s="26"/>
      <c r="U37" s="26"/>
      <c r="V37" s="26"/>
      <c r="W37" s="26"/>
      <c r="X37" s="26"/>
    </row>
    <row r="38" spans="2:24">
      <c r="B38" s="5" t="s">
        <v>158</v>
      </c>
      <c r="C38" s="207"/>
      <c r="D38" s="406">
        <f>D$18/D24</f>
        <v>4.2416945126970145</v>
      </c>
      <c r="E38" s="406">
        <f t="shared" si="8"/>
        <v>4.3729849687510098</v>
      </c>
      <c r="F38" s="406">
        <f t="shared" si="8"/>
        <v>4.2737099393665954</v>
      </c>
      <c r="G38" s="406">
        <f t="shared" si="8"/>
        <v>4.2016958952313272</v>
      </c>
      <c r="H38" s="13">
        <f t="shared" si="9"/>
        <v>-5.7045247471647631E-3</v>
      </c>
      <c r="I38" s="217"/>
      <c r="J38" s="13"/>
      <c r="K38" s="13"/>
      <c r="L38" s="13"/>
      <c r="M38" s="13"/>
      <c r="N38" s="13"/>
      <c r="O38" s="5"/>
      <c r="Q38" s="5"/>
      <c r="S38" s="26"/>
      <c r="T38" s="26"/>
      <c r="U38" s="26"/>
      <c r="V38" s="26"/>
      <c r="W38" s="26"/>
      <c r="X38" s="26"/>
    </row>
    <row r="39" spans="2:24">
      <c r="B39" s="5" t="s">
        <v>159</v>
      </c>
      <c r="C39" s="207"/>
      <c r="D39" s="406">
        <f>D$18/D25</f>
        <v>12.604656880001855</v>
      </c>
      <c r="E39" s="406">
        <f t="shared" si="8"/>
        <v>13.171161333387543</v>
      </c>
      <c r="F39" s="406">
        <f t="shared" si="8"/>
        <v>12.689715494924277</v>
      </c>
      <c r="G39" s="406">
        <f t="shared" si="8"/>
        <v>11.810721450092943</v>
      </c>
      <c r="H39" s="13">
        <f t="shared" si="9"/>
        <v>1.28895092621375E-2</v>
      </c>
      <c r="I39" s="13"/>
      <c r="J39" s="5"/>
      <c r="K39" s="5"/>
      <c r="L39" s="5"/>
      <c r="M39" s="5"/>
      <c r="N39" s="5"/>
      <c r="O39" s="5"/>
      <c r="Q39" s="5"/>
      <c r="S39" s="26"/>
      <c r="T39" s="26"/>
      <c r="U39" s="26"/>
      <c r="V39" s="26"/>
      <c r="W39" s="26"/>
      <c r="X39" s="26"/>
    </row>
    <row r="40" spans="2:24">
      <c r="B40" s="5" t="s">
        <v>381</v>
      </c>
      <c r="C40" s="207"/>
      <c r="D40" s="406">
        <f>D$18/D26</f>
        <v>16.806209173335805</v>
      </c>
      <c r="E40" s="406">
        <f>E$18/E26</f>
        <v>17.561548444516724</v>
      </c>
      <c r="F40" s="406">
        <f t="shared" si="8"/>
        <v>16.919620659899035</v>
      </c>
      <c r="G40" s="406">
        <f t="shared" si="8"/>
        <v>15.747628600123925</v>
      </c>
      <c r="H40" s="13">
        <f t="shared" si="9"/>
        <v>1.28895092621375E-2</v>
      </c>
      <c r="I40" s="5"/>
      <c r="J40" s="217"/>
      <c r="K40" s="217"/>
      <c r="L40" s="217"/>
      <c r="M40" s="217"/>
      <c r="N40" s="217"/>
      <c r="O40" s="14"/>
      <c r="Q40" s="5"/>
      <c r="S40" s="26"/>
      <c r="T40" s="26"/>
      <c r="U40" s="26"/>
      <c r="V40" s="26"/>
      <c r="W40" s="242"/>
      <c r="X40" s="242"/>
    </row>
    <row r="41" spans="2:24">
      <c r="B41" s="5" t="s">
        <v>434</v>
      </c>
      <c r="C41" s="207"/>
      <c r="D41" s="406">
        <f>D$18/D27</f>
        <v>0.89438751672313099</v>
      </c>
      <c r="E41" s="406">
        <f t="shared" si="8"/>
        <v>0.92377123561836305</v>
      </c>
      <c r="F41" s="406">
        <f t="shared" si="8"/>
        <v>0.89880476444712853</v>
      </c>
      <c r="G41" s="406">
        <f t="shared" si="8"/>
        <v>0.88011598925230827</v>
      </c>
      <c r="H41" s="13">
        <f t="shared" si="9"/>
        <v>-3.5110693763504841E-3</v>
      </c>
      <c r="I41" s="207"/>
      <c r="J41" s="13"/>
      <c r="K41" s="13"/>
      <c r="L41" s="13"/>
      <c r="M41" s="13"/>
      <c r="N41" s="13"/>
      <c r="O41" s="5"/>
      <c r="Q41" s="5"/>
      <c r="S41" s="26"/>
      <c r="T41" s="26"/>
      <c r="U41" s="26"/>
      <c r="V41" s="26"/>
      <c r="W41" s="242"/>
      <c r="X41" s="242"/>
    </row>
    <row r="42" spans="2:24">
      <c r="B42" s="5" t="s">
        <v>493</v>
      </c>
      <c r="C42" s="207"/>
      <c r="D42" s="406">
        <f>D18/D28</f>
        <v>1.6088891608458176</v>
      </c>
      <c r="E42" s="406">
        <f>E18/E28</f>
        <v>1.482736762539395</v>
      </c>
      <c r="F42" s="406">
        <f>F18/F28</f>
        <v>1.350739563216826</v>
      </c>
      <c r="G42" s="406">
        <f>G18/G28</f>
        <v>1.2452510545386484</v>
      </c>
      <c r="H42" s="13">
        <f t="shared" si="9"/>
        <v>7.9527247853140137E-2</v>
      </c>
      <c r="I42" s="208"/>
      <c r="J42" s="5"/>
      <c r="K42" s="5"/>
      <c r="L42" s="5"/>
      <c r="M42" s="5"/>
      <c r="N42" s="5"/>
      <c r="O42" s="5"/>
      <c r="Q42" s="5"/>
      <c r="S42" s="26"/>
      <c r="T42" s="26"/>
      <c r="U42" s="26"/>
      <c r="V42" s="26"/>
      <c r="W42" s="242"/>
      <c r="X42" s="242"/>
    </row>
    <row r="43" spans="2:24">
      <c r="B43" s="5" t="s">
        <v>390</v>
      </c>
      <c r="C43" s="207"/>
      <c r="D43" s="406">
        <f>L26/D29</f>
        <v>5.9024665066177935</v>
      </c>
      <c r="E43" s="406">
        <f>M26/E29</f>
        <v>10.6015083724376</v>
      </c>
      <c r="F43" s="406">
        <f>N26/F29</f>
        <v>10.283997655965852</v>
      </c>
      <c r="G43" s="406">
        <f>O26/G29</f>
        <v>8.8587427038785211</v>
      </c>
      <c r="H43" s="13">
        <f t="shared" si="9"/>
        <v>-0.12658533206196498</v>
      </c>
      <c r="I43" s="207"/>
      <c r="J43" s="207"/>
      <c r="K43" s="207"/>
      <c r="L43" s="207"/>
      <c r="M43" s="207"/>
      <c r="N43" s="207"/>
      <c r="O43" s="14"/>
      <c r="Q43" s="5"/>
      <c r="S43" s="26"/>
      <c r="T43" s="26"/>
      <c r="U43" s="26"/>
      <c r="V43" s="26"/>
      <c r="W43" s="242"/>
      <c r="X43" s="242"/>
    </row>
    <row r="44" spans="2:24">
      <c r="B44" s="5" t="s">
        <v>437</v>
      </c>
      <c r="C44" s="53"/>
      <c r="D44" s="406">
        <f>D11/D30</f>
        <v>5.0516769501486722</v>
      </c>
      <c r="E44" s="406">
        <f>E11/E30</f>
        <v>5.9587319862274803</v>
      </c>
      <c r="F44" s="406">
        <f>F11/F30</f>
        <v>5.7465755278556712</v>
      </c>
      <c r="G44" s="406">
        <f>G11/G30</f>
        <v>5.4460416523406989</v>
      </c>
      <c r="H44" s="13">
        <f t="shared" si="9"/>
        <v>-2.4744958978268672E-2</v>
      </c>
      <c r="I44" s="207"/>
      <c r="J44" s="208"/>
      <c r="K44" s="208"/>
      <c r="L44" s="208"/>
      <c r="M44" s="208"/>
      <c r="N44" s="208"/>
      <c r="O44" s="208"/>
      <c r="Q44" s="5"/>
      <c r="S44" s="26"/>
      <c r="T44" s="26"/>
      <c r="U44" s="26"/>
      <c r="V44" s="26"/>
      <c r="W44" s="255"/>
      <c r="X44" s="255"/>
    </row>
    <row r="45" spans="2:24">
      <c r="B45" s="5" t="s">
        <v>481</v>
      </c>
      <c r="C45" s="207"/>
      <c r="D45" s="208">
        <f>D31/D11</f>
        <v>9.0497737556561084E-2</v>
      </c>
      <c r="E45" s="208">
        <f>E31/E11</f>
        <v>4.5248868778280542E-2</v>
      </c>
      <c r="F45" s="208">
        <f>F31/F11</f>
        <v>6.018099547511313E-2</v>
      </c>
      <c r="G45" s="208">
        <f>G31/G11</f>
        <v>7.5226244343891413E-2</v>
      </c>
      <c r="H45" s="13">
        <f t="shared" si="9"/>
        <v>-5.9748822216098452E-2</v>
      </c>
      <c r="I45" s="208"/>
      <c r="J45" s="207"/>
      <c r="K45" s="207"/>
      <c r="L45" s="207"/>
      <c r="M45" s="207"/>
      <c r="N45" s="207"/>
      <c r="O45" s="208"/>
      <c r="Q45" s="5"/>
      <c r="S45" s="26"/>
      <c r="T45" s="26"/>
      <c r="U45" s="26"/>
      <c r="V45" s="26"/>
      <c r="W45" s="26"/>
      <c r="X45" s="26"/>
    </row>
    <row r="46" spans="2:24">
      <c r="B46" s="5" t="s">
        <v>505</v>
      </c>
      <c r="C46" s="207"/>
      <c r="D46" s="208">
        <f>(D31+D32)/D11</f>
        <v>9.0497737556561084E-2</v>
      </c>
      <c r="E46" s="208">
        <f>(E31+E32)/E11</f>
        <v>4.5248868778280542E-2</v>
      </c>
      <c r="F46" s="208">
        <f>(F31+F32)/F11</f>
        <v>6.018099547511313E-2</v>
      </c>
      <c r="G46" s="208">
        <f>(G31+G32)/G11</f>
        <v>7.5226244343891413E-2</v>
      </c>
      <c r="H46" s="233">
        <f>((G31+G32)/(D31+D32))^(1/3)-1</f>
        <v>-5.9748822216098452E-2</v>
      </c>
      <c r="I46" s="207"/>
      <c r="J46" s="207"/>
      <c r="K46" s="207"/>
      <c r="L46" s="207"/>
      <c r="M46" s="207"/>
      <c r="N46" s="207"/>
      <c r="O46" s="14"/>
      <c r="Q46" s="5"/>
      <c r="S46" s="26"/>
      <c r="T46" s="26"/>
      <c r="U46" s="26"/>
      <c r="V46" s="26"/>
      <c r="W46" s="26"/>
      <c r="X46" s="26"/>
    </row>
    <row r="47" spans="2:24">
      <c r="B47" s="5" t="s">
        <v>482</v>
      </c>
      <c r="C47" s="5"/>
      <c r="D47" s="208">
        <f>1/D43</f>
        <v>0.169420698767</v>
      </c>
      <c r="E47" s="208">
        <f>1/E43</f>
        <v>9.4326200090532067E-2</v>
      </c>
      <c r="F47" s="208">
        <f>1/F43</f>
        <v>9.7238450790572653E-2</v>
      </c>
      <c r="G47" s="208">
        <f>1/G43</f>
        <v>0.11288283602166045</v>
      </c>
      <c r="H47" s="13">
        <f>H29</f>
        <v>-0.12658533206196498</v>
      </c>
      <c r="I47" s="13"/>
      <c r="J47" s="208"/>
      <c r="K47" s="208"/>
      <c r="L47" s="208"/>
      <c r="M47" s="208"/>
      <c r="N47" s="208"/>
      <c r="O47" s="208"/>
      <c r="Q47" s="5"/>
      <c r="S47" s="26"/>
      <c r="T47" s="26"/>
      <c r="U47" s="26"/>
      <c r="V47" s="26"/>
      <c r="W47" s="26"/>
      <c r="X47" s="26"/>
    </row>
    <row r="48" spans="2:24">
      <c r="B48" s="5" t="s">
        <v>518</v>
      </c>
      <c r="C48" s="5"/>
      <c r="D48" s="248">
        <f>D31/D29</f>
        <v>0.44107621324858365</v>
      </c>
      <c r="E48" s="248">
        <f>E31/E29</f>
        <v>0.39611179177341871</v>
      </c>
      <c r="F48" s="248">
        <f>F31/F29</f>
        <v>0.51105038559951321</v>
      </c>
      <c r="G48" s="248">
        <f>G31/G29</f>
        <v>0.55028015687528864</v>
      </c>
      <c r="H48" s="233" t="s">
        <v>507</v>
      </c>
      <c r="I48" s="207"/>
      <c r="J48" s="207"/>
      <c r="K48" s="207"/>
      <c r="L48" s="207"/>
      <c r="M48" s="207"/>
      <c r="N48" s="207"/>
      <c r="O48" s="208"/>
      <c r="Q48" s="5"/>
      <c r="S48" s="26"/>
      <c r="T48" s="26"/>
      <c r="U48" s="26"/>
      <c r="V48" s="26"/>
      <c r="W48" s="26"/>
      <c r="X48" s="26"/>
    </row>
  </sheetData>
  <phoneticPr fontId="7" type="noConversion"/>
  <hyperlinks>
    <hyperlink ref="C2" location="PROXSOP!A1" display="Jump to Prox SOP" xr:uid="{00000000-0004-0000-4900-000001000000}"/>
  </hyperlinks>
  <pageMargins left="0.75" right="0.75" top="1" bottom="1" header="0.5" footer="0.5"/>
  <pageSetup scale="71"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2">
    <pageSetUpPr fitToPage="1"/>
  </sheetPr>
  <dimension ref="B1:CE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83" width="9.109375" style="5"/>
    <col min="84" max="16384" width="9.109375" style="23"/>
  </cols>
  <sheetData>
    <row r="1" spans="2:83"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row>
    <row r="2" spans="2:83" s="115" customFormat="1"/>
    <row r="3" spans="2:83" s="115" customFormat="1">
      <c r="H3" s="119"/>
      <c r="P3" s="119"/>
    </row>
    <row r="4" spans="2:83" s="122" customFormat="1" ht="21">
      <c r="B4" s="100" t="s">
        <v>127</v>
      </c>
      <c r="H4" s="182"/>
      <c r="P4" s="182"/>
    </row>
    <row r="5" spans="2:8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83">
      <c r="I6" s="5"/>
      <c r="J6" s="5"/>
      <c r="K6" s="5"/>
      <c r="L6" s="5"/>
      <c r="M6" s="5"/>
      <c r="N6" s="5"/>
      <c r="O6" s="33"/>
    </row>
    <row r="7" spans="2:83" ht="12.6" thickBot="1">
      <c r="B7" s="249" t="s">
        <v>223</v>
      </c>
      <c r="C7" s="219"/>
      <c r="D7" s="219" t="str">
        <f>D5</f>
        <v>2025E</v>
      </c>
      <c r="E7" s="219" t="str">
        <f t="shared" ref="E7:H7" si="0">E5</f>
        <v>2026E</v>
      </c>
      <c r="F7" s="219" t="str">
        <f t="shared" si="0"/>
        <v>2027E</v>
      </c>
      <c r="G7" s="219" t="str">
        <f t="shared" si="0"/>
        <v>2028E</v>
      </c>
      <c r="H7" s="219" t="str">
        <f t="shared" si="0"/>
        <v>2025-28</v>
      </c>
      <c r="I7" s="33"/>
      <c r="J7" s="249" t="s">
        <v>64</v>
      </c>
      <c r="K7" s="249"/>
      <c r="L7" s="219" t="str">
        <f>L5</f>
        <v>2025E</v>
      </c>
      <c r="M7" s="219" t="str">
        <f t="shared" ref="M7:P7" si="1">M5</f>
        <v>2026E</v>
      </c>
      <c r="N7" s="219" t="str">
        <f t="shared" si="1"/>
        <v>2027E</v>
      </c>
      <c r="O7" s="219" t="str">
        <f t="shared" si="1"/>
        <v>2028E</v>
      </c>
      <c r="P7" s="219" t="str">
        <f t="shared" si="1"/>
        <v>2025-28</v>
      </c>
    </row>
    <row r="8" spans="2:83" ht="12.6" thickTop="1">
      <c r="B8" s="5"/>
      <c r="C8" s="5"/>
      <c r="D8" s="5"/>
      <c r="E8" s="5"/>
      <c r="F8" s="5"/>
      <c r="G8" s="5"/>
      <c r="H8" s="5"/>
      <c r="I8" s="5"/>
      <c r="J8" s="5"/>
      <c r="K8" s="5"/>
      <c r="L8" s="5"/>
      <c r="M8" s="5"/>
      <c r="N8" s="5"/>
    </row>
    <row r="9" spans="2:83">
      <c r="B9" s="25" t="s">
        <v>126</v>
      </c>
      <c r="C9" s="239">
        <f>Prices!C71</f>
        <v>2810</v>
      </c>
      <c r="D9" s="412">
        <v>0</v>
      </c>
      <c r="E9" s="413">
        <v>0</v>
      </c>
      <c r="F9" s="413">
        <v>0</v>
      </c>
      <c r="G9" s="413">
        <v>0</v>
      </c>
      <c r="H9" s="209"/>
      <c r="I9" s="209"/>
      <c r="J9" s="5" t="s">
        <v>225</v>
      </c>
      <c r="L9" s="406">
        <f>'AGG ASIA INCUMB'!D37</f>
        <v>1.1353891943134662</v>
      </c>
      <c r="M9" s="406">
        <f>'AGG ASIA INCUMB'!E37</f>
        <v>1.0420024027378185</v>
      </c>
      <c r="N9" s="406">
        <f>'AGG ASIA INCUMB'!F37</f>
        <v>0.97362964111173989</v>
      </c>
      <c r="O9" s="406">
        <f>'AGG ASIA INCUMB'!G37</f>
        <v>0.87129606684247685</v>
      </c>
      <c r="P9" s="240">
        <f>'AGG ASIA INCUMB'!H37</f>
        <v>3.1397168133001196E-2</v>
      </c>
    </row>
    <row r="10" spans="2:83">
      <c r="B10" s="5" t="s">
        <v>226</v>
      </c>
      <c r="C10" s="5"/>
      <c r="D10" s="408">
        <v>98.005878571830991</v>
      </c>
      <c r="E10" s="408">
        <v>98.005878571830991</v>
      </c>
      <c r="F10" s="408">
        <v>98.005878571830991</v>
      </c>
      <c r="G10" s="408">
        <v>98.005878571830991</v>
      </c>
      <c r="H10" s="207"/>
      <c r="I10" s="207"/>
      <c r="J10" s="5" t="s">
        <v>158</v>
      </c>
      <c r="L10" s="406">
        <f>'AGG ASIA INCUMB'!D38</f>
        <v>4.3103578846804975</v>
      </c>
      <c r="M10" s="406">
        <f>'AGG ASIA INCUMB'!E38</f>
        <v>3.9128368380348117</v>
      </c>
      <c r="N10" s="406">
        <f>'AGG ASIA INCUMB'!F38</f>
        <v>3.6397486062260676</v>
      </c>
      <c r="O10" s="406">
        <f>'AGG ASIA INCUMB'!G38</f>
        <v>3.2391229175829546</v>
      </c>
      <c r="P10" s="240">
        <f>'AGG ASIA INCUMB'!H38</f>
        <v>3.8631685739933808E-2</v>
      </c>
    </row>
    <row r="11" spans="2:83">
      <c r="B11" s="25" t="s">
        <v>728</v>
      </c>
      <c r="C11" s="5"/>
      <c r="D11" s="409">
        <f>$C$9*D10</f>
        <v>275396.51878684509</v>
      </c>
      <c r="E11" s="409">
        <f>$C$9*E10</f>
        <v>275396.51878684509</v>
      </c>
      <c r="F11" s="409">
        <f>$C$9*F10</f>
        <v>275396.51878684509</v>
      </c>
      <c r="G11" s="409">
        <f>$C$9*G10</f>
        <v>275396.51878684509</v>
      </c>
      <c r="H11" s="209"/>
      <c r="I11" s="209"/>
      <c r="J11" s="5" t="s">
        <v>159</v>
      </c>
      <c r="L11" s="406">
        <f>'AGG ASIA INCUMB'!D39</f>
        <v>10.190705463747499</v>
      </c>
      <c r="M11" s="406">
        <f>'AGG ASIA INCUMB'!E39</f>
        <v>8.5583839118103686</v>
      </c>
      <c r="N11" s="406">
        <f>'AGG ASIA INCUMB'!F39</f>
        <v>7.5238379752898625</v>
      </c>
      <c r="O11" s="406">
        <f>'AGG ASIA INCUMB'!G39</f>
        <v>6.4065644587599344</v>
      </c>
      <c r="P11" s="240">
        <f>'AGG ASIA INCUMB'!H39</f>
        <v>0.10228174933351819</v>
      </c>
    </row>
    <row r="12" spans="2:83">
      <c r="B12" s="5" t="s">
        <v>22</v>
      </c>
      <c r="C12" s="209"/>
      <c r="D12" s="410">
        <v>89448.535761404666</v>
      </c>
      <c r="E12" s="410">
        <v>99328.484955521839</v>
      </c>
      <c r="F12" s="410">
        <v>101050.57164945426</v>
      </c>
      <c r="G12" s="410">
        <v>103315.77941357855</v>
      </c>
      <c r="H12" s="207"/>
      <c r="I12" s="207"/>
      <c r="J12" s="5" t="s">
        <v>381</v>
      </c>
      <c r="L12" s="406">
        <f>'AGG ASIA INCUMB'!D40</f>
        <v>13.344931401968319</v>
      </c>
      <c r="M12" s="406">
        <f>'AGG ASIA INCUMB'!E40</f>
        <v>11.238034837553611</v>
      </c>
      <c r="N12" s="406">
        <f>'AGG ASIA INCUMB'!F40</f>
        <v>9.8913843223038338</v>
      </c>
      <c r="O12" s="406">
        <f>'AGG ASIA INCUMB'!G40</f>
        <v>8.4309901634846316</v>
      </c>
      <c r="P12" s="240">
        <f>'AGG ASIA INCUMB'!H40</f>
        <v>0.10047163927760949</v>
      </c>
    </row>
    <row r="13" spans="2:83">
      <c r="B13" s="5" t="s">
        <v>433</v>
      </c>
      <c r="C13" s="216"/>
      <c r="D13" s="410">
        <v>0</v>
      </c>
      <c r="E13" s="410">
        <v>0</v>
      </c>
      <c r="F13" s="410">
        <v>0</v>
      </c>
      <c r="G13" s="410">
        <v>0</v>
      </c>
      <c r="H13" s="207"/>
      <c r="I13" s="207"/>
      <c r="J13" s="5" t="s">
        <v>434</v>
      </c>
      <c r="L13" s="406">
        <f>'AGG ASIA INCUMB'!D41</f>
        <v>1.0508968001720602</v>
      </c>
      <c r="M13" s="406">
        <f>'AGG ASIA INCUMB'!E41</f>
        <v>0.99070013170896654</v>
      </c>
      <c r="N13" s="406">
        <f>'AGG ASIA INCUMB'!F41</f>
        <v>0.92777684089070633</v>
      </c>
      <c r="O13" s="406">
        <f>'AGG ASIA INCUMB'!G41</f>
        <v>0.85951313303026078</v>
      </c>
      <c r="P13" s="240">
        <f>'AGG ASIA INCUMB'!H41</f>
        <v>9.7226952143947276E-3</v>
      </c>
    </row>
    <row r="14" spans="2:83">
      <c r="B14" s="5" t="s">
        <v>436</v>
      </c>
      <c r="C14" s="216"/>
      <c r="D14" s="414">
        <v>0</v>
      </c>
      <c r="E14" s="407">
        <f t="shared" ref="E14:G15" si="2">D14</f>
        <v>0</v>
      </c>
      <c r="F14" s="407">
        <f t="shared" si="2"/>
        <v>0</v>
      </c>
      <c r="G14" s="407">
        <f t="shared" si="2"/>
        <v>0</v>
      </c>
      <c r="H14" s="207"/>
      <c r="I14" s="207"/>
      <c r="J14" s="5" t="s">
        <v>493</v>
      </c>
      <c r="L14" s="406">
        <f>'AGG ASIA INCUMB'!D42</f>
        <v>1.4291550262030754</v>
      </c>
      <c r="M14" s="406">
        <f>'AGG ASIA INCUMB'!E42</f>
        <v>1.3849407655473556</v>
      </c>
      <c r="N14" s="406">
        <f>'AGG ASIA INCUMB'!F42</f>
        <v>1.3767574546734138</v>
      </c>
      <c r="O14" s="406">
        <f>'AGG ASIA INCUMB'!G42</f>
        <v>1.3160442661234328</v>
      </c>
      <c r="P14" s="240">
        <f>'AGG ASIA INCUMB'!H42</f>
        <v>-2.9409845683782243E-2</v>
      </c>
    </row>
    <row r="15" spans="2:83">
      <c r="B15" s="5" t="s">
        <v>435</v>
      </c>
      <c r="C15" s="228"/>
      <c r="D15" s="414">
        <v>182410.84615384613</v>
      </c>
      <c r="E15" s="407">
        <f t="shared" si="2"/>
        <v>182410.84615384613</v>
      </c>
      <c r="F15" s="407">
        <f t="shared" si="2"/>
        <v>182410.84615384613</v>
      </c>
      <c r="G15" s="407">
        <f t="shared" si="2"/>
        <v>182410.84615384613</v>
      </c>
      <c r="H15" s="207"/>
      <c r="I15" s="207"/>
      <c r="J15" s="5" t="s">
        <v>390</v>
      </c>
      <c r="L15" s="406">
        <f>'AGG ASIA INCUMB'!D43</f>
        <v>32.210485313716404</v>
      </c>
      <c r="M15" s="406">
        <f>'AGG ASIA INCUMB'!E43</f>
        <v>25.503088693758627</v>
      </c>
      <c r="N15" s="406">
        <f>'AGG ASIA INCUMB'!F43</f>
        <v>21.809224253297693</v>
      </c>
      <c r="O15" s="406">
        <f>'AGG ASIA INCUMB'!G43</f>
        <v>18.855968911926709</v>
      </c>
      <c r="P15" s="240">
        <f>'AGG ASIA INCUMB'!H43</f>
        <v>0.16659624694751662</v>
      </c>
    </row>
    <row r="16" spans="2:83">
      <c r="B16" s="5" t="s">
        <v>438</v>
      </c>
      <c r="C16" s="216"/>
      <c r="D16" s="410">
        <v>0</v>
      </c>
      <c r="E16" s="410">
        <v>19961.767506210697</v>
      </c>
      <c r="F16" s="410">
        <v>40791.713713659949</v>
      </c>
      <c r="G16" s="410">
        <v>62938.115239416511</v>
      </c>
      <c r="H16" s="207"/>
      <c r="I16" s="207"/>
      <c r="J16" s="5" t="s">
        <v>437</v>
      </c>
      <c r="L16" s="406">
        <f>'AGG ASIA INCUMB'!D44</f>
        <v>12.339496878071898</v>
      </c>
      <c r="M16" s="406">
        <f>'AGG ASIA INCUMB'!E44</f>
        <v>11.047105057261978</v>
      </c>
      <c r="N16" s="406">
        <f>'AGG ASIA INCUMB'!F44</f>
        <v>10.00172451501094</v>
      </c>
      <c r="O16" s="406">
        <f>'AGG ASIA INCUMB'!G44</f>
        <v>9.0964327955584316</v>
      </c>
      <c r="P16" s="240">
        <f>'AGG ASIA INCUMB'!H44</f>
        <v>9.6923248619408264E-2</v>
      </c>
    </row>
    <row r="17" spans="2:24">
      <c r="B17" s="5" t="s">
        <v>4</v>
      </c>
      <c r="C17" s="216"/>
      <c r="D17" s="410">
        <v>0</v>
      </c>
      <c r="E17" s="410">
        <v>0</v>
      </c>
      <c r="F17" s="410">
        <v>0</v>
      </c>
      <c r="G17" s="410">
        <v>0</v>
      </c>
      <c r="H17" s="207"/>
      <c r="I17" s="207"/>
      <c r="J17" s="5" t="s">
        <v>481</v>
      </c>
      <c r="L17" s="208">
        <f>'AGG ASIA INCUMB'!D45</f>
        <v>5.1414904280051979E-2</v>
      </c>
      <c r="M17" s="208">
        <f>'AGG ASIA INCUMB'!E45</f>
        <v>5.6854140225317415E-2</v>
      </c>
      <c r="N17" s="208">
        <f>'AGG ASIA INCUMB'!F45</f>
        <v>6.1823755137670577E-2</v>
      </c>
      <c r="O17" s="208">
        <f>'AGG ASIA INCUMB'!G45</f>
        <v>6.6884920782751739E-2</v>
      </c>
      <c r="P17" s="240">
        <f>'AGG ASIA INCUMB'!H45</f>
        <v>8.1717503762207988E-2</v>
      </c>
      <c r="S17" s="26"/>
      <c r="T17" s="26"/>
      <c r="U17" s="26"/>
      <c r="V17" s="26"/>
      <c r="W17" s="26"/>
      <c r="X17" s="26"/>
    </row>
    <row r="18" spans="2:24" ht="12.6" thickBot="1">
      <c r="B18" s="25" t="s">
        <v>484</v>
      </c>
      <c r="C18" s="209"/>
      <c r="D18" s="411">
        <f>D11+D12+D13-D14+D15-D16-D17</f>
        <v>547255.90070209582</v>
      </c>
      <c r="E18" s="411">
        <f>E11+E12+E13-E14+E15-E16-E17</f>
        <v>537174.08239000232</v>
      </c>
      <c r="F18" s="411">
        <f>F11+F12+F13-F14+F15-F16-F17</f>
        <v>518066.2228764855</v>
      </c>
      <c r="G18" s="411">
        <f>G11+G12+G13-G14+G15-G16-G17</f>
        <v>498185.02911485336</v>
      </c>
      <c r="H18" s="230">
        <f>IF(D18=0,"nm",IF(G18=0,"nm",(G18/D18)^(1/3)-1))</f>
        <v>-3.082975277525446E-2</v>
      </c>
      <c r="I18" s="214"/>
      <c r="J18" s="5" t="s">
        <v>33</v>
      </c>
      <c r="L18" s="208">
        <f>'AGG ASIA INCUMB'!D46</f>
        <v>5.8529095772616578E-2</v>
      </c>
      <c r="M18" s="208">
        <f>'AGG ASIA INCUMB'!E46</f>
        <v>7.0436799652068588E-2</v>
      </c>
      <c r="N18" s="208">
        <f>'AGG ASIA INCUMB'!F46</f>
        <v>-5.36316297625479E-2</v>
      </c>
      <c r="O18" s="208">
        <f>'AGG ASIA INCUMB'!G46</f>
        <v>7.4325003833795672E-2</v>
      </c>
      <c r="P18" s="240">
        <f>'AGG ASIA INCUMB'!H46</f>
        <v>7.305464127290251E-2</v>
      </c>
      <c r="S18" s="26"/>
      <c r="T18" s="26"/>
      <c r="U18" s="26"/>
      <c r="V18" s="26"/>
      <c r="W18" s="26"/>
      <c r="X18" s="26"/>
    </row>
    <row r="19" spans="2:24" ht="12.6" thickTop="1">
      <c r="B19" s="25"/>
      <c r="C19" s="209"/>
      <c r="D19" s="189"/>
      <c r="E19" s="189"/>
      <c r="F19" s="189"/>
      <c r="G19" s="189"/>
      <c r="H19" s="230"/>
      <c r="I19" s="214"/>
      <c r="J19" s="5" t="s">
        <v>482</v>
      </c>
      <c r="L19" s="208">
        <f>'AGG ASIA INCUMB'!D47</f>
        <v>3.1045791153421813E-2</v>
      </c>
      <c r="M19" s="208">
        <f>'AGG ASIA INCUMB'!E47</f>
        <v>3.9210936840161248E-2</v>
      </c>
      <c r="N19" s="208">
        <f>'AGG ASIA INCUMB'!F47</f>
        <v>4.5852158168752551E-2</v>
      </c>
      <c r="O19" s="208">
        <f>'AGG ASIA INCUMB'!G47</f>
        <v>5.3033604619886897E-2</v>
      </c>
      <c r="P19" s="240">
        <f>'AGG ASIA INCUMB'!H47</f>
        <v>0.16659624694751662</v>
      </c>
      <c r="S19" s="26"/>
      <c r="T19" s="26"/>
      <c r="U19" s="26"/>
      <c r="V19" s="26"/>
      <c r="W19" s="26"/>
      <c r="X19" s="26"/>
    </row>
    <row r="20" spans="2:24">
      <c r="H20" s="231"/>
      <c r="I20" s="13"/>
      <c r="J20" s="5" t="s">
        <v>504</v>
      </c>
      <c r="L20" s="248">
        <f>'AGG ASIA INCUMB'!D48</f>
        <v>0.84851530587757729</v>
      </c>
      <c r="M20" s="248">
        <f>'AGG ASIA INCUMB'!E48</f>
        <v>0.74595605814417199</v>
      </c>
      <c r="N20" s="248">
        <f>'AGG ASIA INCUMB'!F48</f>
        <v>0.70506562361833436</v>
      </c>
      <c r="O20" s="248">
        <f>'AGG ASIA INCUMB'!G48</f>
        <v>0.67645596035498334</v>
      </c>
      <c r="P20" s="240" t="str">
        <f>'AGG ASIA INCUMB'!H48</f>
        <v>nm</v>
      </c>
      <c r="S20" s="26"/>
      <c r="T20" s="26"/>
      <c r="U20" s="26"/>
      <c r="V20" s="26"/>
      <c r="W20" s="26"/>
      <c r="X20" s="26"/>
    </row>
    <row r="21" spans="2:24" ht="12.6" thickBot="1">
      <c r="B21" s="249" t="s">
        <v>776</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149967</v>
      </c>
      <c r="D23" s="416">
        <v>148176.09801738869</v>
      </c>
      <c r="E23" s="416">
        <v>154017.06914282139</v>
      </c>
      <c r="F23" s="416">
        <v>159683.39451886032</v>
      </c>
      <c r="G23" s="416">
        <v>165687.75021698268</v>
      </c>
      <c r="H23" s="233">
        <f t="shared" ref="H23:H32" si="4">IF(D23=0,"nm",IF(G23=0,"nm",(G23/D23)^(1/3)-1))</f>
        <v>3.7936414783997563E-2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75029</v>
      </c>
      <c r="D24" s="416">
        <v>74002.612384414038</v>
      </c>
      <c r="E24" s="416">
        <v>77297.847354493861</v>
      </c>
      <c r="F24" s="416">
        <v>80545.559741153062</v>
      </c>
      <c r="G24" s="416">
        <v>84019.231904225817</v>
      </c>
      <c r="H24" s="233">
        <f t="shared" si="4"/>
        <v>4.3223156596814194E-2</v>
      </c>
      <c r="I24" s="209"/>
      <c r="J24" s="13"/>
      <c r="K24" s="13"/>
      <c r="L24" s="13"/>
      <c r="M24" s="13"/>
      <c r="N24" s="13"/>
      <c r="O24" s="208"/>
      <c r="S24" s="26"/>
      <c r="T24" s="26"/>
      <c r="U24" s="26"/>
      <c r="V24" s="26"/>
      <c r="W24" s="26" t="s">
        <v>128</v>
      </c>
      <c r="X24" s="26" t="s">
        <v>211</v>
      </c>
    </row>
    <row r="25" spans="2:24">
      <c r="B25" s="5" t="s">
        <v>157</v>
      </c>
      <c r="C25" s="422">
        <v>50464</v>
      </c>
      <c r="D25" s="416">
        <v>48702.98572917276</v>
      </c>
      <c r="E25" s="416">
        <v>49713.614858745321</v>
      </c>
      <c r="F25" s="416">
        <v>52016.650558998961</v>
      </c>
      <c r="G25" s="416">
        <v>54318.171263703778</v>
      </c>
      <c r="H25" s="233">
        <f t="shared" si="4"/>
        <v>3.7042411450392665E-2</v>
      </c>
      <c r="I25" s="208"/>
      <c r="J25" s="207" t="s">
        <v>8</v>
      </c>
      <c r="K25" s="207"/>
      <c r="L25" s="252">
        <v>0</v>
      </c>
      <c r="M25" s="252">
        <v>0</v>
      </c>
      <c r="N25" s="252">
        <v>0</v>
      </c>
      <c r="O25" s="252">
        <v>0</v>
      </c>
      <c r="P25" s="233" t="str">
        <f>IF(L25=0,"nm",IF(O25=0,"nm",(O25/L25)^(1/3)-1))</f>
        <v>nm</v>
      </c>
      <c r="S25" s="26"/>
      <c r="T25" s="26"/>
      <c r="U25" s="26"/>
      <c r="V25" s="113" t="s">
        <v>225</v>
      </c>
      <c r="W25" s="242">
        <f>D37/L9</f>
        <v>3.25287625419976</v>
      </c>
      <c r="X25" s="242">
        <v>1</v>
      </c>
    </row>
    <row r="26" spans="2:24">
      <c r="B26" s="5" t="s">
        <v>487</v>
      </c>
      <c r="C26" s="422">
        <v>39624.415804663753</v>
      </c>
      <c r="D26" s="416">
        <v>37988.328868754754</v>
      </c>
      <c r="E26" s="416">
        <v>38776.619589821348</v>
      </c>
      <c r="F26" s="416">
        <v>40572.98743601919</v>
      </c>
      <c r="G26" s="416">
        <v>42368.17358568895</v>
      </c>
      <c r="H26" s="233">
        <f t="shared" si="4"/>
        <v>3.7042411450392665E-2</v>
      </c>
      <c r="I26" s="209"/>
      <c r="J26" s="209" t="s">
        <v>9</v>
      </c>
      <c r="K26" s="209"/>
      <c r="L26" s="235">
        <f>D11+L25</f>
        <v>275396.51878684509</v>
      </c>
      <c r="M26" s="235">
        <f>E11+M25</f>
        <v>275396.51878684509</v>
      </c>
      <c r="N26" s="235">
        <f>F11+N25</f>
        <v>275396.51878684509</v>
      </c>
      <c r="O26" s="235">
        <f>G11+O25</f>
        <v>275396.51878684509</v>
      </c>
      <c r="P26" s="233">
        <f>IF(L26=0,"nm",IF(O26=0,"nm",(O26/L26)^(1/3)-1))</f>
        <v>0</v>
      </c>
      <c r="Q26" s="5"/>
      <c r="S26" s="26"/>
      <c r="T26" s="26"/>
      <c r="U26" s="26"/>
      <c r="V26" s="113" t="s">
        <v>158</v>
      </c>
      <c r="W26" s="242">
        <f t="shared" ref="W26:W33" si="6">D38/L10</f>
        <v>1.7156554379630207</v>
      </c>
      <c r="X26" s="242">
        <v>1</v>
      </c>
    </row>
    <row r="27" spans="2:24">
      <c r="B27" s="5" t="s">
        <v>488</v>
      </c>
      <c r="C27" s="423">
        <v>212547</v>
      </c>
      <c r="D27" s="416">
        <v>257997.58127793833</v>
      </c>
      <c r="E27" s="416">
        <v>270487.43481340969</v>
      </c>
      <c r="F27" s="416">
        <v>275079.16670437937</v>
      </c>
      <c r="G27" s="416">
        <v>280529.1296479181</v>
      </c>
      <c r="H27" s="233">
        <f t="shared" si="4"/>
        <v>2.830222758745693E-2</v>
      </c>
      <c r="I27" s="209"/>
      <c r="Q27" s="25"/>
      <c r="S27" s="26"/>
      <c r="T27" s="26"/>
      <c r="U27" s="26"/>
      <c r="V27" s="113" t="s">
        <v>159</v>
      </c>
      <c r="W27" s="242">
        <f t="shared" si="6"/>
        <v>1.1026320629629571</v>
      </c>
      <c r="X27" s="242">
        <v>1</v>
      </c>
    </row>
    <row r="28" spans="2:24" ht="12.6" thickBot="1">
      <c r="B28" s="5" t="s">
        <v>492</v>
      </c>
      <c r="C28" s="422">
        <v>159802.69999999995</v>
      </c>
      <c r="D28" s="416">
        <v>149550.6239897171</v>
      </c>
      <c r="E28" s="416">
        <v>140471.15020581684</v>
      </c>
      <c r="F28" s="416">
        <v>130973.12591344817</v>
      </c>
      <c r="G28" s="416">
        <v>121659.30407066568</v>
      </c>
      <c r="H28" s="233">
        <f t="shared" si="4"/>
        <v>-6.6489874867824317E-2</v>
      </c>
      <c r="I28" s="208"/>
      <c r="J28" s="249" t="s">
        <v>1073</v>
      </c>
      <c r="K28" s="249"/>
      <c r="L28" s="249"/>
      <c r="M28" s="249"/>
      <c r="N28" s="220"/>
      <c r="O28" s="220"/>
      <c r="P28" s="220"/>
      <c r="Q28" s="5"/>
      <c r="S28" s="26"/>
      <c r="T28" s="26"/>
      <c r="U28" s="26"/>
      <c r="V28" s="113" t="s">
        <v>381</v>
      </c>
      <c r="W28" s="242">
        <f t="shared" si="6"/>
        <v>1.0795031605938601</v>
      </c>
      <c r="X28" s="242">
        <v>1</v>
      </c>
    </row>
    <row r="29" spans="2:24" ht="12.6" thickTop="1">
      <c r="B29" s="5" t="s">
        <v>489</v>
      </c>
      <c r="C29" s="422">
        <v>20380</v>
      </c>
      <c r="D29" s="416">
        <v>17702.964714071997</v>
      </c>
      <c r="E29" s="416">
        <v>16626.92584668018</v>
      </c>
      <c r="F29" s="416">
        <v>17598.39591485605</v>
      </c>
      <c r="G29" s="416">
        <v>18488.746774500134</v>
      </c>
      <c r="H29" s="233">
        <f t="shared" si="4"/>
        <v>1.4582008788994072E-2</v>
      </c>
      <c r="I29" s="212"/>
      <c r="J29" s="209"/>
      <c r="K29" s="209"/>
      <c r="L29" s="209"/>
      <c r="M29" s="209"/>
      <c r="N29" s="209"/>
      <c r="O29" s="211"/>
      <c r="Q29" s="5"/>
      <c r="S29" s="26"/>
      <c r="T29" s="26"/>
      <c r="U29" s="26"/>
      <c r="V29" s="113" t="s">
        <v>434</v>
      </c>
      <c r="W29" s="242">
        <f t="shared" si="6"/>
        <v>2.0184349094104697</v>
      </c>
      <c r="X29" s="242">
        <v>1</v>
      </c>
    </row>
    <row r="30" spans="2:24">
      <c r="B30" s="5" t="s">
        <v>490</v>
      </c>
      <c r="C30" s="423">
        <v>23044</v>
      </c>
      <c r="D30" s="416">
        <v>21957.270637053392</v>
      </c>
      <c r="E30" s="416">
        <v>22428.952254169322</v>
      </c>
      <c r="F30" s="416">
        <v>23404.43394095423</v>
      </c>
      <c r="G30" s="416">
        <v>24883.597219951182</v>
      </c>
      <c r="H30" s="233">
        <f t="shared" si="4"/>
        <v>4.2585313057364349E-2</v>
      </c>
      <c r="I30" s="214"/>
      <c r="J30" s="208"/>
      <c r="K30" s="208"/>
      <c r="L30" s="208"/>
      <c r="M30" s="208"/>
      <c r="N30" s="208"/>
      <c r="O30" s="5"/>
      <c r="Q30" s="5"/>
      <c r="S30" s="26"/>
      <c r="T30" s="26"/>
      <c r="U30" s="26"/>
      <c r="V30" s="113" t="s">
        <v>493</v>
      </c>
      <c r="W30" s="242">
        <f t="shared" si="6"/>
        <v>2.5604888119450808</v>
      </c>
      <c r="X30" s="242">
        <v>1</v>
      </c>
    </row>
    <row r="31" spans="2:24">
      <c r="B31" s="5" t="s">
        <v>491</v>
      </c>
      <c r="C31" s="423">
        <v>21046.758538836002</v>
      </c>
      <c r="D31" s="416">
        <v>19437.220643689678</v>
      </c>
      <c r="E31" s="416">
        <v>19961.767506210697</v>
      </c>
      <c r="F31" s="416">
        <v>20829.946207449255</v>
      </c>
      <c r="G31" s="416">
        <v>22146.401525756566</v>
      </c>
      <c r="H31" s="233">
        <f t="shared" si="4"/>
        <v>4.4454843797280708E-2</v>
      </c>
      <c r="I31" s="214"/>
      <c r="J31" s="212"/>
      <c r="K31" s="212"/>
      <c r="L31" s="212"/>
      <c r="M31" s="212"/>
      <c r="N31" s="212"/>
      <c r="O31" s="5"/>
      <c r="Q31" s="5"/>
      <c r="S31" s="26"/>
      <c r="T31" s="26"/>
      <c r="U31" s="26"/>
      <c r="V31" s="113" t="s">
        <v>390</v>
      </c>
      <c r="W31" s="242">
        <f t="shared" si="6"/>
        <v>0.48296446074026939</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26"/>
      <c r="T32" s="26"/>
      <c r="U32" s="26"/>
      <c r="V32" s="113" t="s">
        <v>437</v>
      </c>
      <c r="W32" s="242">
        <f t="shared" si="6"/>
        <v>1.0164420861110792</v>
      </c>
      <c r="X32" s="242">
        <v>1</v>
      </c>
    </row>
    <row r="33" spans="2:24">
      <c r="B33" s="5" t="s">
        <v>3</v>
      </c>
      <c r="C33" s="423">
        <v>3841</v>
      </c>
      <c r="D33" s="416">
        <v>4315.902661963798</v>
      </c>
      <c r="E33" s="416">
        <v>5939.9007423395578</v>
      </c>
      <c r="F33" s="416">
        <v>6289.829051076631</v>
      </c>
      <c r="G33" s="416">
        <v>6422.609961182894</v>
      </c>
      <c r="H33" s="233">
        <f>IF(D33=0,"nm",IF(G33=0,"nm",(G33/D33)^(1/3)-1))</f>
        <v>0.14168589540787035</v>
      </c>
      <c r="I33" s="5"/>
      <c r="J33" s="214"/>
      <c r="K33" s="214"/>
      <c r="L33" s="214"/>
      <c r="M33" s="214"/>
      <c r="N33" s="214"/>
      <c r="O33" s="211"/>
      <c r="Q33" s="5"/>
      <c r="S33" s="26"/>
      <c r="T33" s="26"/>
      <c r="U33" s="26"/>
      <c r="V33" s="113" t="s">
        <v>481</v>
      </c>
      <c r="W33" s="242">
        <f t="shared" si="6"/>
        <v>1.3727349368992221</v>
      </c>
      <c r="X33" s="242">
        <v>1</v>
      </c>
    </row>
    <row r="34" spans="2:24">
      <c r="H34" s="231"/>
      <c r="I34" s="33"/>
      <c r="J34" s="214"/>
      <c r="K34" s="214"/>
      <c r="L34" s="214"/>
      <c r="M34" s="214"/>
      <c r="N34" s="214"/>
      <c r="O34" s="211"/>
      <c r="Q34" s="5"/>
      <c r="S34" s="26"/>
      <c r="T34" s="26"/>
      <c r="U34" s="26"/>
      <c r="V34" s="113" t="s">
        <v>482</v>
      </c>
      <c r="W34" s="242">
        <f>D47/L19</f>
        <v>2.0705457260089872</v>
      </c>
      <c r="X34" s="242">
        <v>1</v>
      </c>
    </row>
    <row r="35" spans="2:24" ht="12.6" thickBot="1">
      <c r="B35" s="249" t="s">
        <v>198</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3.6932805494572714</v>
      </c>
      <c r="E37" s="406">
        <f t="shared" ref="E37:G41" si="8">E$18/E23</f>
        <v>3.4877568140962092</v>
      </c>
      <c r="F37" s="406">
        <f t="shared" si="8"/>
        <v>3.244333729486796</v>
      </c>
      <c r="G37" s="406">
        <f t="shared" si="8"/>
        <v>3.0067704369359611</v>
      </c>
      <c r="H37" s="13">
        <f t="shared" ref="H37:H45" si="9">H23</f>
        <v>3.7936414783997563E-2</v>
      </c>
      <c r="I37" s="5"/>
      <c r="J37" s="217"/>
      <c r="K37" s="217"/>
      <c r="L37" s="217"/>
      <c r="M37" s="217"/>
      <c r="N37" s="217"/>
      <c r="O37" s="14"/>
      <c r="Q37" s="5"/>
      <c r="R37" s="5"/>
      <c r="S37" s="26"/>
      <c r="T37" s="26"/>
      <c r="U37" s="26"/>
      <c r="V37" s="26"/>
      <c r="W37" s="26"/>
      <c r="X37" s="26"/>
    </row>
    <row r="38" spans="2:24">
      <c r="B38" s="5" t="s">
        <v>158</v>
      </c>
      <c r="C38" s="207"/>
      <c r="D38" s="406">
        <f>D$18/D24</f>
        <v>7.3950889444188785</v>
      </c>
      <c r="E38" s="406">
        <f t="shared" si="8"/>
        <v>6.9494054592035504</v>
      </c>
      <c r="F38" s="406">
        <f t="shared" si="8"/>
        <v>6.4319650213044639</v>
      </c>
      <c r="G38" s="406">
        <f t="shared" si="8"/>
        <v>5.9294166088394906</v>
      </c>
      <c r="H38" s="13">
        <f t="shared" si="9"/>
        <v>4.3223156596814194E-2</v>
      </c>
      <c r="I38" s="217"/>
      <c r="J38" s="13"/>
      <c r="K38" s="13"/>
      <c r="L38" s="13"/>
      <c r="M38" s="13"/>
      <c r="N38" s="13"/>
      <c r="O38" s="5"/>
      <c r="Q38" s="5"/>
      <c r="R38" s="5"/>
      <c r="S38" s="26"/>
      <c r="T38" s="26"/>
      <c r="U38" s="26"/>
      <c r="V38" s="26"/>
      <c r="W38" s="26"/>
      <c r="X38" s="26"/>
    </row>
    <row r="39" spans="2:24">
      <c r="B39" s="5" t="s">
        <v>159</v>
      </c>
      <c r="C39" s="207"/>
      <c r="D39" s="406">
        <f>D$18/D25</f>
        <v>11.236598588539783</v>
      </c>
      <c r="E39" s="406">
        <f t="shared" si="8"/>
        <v>10.805371605269736</v>
      </c>
      <c r="F39" s="406">
        <f t="shared" si="8"/>
        <v>9.9596228766955708</v>
      </c>
      <c r="G39" s="406">
        <f t="shared" si="8"/>
        <v>9.171609012686849</v>
      </c>
      <c r="H39" s="13">
        <f t="shared" si="9"/>
        <v>3.7042411450392665E-2</v>
      </c>
      <c r="I39" s="13"/>
      <c r="J39" s="5"/>
      <c r="K39" s="5"/>
      <c r="L39" s="5"/>
      <c r="M39" s="5"/>
      <c r="N39" s="5"/>
      <c r="O39" s="5"/>
      <c r="Q39" s="5"/>
      <c r="R39" s="5"/>
      <c r="S39" s="26"/>
      <c r="T39" s="26"/>
      <c r="U39" s="26"/>
      <c r="V39" s="26"/>
      <c r="W39" s="26"/>
      <c r="X39" s="26"/>
    </row>
    <row r="40" spans="2:24">
      <c r="B40" s="5" t="s">
        <v>381</v>
      </c>
      <c r="C40" s="207"/>
      <c r="D40" s="406">
        <f>D$18/D26</f>
        <v>14.405895626333054</v>
      </c>
      <c r="E40" s="406">
        <f t="shared" si="8"/>
        <v>13.853040519576584</v>
      </c>
      <c r="F40" s="406">
        <f t="shared" si="8"/>
        <v>12.768747277814834</v>
      </c>
      <c r="G40" s="406">
        <f t="shared" si="8"/>
        <v>11.758473093188266</v>
      </c>
      <c r="H40" s="13">
        <f t="shared" si="9"/>
        <v>3.7042411450392665E-2</v>
      </c>
      <c r="I40" s="5"/>
      <c r="J40" s="217"/>
      <c r="K40" s="217"/>
      <c r="L40" s="217"/>
      <c r="M40" s="217"/>
      <c r="N40" s="217"/>
      <c r="O40" s="14"/>
      <c r="Q40" s="5"/>
      <c r="R40" s="5"/>
      <c r="S40" s="26"/>
      <c r="T40" s="26"/>
      <c r="U40" s="26"/>
      <c r="V40" s="26"/>
      <c r="W40" s="242"/>
      <c r="X40" s="242"/>
    </row>
    <row r="41" spans="2:24">
      <c r="B41" s="5" t="s">
        <v>434</v>
      </c>
      <c r="C41" s="207"/>
      <c r="D41" s="406">
        <f>D$18/D27</f>
        <v>2.1211667876550448</v>
      </c>
      <c r="E41" s="406">
        <f t="shared" si="8"/>
        <v>1.985948377825983</v>
      </c>
      <c r="F41" s="406">
        <f t="shared" si="8"/>
        <v>1.8833350016405939</v>
      </c>
      <c r="G41" s="406">
        <f t="shared" si="8"/>
        <v>1.7758762868587203</v>
      </c>
      <c r="H41" s="13">
        <f t="shared" si="9"/>
        <v>2.830222758745693E-2</v>
      </c>
      <c r="I41" s="207"/>
      <c r="J41" s="13"/>
      <c r="K41" s="13"/>
      <c r="L41" s="13"/>
      <c r="M41" s="13"/>
      <c r="N41" s="13"/>
      <c r="O41" s="5"/>
      <c r="Q41" s="5"/>
      <c r="R41" s="5"/>
      <c r="S41" s="26"/>
      <c r="T41" s="26"/>
      <c r="U41" s="26"/>
      <c r="V41" s="26"/>
      <c r="W41" s="242"/>
      <c r="X41" s="242"/>
    </row>
    <row r="42" spans="2:24">
      <c r="B42" s="5" t="s">
        <v>493</v>
      </c>
      <c r="C42" s="207"/>
      <c r="D42" s="406">
        <f>D18/D28</f>
        <v>3.6593354551280535</v>
      </c>
      <c r="E42" s="406">
        <f>E18/E28</f>
        <v>3.8240883028503756</v>
      </c>
      <c r="F42" s="406">
        <f>F18/F28</f>
        <v>3.9555154484046033</v>
      </c>
      <c r="G42" s="406">
        <f>G18/G28</f>
        <v>4.0949192741188387</v>
      </c>
      <c r="H42" s="13">
        <f t="shared" si="9"/>
        <v>-6.6489874867824317E-2</v>
      </c>
      <c r="I42" s="208"/>
      <c r="J42" s="5"/>
      <c r="K42" s="5"/>
      <c r="L42" s="5"/>
      <c r="M42" s="5"/>
      <c r="N42" s="5"/>
      <c r="O42" s="5"/>
      <c r="Q42" s="5"/>
      <c r="R42" s="5"/>
      <c r="S42" s="26"/>
      <c r="T42" s="26"/>
      <c r="U42" s="26"/>
      <c r="V42" s="26"/>
      <c r="W42" s="242"/>
      <c r="X42" s="242"/>
    </row>
    <row r="43" spans="2:24">
      <c r="B43" s="5" t="s">
        <v>390</v>
      </c>
      <c r="C43" s="207"/>
      <c r="D43" s="406">
        <f>L26/D29</f>
        <v>15.556519669721411</v>
      </c>
      <c r="E43" s="406">
        <f>M26/E29</f>
        <v>16.563285439913848</v>
      </c>
      <c r="F43" s="406">
        <f>N26/F29</f>
        <v>15.64895574115158</v>
      </c>
      <c r="G43" s="406">
        <f>O26/G29</f>
        <v>14.895358898347547</v>
      </c>
      <c r="H43" s="13">
        <f t="shared" si="9"/>
        <v>1.4582008788994072E-2</v>
      </c>
      <c r="I43" s="207"/>
      <c r="J43" s="207"/>
      <c r="K43" s="207"/>
      <c r="L43" s="207"/>
      <c r="M43" s="207"/>
      <c r="N43" s="207"/>
      <c r="O43" s="14"/>
      <c r="Q43" s="5"/>
      <c r="R43" s="5"/>
      <c r="S43" s="26"/>
      <c r="T43" s="26"/>
      <c r="U43" s="26"/>
      <c r="V43" s="26"/>
      <c r="W43" s="242"/>
      <c r="X43" s="242"/>
    </row>
    <row r="44" spans="2:24">
      <c r="B44" s="5" t="s">
        <v>437</v>
      </c>
      <c r="C44" s="53"/>
      <c r="D44" s="406">
        <f>D11/D30</f>
        <v>12.542383948308549</v>
      </c>
      <c r="E44" s="406">
        <f>E11/E30</f>
        <v>12.278617193794755</v>
      </c>
      <c r="F44" s="406">
        <f>F11/F30</f>
        <v>11.766852361463984</v>
      </c>
      <c r="G44" s="406">
        <f>G11/G30</f>
        <v>11.067391758215631</v>
      </c>
      <c r="H44" s="13">
        <f t="shared" si="9"/>
        <v>4.2585313057364349E-2</v>
      </c>
      <c r="I44" s="207"/>
      <c r="J44" s="208"/>
      <c r="K44" s="208"/>
      <c r="L44" s="208"/>
      <c r="M44" s="208"/>
      <c r="N44" s="208"/>
      <c r="O44" s="208"/>
      <c r="Q44" s="5"/>
      <c r="R44" s="5"/>
      <c r="S44" s="26"/>
      <c r="T44" s="26"/>
      <c r="U44" s="26"/>
      <c r="V44" s="26"/>
      <c r="W44" s="255"/>
      <c r="X44" s="255"/>
    </row>
    <row r="45" spans="2:24">
      <c r="B45" s="5" t="s">
        <v>481</v>
      </c>
      <c r="C45" s="207"/>
      <c r="D45" s="208">
        <f>D31/D11</f>
        <v>7.0579035382556693E-2</v>
      </c>
      <c r="E45" s="208">
        <f>E31/E11</f>
        <v>7.2483732162427802E-2</v>
      </c>
      <c r="F45" s="208">
        <f>F31/F11</f>
        <v>7.5636200120494199E-2</v>
      </c>
      <c r="G45" s="208">
        <f>G31/G11</f>
        <v>8.0416417837502585E-2</v>
      </c>
      <c r="H45" s="13">
        <f t="shared" si="9"/>
        <v>4.4454843797280708E-2</v>
      </c>
      <c r="I45" s="208"/>
      <c r="J45" s="207"/>
      <c r="K45" s="207"/>
      <c r="L45" s="207"/>
      <c r="M45" s="207"/>
      <c r="N45" s="207"/>
      <c r="O45" s="208"/>
      <c r="Q45" s="5"/>
      <c r="R45" s="5"/>
      <c r="S45" s="26"/>
      <c r="T45" s="26"/>
      <c r="U45" s="26"/>
      <c r="V45" s="26"/>
      <c r="W45" s="26"/>
      <c r="X45" s="26"/>
    </row>
    <row r="46" spans="2:24">
      <c r="B46" s="5" t="s">
        <v>505</v>
      </c>
      <c r="C46" s="207"/>
      <c r="D46" s="208">
        <f>(D31+D32)/D11</f>
        <v>7.0579035382556693E-2</v>
      </c>
      <c r="E46" s="208">
        <f>(E31+E32)/E11</f>
        <v>7.2483732162427802E-2</v>
      </c>
      <c r="F46" s="208">
        <f>(F31+F32)/F11</f>
        <v>7.5636200120494199E-2</v>
      </c>
      <c r="G46" s="208">
        <f>(G31+G32)/G11</f>
        <v>8.0416417837502585E-2</v>
      </c>
      <c r="H46" s="233">
        <f>((G31+G32)/(D31+D32))^(1/3)-1</f>
        <v>4.4454843797280708E-2</v>
      </c>
      <c r="I46" s="207"/>
      <c r="J46" s="207"/>
      <c r="K46" s="207"/>
      <c r="L46" s="207"/>
      <c r="M46" s="207"/>
      <c r="N46" s="207"/>
      <c r="O46" s="14"/>
      <c r="Q46" s="5"/>
      <c r="R46" s="5"/>
      <c r="S46" s="26"/>
      <c r="T46" s="26"/>
      <c r="U46" s="26"/>
      <c r="V46" s="26"/>
      <c r="W46" s="26"/>
      <c r="X46" s="26"/>
    </row>
    <row r="47" spans="2:24">
      <c r="B47" s="5" t="s">
        <v>482</v>
      </c>
      <c r="C47" s="5"/>
      <c r="D47" s="208">
        <f>1/D43</f>
        <v>6.428173018328516E-2</v>
      </c>
      <c r="E47" s="208">
        <f>1/E43</f>
        <v>6.0374495363717008E-2</v>
      </c>
      <c r="F47" s="208">
        <f>1/F43</f>
        <v>6.3902027492501026E-2</v>
      </c>
      <c r="G47" s="208">
        <f>1/G43</f>
        <v>6.7135005394931266E-2</v>
      </c>
      <c r="H47" s="13">
        <f>H29</f>
        <v>1.4582008788994072E-2</v>
      </c>
      <c r="I47" s="13"/>
      <c r="J47" s="208"/>
      <c r="K47" s="208"/>
      <c r="L47" s="208"/>
      <c r="M47" s="208"/>
      <c r="N47" s="208"/>
      <c r="O47" s="208"/>
      <c r="Q47" s="5"/>
      <c r="R47" s="5"/>
      <c r="S47" s="26"/>
      <c r="T47" s="26"/>
      <c r="U47" s="26"/>
      <c r="V47" s="26"/>
      <c r="W47" s="26"/>
      <c r="X47" s="26"/>
    </row>
    <row r="48" spans="2:24">
      <c r="B48" s="5" t="s">
        <v>518</v>
      </c>
      <c r="C48" s="5"/>
      <c r="D48" s="248">
        <f>D31/D29</f>
        <v>1.0979641521987065</v>
      </c>
      <c r="E48" s="248">
        <f>E31/E29</f>
        <v>1.2005687455565557</v>
      </c>
      <c r="F48" s="248">
        <f>F31/F29</f>
        <v>1.1836275481144976</v>
      </c>
      <c r="G48" s="248">
        <f>G31/G29</f>
        <v>1.1978314050090786</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PTTSOP!A1" display="Jump to PTT SOP" xr:uid="{00000000-0004-0000-4A00-000001000000}"/>
  </hyperlinks>
  <pageMargins left="0.75" right="0.75" top="1" bottom="1" header="0.5" footer="0.5"/>
  <pageSetup scale="71"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46">
    <pageSetUpPr fitToPage="1"/>
  </sheetPr>
  <dimension ref="B1:AR52"/>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856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795</v>
      </c>
      <c r="C9" s="239">
        <f>Prices!C65</f>
        <v>775.3</v>
      </c>
      <c r="D9" s="410">
        <v>0</v>
      </c>
      <c r="E9" s="410">
        <v>0</v>
      </c>
      <c r="F9" s="410">
        <v>0</v>
      </c>
      <c r="G9" s="410">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2154.4795039999999</v>
      </c>
      <c r="E10" s="408">
        <v>2154.4795039999999</v>
      </c>
      <c r="F10" s="408">
        <v>2154.4795039999999</v>
      </c>
      <c r="G10" s="408">
        <v>2154.4795039999999</v>
      </c>
      <c r="H10" s="209"/>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1670.3679594511998</v>
      </c>
      <c r="E11" s="409">
        <f t="shared" ref="E11:G11" si="2">($C$9*E10)/1000</f>
        <v>1670.3679594511998</v>
      </c>
      <c r="F11" s="409">
        <f t="shared" si="2"/>
        <v>1670.3679594511998</v>
      </c>
      <c r="G11" s="409">
        <f t="shared" si="2"/>
        <v>1670.3679594511998</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89</v>
      </c>
      <c r="E12" s="410">
        <v>89</v>
      </c>
      <c r="F12" s="410">
        <v>89</v>
      </c>
      <c r="G12" s="410">
        <v>89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620.85220774159995</v>
      </c>
      <c r="E13" s="410">
        <v>620.85220774159995</v>
      </c>
      <c r="F13" s="410">
        <v>620.85220774159995</v>
      </c>
      <c r="G13" s="410">
        <v>620.85220774159995</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v>0</v>
      </c>
      <c r="F14" s="410">
        <v>0</v>
      </c>
      <c r="G14" s="410">
        <v>0</v>
      </c>
      <c r="H14" s="209"/>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v>0</v>
      </c>
      <c r="F15" s="410">
        <v>0</v>
      </c>
      <c r="G15" s="410">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4.3549769470928323</v>
      </c>
      <c r="F16" s="410">
        <v>7.9956798968812608</v>
      </c>
      <c r="G16" s="410">
        <v>13.445683362030032</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857</v>
      </c>
      <c r="C18" s="209"/>
      <c r="D18" s="411">
        <f>D11+D12+D13-RAK!D14+D15-D16-D17</f>
        <v>2380.2201671927996</v>
      </c>
      <c r="E18" s="411">
        <f>E11+E12+E13-E14+E15-E16-E17</f>
        <v>2375.8651902457068</v>
      </c>
      <c r="F18" s="411">
        <f>F11+F12+F13-F14+F15-F16-F17</f>
        <v>2372.2244872959182</v>
      </c>
      <c r="G18" s="411">
        <f>G11+G12+G13-G14+G15-G16-G17</f>
        <v>2366.7744838307694</v>
      </c>
      <c r="H18" s="230">
        <f>IF(D18=0,"nm",IF(G18=0,"nm",(G18/D18)^(1/3)-1))</f>
        <v>-1.8865315045520914E-3</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796</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2279.2330000000002</v>
      </c>
      <c r="D23" s="416">
        <v>2492.5958362063161</v>
      </c>
      <c r="E23" s="416">
        <v>2770.9255974628172</v>
      </c>
      <c r="F23" s="416">
        <v>3066.0502999062178</v>
      </c>
      <c r="G23" s="416">
        <v>3383.1400683946254</v>
      </c>
      <c r="H23" s="233">
        <f t="shared" ref="H23:H32" si="4">IF(D23=0,"nm",IF(G23=0,"nm",(G23/D23)^(1/3)-1))</f>
        <v>0.10719140187087883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326.03999999999996</v>
      </c>
      <c r="D24" s="416">
        <v>415.27056842469813</v>
      </c>
      <c r="E24" s="416">
        <v>582.3730779469638</v>
      </c>
      <c r="F24" s="416">
        <v>717.00591564820365</v>
      </c>
      <c r="G24" s="416">
        <v>836.93063636220404</v>
      </c>
      <c r="H24" s="233">
        <f t="shared" si="4"/>
        <v>0.26314373139908542</v>
      </c>
      <c r="I24" s="209"/>
      <c r="J24" s="13"/>
      <c r="K24" s="13"/>
      <c r="L24" s="13"/>
      <c r="M24" s="13"/>
      <c r="N24" s="13"/>
      <c r="O24" s="208"/>
      <c r="S24" s="72"/>
      <c r="T24" s="26"/>
      <c r="U24" s="26"/>
      <c r="V24" s="26"/>
      <c r="W24" s="26" t="s">
        <v>855</v>
      </c>
      <c r="X24" s="26" t="s">
        <v>209</v>
      </c>
    </row>
    <row r="25" spans="2:24">
      <c r="B25" s="5" t="s">
        <v>157</v>
      </c>
      <c r="C25" s="422">
        <v>69.069999999999936</v>
      </c>
      <c r="D25" s="416">
        <v>129.3002097646937</v>
      </c>
      <c r="E25" s="416">
        <v>233.9780113786174</v>
      </c>
      <c r="F25" s="416">
        <v>379.45600414503974</v>
      </c>
      <c r="G25" s="416">
        <v>479.19295224653149</v>
      </c>
      <c r="H25" s="233">
        <f t="shared" si="4"/>
        <v>0.54752282813769182</v>
      </c>
      <c r="I25" s="208"/>
      <c r="J25" s="207" t="s">
        <v>8</v>
      </c>
      <c r="K25" s="207"/>
      <c r="L25" s="252">
        <v>0</v>
      </c>
      <c r="M25" s="252">
        <v>0</v>
      </c>
      <c r="N25" s="252">
        <v>0</v>
      </c>
      <c r="O25" s="252">
        <v>0</v>
      </c>
      <c r="P25" s="233" t="str">
        <f>IF(L25=0,"nm",IF(O25=0,"nm",(O25/L25)^(1/3)-1))</f>
        <v>nm</v>
      </c>
      <c r="S25" s="72"/>
      <c r="T25" s="26"/>
      <c r="U25" s="26"/>
      <c r="V25" s="113" t="s">
        <v>225</v>
      </c>
      <c r="W25" s="242">
        <f>D37/L9</f>
        <v>0.46035695182027986</v>
      </c>
      <c r="X25" s="242">
        <v>1</v>
      </c>
    </row>
    <row r="26" spans="2:24">
      <c r="B26" s="5" t="s">
        <v>487</v>
      </c>
      <c r="C26" s="422">
        <v>47.658299999999954</v>
      </c>
      <c r="D26" s="416">
        <v>89.217144737638648</v>
      </c>
      <c r="E26" s="416">
        <v>161.444827851246</v>
      </c>
      <c r="F26" s="416">
        <v>261.8246428600774</v>
      </c>
      <c r="G26" s="416">
        <v>330.6431370501067</v>
      </c>
      <c r="H26" s="233">
        <f t="shared" si="4"/>
        <v>0.54752282813769182</v>
      </c>
      <c r="I26" s="209"/>
      <c r="J26" s="209" t="s">
        <v>9</v>
      </c>
      <c r="K26" s="209"/>
      <c r="L26" s="235">
        <f>D11+L25</f>
        <v>1670.3679594511998</v>
      </c>
      <c r="M26" s="235">
        <f>E11+M25</f>
        <v>1670.3679594511998</v>
      </c>
      <c r="N26" s="235">
        <f>F11+N25</f>
        <v>1670.3679594511998</v>
      </c>
      <c r="O26" s="235">
        <f>G11+O25</f>
        <v>1670.3679594511998</v>
      </c>
      <c r="P26" s="233">
        <f>IF(L26=0,"nm",IF(O26=0,"nm",(O26/L26)^(1/3)-1))</f>
        <v>0</v>
      </c>
      <c r="Q26" s="5"/>
      <c r="S26" s="72"/>
      <c r="T26" s="26"/>
      <c r="U26" s="26"/>
      <c r="V26" s="113" t="s">
        <v>158</v>
      </c>
      <c r="W26" s="242">
        <f t="shared" ref="W26:W33" si="6">D38/L10</f>
        <v>0.92274017022865573</v>
      </c>
      <c r="X26" s="242">
        <v>1</v>
      </c>
    </row>
    <row r="27" spans="2:24">
      <c r="B27" s="5" t="s">
        <v>488</v>
      </c>
      <c r="C27" s="423">
        <v>2067.4119999999998</v>
      </c>
      <c r="D27" s="416">
        <v>1954.1858192558354</v>
      </c>
      <c r="E27" s="416">
        <v>2044.1047570676728</v>
      </c>
      <c r="F27" s="416">
        <v>2096.7288018011286</v>
      </c>
      <c r="G27" s="416">
        <v>2112.0903731531057</v>
      </c>
      <c r="H27" s="233">
        <f t="shared" si="4"/>
        <v>2.6239862047530815E-2</v>
      </c>
      <c r="I27" s="209"/>
      <c r="J27" s="208"/>
      <c r="K27" s="208"/>
      <c r="L27" s="208"/>
      <c r="M27" s="208"/>
      <c r="N27" s="208"/>
      <c r="O27" s="208"/>
      <c r="Q27" s="25"/>
      <c r="S27" s="72"/>
      <c r="T27" s="26"/>
      <c r="U27" s="26"/>
      <c r="V27" s="113" t="s">
        <v>159</v>
      </c>
      <c r="W27" s="242">
        <f t="shared" si="6"/>
        <v>1.7796306547137253</v>
      </c>
      <c r="X27" s="242">
        <v>1</v>
      </c>
    </row>
    <row r="28" spans="2:24" ht="12.6" thickBot="1">
      <c r="B28" s="5" t="s">
        <v>492</v>
      </c>
      <c r="C28" s="422">
        <v>1184.182</v>
      </c>
      <c r="D28" s="416">
        <v>1224.5945710361264</v>
      </c>
      <c r="E28" s="416">
        <v>1269.6417622451227</v>
      </c>
      <c r="F28" s="416">
        <v>1319.7840046199988</v>
      </c>
      <c r="G28" s="416">
        <v>1375.5258062803769</v>
      </c>
      <c r="H28" s="233">
        <f t="shared" si="4"/>
        <v>3.9502339169816159E-2</v>
      </c>
      <c r="I28" s="208"/>
      <c r="J28" s="249" t="s">
        <v>1073</v>
      </c>
      <c r="K28" s="249"/>
      <c r="L28" s="249"/>
      <c r="M28" s="249"/>
      <c r="N28" s="220"/>
      <c r="O28" s="220"/>
      <c r="P28" s="220"/>
      <c r="Q28" s="5"/>
      <c r="S28" s="72"/>
      <c r="T28" s="26"/>
      <c r="U28" s="26"/>
      <c r="V28" s="113" t="s">
        <v>381</v>
      </c>
      <c r="W28" s="242">
        <f t="shared" si="6"/>
        <v>1.9689222312004779</v>
      </c>
      <c r="X28" s="242">
        <v>1</v>
      </c>
    </row>
    <row r="29" spans="2:24" ht="12.6" thickTop="1">
      <c r="B29" s="5" t="s">
        <v>489</v>
      </c>
      <c r="C29" s="422">
        <v>-88.153999999999968</v>
      </c>
      <c r="D29" s="416">
        <v>-6.9967574614362888</v>
      </c>
      <c r="E29" s="416">
        <v>67.849953156580057</v>
      </c>
      <c r="F29" s="416">
        <v>185.83233578242209</v>
      </c>
      <c r="G29" s="416">
        <v>251.04935623272365</v>
      </c>
      <c r="H29" s="233">
        <f t="shared" si="4"/>
        <v>-4.2982793126587557</v>
      </c>
      <c r="I29" s="212"/>
      <c r="J29" s="209"/>
      <c r="K29" s="209"/>
      <c r="L29" s="209"/>
      <c r="M29" s="209"/>
      <c r="N29" s="209"/>
      <c r="O29" s="211"/>
      <c r="Q29" s="5"/>
      <c r="S29" s="72"/>
      <c r="T29" s="26"/>
      <c r="U29" s="26"/>
      <c r="V29" s="113" t="s">
        <v>434</v>
      </c>
      <c r="W29" s="242">
        <f t="shared" si="6"/>
        <v>0.70509035906504058</v>
      </c>
      <c r="X29" s="242">
        <v>1</v>
      </c>
    </row>
    <row r="30" spans="2:24">
      <c r="B30" s="5" t="s">
        <v>490</v>
      </c>
      <c r="C30" s="423">
        <v>-162.44199999999998</v>
      </c>
      <c r="D30" s="416">
        <v>-51.1172183933176</v>
      </c>
      <c r="E30" s="416">
        <v>42.224096836153038</v>
      </c>
      <c r="F30" s="416">
        <v>103.82921769985452</v>
      </c>
      <c r="G30" s="416">
        <v>155.84526097508848</v>
      </c>
      <c r="H30" s="233">
        <f t="shared" si="4"/>
        <v>-2.4500249080906888</v>
      </c>
      <c r="I30" s="214"/>
      <c r="J30" s="208"/>
      <c r="K30" s="208"/>
      <c r="L30" s="208"/>
      <c r="M30" s="208"/>
      <c r="N30" s="208"/>
      <c r="O30" s="5"/>
      <c r="Q30" s="5"/>
      <c r="S30" s="72"/>
      <c r="T30" s="26"/>
      <c r="U30" s="26"/>
      <c r="V30" s="113" t="s">
        <v>493</v>
      </c>
      <c r="W30" s="242">
        <f t="shared" si="6"/>
        <v>0.59599456338489087</v>
      </c>
      <c r="X30" s="242">
        <v>1</v>
      </c>
    </row>
    <row r="31" spans="2:24">
      <c r="B31" s="5" t="s">
        <v>491</v>
      </c>
      <c r="C31" s="423">
        <v>0</v>
      </c>
      <c r="D31" s="416">
        <v>0</v>
      </c>
      <c r="E31" s="416">
        <v>0</v>
      </c>
      <c r="F31" s="416">
        <v>0</v>
      </c>
      <c r="G31" s="416">
        <v>0</v>
      </c>
      <c r="H31" s="233" t="str">
        <f t="shared" si="4"/>
        <v>nm</v>
      </c>
      <c r="I31" s="214"/>
      <c r="J31" s="212"/>
      <c r="K31" s="212"/>
      <c r="L31" s="212"/>
      <c r="M31" s="212"/>
      <c r="N31" s="212"/>
      <c r="O31" s="5"/>
      <c r="Q31" s="5"/>
      <c r="S31" s="72"/>
      <c r="T31" s="26"/>
      <c r="U31" s="26"/>
      <c r="V31" s="113" t="s">
        <v>390</v>
      </c>
      <c r="W31" s="242">
        <f t="shared" si="6"/>
        <v>-14.838050331653866</v>
      </c>
      <c r="X31" s="242">
        <v>1</v>
      </c>
    </row>
    <row r="32" spans="2:24">
      <c r="B32" s="5" t="s">
        <v>506</v>
      </c>
      <c r="C32" s="424">
        <v>99.960999999999999</v>
      </c>
      <c r="D32" s="416">
        <v>0</v>
      </c>
      <c r="E32" s="416">
        <v>0</v>
      </c>
      <c r="F32" s="416">
        <v>0</v>
      </c>
      <c r="G32" s="416">
        <v>552.97299999999996</v>
      </c>
      <c r="H32" s="233" t="str">
        <f t="shared" si="4"/>
        <v>nm</v>
      </c>
      <c r="I32" s="214"/>
      <c r="J32" s="214"/>
      <c r="K32" s="214"/>
      <c r="L32" s="214"/>
      <c r="M32" s="214"/>
      <c r="N32" s="214"/>
      <c r="O32" s="211"/>
      <c r="Q32" s="5"/>
      <c r="S32" s="72"/>
      <c r="T32" s="26"/>
      <c r="U32" s="26"/>
      <c r="V32" s="113" t="s">
        <v>437</v>
      </c>
      <c r="W32" s="242">
        <f t="shared" si="6"/>
        <v>-1.8937367049685654</v>
      </c>
      <c r="X32" s="242">
        <v>1</v>
      </c>
    </row>
    <row r="33" spans="2:24">
      <c r="B33" s="5" t="s">
        <v>3</v>
      </c>
      <c r="C33" s="423">
        <v>27.665999999999997</v>
      </c>
      <c r="D33" s="416">
        <v>51.476099009921498</v>
      </c>
      <c r="E33" s="416">
        <v>60.149370244526878</v>
      </c>
      <c r="F33" s="416">
        <v>61.814964481101626</v>
      </c>
      <c r="G33" s="416">
        <v>49.975864019302932</v>
      </c>
      <c r="H33" s="233">
        <f>IF(D33=0,"nm",IF(G33=0,"nm",(G33/D33)^(1/3)-1))</f>
        <v>-9.8107025573592743E-3</v>
      </c>
      <c r="I33" s="5"/>
      <c r="J33" s="214"/>
      <c r="K33" s="214"/>
      <c r="L33" s="214"/>
      <c r="M33" s="214"/>
      <c r="N33" s="214"/>
      <c r="O33" s="211"/>
      <c r="Q33" s="5"/>
      <c r="S33" s="72"/>
      <c r="T33" s="26"/>
      <c r="U33" s="26"/>
      <c r="V33" s="113" t="s">
        <v>481</v>
      </c>
      <c r="W33" s="242">
        <f t="shared" si="6"/>
        <v>0</v>
      </c>
      <c r="X33" s="242">
        <v>1</v>
      </c>
    </row>
    <row r="34" spans="2:24">
      <c r="B34" s="5"/>
      <c r="H34" s="231"/>
      <c r="I34" s="33"/>
      <c r="J34" s="214"/>
      <c r="K34" s="214"/>
      <c r="L34" s="214"/>
      <c r="M34" s="214"/>
      <c r="N34" s="214"/>
      <c r="O34" s="211"/>
      <c r="Q34" s="5"/>
      <c r="S34" s="72"/>
      <c r="T34" s="26"/>
      <c r="U34" s="26"/>
      <c r="V34" s="113" t="s">
        <v>482</v>
      </c>
      <c r="W34" s="242">
        <f>D47/L19</f>
        <v>-6.739429895764068E-2</v>
      </c>
      <c r="X34" s="242">
        <v>1</v>
      </c>
    </row>
    <row r="35" spans="2:24" ht="12.6" thickBot="1">
      <c r="B35" s="249" t="s">
        <v>858</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0.95491620928623944</v>
      </c>
      <c r="E37" s="406">
        <f t="shared" ref="E37:G41" si="8">E$18/E23</f>
        <v>0.85742655537960122</v>
      </c>
      <c r="F37" s="406">
        <f t="shared" si="8"/>
        <v>0.77370696996343413</v>
      </c>
      <c r="G37" s="406">
        <f t="shared" si="8"/>
        <v>0.69957921811787593</v>
      </c>
      <c r="H37" s="13">
        <f t="shared" ref="H37:H45" si="9">H23</f>
        <v>0.10719140187087883</v>
      </c>
      <c r="I37" s="5"/>
      <c r="J37" s="217"/>
      <c r="K37" s="217"/>
      <c r="L37" s="217"/>
      <c r="M37" s="217"/>
      <c r="N37" s="217"/>
      <c r="O37" s="14"/>
      <c r="Q37" s="5"/>
      <c r="R37" s="5"/>
      <c r="S37" s="26"/>
      <c r="T37" s="26"/>
      <c r="U37" s="26"/>
      <c r="V37" s="26"/>
      <c r="W37" s="26"/>
      <c r="X37" s="26"/>
    </row>
    <row r="38" spans="2:24">
      <c r="B38" s="5" t="s">
        <v>158</v>
      </c>
      <c r="C38" s="207"/>
      <c r="D38" s="406">
        <f>D$18/D24</f>
        <v>5.7317333521178977</v>
      </c>
      <c r="E38" s="406">
        <f t="shared" si="8"/>
        <v>4.079627441950664</v>
      </c>
      <c r="F38" s="406">
        <f t="shared" si="8"/>
        <v>3.308514526203493</v>
      </c>
      <c r="G38" s="406">
        <f t="shared" si="8"/>
        <v>2.827921910133643</v>
      </c>
      <c r="H38" s="13">
        <f t="shared" si="9"/>
        <v>0.26314373139908542</v>
      </c>
      <c r="I38" s="217"/>
      <c r="J38" s="13"/>
      <c r="K38" s="13"/>
      <c r="L38" s="13"/>
      <c r="M38" s="13"/>
      <c r="N38" s="13"/>
      <c r="O38" s="5"/>
      <c r="Q38" s="5"/>
      <c r="R38" s="5"/>
      <c r="S38" s="26"/>
      <c r="T38" s="26"/>
      <c r="U38" s="26"/>
      <c r="V38" s="26"/>
      <c r="W38" s="26"/>
      <c r="X38" s="26"/>
    </row>
    <row r="39" spans="2:24">
      <c r="B39" s="5" t="s">
        <v>159</v>
      </c>
      <c r="C39" s="207"/>
      <c r="D39" s="406">
        <f>D$18/D25</f>
        <v>18.408478776054814</v>
      </c>
      <c r="E39" s="406">
        <f t="shared" si="8"/>
        <v>10.154224220673202</v>
      </c>
      <c r="F39" s="406">
        <f t="shared" si="8"/>
        <v>6.2516456753420639</v>
      </c>
      <c r="G39" s="406">
        <f t="shared" si="8"/>
        <v>4.9390845018378515</v>
      </c>
      <c r="H39" s="13">
        <f t="shared" si="9"/>
        <v>0.54752282813769182</v>
      </c>
      <c r="I39" s="13"/>
      <c r="J39" s="5"/>
      <c r="K39" s="5"/>
      <c r="L39" s="5"/>
      <c r="M39" s="5"/>
      <c r="N39" s="5"/>
      <c r="O39" s="5"/>
      <c r="Q39" s="5"/>
      <c r="R39" s="5"/>
      <c r="S39" s="26"/>
      <c r="T39" s="26"/>
      <c r="U39" s="26"/>
      <c r="V39" s="26"/>
      <c r="W39" s="26"/>
      <c r="X39" s="26"/>
    </row>
    <row r="40" spans="2:24">
      <c r="B40" s="5" t="s">
        <v>381</v>
      </c>
      <c r="C40" s="207"/>
      <c r="D40" s="406">
        <f>D$18/D26</f>
        <v>26.678954747905532</v>
      </c>
      <c r="E40" s="406">
        <f t="shared" si="8"/>
        <v>14.716266986482902</v>
      </c>
      <c r="F40" s="406">
        <f t="shared" si="8"/>
        <v>9.0603560512203831</v>
      </c>
      <c r="G40" s="406">
        <f t="shared" si="8"/>
        <v>7.158093480924423</v>
      </c>
      <c r="H40" s="13">
        <f t="shared" si="9"/>
        <v>0.54752282813769182</v>
      </c>
      <c r="I40" s="5"/>
      <c r="J40" s="217"/>
      <c r="K40" s="217"/>
      <c r="L40" s="217"/>
      <c r="M40" s="217"/>
      <c r="N40" s="217"/>
      <c r="O40" s="14"/>
      <c r="Q40" s="5"/>
      <c r="R40" s="5"/>
      <c r="S40" s="26"/>
      <c r="T40" s="26"/>
      <c r="U40" s="26"/>
      <c r="V40" s="26"/>
      <c r="W40" s="242"/>
      <c r="X40" s="242"/>
    </row>
    <row r="41" spans="2:24">
      <c r="B41" s="5" t="s">
        <v>434</v>
      </c>
      <c r="C41" s="207"/>
      <c r="D41" s="406">
        <f>D$18/D27</f>
        <v>1.218011175671718</v>
      </c>
      <c r="E41" s="406">
        <f t="shared" si="8"/>
        <v>1.1623010914831753</v>
      </c>
      <c r="F41" s="406">
        <f t="shared" si="8"/>
        <v>1.1313930944517638</v>
      </c>
      <c r="G41" s="406">
        <f t="shared" si="8"/>
        <v>1.1205839077318693</v>
      </c>
      <c r="H41" s="13">
        <f t="shared" si="9"/>
        <v>2.6239862047530815E-2</v>
      </c>
      <c r="I41" s="207"/>
      <c r="J41" s="13"/>
      <c r="K41" s="13"/>
      <c r="L41" s="13"/>
      <c r="M41" s="13"/>
      <c r="N41" s="13"/>
      <c r="O41" s="5"/>
      <c r="Q41" s="5"/>
      <c r="R41" s="5"/>
      <c r="S41" s="26"/>
      <c r="T41" s="26"/>
      <c r="U41" s="26"/>
      <c r="V41" s="26"/>
      <c r="W41" s="242"/>
      <c r="X41" s="242"/>
    </row>
    <row r="42" spans="2:24">
      <c r="B42" s="5" t="s">
        <v>493</v>
      </c>
      <c r="C42" s="207"/>
      <c r="D42" s="406">
        <f>D18/D28</f>
        <v>1.9436801562650252</v>
      </c>
      <c r="E42" s="406">
        <f>E18/E28</f>
        <v>1.8712878395276129</v>
      </c>
      <c r="F42" s="406">
        <f>F18/F28</f>
        <v>1.7974338823563369</v>
      </c>
      <c r="G42" s="406">
        <f>G18/G28</f>
        <v>1.7206325559466413</v>
      </c>
      <c r="H42" s="13">
        <f t="shared" si="9"/>
        <v>3.9502339169816159E-2</v>
      </c>
      <c r="I42" s="208"/>
      <c r="J42" s="5"/>
      <c r="K42" s="5"/>
      <c r="L42" s="5"/>
      <c r="M42" s="5"/>
      <c r="N42" s="5"/>
      <c r="O42" s="5"/>
      <c r="Q42" s="5"/>
      <c r="R42" s="5"/>
      <c r="S42" s="26"/>
      <c r="T42" s="26"/>
      <c r="U42" s="26"/>
      <c r="V42" s="26"/>
      <c r="W42" s="242"/>
      <c r="X42" s="242"/>
    </row>
    <row r="43" spans="2:24">
      <c r="B43" s="5" t="s">
        <v>390</v>
      </c>
      <c r="C43" s="207"/>
      <c r="D43" s="406">
        <f>L26/D29</f>
        <v>-238.73458079084364</v>
      </c>
      <c r="E43" s="406">
        <f>M26/E29</f>
        <v>24.618557297989945</v>
      </c>
      <c r="F43" s="406">
        <f>N26/F29</f>
        <v>8.9885753866157891</v>
      </c>
      <c r="G43" s="406">
        <f>O26/G29</f>
        <v>6.6535440859795028</v>
      </c>
      <c r="H43" s="13">
        <f t="shared" si="9"/>
        <v>-4.2982793126587557</v>
      </c>
      <c r="I43" s="207"/>
      <c r="J43" s="207"/>
      <c r="K43" s="207"/>
      <c r="L43" s="207"/>
      <c r="M43" s="207"/>
      <c r="N43" s="207"/>
      <c r="O43" s="14"/>
      <c r="Q43" s="5"/>
      <c r="R43" s="5"/>
      <c r="S43" s="26"/>
      <c r="T43" s="26"/>
      <c r="U43" s="26"/>
      <c r="V43" s="26"/>
      <c r="W43" s="242"/>
      <c r="X43" s="242"/>
    </row>
    <row r="44" spans="2:24">
      <c r="B44" s="5" t="s">
        <v>437</v>
      </c>
      <c r="C44" s="53"/>
      <c r="D44" s="406">
        <f>D11/D30</f>
        <v>-32.677207640656007</v>
      </c>
      <c r="E44" s="406">
        <f>E11/E30</f>
        <v>39.559590011668419</v>
      </c>
      <c r="F44" s="406">
        <f>F11/F30</f>
        <v>16.08764851026649</v>
      </c>
      <c r="G44" s="406">
        <f>G11/G30</f>
        <v>10.718118401548343</v>
      </c>
      <c r="H44" s="13">
        <f t="shared" si="9"/>
        <v>-2.4500249080906888</v>
      </c>
      <c r="I44" s="207"/>
      <c r="J44" s="208"/>
      <c r="K44" s="208"/>
      <c r="L44" s="208"/>
      <c r="M44" s="208"/>
      <c r="N44" s="208"/>
      <c r="O44" s="208"/>
      <c r="Q44" s="5"/>
      <c r="R44" s="5"/>
      <c r="S44" s="26"/>
      <c r="T44" s="26"/>
      <c r="U44" s="26"/>
      <c r="V44" s="26"/>
      <c r="W44" s="255"/>
      <c r="X44" s="255"/>
    </row>
    <row r="45" spans="2:24">
      <c r="B45" s="5" t="s">
        <v>481</v>
      </c>
      <c r="C45" s="207"/>
      <c r="D45" s="208">
        <f>D31/1/D11</f>
        <v>0</v>
      </c>
      <c r="E45" s="208">
        <f t="shared" ref="E45:G45" si="10">E31/1/E11</f>
        <v>0</v>
      </c>
      <c r="F45" s="208">
        <f t="shared" si="10"/>
        <v>0</v>
      </c>
      <c r="G45" s="208">
        <f t="shared" si="10"/>
        <v>0</v>
      </c>
      <c r="H45" s="13" t="str">
        <f t="shared" si="9"/>
        <v>nm</v>
      </c>
      <c r="I45" s="208"/>
      <c r="J45" s="207"/>
      <c r="K45" s="207"/>
      <c r="L45" s="207"/>
      <c r="M45" s="207"/>
      <c r="N45" s="207"/>
      <c r="O45" s="208"/>
      <c r="Q45" s="5"/>
      <c r="R45" s="5"/>
      <c r="S45" s="26"/>
      <c r="T45" s="26"/>
      <c r="U45" s="26"/>
      <c r="V45" s="26"/>
      <c r="W45" s="26"/>
      <c r="X45" s="26"/>
    </row>
    <row r="46" spans="2:24">
      <c r="B46" s="5" t="s">
        <v>505</v>
      </c>
      <c r="C46" s="207"/>
      <c r="D46" s="208">
        <f>(D31/1+D32)/D11</f>
        <v>0</v>
      </c>
      <c r="E46" s="208">
        <f t="shared" ref="E46:G46" si="11">(E31/1+E32)/E11</f>
        <v>0</v>
      </c>
      <c r="F46" s="208">
        <f t="shared" si="11"/>
        <v>0</v>
      </c>
      <c r="G46" s="208">
        <f t="shared" si="11"/>
        <v>0.33104861528933988</v>
      </c>
      <c r="H46" s="233" t="e">
        <f>((G31+G32)/(D31+D32))^(1/3)-1</f>
        <v>#DIV/0!</v>
      </c>
      <c r="I46" s="207"/>
      <c r="J46" s="207"/>
      <c r="K46" s="207"/>
      <c r="L46" s="207"/>
      <c r="M46" s="207"/>
      <c r="N46" s="207"/>
      <c r="O46" s="14"/>
      <c r="Q46" s="5"/>
      <c r="R46" s="5"/>
      <c r="S46" s="26"/>
      <c r="T46" s="26"/>
      <c r="U46" s="26"/>
      <c r="V46" s="26"/>
      <c r="W46" s="26"/>
      <c r="X46" s="26"/>
    </row>
    <row r="47" spans="2:24">
      <c r="B47" s="5" t="s">
        <v>482</v>
      </c>
      <c r="C47" s="5"/>
      <c r="D47" s="208">
        <f>1/D43</f>
        <v>-4.1887521978900251E-3</v>
      </c>
      <c r="E47" s="208">
        <f t="shared" ref="E47:G47" si="12">1/E43</f>
        <v>4.0619764509175683E-2</v>
      </c>
      <c r="F47" s="208">
        <f t="shared" si="12"/>
        <v>0.11125233499059536</v>
      </c>
      <c r="G47" s="208">
        <f t="shared" si="12"/>
        <v>0.15029584039387706</v>
      </c>
      <c r="H47" s="13">
        <f>H29</f>
        <v>-4.2982793126587557</v>
      </c>
      <c r="I47" s="13"/>
      <c r="J47" s="208"/>
      <c r="K47" s="208"/>
      <c r="L47" s="208"/>
      <c r="M47" s="208"/>
      <c r="N47" s="208"/>
      <c r="O47" s="208"/>
      <c r="Q47" s="5"/>
      <c r="R47" s="5"/>
      <c r="S47" s="26"/>
      <c r="T47" s="26"/>
      <c r="U47" s="26"/>
      <c r="V47" s="26"/>
      <c r="W47" s="26"/>
      <c r="X47" s="26"/>
    </row>
    <row r="48" spans="2:24">
      <c r="B48" s="5" t="s">
        <v>518</v>
      </c>
      <c r="C48" s="5"/>
      <c r="D48" s="248">
        <f>D31/1/D29</f>
        <v>0</v>
      </c>
      <c r="E48" s="248">
        <f t="shared" ref="E48:G48" si="13">E31/1/E29</f>
        <v>0</v>
      </c>
      <c r="F48" s="248">
        <f t="shared" si="13"/>
        <v>0</v>
      </c>
      <c r="G48" s="248">
        <f t="shared" si="13"/>
        <v>0</v>
      </c>
      <c r="H48" s="233" t="s">
        <v>507</v>
      </c>
      <c r="I48" s="207"/>
      <c r="J48" s="207"/>
      <c r="K48" s="207"/>
      <c r="L48" s="207"/>
      <c r="M48" s="207"/>
      <c r="N48" s="207"/>
      <c r="O48" s="208"/>
      <c r="Q48" s="5"/>
      <c r="R48" s="5"/>
      <c r="S48" s="26"/>
      <c r="T48" s="26"/>
      <c r="U48" s="26"/>
      <c r="V48" s="26"/>
      <c r="W48" s="26"/>
      <c r="X48" s="26"/>
    </row>
    <row r="52" spans="4:7">
      <c r="D52" s="13">
        <f>D31/1000</f>
        <v>0</v>
      </c>
      <c r="E52" s="13">
        <f t="shared" ref="E52:G52" si="14">E31/1000</f>
        <v>0</v>
      </c>
      <c r="F52" s="13">
        <f t="shared" si="14"/>
        <v>0</v>
      </c>
      <c r="G52" s="13">
        <f t="shared" si="14"/>
        <v>0</v>
      </c>
    </row>
  </sheetData>
  <pageMargins left="0.75" right="0.75" top="1" bottom="1" header="0.5" footer="0.5"/>
  <pageSetup scale="71"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522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306</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523</v>
      </c>
      <c r="C9" s="221">
        <f>Prices!C98</f>
        <v>29.9</v>
      </c>
      <c r="D9" s="412">
        <v>0</v>
      </c>
      <c r="E9" s="413">
        <v>0</v>
      </c>
      <c r="F9" s="413">
        <v>0</v>
      </c>
      <c r="G9" s="413">
        <v>0</v>
      </c>
      <c r="H9" s="209"/>
      <c r="I9" s="209"/>
      <c r="J9" s="5" t="s">
        <v>225</v>
      </c>
      <c r="L9" s="406">
        <f>'EMEA CELLULAR'!D37</f>
        <v>2.6199275856048252</v>
      </c>
      <c r="M9" s="406">
        <f>'EMEA CELLULAR'!E37</f>
        <v>2.1019432698335514</v>
      </c>
      <c r="N9" s="406">
        <f>'EMEA CELLULAR'!F37</f>
        <v>1.7673158441321424</v>
      </c>
      <c r="O9" s="406">
        <f>'EMEA CELLULAR'!G37</f>
        <v>1.490977100486143</v>
      </c>
      <c r="P9" s="240">
        <f>'EMEA CELLULAR'!H37</f>
        <v>0.13657312279124967</v>
      </c>
    </row>
    <row r="10" spans="2:44">
      <c r="B10" s="5" t="s">
        <v>226</v>
      </c>
      <c r="C10" s="5"/>
      <c r="D10" s="408">
        <v>40065.4</v>
      </c>
      <c r="E10" s="408">
        <v>40065.4</v>
      </c>
      <c r="F10" s="408">
        <v>40065.4</v>
      </c>
      <c r="G10" s="408">
        <v>40065.4</v>
      </c>
      <c r="H10" s="207"/>
      <c r="I10" s="207"/>
      <c r="J10" s="5" t="s">
        <v>158</v>
      </c>
      <c r="L10" s="406">
        <f>'EMEA CELLULAR'!D38</f>
        <v>7.4049431236829459</v>
      </c>
      <c r="M10" s="406">
        <f>'EMEA CELLULAR'!E38</f>
        <v>6.1564377862490218</v>
      </c>
      <c r="N10" s="406">
        <f>'EMEA CELLULAR'!F38</f>
        <v>4.4837178583666226</v>
      </c>
      <c r="O10" s="406">
        <f>'EMEA CELLULAR'!G38</f>
        <v>3.6958642793873961</v>
      </c>
      <c r="P10" s="240">
        <f>'EMEA CELLULAR'!H38</f>
        <v>0.18738943723674595</v>
      </c>
    </row>
    <row r="11" spans="2:44">
      <c r="B11" s="25" t="s">
        <v>227</v>
      </c>
      <c r="C11" s="5"/>
      <c r="D11" s="409">
        <f>$C$9*D10</f>
        <v>1197955.46</v>
      </c>
      <c r="E11" s="409">
        <f>$C$9*E10</f>
        <v>1197955.46</v>
      </c>
      <c r="F11" s="409">
        <f>$C$9*F10</f>
        <v>1197955.46</v>
      </c>
      <c r="G11" s="409">
        <f>$C$9*G10</f>
        <v>1197955.46</v>
      </c>
      <c r="H11" s="209"/>
      <c r="I11" s="209"/>
      <c r="J11" s="5" t="s">
        <v>159</v>
      </c>
      <c r="L11" s="406">
        <f>'EMEA CELLULAR'!D39</f>
        <v>13.77606277730415</v>
      </c>
      <c r="M11" s="406">
        <f>'EMEA CELLULAR'!E39</f>
        <v>11.672285536375483</v>
      </c>
      <c r="N11" s="406">
        <f>'EMEA CELLULAR'!F39</f>
        <v>7.4496586865144394</v>
      </c>
      <c r="O11" s="406">
        <f>'EMEA CELLULAR'!G39</f>
        <v>5.9832990727504578</v>
      </c>
      <c r="P11" s="240">
        <f>'EMEA CELLULAR'!H39</f>
        <v>0.24371081525857741</v>
      </c>
    </row>
    <row r="12" spans="2:44">
      <c r="B12" s="5" t="s">
        <v>22</v>
      </c>
      <c r="C12" s="209"/>
      <c r="D12" s="410">
        <v>85804.838981008797</v>
      </c>
      <c r="E12" s="410">
        <v>84806.133807681865</v>
      </c>
      <c r="F12" s="410">
        <v>83736.383739890472</v>
      </c>
      <c r="G12" s="410">
        <v>78156.482156004844</v>
      </c>
      <c r="H12" s="207"/>
      <c r="I12" s="207"/>
      <c r="J12" s="5" t="s">
        <v>381</v>
      </c>
      <c r="L12" s="406">
        <f>'EMEA CELLULAR'!D40</f>
        <v>19.591583567499963</v>
      </c>
      <c r="M12" s="406">
        <f>'EMEA CELLULAR'!E40</f>
        <v>16.863939410662088</v>
      </c>
      <c r="N12" s="406">
        <f>'EMEA CELLULAR'!F40</f>
        <v>10.664588793239982</v>
      </c>
      <c r="O12" s="406">
        <f>'EMEA CELLULAR'!G40</f>
        <v>8.5573074542660397</v>
      </c>
      <c r="P12" s="240">
        <f>'EMEA CELLULAR'!H40</f>
        <v>0.24137238116561188</v>
      </c>
    </row>
    <row r="13" spans="2:44">
      <c r="B13" s="5" t="s">
        <v>433</v>
      </c>
      <c r="C13" s="216"/>
      <c r="D13" s="410">
        <v>0</v>
      </c>
      <c r="E13" s="410">
        <v>0</v>
      </c>
      <c r="F13" s="410">
        <v>0</v>
      </c>
      <c r="G13" s="410">
        <v>0</v>
      </c>
      <c r="H13" s="207"/>
      <c r="I13" s="207"/>
      <c r="J13" s="5" t="s">
        <v>434</v>
      </c>
      <c r="L13" s="406">
        <f>'EMEA CELLULAR'!D41</f>
        <v>2.4931198659149474</v>
      </c>
      <c r="M13" s="406">
        <f>'EMEA CELLULAR'!E41</f>
        <v>2.1495302617941814</v>
      </c>
      <c r="N13" s="406">
        <f>'EMEA CELLULAR'!F41</f>
        <v>2.0138651536880712</v>
      </c>
      <c r="O13" s="406">
        <f>'EMEA CELLULAR'!G41</f>
        <v>1.7818698478870838</v>
      </c>
      <c r="P13" s="240">
        <f>'EMEA CELLULAR'!H41</f>
        <v>5.3449376644030044E-2</v>
      </c>
    </row>
    <row r="14" spans="2:44">
      <c r="B14" s="5" t="s">
        <v>436</v>
      </c>
      <c r="C14" s="216"/>
      <c r="D14" s="410">
        <v>0</v>
      </c>
      <c r="E14" s="410">
        <v>0</v>
      </c>
      <c r="F14" s="410">
        <v>0</v>
      </c>
      <c r="G14" s="410">
        <v>0</v>
      </c>
      <c r="H14" s="207"/>
      <c r="I14" s="207"/>
      <c r="J14" s="5" t="s">
        <v>493</v>
      </c>
      <c r="L14" s="406">
        <f>'EMEA CELLULAR'!D42</f>
        <v>3.2594845164113617</v>
      </c>
      <c r="M14" s="406">
        <f>'EMEA CELLULAR'!E42</f>
        <v>2.7593129191981953</v>
      </c>
      <c r="N14" s="406">
        <f>'EMEA CELLULAR'!F42</f>
        <v>2.4319311799132723</v>
      </c>
      <c r="O14" s="406">
        <f>'EMEA CELLULAR'!G42</f>
        <v>2.1027645091274914</v>
      </c>
      <c r="P14" s="240">
        <f>'EMEA CELLULAR'!H42</f>
        <v>9.004402418470403E-2</v>
      </c>
    </row>
    <row r="15" spans="2:44">
      <c r="B15" s="5" t="s">
        <v>435</v>
      </c>
      <c r="C15" s="228"/>
      <c r="D15" s="410">
        <v>0</v>
      </c>
      <c r="E15" s="410">
        <v>0</v>
      </c>
      <c r="F15" s="410">
        <v>0</v>
      </c>
      <c r="G15" s="410">
        <v>0</v>
      </c>
      <c r="H15" s="207"/>
      <c r="I15" s="207"/>
      <c r="J15" s="5" t="s">
        <v>390</v>
      </c>
      <c r="L15" s="406">
        <f>'EMEA CELLULAR'!D43</f>
        <v>23.450165248936997</v>
      </c>
      <c r="M15" s="406">
        <f>'EMEA CELLULAR'!E43</f>
        <v>15.410353469940693</v>
      </c>
      <c r="N15" s="406">
        <f>'EMEA CELLULAR'!F43</f>
        <v>12.326327706891529</v>
      </c>
      <c r="O15" s="406">
        <f>'EMEA CELLULAR'!G43</f>
        <v>10.503745422567203</v>
      </c>
      <c r="P15" s="240">
        <f>'EMEA CELLULAR'!H43</f>
        <v>0.29920862771021017</v>
      </c>
    </row>
    <row r="16" spans="2:44">
      <c r="B16" s="5" t="s">
        <v>438</v>
      </c>
      <c r="C16" s="216"/>
      <c r="D16" s="410">
        <v>23137.768500000006</v>
      </c>
      <c r="E16" s="410">
        <v>98119.122639769514</v>
      </c>
      <c r="F16" s="410">
        <v>185500.8464522837</v>
      </c>
      <c r="G16" s="410">
        <v>282850.97956106317</v>
      </c>
      <c r="H16" s="207"/>
      <c r="I16" s="207"/>
      <c r="J16" s="5" t="s">
        <v>437</v>
      </c>
      <c r="L16" s="406">
        <f>'EMEA CELLULAR'!D44</f>
        <v>13.987504843658609</v>
      </c>
      <c r="M16" s="406">
        <f>'EMEA CELLULAR'!E44</f>
        <v>10.43067037532062</v>
      </c>
      <c r="N16" s="406">
        <f>'EMEA CELLULAR'!F44</f>
        <v>8.2767848489788651</v>
      </c>
      <c r="O16" s="406">
        <f>'EMEA CELLULAR'!G44</f>
        <v>7.004852314981683</v>
      </c>
      <c r="P16" s="240">
        <f>'EMEA CELLULAR'!H44</f>
        <v>0.25177251450443627</v>
      </c>
    </row>
    <row r="17" spans="2:24">
      <c r="B17" s="5" t="s">
        <v>4</v>
      </c>
      <c r="C17" s="216"/>
      <c r="D17" s="410">
        <v>0</v>
      </c>
      <c r="E17" s="410">
        <v>0</v>
      </c>
      <c r="F17" s="410">
        <v>0</v>
      </c>
      <c r="G17" s="410">
        <v>0</v>
      </c>
      <c r="H17" s="207"/>
      <c r="I17" s="207"/>
      <c r="J17" s="5" t="s">
        <v>481</v>
      </c>
      <c r="L17" s="208">
        <f>'EMEA CELLULAR'!D45</f>
        <v>3.0544287380878801E-2</v>
      </c>
      <c r="M17" s="208">
        <f>'EMEA CELLULAR'!E45</f>
        <v>4.395508539543818E-2</v>
      </c>
      <c r="N17" s="208">
        <f>'EMEA CELLULAR'!F45</f>
        <v>5.3871956178551617E-2</v>
      </c>
      <c r="O17" s="208">
        <f>'EMEA CELLULAR'!G45</f>
        <v>6.3557237996527752E-2</v>
      </c>
      <c r="P17" s="240">
        <f>'EMEA CELLULAR'!H45</f>
        <v>0.26908290905415133</v>
      </c>
      <c r="S17" s="72"/>
      <c r="T17" s="26"/>
      <c r="U17" s="26"/>
      <c r="V17" s="26"/>
      <c r="W17" s="26"/>
      <c r="X17" s="26"/>
    </row>
    <row r="18" spans="2:24" ht="12.6" thickBot="1">
      <c r="B18" s="25" t="s">
        <v>484</v>
      </c>
      <c r="C18" s="209"/>
      <c r="D18" s="411">
        <f>D11+D12+D13-D14+D15-D16-D17</f>
        <v>1260622.5304810088</v>
      </c>
      <c r="E18" s="411">
        <f>E11+E12+E13-E14+E15-E16-E17</f>
        <v>1184642.4711679125</v>
      </c>
      <c r="F18" s="411">
        <f>F11+F12+F13-F14+F15-F16-F17</f>
        <v>1096190.9972876068</v>
      </c>
      <c r="G18" s="411">
        <f>G11+G12+G13-G14+G15-G16-G17</f>
        <v>993260.96259494149</v>
      </c>
      <c r="H18" s="230">
        <f>IF(D18=0,"nm",IF(G18=0,"nm",(G18/D18)^(1/3)-1))</f>
        <v>-7.6381193313868057E-2</v>
      </c>
      <c r="I18" s="214"/>
      <c r="J18" s="5" t="s">
        <v>33</v>
      </c>
      <c r="L18" s="208">
        <f>'EMEA CELLULAR'!D46</f>
        <v>2.6498586982557595E-2</v>
      </c>
      <c r="M18" s="208">
        <f>'EMEA CELLULAR'!E46</f>
        <v>1.0808246113551016E-2</v>
      </c>
      <c r="N18" s="208">
        <f>'EMEA CELLULAR'!F46</f>
        <v>5.7520239450434246E-2</v>
      </c>
      <c r="O18" s="208">
        <f>'EMEA CELLULAR'!G46</f>
        <v>6.7155888346752513E-2</v>
      </c>
      <c r="P18" s="240">
        <f>'EMEA CELLULAR'!H46</f>
        <v>0.35528963407723091</v>
      </c>
      <c r="S18" s="72"/>
      <c r="T18" s="26"/>
      <c r="U18" s="26"/>
      <c r="V18" s="26"/>
      <c r="W18" s="26"/>
      <c r="X18" s="26"/>
    </row>
    <row r="19" spans="2:24" ht="12.6" thickTop="1">
      <c r="B19" s="25"/>
      <c r="C19" s="209"/>
      <c r="D19" s="189"/>
      <c r="E19" s="189"/>
      <c r="F19" s="189"/>
      <c r="G19" s="189"/>
      <c r="H19" s="230"/>
      <c r="I19" s="214"/>
      <c r="J19" s="5" t="s">
        <v>482</v>
      </c>
      <c r="L19" s="208">
        <f>'EMEA CELLULAR'!D47</f>
        <v>4.2643622737171552E-2</v>
      </c>
      <c r="M19" s="208">
        <f>'EMEA CELLULAR'!E47</f>
        <v>6.4891438210719285E-2</v>
      </c>
      <c r="N19" s="208">
        <f>'EMEA CELLULAR'!F47</f>
        <v>8.1127163237831965E-2</v>
      </c>
      <c r="O19" s="208">
        <f>'EMEA CELLULAR'!G47</f>
        <v>9.5204135265074971E-2</v>
      </c>
      <c r="P19" s="240">
        <f>'EMEA CELLULAR'!H47</f>
        <v>0.29920862771021017</v>
      </c>
      <c r="S19" s="72"/>
      <c r="T19" s="26"/>
      <c r="U19" s="26"/>
      <c r="V19" s="26"/>
      <c r="W19" s="26"/>
      <c r="X19" s="26"/>
    </row>
    <row r="20" spans="2:24">
      <c r="H20" s="231"/>
      <c r="I20" s="13"/>
      <c r="J20" s="5" t="s">
        <v>504</v>
      </c>
      <c r="L20" s="248">
        <f>'EMEA CELLULAR'!D48</f>
        <v>0.71626858649262892</v>
      </c>
      <c r="M20" s="248">
        <f>'EMEA CELLULAR'!E48</f>
        <v>0.67736340274513018</v>
      </c>
      <c r="N20" s="248">
        <f>'EMEA CELLULAR'!F48</f>
        <v>0.66404338606812718</v>
      </c>
      <c r="O20" s="248">
        <f>'EMEA CELLULAR'!G48</f>
        <v>0.66758904767704264</v>
      </c>
      <c r="P20" s="240" t="str">
        <f>'EMEA CELLULAR'!H48</f>
        <v>nm</v>
      </c>
      <c r="S20" s="72"/>
      <c r="T20" s="26"/>
      <c r="U20" s="26"/>
      <c r="V20" s="26"/>
      <c r="W20" s="26"/>
      <c r="X20" s="26"/>
    </row>
    <row r="21" spans="2:24" ht="12.6" thickBot="1">
      <c r="B21" s="249" t="s">
        <v>777</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388688.9</v>
      </c>
      <c r="D23" s="416">
        <v>419005.32385321602</v>
      </c>
      <c r="E23" s="416">
        <v>454381.03705535119</v>
      </c>
      <c r="F23" s="416">
        <v>490072.08702645276</v>
      </c>
      <c r="G23" s="416">
        <v>526646.29382534174</v>
      </c>
      <c r="H23" s="233">
        <f t="shared" ref="H23:H32" si="3">IF(D23=0,"nm",IF(G23=0,"nm",(G23/D23)^(1/3)-1))</f>
        <v>7.9194766009736073E-2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160217.90000000002</v>
      </c>
      <c r="D24" s="416">
        <v>203566.47479763124</v>
      </c>
      <c r="E24" s="416">
        <v>228989.91952573418</v>
      </c>
      <c r="F24" s="416">
        <v>247743.30141399408</v>
      </c>
      <c r="G24" s="416">
        <v>267705.106090569</v>
      </c>
      <c r="H24" s="233">
        <f t="shared" si="3"/>
        <v>9.5595230508708662E-2</v>
      </c>
      <c r="I24" s="209"/>
      <c r="J24" s="13"/>
      <c r="K24" s="13"/>
      <c r="L24" s="13"/>
      <c r="M24" s="13"/>
      <c r="N24" s="13"/>
      <c r="O24" s="208"/>
      <c r="S24" s="72"/>
      <c r="T24" s="26"/>
      <c r="U24" s="26"/>
      <c r="V24" s="26"/>
      <c r="W24" s="26" t="s">
        <v>334</v>
      </c>
      <c r="X24" s="26" t="s">
        <v>418</v>
      </c>
    </row>
    <row r="25" spans="2:24">
      <c r="B25" s="5" t="s">
        <v>157</v>
      </c>
      <c r="C25" s="422">
        <v>68917.900000000023</v>
      </c>
      <c r="D25" s="416">
        <v>126597.33381331006</v>
      </c>
      <c r="E25" s="416">
        <v>150375.91869821976</v>
      </c>
      <c r="F25" s="416">
        <v>165274.13424940995</v>
      </c>
      <c r="G25" s="416">
        <v>181903.92695677781</v>
      </c>
      <c r="H25" s="233">
        <f>IF(D25=0,"nm",IF(G25=0,"nm",(G25/D25)^(1/3)-1))</f>
        <v>0.12842449551270874</v>
      </c>
      <c r="I25" s="208"/>
      <c r="J25" s="207" t="s">
        <v>8</v>
      </c>
      <c r="K25" s="207"/>
      <c r="L25" s="252">
        <v>0</v>
      </c>
      <c r="M25" s="252">
        <v>0</v>
      </c>
      <c r="N25" s="252">
        <v>0</v>
      </c>
      <c r="O25" s="252">
        <v>0</v>
      </c>
      <c r="P25" s="233" t="str">
        <f>IF(L25=0,"nm",IF(O25=0,"nm",(O25/L25)^(1/3)-1))</f>
        <v>nm</v>
      </c>
      <c r="S25" s="72"/>
      <c r="T25" s="26"/>
      <c r="U25" s="26"/>
      <c r="V25" s="113" t="s">
        <v>225</v>
      </c>
      <c r="W25" s="242">
        <f>D37/L9</f>
        <v>1.1483551859813823</v>
      </c>
      <c r="X25" s="242">
        <v>1</v>
      </c>
    </row>
    <row r="26" spans="2:24">
      <c r="B26" s="5" t="s">
        <v>487</v>
      </c>
      <c r="C26" s="422">
        <v>40661.561000000016</v>
      </c>
      <c r="D26" s="416">
        <v>74692.426949852947</v>
      </c>
      <c r="E26" s="416">
        <v>88721.792031949662</v>
      </c>
      <c r="F26" s="416">
        <v>97511.739207151884</v>
      </c>
      <c r="G26" s="416">
        <v>107323.31690449892</v>
      </c>
      <c r="H26" s="233">
        <f>IF(D26=0,"nm",IF(G26=0,"nm",(G26/D26)^(1/3)-1))</f>
        <v>0.12842449551270874</v>
      </c>
      <c r="I26" s="209"/>
      <c r="J26" s="209" t="s">
        <v>9</v>
      </c>
      <c r="K26" s="209"/>
      <c r="L26" s="235">
        <f>D11+L25</f>
        <v>1197955.46</v>
      </c>
      <c r="M26" s="235">
        <f>E11+M25</f>
        <v>1197955.46</v>
      </c>
      <c r="N26" s="235">
        <f>F11+N25</f>
        <v>1197955.46</v>
      </c>
      <c r="O26" s="235">
        <f>G11+O25</f>
        <v>1197955.46</v>
      </c>
      <c r="P26" s="233">
        <f>IF(L26=0,"nm",IF(O26=0,"nm",(O26/L26)^(1/3)-1))</f>
        <v>0</v>
      </c>
      <c r="Q26" s="5"/>
      <c r="S26" s="72"/>
      <c r="T26" s="26"/>
      <c r="U26" s="26"/>
      <c r="V26" s="113" t="s">
        <v>158</v>
      </c>
      <c r="W26" s="242">
        <f t="shared" ref="W26:W33" si="5">D38/L10</f>
        <v>0.83629034281634862</v>
      </c>
      <c r="X26" s="242">
        <v>1</v>
      </c>
    </row>
    <row r="27" spans="2:24">
      <c r="B27" s="5" t="s">
        <v>488</v>
      </c>
      <c r="C27" s="423">
        <v>457518.29999999993</v>
      </c>
      <c r="D27" s="416">
        <v>557545.30708488554</v>
      </c>
      <c r="E27" s="416">
        <v>704972.80899783573</v>
      </c>
      <c r="F27" s="416">
        <v>852480.33268304274</v>
      </c>
      <c r="G27" s="416">
        <v>1006970.0926800858</v>
      </c>
      <c r="H27" s="233">
        <f t="shared" si="3"/>
        <v>0.21780794330123698</v>
      </c>
      <c r="I27" s="209"/>
      <c r="J27" s="208"/>
      <c r="K27" s="208"/>
      <c r="L27" s="208"/>
      <c r="M27" s="208"/>
      <c r="N27" s="208"/>
      <c r="O27" s="208"/>
      <c r="Q27" s="25"/>
      <c r="S27" s="72"/>
      <c r="T27" s="26"/>
      <c r="U27" s="26"/>
      <c r="V27" s="113" t="s">
        <v>159</v>
      </c>
      <c r="W27" s="242">
        <f t="shared" si="5"/>
        <v>0.7228287071246694</v>
      </c>
      <c r="X27" s="242">
        <v>1</v>
      </c>
    </row>
    <row r="28" spans="2:24" ht="12.6" thickBot="1">
      <c r="B28" s="5" t="s">
        <v>492</v>
      </c>
      <c r="C28" s="422">
        <v>247200.9</v>
      </c>
      <c r="D28" s="416">
        <v>257757.082418609</v>
      </c>
      <c r="E28" s="416">
        <v>266140.87831422512</v>
      </c>
      <c r="F28" s="416">
        <v>274438.78016707092</v>
      </c>
      <c r="G28" s="416">
        <v>282093.32788142154</v>
      </c>
      <c r="H28" s="233">
        <f t="shared" si="3"/>
        <v>3.0530229025577338E-2</v>
      </c>
      <c r="I28" s="208"/>
      <c r="J28" s="249" t="s">
        <v>1073</v>
      </c>
      <c r="K28" s="249"/>
      <c r="L28" s="249"/>
      <c r="M28" s="249"/>
      <c r="N28" s="220"/>
      <c r="O28" s="220"/>
      <c r="P28" s="220"/>
      <c r="Q28" s="5"/>
      <c r="S28" s="72"/>
      <c r="T28" s="26"/>
      <c r="U28" s="26"/>
      <c r="V28" s="113" t="s">
        <v>381</v>
      </c>
      <c r="W28" s="242">
        <f t="shared" si="5"/>
        <v>0.86146760914365272</v>
      </c>
      <c r="X28" s="242">
        <v>1</v>
      </c>
    </row>
    <row r="29" spans="2:24" ht="12.6" thickTop="1">
      <c r="B29" s="5" t="s">
        <v>489</v>
      </c>
      <c r="C29" s="422">
        <v>-22914</v>
      </c>
      <c r="D29" s="416">
        <v>89788.212523419657</v>
      </c>
      <c r="E29" s="416">
        <v>108301.54880380373</v>
      </c>
      <c r="F29" s="416">
        <v>121282.6860511149</v>
      </c>
      <c r="G29" s="416">
        <v>135715.21730753093</v>
      </c>
      <c r="H29" s="233">
        <f>IF(D29=0,"nm",IF(G29=0,"nm",(G29/D29)^(1/3)-1))</f>
        <v>0.1476331207795043</v>
      </c>
      <c r="I29" s="212"/>
      <c r="J29" s="209"/>
      <c r="K29" s="209"/>
      <c r="L29" s="209"/>
      <c r="M29" s="209"/>
      <c r="N29" s="209"/>
      <c r="O29" s="211"/>
      <c r="Q29" s="5"/>
      <c r="S29" s="72"/>
      <c r="T29" s="26"/>
      <c r="U29" s="26"/>
      <c r="V29" s="113" t="s">
        <v>434</v>
      </c>
      <c r="W29" s="242">
        <f t="shared" si="5"/>
        <v>0.9069048841656977</v>
      </c>
      <c r="X29" s="242">
        <v>1</v>
      </c>
    </row>
    <row r="30" spans="2:24">
      <c r="B30" s="5" t="s">
        <v>490</v>
      </c>
      <c r="C30" s="423">
        <v>-9668.1999999999971</v>
      </c>
      <c r="D30" s="416">
        <v>98432.620953026024</v>
      </c>
      <c r="E30" s="416">
        <v>114889.32128835225</v>
      </c>
      <c r="F30" s="416">
        <v>128099.5514936226</v>
      </c>
      <c r="G30" s="416">
        <v>142122.5918111467</v>
      </c>
      <c r="H30" s="233">
        <f t="shared" si="3"/>
        <v>0.13025045335040586</v>
      </c>
      <c r="I30" s="214"/>
      <c r="J30" s="208"/>
      <c r="K30" s="208"/>
      <c r="L30" s="208"/>
      <c r="M30" s="208"/>
      <c r="N30" s="208"/>
      <c r="O30" s="5"/>
      <c r="Q30" s="5"/>
      <c r="S30" s="72"/>
      <c r="T30" s="26"/>
      <c r="U30" s="26"/>
      <c r="V30" s="113" t="s">
        <v>493</v>
      </c>
      <c r="W30" s="242">
        <f t="shared" si="5"/>
        <v>1.5004638449704248</v>
      </c>
      <c r="X30" s="242">
        <v>1</v>
      </c>
    </row>
    <row r="31" spans="2:24">
      <c r="B31" s="5" t="s">
        <v>491</v>
      </c>
      <c r="C31" s="423">
        <v>48078.48000000001</v>
      </c>
      <c r="D31" s="416">
        <v>73824.465714769511</v>
      </c>
      <c r="E31" s="416">
        <v>86166.990966264188</v>
      </c>
      <c r="F31" s="416">
        <v>96074.663620216947</v>
      </c>
      <c r="G31" s="416">
        <v>106591.94385836003</v>
      </c>
      <c r="H31" s="233">
        <f>IF(D31=0,"nm",IF(G31=0,"nm",(G31/D31)^(1/3)-1))</f>
        <v>0.13025045335040586</v>
      </c>
      <c r="I31" s="214"/>
      <c r="J31" s="212"/>
      <c r="K31" s="212"/>
      <c r="L31" s="212"/>
      <c r="M31" s="212"/>
      <c r="N31" s="212"/>
      <c r="O31" s="5"/>
      <c r="Q31" s="5"/>
      <c r="S31" s="72"/>
      <c r="T31" s="26"/>
      <c r="U31" s="26"/>
      <c r="V31" s="113" t="s">
        <v>390</v>
      </c>
      <c r="W31" s="242">
        <f t="shared" si="5"/>
        <v>0.56895175053017288</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0.87008438007946487</v>
      </c>
      <c r="X32" s="242">
        <v>1</v>
      </c>
    </row>
    <row r="33" spans="2:24">
      <c r="B33" s="5" t="s">
        <v>3</v>
      </c>
      <c r="C33" s="423">
        <v>16814.2</v>
      </c>
      <c r="D33" s="416">
        <v>18631.945971289326</v>
      </c>
      <c r="E33" s="416">
        <v>18569.866492670561</v>
      </c>
      <c r="F33" s="416">
        <v>18644.118994812005</v>
      </c>
      <c r="G33" s="416">
        <v>18596.686080673986</v>
      </c>
      <c r="H33" s="233">
        <f>IF(D33=0,"nm",IF(G33=0,"nm",(G33/D33)^(1/3)-1))</f>
        <v>-6.312125873336738E-4</v>
      </c>
      <c r="I33" s="5"/>
      <c r="J33" s="214"/>
      <c r="K33" s="214"/>
      <c r="L33" s="214"/>
      <c r="M33" s="214"/>
      <c r="N33" s="214"/>
      <c r="O33" s="211"/>
      <c r="Q33" s="5"/>
      <c r="S33" s="72"/>
      <c r="T33" s="26"/>
      <c r="U33" s="26"/>
      <c r="V33" s="113" t="s">
        <v>481</v>
      </c>
      <c r="W33" s="242">
        <f t="shared" si="5"/>
        <v>2.0175747965581321</v>
      </c>
      <c r="X33" s="242">
        <v>1</v>
      </c>
    </row>
    <row r="34" spans="2:24">
      <c r="B34" s="5"/>
      <c r="C34" s="5"/>
      <c r="D34" s="5"/>
      <c r="E34" s="5"/>
      <c r="F34" s="5"/>
      <c r="G34" s="5"/>
      <c r="H34" s="5"/>
      <c r="I34" s="33"/>
      <c r="J34" s="214"/>
      <c r="K34" s="214"/>
      <c r="L34" s="214"/>
      <c r="M34" s="214"/>
      <c r="N34" s="214"/>
      <c r="O34" s="211"/>
      <c r="Q34" s="5"/>
      <c r="S34" s="72"/>
      <c r="T34" s="26"/>
      <c r="U34" s="26"/>
      <c r="V34" s="113" t="s">
        <v>482</v>
      </c>
      <c r="W34" s="242">
        <f>D47/L19</f>
        <v>1.7576182849743558</v>
      </c>
      <c r="X34" s="242">
        <v>1</v>
      </c>
    </row>
    <row r="35" spans="2:24" ht="12.6" thickBot="1">
      <c r="B35" s="249" t="s">
        <v>545</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3.0086074298249827</v>
      </c>
      <c r="E37" s="406">
        <f t="shared" ref="E37:G41" si="7">E$18/E23</f>
        <v>2.6071564932486462</v>
      </c>
      <c r="F37" s="406">
        <f t="shared" si="7"/>
        <v>2.2367954150150107</v>
      </c>
      <c r="G37" s="406">
        <f t="shared" si="7"/>
        <v>1.8860114924198992</v>
      </c>
      <c r="H37" s="13">
        <f t="shared" ref="H37:H44" si="8">H23</f>
        <v>7.9194766009736073E-2</v>
      </c>
      <c r="I37" s="5"/>
      <c r="J37" s="217"/>
      <c r="K37" s="217"/>
      <c r="L37" s="217"/>
      <c r="M37" s="217"/>
      <c r="N37" s="217"/>
      <c r="O37" s="14"/>
      <c r="Q37" s="5"/>
      <c r="R37" s="5"/>
      <c r="S37" s="26"/>
      <c r="T37" s="26"/>
      <c r="U37" s="26"/>
      <c r="V37" s="26"/>
      <c r="W37" s="26"/>
      <c r="X37" s="26"/>
    </row>
    <row r="38" spans="2:24">
      <c r="B38" s="5" t="s">
        <v>158</v>
      </c>
      <c r="C38" s="207"/>
      <c r="D38" s="406">
        <f>D$18/D24</f>
        <v>6.1926824234403739</v>
      </c>
      <c r="E38" s="406">
        <f t="shared" si="7"/>
        <v>5.1733389557996716</v>
      </c>
      <c r="F38" s="406">
        <f t="shared" si="7"/>
        <v>4.424704890227507</v>
      </c>
      <c r="G38" s="406">
        <f t="shared" si="7"/>
        <v>3.7102802299889834</v>
      </c>
      <c r="H38" s="13">
        <f t="shared" si="8"/>
        <v>9.5595230508708662E-2</v>
      </c>
      <c r="I38" s="217"/>
      <c r="J38" s="13"/>
      <c r="K38" s="13"/>
      <c r="L38" s="13"/>
      <c r="M38" s="13"/>
      <c r="N38" s="13"/>
      <c r="O38" s="5"/>
      <c r="Q38" s="5"/>
      <c r="R38" s="5"/>
      <c r="S38" s="26"/>
      <c r="T38" s="26"/>
      <c r="U38" s="26"/>
      <c r="V38" s="26"/>
      <c r="W38" s="26"/>
      <c r="X38" s="26"/>
    </row>
    <row r="39" spans="2:24">
      <c r="B39" s="5" t="s">
        <v>159</v>
      </c>
      <c r="C39" s="207"/>
      <c r="D39" s="406">
        <f>D$18/D25</f>
        <v>9.957733646587041</v>
      </c>
      <c r="E39" s="406">
        <f t="shared" si="7"/>
        <v>7.8778735413434049</v>
      </c>
      <c r="F39" s="406">
        <f t="shared" si="7"/>
        <v>6.6325623320669145</v>
      </c>
      <c r="G39" s="406">
        <f t="shared" si="7"/>
        <v>5.4603601978914407</v>
      </c>
      <c r="H39" s="13">
        <f t="shared" si="8"/>
        <v>0.12842449551270874</v>
      </c>
      <c r="I39" s="13"/>
      <c r="J39" s="5"/>
      <c r="K39" s="5"/>
      <c r="L39" s="5"/>
      <c r="M39" s="5"/>
      <c r="N39" s="5"/>
      <c r="O39" s="5"/>
      <c r="Q39" s="5"/>
      <c r="R39" s="5"/>
      <c r="S39" s="26"/>
      <c r="T39" s="26"/>
      <c r="U39" s="26"/>
      <c r="V39" s="26"/>
      <c r="W39" s="26"/>
      <c r="X39" s="26"/>
    </row>
    <row r="40" spans="2:24">
      <c r="B40" s="5" t="s">
        <v>381</v>
      </c>
      <c r="C40" s="207"/>
      <c r="D40" s="406">
        <f>D$18/D26</f>
        <v>16.877514655232268</v>
      </c>
      <c r="E40" s="406">
        <f t="shared" si="7"/>
        <v>13.352328036175262</v>
      </c>
      <c r="F40" s="406">
        <f t="shared" si="7"/>
        <v>11.241631071299855</v>
      </c>
      <c r="G40" s="406">
        <f t="shared" si="7"/>
        <v>9.2548477930363386</v>
      </c>
      <c r="H40" s="13">
        <f>H26</f>
        <v>0.12842449551270874</v>
      </c>
      <c r="I40" s="5"/>
      <c r="J40" s="217"/>
      <c r="K40" s="217"/>
      <c r="L40" s="217"/>
      <c r="M40" s="217"/>
      <c r="N40" s="217"/>
      <c r="O40" s="14"/>
      <c r="Q40" s="5"/>
      <c r="R40" s="5"/>
      <c r="S40" s="26"/>
      <c r="T40" s="26"/>
      <c r="U40" s="26"/>
      <c r="V40" s="26"/>
      <c r="W40" s="242"/>
      <c r="X40" s="242"/>
    </row>
    <row r="41" spans="2:24">
      <c r="B41" s="5" t="s">
        <v>434</v>
      </c>
      <c r="C41" s="207"/>
      <c r="D41" s="406">
        <f>D$18/D27</f>
        <v>2.2610225832087951</v>
      </c>
      <c r="E41" s="406">
        <f t="shared" si="7"/>
        <v>1.6804087420789435</v>
      </c>
      <c r="F41" s="406">
        <f t="shared" si="7"/>
        <v>1.2858842078356512</v>
      </c>
      <c r="G41" s="406">
        <f t="shared" si="7"/>
        <v>0.98638576241260856</v>
      </c>
      <c r="H41" s="13">
        <f t="shared" si="8"/>
        <v>0.21780794330123698</v>
      </c>
      <c r="I41" s="207"/>
      <c r="J41" s="13"/>
      <c r="K41" s="13"/>
      <c r="L41" s="13"/>
      <c r="M41" s="13"/>
      <c r="N41" s="13"/>
      <c r="O41" s="5"/>
      <c r="Q41" s="5"/>
      <c r="R41" s="5"/>
      <c r="S41" s="26"/>
      <c r="T41" s="26"/>
      <c r="U41" s="26"/>
      <c r="V41" s="26"/>
      <c r="W41" s="242"/>
      <c r="X41" s="242"/>
    </row>
    <row r="42" spans="2:24">
      <c r="B42" s="5" t="s">
        <v>493</v>
      </c>
      <c r="C42" s="207"/>
      <c r="D42" s="406">
        <f>D18/D28</f>
        <v>4.8907386701161579</v>
      </c>
      <c r="E42" s="406">
        <f>E18/E28</f>
        <v>4.4511856978590041</v>
      </c>
      <c r="F42" s="406">
        <f>F18/F28</f>
        <v>3.9943006473803568</v>
      </c>
      <c r="G42" s="406">
        <f>G18/G28</f>
        <v>3.52103670815093</v>
      </c>
      <c r="H42" s="13">
        <f t="shared" si="8"/>
        <v>3.0530229025577338E-2</v>
      </c>
      <c r="I42" s="208"/>
      <c r="J42" s="5"/>
      <c r="K42" s="5"/>
      <c r="L42" s="5"/>
      <c r="M42" s="5"/>
      <c r="N42" s="5"/>
      <c r="O42" s="5"/>
      <c r="Q42" s="5"/>
      <c r="R42" s="5"/>
      <c r="S42" s="26"/>
      <c r="T42" s="26"/>
      <c r="U42" s="26"/>
      <c r="V42" s="26"/>
      <c r="W42" s="242"/>
      <c r="X42" s="242"/>
    </row>
    <row r="43" spans="2:24">
      <c r="B43" s="5" t="s">
        <v>390</v>
      </c>
      <c r="C43" s="207"/>
      <c r="D43" s="406">
        <f>L26/D29</f>
        <v>13.342012568604533</v>
      </c>
      <c r="E43" s="406">
        <f>M26/E29</f>
        <v>11.061295736131946</v>
      </c>
      <c r="F43" s="406">
        <f>N26/F29</f>
        <v>9.8773823288768412</v>
      </c>
      <c r="G43" s="406">
        <f>O26/G29</f>
        <v>8.8269796399134126</v>
      </c>
      <c r="H43" s="13">
        <f t="shared" si="8"/>
        <v>0.1476331207795043</v>
      </c>
      <c r="I43" s="207"/>
      <c r="J43" s="207"/>
      <c r="K43" s="207"/>
      <c r="L43" s="207"/>
      <c r="M43" s="207"/>
      <c r="N43" s="207"/>
      <c r="O43" s="14"/>
      <c r="Q43" s="5"/>
      <c r="R43" s="5"/>
      <c r="S43" s="26"/>
      <c r="T43" s="26"/>
      <c r="U43" s="26"/>
      <c r="V43" s="26"/>
      <c r="W43" s="242"/>
      <c r="X43" s="242"/>
    </row>
    <row r="44" spans="2:24">
      <c r="B44" s="5" t="s">
        <v>437</v>
      </c>
      <c r="C44" s="53"/>
      <c r="D44" s="406">
        <f>D11/D30</f>
        <v>12.170309480753213</v>
      </c>
      <c r="E44" s="406">
        <f>E11/E30</f>
        <v>10.427039228418277</v>
      </c>
      <c r="F44" s="406">
        <f>F11/F30</f>
        <v>9.3517537417735603</v>
      </c>
      <c r="G44" s="406">
        <f>G11/G30</f>
        <v>8.4290290849174063</v>
      </c>
      <c r="H44" s="13">
        <f t="shared" si="8"/>
        <v>0.13025045335040586</v>
      </c>
      <c r="I44" s="207"/>
      <c r="J44" s="208"/>
      <c r="K44" s="208"/>
      <c r="L44" s="208"/>
      <c r="M44" s="208"/>
      <c r="N44" s="208"/>
      <c r="O44" s="208"/>
      <c r="Q44" s="5"/>
      <c r="R44" s="5"/>
      <c r="S44" s="26"/>
      <c r="T44" s="26"/>
      <c r="U44" s="26"/>
      <c r="V44" s="26"/>
      <c r="W44" s="255"/>
      <c r="X44" s="255"/>
    </row>
    <row r="45" spans="2:24">
      <c r="B45" s="5" t="s">
        <v>481</v>
      </c>
      <c r="C45" s="207"/>
      <c r="D45" s="208">
        <f>D31/D11</f>
        <v>6.162538439848967E-2</v>
      </c>
      <c r="E45" s="208">
        <f>E31/E11</f>
        <v>7.1928376173738706E-2</v>
      </c>
      <c r="F45" s="208">
        <f>F31/F11</f>
        <v>8.0198861166521959E-2</v>
      </c>
      <c r="G45" s="208">
        <f>G31/G11</f>
        <v>8.897821948936234E-2</v>
      </c>
      <c r="H45" s="13">
        <f>H31</f>
        <v>0.13025045335040586</v>
      </c>
      <c r="I45" s="208"/>
      <c r="J45" s="207"/>
      <c r="K45" s="207"/>
      <c r="L45" s="207"/>
      <c r="M45" s="207"/>
      <c r="N45" s="207"/>
      <c r="O45" s="208"/>
      <c r="Q45" s="5"/>
      <c r="R45" s="5"/>
      <c r="S45" s="26"/>
      <c r="T45" s="26"/>
      <c r="U45" s="26"/>
      <c r="V45" s="26"/>
      <c r="W45" s="26"/>
      <c r="X45" s="26"/>
    </row>
    <row r="46" spans="2:24">
      <c r="B46" s="5" t="s">
        <v>505</v>
      </c>
      <c r="C46" s="207"/>
      <c r="D46" s="208">
        <f>(D31+D32)/D11</f>
        <v>6.162538439848967E-2</v>
      </c>
      <c r="E46" s="208">
        <f>(E31+E32)/E11</f>
        <v>7.1928376173738706E-2</v>
      </c>
      <c r="F46" s="208">
        <f>(F31+F32)/F11</f>
        <v>8.0198861166521959E-2</v>
      </c>
      <c r="G46" s="208">
        <f>(G31+G32)/G11</f>
        <v>8.897821948936234E-2</v>
      </c>
      <c r="H46" s="233">
        <f>((G31+G32)/(D31+D32))^(1/3)-1</f>
        <v>0.13025045335040586</v>
      </c>
      <c r="I46" s="207"/>
      <c r="J46" s="207"/>
      <c r="K46" s="207"/>
      <c r="L46" s="207"/>
      <c r="M46" s="207"/>
      <c r="N46" s="207"/>
      <c r="O46" s="14"/>
      <c r="Q46" s="5"/>
      <c r="R46" s="5"/>
      <c r="S46" s="26"/>
      <c r="T46" s="26"/>
      <c r="U46" s="26"/>
      <c r="V46" s="26"/>
      <c r="W46" s="26"/>
      <c r="X46" s="26"/>
    </row>
    <row r="47" spans="2:24">
      <c r="B47" s="5" t="s">
        <v>482</v>
      </c>
      <c r="C47" s="5"/>
      <c r="D47" s="208">
        <f>1/D43</f>
        <v>7.495121106040091E-2</v>
      </c>
      <c r="E47" s="208">
        <f>1/E43</f>
        <v>9.0405321750279197E-2</v>
      </c>
      <c r="F47" s="208">
        <f>1/F43</f>
        <v>0.10124139844991807</v>
      </c>
      <c r="G47" s="208">
        <f>1/G43</f>
        <v>0.11328903439158826</v>
      </c>
      <c r="H47" s="13">
        <f>H29</f>
        <v>0.1476331207795043</v>
      </c>
      <c r="I47" s="13"/>
      <c r="J47" s="208"/>
      <c r="K47" s="208"/>
      <c r="L47" s="208"/>
      <c r="M47" s="208"/>
      <c r="N47" s="208"/>
      <c r="O47" s="208"/>
      <c r="Q47" s="5"/>
      <c r="R47" s="5"/>
      <c r="S47" s="26"/>
      <c r="T47" s="26"/>
      <c r="U47" s="26"/>
      <c r="V47" s="26"/>
      <c r="W47" s="26"/>
      <c r="X47" s="26"/>
    </row>
    <row r="48" spans="2:24">
      <c r="B48" s="5" t="s">
        <v>518</v>
      </c>
      <c r="C48" s="5"/>
      <c r="D48" s="248">
        <f>D31/D29</f>
        <v>0.82220665318973485</v>
      </c>
      <c r="E48" s="248">
        <f>E31/E29</f>
        <v>0.79562104067747053</v>
      </c>
      <c r="F48" s="248">
        <f>F31/F29</f>
        <v>0.79215481408225108</v>
      </c>
      <c r="G48" s="248">
        <f>G31/G29</f>
        <v>0.78540893182834826</v>
      </c>
      <c r="H48" s="233" t="s">
        <v>507</v>
      </c>
      <c r="I48" s="207"/>
      <c r="J48" s="207"/>
      <c r="K48" s="207"/>
      <c r="L48" s="207"/>
      <c r="M48" s="207"/>
      <c r="N48" s="207"/>
      <c r="O48" s="208"/>
      <c r="Q48" s="5"/>
      <c r="R48" s="5"/>
      <c r="S48" s="26"/>
      <c r="T48" s="26"/>
      <c r="U48" s="26"/>
      <c r="V48" s="26"/>
      <c r="W48" s="26"/>
      <c r="X48" s="26"/>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0">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1270</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156</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96</v>
      </c>
      <c r="C9" s="221">
        <f>Prices!C52</f>
        <v>119.08</v>
      </c>
      <c r="D9" s="412">
        <v>0</v>
      </c>
      <c r="E9" s="413">
        <v>0</v>
      </c>
      <c r="F9" s="413">
        <v>0</v>
      </c>
      <c r="G9" s="413">
        <v>0</v>
      </c>
      <c r="H9" s="209"/>
      <c r="I9" s="209"/>
      <c r="J9" s="5" t="s">
        <v>225</v>
      </c>
      <c r="L9" s="406" t="e">
        <f>#REF!</f>
        <v>#REF!</v>
      </c>
      <c r="M9" s="406" t="e">
        <f>#REF!</f>
        <v>#REF!</v>
      </c>
      <c r="N9" s="406" t="e">
        <f>#REF!</f>
        <v>#REF!</v>
      </c>
      <c r="O9" s="406" t="e">
        <f>#REF!</f>
        <v>#REF!</v>
      </c>
      <c r="P9" s="14" t="e">
        <f>#REF!</f>
        <v>#REF!</v>
      </c>
    </row>
    <row r="10" spans="2:44">
      <c r="B10" s="5" t="s">
        <v>226</v>
      </c>
      <c r="C10" s="5"/>
      <c r="D10" s="408">
        <v>346.51651624156847</v>
      </c>
      <c r="E10" s="408">
        <v>346.51651624156847</v>
      </c>
      <c r="F10" s="408">
        <v>346.51651624156847</v>
      </c>
      <c r="G10" s="408">
        <v>346.51651624156847</v>
      </c>
      <c r="H10" s="207"/>
      <c r="I10" s="207"/>
      <c r="J10" s="5" t="s">
        <v>158</v>
      </c>
      <c r="L10" s="406" t="e">
        <f>#REF!</f>
        <v>#REF!</v>
      </c>
      <c r="M10" s="406" t="e">
        <f>#REF!</f>
        <v>#REF!</v>
      </c>
      <c r="N10" s="406" t="e">
        <f>#REF!</f>
        <v>#REF!</v>
      </c>
      <c r="O10" s="406" t="e">
        <f>#REF!</f>
        <v>#REF!</v>
      </c>
      <c r="P10" s="14" t="e">
        <f>#REF!</f>
        <v>#REF!</v>
      </c>
    </row>
    <row r="11" spans="2:44">
      <c r="B11" s="25" t="s">
        <v>227</v>
      </c>
      <c r="C11" s="5"/>
      <c r="D11" s="409">
        <f>$C$9*D10</f>
        <v>41263.186754045972</v>
      </c>
      <c r="E11" s="409">
        <f>$C$9*E10</f>
        <v>41263.186754045972</v>
      </c>
      <c r="F11" s="409">
        <f>$C$9*F10</f>
        <v>41263.186754045972</v>
      </c>
      <c r="G11" s="409">
        <f>$C$9*G10</f>
        <v>41263.186754045972</v>
      </c>
      <c r="H11" s="209"/>
      <c r="I11" s="209"/>
      <c r="J11" s="5" t="s">
        <v>159</v>
      </c>
      <c r="L11" s="406" t="e">
        <f>#REF!</f>
        <v>#REF!</v>
      </c>
      <c r="M11" s="406" t="e">
        <f>#REF!</f>
        <v>#REF!</v>
      </c>
      <c r="N11" s="406" t="e">
        <f>#REF!</f>
        <v>#REF!</v>
      </c>
      <c r="O11" s="406" t="e">
        <f>#REF!</f>
        <v>#REF!</v>
      </c>
      <c r="P11" s="14" t="e">
        <f>#REF!</f>
        <v>#REF!</v>
      </c>
    </row>
    <row r="12" spans="2:44">
      <c r="B12" s="5" t="s">
        <v>22</v>
      </c>
      <c r="C12" s="209"/>
      <c r="D12" s="410">
        <v>22472.47609007547</v>
      </c>
      <c r="E12" s="410">
        <v>-1395.6763029122885</v>
      </c>
      <c r="F12" s="410">
        <v>-10646.595333070418</v>
      </c>
      <c r="G12" s="410">
        <v>-11712.952216112106</v>
      </c>
      <c r="H12" s="207"/>
      <c r="I12" s="207"/>
      <c r="J12" s="5" t="s">
        <v>381</v>
      </c>
      <c r="L12" s="406" t="e">
        <f>#REF!</f>
        <v>#REF!</v>
      </c>
      <c r="M12" s="406" t="e">
        <f>#REF!</f>
        <v>#REF!</v>
      </c>
      <c r="N12" s="406" t="e">
        <f>#REF!</f>
        <v>#REF!</v>
      </c>
      <c r="O12" s="406" t="e">
        <f>#REF!</f>
        <v>#REF!</v>
      </c>
      <c r="P12" s="14" t="e">
        <f>#REF!</f>
        <v>#REF!</v>
      </c>
    </row>
    <row r="13" spans="2:44">
      <c r="B13" s="5" t="s">
        <v>433</v>
      </c>
      <c r="C13" s="216"/>
      <c r="D13" s="410">
        <v>0</v>
      </c>
      <c r="E13" s="410">
        <v>0</v>
      </c>
      <c r="F13" s="410">
        <v>0</v>
      </c>
      <c r="G13" s="410">
        <v>0</v>
      </c>
      <c r="H13" s="207"/>
      <c r="I13" s="207"/>
      <c r="J13" s="5" t="s">
        <v>434</v>
      </c>
      <c r="L13" s="406" t="e">
        <f>#REF!</f>
        <v>#REF!</v>
      </c>
      <c r="M13" s="406" t="e">
        <f>#REF!</f>
        <v>#REF!</v>
      </c>
      <c r="N13" s="406" t="e">
        <f>#REF!</f>
        <v>#REF!</v>
      </c>
      <c r="O13" s="406" t="e">
        <f>#REF!</f>
        <v>#REF!</v>
      </c>
      <c r="P13" s="14" t="e">
        <f>#REF!</f>
        <v>#REF!</v>
      </c>
    </row>
    <row r="14" spans="2:44">
      <c r="B14" s="5" t="s">
        <v>436</v>
      </c>
      <c r="C14" s="216"/>
      <c r="D14" s="410">
        <v>136.45500000000001</v>
      </c>
      <c r="E14" s="410">
        <v>136.45500000000001</v>
      </c>
      <c r="F14" s="410">
        <v>136.45500000000001</v>
      </c>
      <c r="G14" s="410">
        <v>136.45500000000001</v>
      </c>
      <c r="H14" s="207"/>
      <c r="I14" s="207"/>
      <c r="J14" s="5" t="s">
        <v>493</v>
      </c>
      <c r="L14" s="406" t="e">
        <f>#REF!</f>
        <v>#REF!</v>
      </c>
      <c r="M14" s="406" t="e">
        <f>#REF!</f>
        <v>#REF!</v>
      </c>
      <c r="N14" s="406" t="e">
        <f>#REF!</f>
        <v>#REF!</v>
      </c>
      <c r="O14" s="406" t="e">
        <f>#REF!</f>
        <v>#REF!</v>
      </c>
      <c r="P14" s="14" t="e">
        <f>#REF!</f>
        <v>#REF!</v>
      </c>
    </row>
    <row r="15" spans="2:44">
      <c r="B15" s="5" t="s">
        <v>435</v>
      </c>
      <c r="C15" s="228"/>
      <c r="D15" s="410">
        <v>529.053</v>
      </c>
      <c r="E15" s="410">
        <v>529.053</v>
      </c>
      <c r="F15" s="410">
        <v>529.053</v>
      </c>
      <c r="G15" s="410">
        <v>529.053</v>
      </c>
      <c r="H15" s="207"/>
      <c r="I15" s="207"/>
      <c r="J15" s="5" t="s">
        <v>390</v>
      </c>
      <c r="L15" s="406" t="e">
        <f>#REF!</f>
        <v>#REF!</v>
      </c>
      <c r="M15" s="406" t="e">
        <f>#REF!</f>
        <v>#REF!</v>
      </c>
      <c r="N15" s="406" t="e">
        <f>#REF!</f>
        <v>#REF!</v>
      </c>
      <c r="O15" s="406" t="e">
        <f>#REF!</f>
        <v>#REF!</v>
      </c>
      <c r="P15" s="14" t="e">
        <f>#REF!</f>
        <v>#REF!</v>
      </c>
    </row>
    <row r="16" spans="2:44">
      <c r="B16" s="5" t="s">
        <v>438</v>
      </c>
      <c r="C16" s="216"/>
      <c r="D16" s="410">
        <v>0</v>
      </c>
      <c r="E16" s="410">
        <v>0</v>
      </c>
      <c r="F16" s="410">
        <v>0</v>
      </c>
      <c r="G16" s="410">
        <v>0</v>
      </c>
      <c r="H16" s="207"/>
      <c r="I16" s="207"/>
      <c r="J16" s="5" t="s">
        <v>437</v>
      </c>
      <c r="L16" s="406" t="e">
        <f>#REF!</f>
        <v>#REF!</v>
      </c>
      <c r="M16" s="406" t="e">
        <f>#REF!</f>
        <v>#REF!</v>
      </c>
      <c r="N16" s="406" t="e">
        <f>#REF!</f>
        <v>#REF!</v>
      </c>
      <c r="O16" s="406" t="e">
        <f>#REF!</f>
        <v>#REF!</v>
      </c>
      <c r="P16" s="14" t="e">
        <f>#REF!</f>
        <v>#REF!</v>
      </c>
    </row>
    <row r="17" spans="2:24">
      <c r="B17" s="5" t="s">
        <v>4</v>
      </c>
      <c r="C17" s="216"/>
      <c r="D17" s="410">
        <v>0</v>
      </c>
      <c r="E17" s="410">
        <v>0</v>
      </c>
      <c r="F17" s="410">
        <v>0</v>
      </c>
      <c r="G17" s="410">
        <v>0</v>
      </c>
      <c r="H17" s="207"/>
      <c r="I17" s="207"/>
      <c r="J17" s="5" t="s">
        <v>481</v>
      </c>
      <c r="L17" s="14" t="e">
        <f>#REF!</f>
        <v>#REF!</v>
      </c>
      <c r="M17" s="14" t="e">
        <f>#REF!</f>
        <v>#REF!</v>
      </c>
      <c r="N17" s="14" t="e">
        <f>#REF!</f>
        <v>#REF!</v>
      </c>
      <c r="O17" s="14" t="e">
        <f>#REF!</f>
        <v>#REF!</v>
      </c>
      <c r="P17" s="14" t="e">
        <f>#REF!</f>
        <v>#REF!</v>
      </c>
      <c r="S17" s="72"/>
      <c r="T17" s="26"/>
      <c r="U17" s="26"/>
      <c r="V17" s="26"/>
      <c r="W17" s="26"/>
      <c r="X17" s="26"/>
    </row>
    <row r="18" spans="2:24" ht="12.6" thickBot="1">
      <c r="B18" s="25" t="s">
        <v>484</v>
      </c>
      <c r="C18" s="209"/>
      <c r="D18" s="411">
        <f>D11+D12+D13-D14+D15-D16-D17</f>
        <v>64128.26084412144</v>
      </c>
      <c r="E18" s="411">
        <f>E11+E12+E13-E14+E15-E16-E17</f>
        <v>40260.108451133681</v>
      </c>
      <c r="F18" s="411">
        <f>F11+F12+F13-F14+F15-F16-F17</f>
        <v>31009.189420975552</v>
      </c>
      <c r="G18" s="411">
        <f>G11+G12+G13-G14+G15-G16-G17</f>
        <v>29942.832537933864</v>
      </c>
      <c r="H18" s="230">
        <f>IF(D18=0,"nm",IF(G18=0,"nm",(G18/D18)^(1/3)-1))</f>
        <v>-0.22420351694624141</v>
      </c>
      <c r="I18" s="214"/>
      <c r="J18" s="5" t="s">
        <v>33</v>
      </c>
      <c r="L18" s="14" t="e">
        <f>#REF!</f>
        <v>#REF!</v>
      </c>
      <c r="M18" s="14" t="e">
        <f>#REF!</f>
        <v>#REF!</v>
      </c>
      <c r="N18" s="14" t="e">
        <f>#REF!</f>
        <v>#REF!</v>
      </c>
      <c r="O18" s="14" t="e">
        <f>#REF!</f>
        <v>#REF!</v>
      </c>
      <c r="P18" s="14" t="e">
        <f>#REF!</f>
        <v>#REF!</v>
      </c>
      <c r="S18" s="72"/>
      <c r="T18" s="26"/>
      <c r="U18" s="26"/>
      <c r="V18" s="26"/>
      <c r="W18" s="26"/>
      <c r="X18" s="26"/>
    </row>
    <row r="19" spans="2:24" ht="12.6" thickTop="1">
      <c r="B19" s="25"/>
      <c r="C19" s="209"/>
      <c r="D19" s="189"/>
      <c r="E19" s="189"/>
      <c r="F19" s="189"/>
      <c r="G19" s="189"/>
      <c r="H19" s="230"/>
      <c r="I19" s="214"/>
      <c r="J19" s="5" t="s">
        <v>482</v>
      </c>
      <c r="L19" s="14" t="e">
        <f>#REF!</f>
        <v>#REF!</v>
      </c>
      <c r="M19" s="14" t="e">
        <f>#REF!</f>
        <v>#REF!</v>
      </c>
      <c r="N19" s="14" t="e">
        <f>#REF!</f>
        <v>#REF!</v>
      </c>
      <c r="O19" s="14" t="e">
        <f>#REF!</f>
        <v>#REF!</v>
      </c>
      <c r="P19" s="14" t="e">
        <f>#REF!</f>
        <v>#REF!</v>
      </c>
      <c r="S19" s="72"/>
      <c r="T19" s="26"/>
      <c r="U19" s="26"/>
      <c r="V19" s="26"/>
      <c r="W19" s="26"/>
      <c r="X19" s="26"/>
    </row>
    <row r="20" spans="2:24">
      <c r="H20" s="231"/>
      <c r="I20" s="13"/>
      <c r="J20" s="5" t="s">
        <v>504</v>
      </c>
      <c r="L20" s="425" t="e">
        <f>#REF!</f>
        <v>#REF!</v>
      </c>
      <c r="M20" s="425" t="e">
        <f>#REF!</f>
        <v>#REF!</v>
      </c>
      <c r="N20" s="425" t="e">
        <f>#REF!</f>
        <v>#REF!</v>
      </c>
      <c r="O20" s="425" t="e">
        <f>#REF!</f>
        <v>#REF!</v>
      </c>
      <c r="P20" s="14" t="e">
        <f>#REF!</f>
        <v>#REF!</v>
      </c>
      <c r="S20" s="72"/>
      <c r="T20" s="26"/>
      <c r="U20" s="26"/>
      <c r="V20" s="26"/>
      <c r="W20" s="26"/>
      <c r="X20" s="26"/>
    </row>
    <row r="21" spans="2:24" ht="12.6" thickBot="1">
      <c r="B21" s="249" t="s">
        <v>758</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15825.516</v>
      </c>
      <c r="D23" s="410">
        <v>15025.188101317321</v>
      </c>
      <c r="E23" s="410">
        <v>14291.907764446245</v>
      </c>
      <c r="F23" s="410">
        <v>13810.346850715481</v>
      </c>
      <c r="G23" s="410">
        <v>13366.680921974237</v>
      </c>
      <c r="H23" s="233">
        <f>IF(D23=0,"nm",IF(G23=0,"nm",(G23/D23)^(1/3)-1))</f>
        <v>-3.8237393102962147E-2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1626.1229999999989</v>
      </c>
      <c r="D24" s="410">
        <v>1093.2286716193894</v>
      </c>
      <c r="E24" s="410">
        <v>2046.1054064598047</v>
      </c>
      <c r="F24" s="410">
        <v>2182.24135684047</v>
      </c>
      <c r="G24" s="410">
        <v>2244.278410790514</v>
      </c>
      <c r="H24" s="233">
        <f>IF(D24=0,"nm",IF(G24=0,"nm",(G24/D24)^(1/3)-1))</f>
        <v>0.27093080455689433</v>
      </c>
      <c r="I24" s="209"/>
      <c r="J24" s="13"/>
      <c r="K24" s="13"/>
      <c r="L24" s="13"/>
      <c r="M24" s="13"/>
      <c r="N24" s="13"/>
      <c r="O24" s="208"/>
      <c r="S24" s="72"/>
      <c r="T24" s="26"/>
      <c r="U24" s="26"/>
      <c r="V24" s="26"/>
      <c r="W24" s="26" t="s">
        <v>229</v>
      </c>
      <c r="X24" s="26" t="s">
        <v>66</v>
      </c>
    </row>
    <row r="25" spans="2:24">
      <c r="B25" s="5" t="s">
        <v>157</v>
      </c>
      <c r="C25" s="422">
        <v>81.245999999998958</v>
      </c>
      <c r="D25" s="410">
        <v>97.559722509875769</v>
      </c>
      <c r="E25" s="410">
        <v>1273.8595823535577</v>
      </c>
      <c r="F25" s="410">
        <v>1811.182909599989</v>
      </c>
      <c r="G25" s="410">
        <v>1907.2721525226357</v>
      </c>
      <c r="H25" s="233">
        <f>IF(D25=0,"nm",IF(G25=0,"nm",(G25/D25)^(1/3)-1))</f>
        <v>1.6938952456665</v>
      </c>
      <c r="I25" s="208"/>
      <c r="J25" s="207" t="s">
        <v>8</v>
      </c>
      <c r="K25" s="207"/>
      <c r="L25" s="252">
        <v>0</v>
      </c>
      <c r="M25" s="252">
        <v>0</v>
      </c>
      <c r="N25" s="252">
        <v>0</v>
      </c>
      <c r="O25" s="252">
        <v>0</v>
      </c>
      <c r="P25" s="233" t="str">
        <f>IF(L25=0,"nm",IF(O25=0,"nm",(O25/L25)^(1/3)-1))</f>
        <v>nm</v>
      </c>
      <c r="S25" s="72"/>
      <c r="T25" s="26"/>
      <c r="U25" s="26"/>
      <c r="V25" s="113" t="s">
        <v>225</v>
      </c>
      <c r="W25" s="242" t="e">
        <f>D37/L9</f>
        <v>#REF!</v>
      </c>
      <c r="X25" s="242">
        <v>1</v>
      </c>
    </row>
    <row r="26" spans="2:24">
      <c r="B26" s="5" t="s">
        <v>487</v>
      </c>
      <c r="C26" s="422">
        <v>-292.20700000000102</v>
      </c>
      <c r="D26" s="410">
        <v>-565.14788258289559</v>
      </c>
      <c r="E26" s="410">
        <v>635.40375412633671</v>
      </c>
      <c r="F26" s="410">
        <v>1048.1309590470157</v>
      </c>
      <c r="G26" s="410">
        <v>1074.3568830416898</v>
      </c>
      <c r="H26" s="233">
        <f>IF(D26=0,"nm",IF(G26=0,"nm",(G26/D26)^(1/3)-1))</f>
        <v>-2.2387837180929218</v>
      </c>
      <c r="I26" s="209"/>
      <c r="J26" s="209" t="s">
        <v>9</v>
      </c>
      <c r="K26" s="209"/>
      <c r="L26" s="235">
        <f>D11+L25</f>
        <v>41263.186754045972</v>
      </c>
      <c r="M26" s="235">
        <f>E11+M25</f>
        <v>41263.186754045972</v>
      </c>
      <c r="N26" s="235">
        <f>F11+N25</f>
        <v>41263.186754045972</v>
      </c>
      <c r="O26" s="235">
        <f>G11+O25</f>
        <v>41263.186754045972</v>
      </c>
      <c r="P26" s="233">
        <f>IF(L26=0,"nm",IF(O26=0,"nm",(O26/L26)^(1/3)-1))</f>
        <v>0</v>
      </c>
      <c r="Q26" s="5"/>
      <c r="S26" s="72"/>
      <c r="T26" s="26"/>
      <c r="U26" s="26"/>
      <c r="V26" s="113" t="s">
        <v>158</v>
      </c>
      <c r="W26" s="242" t="e">
        <f t="shared" ref="W26:W32" si="4">D38/L10</f>
        <v>#REF!</v>
      </c>
      <c r="X26" s="242">
        <v>1</v>
      </c>
    </row>
    <row r="27" spans="2:24">
      <c r="B27" s="5" t="s">
        <v>488</v>
      </c>
      <c r="C27" s="423">
        <v>36768.281999999999</v>
      </c>
      <c r="D27" s="410">
        <v>37133.631000000001</v>
      </c>
      <c r="E27" s="410">
        <v>37192.249000000003</v>
      </c>
      <c r="F27" s="410">
        <v>36991.059000000001</v>
      </c>
      <c r="G27" s="410">
        <v>36469.794234944442</v>
      </c>
      <c r="H27" s="233">
        <f>IF(ISERROR((G27/D27)^(1/3)-1),"na",(G27/D27)^(1/3)-1)</f>
        <v>-5.9948561048273064E-3</v>
      </c>
      <c r="I27" s="209"/>
      <c r="J27" s="208"/>
      <c r="K27" s="208"/>
      <c r="L27" s="208"/>
      <c r="M27" s="208"/>
      <c r="N27" s="208"/>
      <c r="O27" s="208"/>
      <c r="Q27" s="25"/>
      <c r="S27" s="72"/>
      <c r="T27" s="26"/>
      <c r="U27" s="26"/>
      <c r="V27" s="113" t="s">
        <v>159</v>
      </c>
      <c r="W27" s="242" t="e">
        <f t="shared" si="4"/>
        <v>#REF!</v>
      </c>
      <c r="X27" s="242">
        <v>1</v>
      </c>
    </row>
    <row r="28" spans="2:24" ht="12.6" thickBot="1">
      <c r="B28" s="5" t="s">
        <v>492</v>
      </c>
      <c r="C28" s="422">
        <v>7877.7359999999999</v>
      </c>
      <c r="D28" s="410">
        <v>8477.56</v>
      </c>
      <c r="E28" s="410">
        <v>9106.99</v>
      </c>
      <c r="F28" s="410">
        <v>9369.5830000000005</v>
      </c>
      <c r="G28" s="410">
        <v>9688.7359004712489</v>
      </c>
      <c r="H28" s="233">
        <f>IF(ISERROR((G28/D28)^(1/3)-1),"na",(G28/D28)^(1/3)-1)</f>
        <v>4.5519366726737731E-2</v>
      </c>
      <c r="I28" s="208"/>
      <c r="J28" s="249" t="s">
        <v>1073</v>
      </c>
      <c r="K28" s="249"/>
      <c r="L28" s="249"/>
      <c r="M28" s="249"/>
      <c r="N28" s="220"/>
      <c r="O28" s="220"/>
      <c r="P28" s="220"/>
      <c r="Q28" s="5"/>
      <c r="S28" s="72"/>
      <c r="T28" s="26"/>
      <c r="U28" s="26"/>
      <c r="V28" s="113" t="s">
        <v>381</v>
      </c>
      <c r="W28" s="242" t="e">
        <f t="shared" si="4"/>
        <v>#REF!</v>
      </c>
      <c r="X28" s="242">
        <v>1</v>
      </c>
    </row>
    <row r="29" spans="2:24" ht="12.6" thickTop="1">
      <c r="B29" s="5" t="s">
        <v>489</v>
      </c>
      <c r="C29" s="422">
        <v>234.17467413915347</v>
      </c>
      <c r="D29" s="410">
        <v>1352.2482049645382</v>
      </c>
      <c r="E29" s="410">
        <v>362.52004337548738</v>
      </c>
      <c r="F29" s="410">
        <v>790.85569963490866</v>
      </c>
      <c r="G29" s="410">
        <v>1178.9628888996112</v>
      </c>
      <c r="H29" s="233">
        <f>IF(ISERROR((G29/D29)^(1/3)-1),"na",(G29/D29)^(1/3)-1)</f>
        <v>-4.4682118179183772E-2</v>
      </c>
      <c r="I29" s="212"/>
      <c r="J29" s="209"/>
      <c r="K29" s="209"/>
      <c r="L29" s="209"/>
      <c r="M29" s="209"/>
      <c r="N29" s="209"/>
      <c r="O29" s="211"/>
      <c r="Q29" s="5"/>
      <c r="S29" s="72"/>
      <c r="T29" s="26"/>
      <c r="U29" s="26"/>
      <c r="V29" s="113" t="s">
        <v>434</v>
      </c>
      <c r="W29" s="242" t="e">
        <f t="shared" si="4"/>
        <v>#REF!</v>
      </c>
      <c r="X29" s="242">
        <v>1</v>
      </c>
    </row>
    <row r="30" spans="2:24">
      <c r="B30" s="5" t="s">
        <v>490</v>
      </c>
      <c r="C30" s="422">
        <v>-151.14132586084659</v>
      </c>
      <c r="D30" s="410">
        <v>470.60627928156714</v>
      </c>
      <c r="E30" s="410">
        <v>31.428789270284316</v>
      </c>
      <c r="F30" s="410">
        <v>411.96616903319585</v>
      </c>
      <c r="G30" s="410">
        <v>809.76011523794693</v>
      </c>
      <c r="H30" s="233">
        <f>IF(D30=0,"nm",IF(G30=0,"nm",(G30/D30)^(1/3)-1))</f>
        <v>0.19830182673544683</v>
      </c>
      <c r="I30" s="214"/>
      <c r="J30" s="208"/>
      <c r="K30" s="208"/>
      <c r="L30" s="208"/>
      <c r="M30" s="208"/>
      <c r="N30" s="208"/>
      <c r="O30" s="5"/>
      <c r="Q30" s="5"/>
      <c r="S30" s="72"/>
      <c r="T30" s="26"/>
      <c r="U30" s="26"/>
      <c r="V30" s="113" t="s">
        <v>493</v>
      </c>
      <c r="W30" s="242" t="e">
        <f t="shared" si="4"/>
        <v>#REF!</v>
      </c>
      <c r="X30" s="242">
        <v>1</v>
      </c>
    </row>
    <row r="31" spans="2:24">
      <c r="B31" s="5" t="s">
        <v>491</v>
      </c>
      <c r="C31" s="423">
        <v>0</v>
      </c>
      <c r="D31" s="410">
        <v>0</v>
      </c>
      <c r="E31" s="410">
        <v>0</v>
      </c>
      <c r="F31" s="410">
        <v>0</v>
      </c>
      <c r="G31" s="410">
        <v>0</v>
      </c>
      <c r="H31" s="233" t="str">
        <f>IF(D31=0,"nm",IF(G31=0,"nm",(G31/D31)^(1/3)-1))</f>
        <v>nm</v>
      </c>
      <c r="I31" s="214"/>
      <c r="J31" s="212"/>
      <c r="K31" s="212"/>
      <c r="L31" s="212"/>
      <c r="M31" s="212"/>
      <c r="N31" s="212"/>
      <c r="O31" s="5"/>
      <c r="Q31" s="5"/>
      <c r="S31" s="72"/>
      <c r="T31" s="26"/>
      <c r="U31" s="26"/>
      <c r="V31" s="113" t="s">
        <v>123</v>
      </c>
      <c r="W31" s="242" t="e">
        <f t="shared" si="4"/>
        <v>#REF!</v>
      </c>
      <c r="X31" s="242">
        <v>1</v>
      </c>
    </row>
    <row r="32" spans="2:24">
      <c r="B32" s="5" t="s">
        <v>506</v>
      </c>
      <c r="C32" s="424">
        <v>0</v>
      </c>
      <c r="D32" s="410">
        <v>0</v>
      </c>
      <c r="E32" s="410">
        <v>0</v>
      </c>
      <c r="F32" s="410">
        <v>0</v>
      </c>
      <c r="G32" s="410">
        <v>0</v>
      </c>
      <c r="H32" s="233" t="str">
        <f>IF(D32=0,"nm",IF(G32=0,"nm",(G32/D32)^(1/3)-1))</f>
        <v>nm</v>
      </c>
      <c r="I32" s="214"/>
      <c r="J32" s="214"/>
      <c r="K32" s="214"/>
      <c r="L32" s="214"/>
      <c r="M32" s="214"/>
      <c r="N32" s="214"/>
      <c r="O32" s="211"/>
      <c r="Q32" s="5"/>
      <c r="S32" s="72"/>
      <c r="T32" s="26"/>
      <c r="U32" s="26"/>
      <c r="V32" s="113" t="s">
        <v>437</v>
      </c>
      <c r="W32" s="242" t="e">
        <f t="shared" si="4"/>
        <v>#REF!</v>
      </c>
      <c r="X32" s="242">
        <v>1</v>
      </c>
    </row>
    <row r="33" spans="2:24">
      <c r="B33" s="5" t="s">
        <v>3</v>
      </c>
      <c r="C33" s="423">
        <v>1429.588</v>
      </c>
      <c r="D33" s="410">
        <v>1679.6598093749999</v>
      </c>
      <c r="E33" s="410">
        <v>1325.58830375</v>
      </c>
      <c r="F33" s="410">
        <v>562.38022846249976</v>
      </c>
      <c r="G33" s="410">
        <v>528.45000000000005</v>
      </c>
      <c r="H33" s="233">
        <f>IF(ISERROR((G33/D33)^(1/3)-1),"na",(G33/D33)^(1/3)-1)</f>
        <v>-0.31986646244824068</v>
      </c>
      <c r="I33" s="5"/>
      <c r="J33" s="214"/>
      <c r="K33" s="214"/>
      <c r="L33" s="214"/>
      <c r="M33" s="214"/>
      <c r="N33" s="214"/>
      <c r="O33" s="211"/>
      <c r="Q33" s="5"/>
      <c r="S33" s="72"/>
      <c r="T33" s="26"/>
      <c r="U33" s="26"/>
      <c r="V33" s="113" t="s">
        <v>481</v>
      </c>
      <c r="W33" s="242">
        <v>0</v>
      </c>
      <c r="X33" s="242">
        <v>1</v>
      </c>
    </row>
    <row r="34" spans="2:24">
      <c r="D34" s="5"/>
      <c r="E34" s="5"/>
      <c r="F34" s="5"/>
      <c r="G34" s="5"/>
      <c r="I34" s="33"/>
      <c r="J34" s="214"/>
      <c r="K34" s="214"/>
      <c r="L34" s="214"/>
      <c r="M34" s="214"/>
      <c r="N34" s="214"/>
      <c r="O34" s="211"/>
      <c r="Q34" s="5"/>
      <c r="S34" s="72"/>
      <c r="T34" s="26"/>
      <c r="U34" s="26"/>
      <c r="V34" s="113" t="s">
        <v>124</v>
      </c>
      <c r="W34" s="242" t="e">
        <f>D47/L19</f>
        <v>#REF!</v>
      </c>
      <c r="X34" s="242">
        <v>1</v>
      </c>
    </row>
    <row r="35" spans="2:24" ht="12.6" thickBot="1">
      <c r="B35" s="249" t="s">
        <v>538</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4.2680504504631829</v>
      </c>
      <c r="E37" s="406">
        <f t="shared" ref="E37:G41" si="6">E$18/E23</f>
        <v>2.8169863054453881</v>
      </c>
      <c r="F37" s="406">
        <f t="shared" si="6"/>
        <v>2.2453592046726212</v>
      </c>
      <c r="G37" s="406">
        <f t="shared" si="6"/>
        <v>2.2401097709087345</v>
      </c>
      <c r="H37" s="13">
        <f t="shared" ref="H37:H46" si="7">H23</f>
        <v>-3.8237393102962147E-2</v>
      </c>
      <c r="I37" s="5"/>
      <c r="J37" s="217"/>
      <c r="K37" s="217"/>
      <c r="L37" s="217"/>
      <c r="M37" s="217"/>
      <c r="N37" s="217"/>
      <c r="O37" s="14"/>
      <c r="Q37" s="5"/>
      <c r="R37" s="5"/>
      <c r="S37" s="26"/>
      <c r="T37" s="26"/>
      <c r="U37" s="26"/>
      <c r="V37" s="26"/>
      <c r="W37" s="26"/>
      <c r="X37" s="26"/>
    </row>
    <row r="38" spans="2:24">
      <c r="B38" s="5" t="s">
        <v>158</v>
      </c>
      <c r="C38" s="207"/>
      <c r="D38" s="406">
        <f>D$18/D24</f>
        <v>58.659512423076912</v>
      </c>
      <c r="E38" s="406">
        <f>E$18/E24</f>
        <v>19.676458663384398</v>
      </c>
      <c r="F38" s="406">
        <f>F$18/F24</f>
        <v>14.209789088532263</v>
      </c>
      <c r="G38" s="406">
        <f t="shared" si="6"/>
        <v>13.341852951028006</v>
      </c>
      <c r="H38" s="13">
        <f t="shared" si="7"/>
        <v>0.27093080455689433</v>
      </c>
      <c r="I38" s="217"/>
      <c r="J38" s="13"/>
      <c r="K38" s="13"/>
      <c r="L38" s="13"/>
      <c r="M38" s="13"/>
      <c r="N38" s="13"/>
      <c r="O38" s="5"/>
      <c r="Q38" s="5"/>
      <c r="R38" s="5"/>
      <c r="S38" s="26"/>
      <c r="T38" s="26"/>
      <c r="U38" s="26"/>
      <c r="V38" s="26"/>
      <c r="W38" s="26"/>
      <c r="X38" s="26"/>
    </row>
    <row r="39" spans="2:24">
      <c r="B39" s="5" t="s">
        <v>159</v>
      </c>
      <c r="C39" s="207"/>
      <c r="D39" s="406">
        <f>D$18/D25</f>
        <v>657.32311649031055</v>
      </c>
      <c r="E39" s="406">
        <f t="shared" si="6"/>
        <v>31.604824431865485</v>
      </c>
      <c r="F39" s="406">
        <f t="shared" si="6"/>
        <v>17.120959598621724</v>
      </c>
      <c r="G39" s="406">
        <f t="shared" si="6"/>
        <v>15.699297291333204</v>
      </c>
      <c r="H39" s="13">
        <f t="shared" si="7"/>
        <v>1.6938952456665</v>
      </c>
      <c r="I39" s="13"/>
      <c r="J39" s="5"/>
      <c r="K39" s="5"/>
      <c r="L39" s="5"/>
      <c r="M39" s="5"/>
      <c r="N39" s="5"/>
      <c r="O39" s="5"/>
      <c r="Q39" s="5"/>
      <c r="R39" s="5"/>
      <c r="S39" s="26"/>
      <c r="T39" s="26"/>
      <c r="U39" s="26"/>
      <c r="V39" s="26"/>
      <c r="W39" s="26"/>
      <c r="X39" s="26"/>
    </row>
    <row r="40" spans="2:24">
      <c r="B40" s="5" t="s">
        <v>381</v>
      </c>
      <c r="C40" s="207"/>
      <c r="D40" s="406">
        <f>D$18/D26</f>
        <v>-113.47164666181889</v>
      </c>
      <c r="E40" s="406">
        <f t="shared" si="6"/>
        <v>63.36145826914457</v>
      </c>
      <c r="F40" s="406">
        <f t="shared" si="6"/>
        <v>29.585224206305103</v>
      </c>
      <c r="G40" s="406">
        <f t="shared" si="6"/>
        <v>27.870471172633565</v>
      </c>
      <c r="H40" s="13">
        <f t="shared" si="7"/>
        <v>-2.2387837180929218</v>
      </c>
      <c r="I40" s="5"/>
      <c r="J40" s="217"/>
      <c r="K40" s="217"/>
      <c r="L40" s="217"/>
      <c r="M40" s="217"/>
      <c r="N40" s="217"/>
      <c r="O40" s="14"/>
      <c r="Q40" s="5"/>
      <c r="R40" s="5"/>
      <c r="S40" s="26"/>
      <c r="T40" s="26"/>
      <c r="U40" s="26"/>
      <c r="V40" s="26"/>
      <c r="W40" s="242"/>
      <c r="X40" s="242"/>
    </row>
    <row r="41" spans="2:24">
      <c r="B41" s="5" t="s">
        <v>434</v>
      </c>
      <c r="C41" s="207"/>
      <c r="D41" s="406">
        <f>D$18/D27</f>
        <v>1.7269590696401718</v>
      </c>
      <c r="E41" s="406">
        <f t="shared" si="6"/>
        <v>1.0824865269947423</v>
      </c>
      <c r="F41" s="406">
        <f t="shared" si="6"/>
        <v>0.83828877191581752</v>
      </c>
      <c r="G41" s="406">
        <f t="shared" si="6"/>
        <v>0.82103102488150026</v>
      </c>
      <c r="H41" s="13">
        <f t="shared" si="7"/>
        <v>-5.9948561048273064E-3</v>
      </c>
      <c r="I41" s="207"/>
      <c r="J41" s="13"/>
      <c r="K41" s="13"/>
      <c r="L41" s="13"/>
      <c r="M41" s="13"/>
      <c r="N41" s="13"/>
      <c r="O41" s="5"/>
      <c r="Q41" s="5"/>
      <c r="R41" s="5"/>
      <c r="S41" s="26"/>
      <c r="T41" s="26"/>
      <c r="U41" s="26"/>
      <c r="V41" s="26"/>
      <c r="W41" s="242"/>
      <c r="X41" s="242"/>
    </row>
    <row r="42" spans="2:24">
      <c r="B42" s="5" t="s">
        <v>493</v>
      </c>
      <c r="C42" s="207"/>
      <c r="D42" s="406">
        <f>D18/D28</f>
        <v>7.5644714804874802</v>
      </c>
      <c r="E42" s="406">
        <f>E18/E28</f>
        <v>4.4207919906724049</v>
      </c>
      <c r="F42" s="406">
        <f>F18/F28</f>
        <v>3.3095591789918024</v>
      </c>
      <c r="G42" s="406">
        <f>G18/G28</f>
        <v>3.0904787627122214</v>
      </c>
      <c r="H42" s="13">
        <f t="shared" si="7"/>
        <v>4.5519366726737731E-2</v>
      </c>
      <c r="I42" s="208"/>
      <c r="J42" s="5"/>
      <c r="K42" s="5"/>
      <c r="L42" s="5"/>
      <c r="M42" s="5"/>
      <c r="N42" s="5"/>
      <c r="O42" s="5"/>
      <c r="Q42" s="5"/>
      <c r="R42" s="5"/>
      <c r="S42" s="26"/>
      <c r="T42" s="26"/>
      <c r="U42" s="26"/>
      <c r="V42" s="26"/>
      <c r="W42" s="242"/>
      <c r="X42" s="242"/>
    </row>
    <row r="43" spans="2:24">
      <c r="B43" s="5" t="s">
        <v>390</v>
      </c>
      <c r="C43" s="207"/>
      <c r="D43" s="406">
        <f>L26/D29</f>
        <v>30.514506584335287</v>
      </c>
      <c r="E43" s="406">
        <f>M26/E29</f>
        <v>113.82318718114794</v>
      </c>
      <c r="F43" s="406">
        <f>N26/F29</f>
        <v>52.175367482455705</v>
      </c>
      <c r="G43" s="406">
        <f>O26/G29</f>
        <v>34.999563720414557</v>
      </c>
      <c r="H43" s="13">
        <f t="shared" si="7"/>
        <v>-4.4682118179183772E-2</v>
      </c>
      <c r="I43" s="207"/>
      <c r="J43" s="207"/>
      <c r="K43" s="207"/>
      <c r="L43" s="207"/>
      <c r="M43" s="207"/>
      <c r="N43" s="207"/>
      <c r="O43" s="14"/>
      <c r="Q43" s="5"/>
      <c r="R43" s="5"/>
      <c r="S43" s="26"/>
      <c r="T43" s="26"/>
      <c r="U43" s="26"/>
      <c r="V43" s="26"/>
      <c r="W43" s="242"/>
      <c r="X43" s="242"/>
    </row>
    <row r="44" spans="2:24">
      <c r="B44" s="5" t="s">
        <v>437</v>
      </c>
      <c r="C44" s="53"/>
      <c r="D44" s="406">
        <f>D11/D30</f>
        <v>87.680909861718845</v>
      </c>
      <c r="E44" s="406">
        <f>E11/E30</f>
        <v>1312.9104783256796</v>
      </c>
      <c r="F44" s="406">
        <f>F11/F30</f>
        <v>100.16159057643644</v>
      </c>
      <c r="G44" s="406">
        <f>G11/G30</f>
        <v>50.95729707793874</v>
      </c>
      <c r="H44" s="13">
        <f t="shared" si="7"/>
        <v>0.19830182673544683</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7"/>
        <v>nm</v>
      </c>
      <c r="I45" s="208"/>
      <c r="J45" s="207"/>
      <c r="K45" s="207"/>
      <c r="L45" s="207"/>
      <c r="M45" s="207"/>
      <c r="N45" s="207"/>
      <c r="O45" s="208"/>
      <c r="Q45" s="5"/>
      <c r="R45" s="5"/>
      <c r="S45" s="26"/>
      <c r="T45" s="26"/>
      <c r="U45" s="26"/>
      <c r="V45" s="26"/>
      <c r="W45" s="26"/>
      <c r="X45" s="26"/>
    </row>
    <row r="46" spans="2:24">
      <c r="B46" s="5" t="s">
        <v>505</v>
      </c>
      <c r="C46" s="207"/>
      <c r="D46" s="208">
        <f>(D31+D32)/D11</f>
        <v>0</v>
      </c>
      <c r="E46" s="208">
        <f>(E31+E32)/E11</f>
        <v>0</v>
      </c>
      <c r="F46" s="208">
        <f>(F31+F32)/F11</f>
        <v>0</v>
      </c>
      <c r="G46" s="208">
        <f>(G31+G32)/G11</f>
        <v>0</v>
      </c>
      <c r="H46" s="13" t="str">
        <f t="shared" si="7"/>
        <v>nm</v>
      </c>
      <c r="I46" s="207"/>
      <c r="J46" s="207"/>
      <c r="K46" s="207"/>
      <c r="L46" s="207"/>
      <c r="M46" s="207"/>
      <c r="N46" s="207"/>
      <c r="O46" s="14"/>
      <c r="Q46" s="5"/>
      <c r="R46" s="5"/>
      <c r="S46" s="26"/>
      <c r="T46" s="26"/>
      <c r="U46" s="26"/>
      <c r="V46" s="26"/>
      <c r="W46" s="26"/>
      <c r="X46" s="26"/>
    </row>
    <row r="47" spans="2:24">
      <c r="B47" s="5" t="s">
        <v>482</v>
      </c>
      <c r="C47" s="5"/>
      <c r="D47" s="208">
        <f>1/D43</f>
        <v>3.2771298373651336E-2</v>
      </c>
      <c r="E47" s="208">
        <f>1/E43</f>
        <v>8.7855561310940505E-3</v>
      </c>
      <c r="F47" s="208">
        <f>1/F43</f>
        <v>1.9166132377242122E-2</v>
      </c>
      <c r="G47" s="208">
        <f>1/G43</f>
        <v>2.8571784722468404E-2</v>
      </c>
      <c r="H47" s="13">
        <f>H29</f>
        <v>-4.4682118179183772E-2</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2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3" tint="0.79998168889431442"/>
    <pageSetUpPr autoPageBreaks="0" fitToPage="1"/>
  </sheetPr>
  <dimension ref="A1:BQ145"/>
  <sheetViews>
    <sheetView showGridLines="0" zoomScale="80" zoomScaleNormal="80" zoomScaleSheetLayoutView="80" workbookViewId="0">
      <pane ySplit="5" topLeftCell="A6" activePane="bottomLeft" state="frozen"/>
      <selection pane="bottomLeft"/>
    </sheetView>
  </sheetViews>
  <sheetFormatPr defaultColWidth="8.88671875" defaultRowHeight="12"/>
  <cols>
    <col min="1" max="1" width="2.33203125" style="72" customWidth="1"/>
    <col min="2" max="2" width="31.109375" style="23" customWidth="1"/>
    <col min="3" max="6" width="11.33203125" style="141" customWidth="1"/>
    <col min="7" max="7" width="2.33203125" style="23" customWidth="1"/>
    <col min="8" max="11" width="11.109375" style="23" customWidth="1"/>
    <col min="12" max="12" width="2.109375" style="23" customWidth="1"/>
    <col min="13" max="16" width="11.109375" style="23" customWidth="1"/>
    <col min="17" max="17" width="2.33203125" style="23" customWidth="1"/>
    <col min="18" max="21" width="11.109375" style="23" customWidth="1"/>
    <col min="22" max="22" width="2.33203125" style="23" customWidth="1"/>
    <col min="23" max="16384" width="8.88671875" style="23"/>
  </cols>
  <sheetData>
    <row r="1" spans="1:69" s="102" customFormat="1">
      <c r="A1" s="124"/>
      <c r="F1" s="162"/>
      <c r="M1" s="119"/>
      <c r="S1" s="119"/>
      <c r="AB1" s="126"/>
      <c r="AC1" s="126"/>
    </row>
    <row r="2" spans="1:69" s="102" customFormat="1">
      <c r="A2" s="124"/>
      <c r="M2" s="119"/>
      <c r="S2" s="119"/>
      <c r="AB2" s="126"/>
      <c r="AC2" s="126"/>
    </row>
    <row r="3" spans="1:69" s="102" customFormat="1">
      <c r="A3" s="124"/>
      <c r="U3" s="119"/>
      <c r="AB3" s="126"/>
      <c r="AC3" s="126"/>
    </row>
    <row r="4" spans="1:69" s="99" customFormat="1" ht="21">
      <c r="A4" s="154"/>
      <c r="B4" s="121" t="s">
        <v>1080</v>
      </c>
      <c r="AB4" s="163"/>
      <c r="AC4" s="163"/>
    </row>
    <row r="5" spans="1:69" s="102" customFormat="1">
      <c r="A5" s="124"/>
      <c r="D5" s="119"/>
      <c r="E5" s="119"/>
      <c r="F5" s="119"/>
      <c r="G5" s="119"/>
      <c r="H5" s="119" t="str">
        <f>INDEX(headings,1,1)</f>
        <v>2025E</v>
      </c>
      <c r="I5" s="119" t="str">
        <f>INDEX(headings,1,2)</f>
        <v>2026E</v>
      </c>
      <c r="J5" s="119" t="str">
        <f>INDEX(headings,1,3)</f>
        <v>2027E</v>
      </c>
      <c r="K5" s="119" t="str">
        <f>INDEX(headings,1,4)</f>
        <v>2028E</v>
      </c>
      <c r="L5" s="119"/>
      <c r="M5" s="119" t="str">
        <f>INDEX(headings,1,1)</f>
        <v>2025E</v>
      </c>
      <c r="N5" s="119" t="str">
        <f>INDEX(headings,1,2)</f>
        <v>2026E</v>
      </c>
      <c r="O5" s="119" t="str">
        <f>INDEX(headings,1,3)</f>
        <v>2027E</v>
      </c>
      <c r="P5" s="119" t="str">
        <f>INDEX(headings,1,4)</f>
        <v>2028E</v>
      </c>
      <c r="Q5" s="119"/>
      <c r="R5" s="119" t="str">
        <f>INDEX(headings,1,1)</f>
        <v>2025E</v>
      </c>
      <c r="S5" s="119" t="str">
        <f>INDEX(headings,1,2)</f>
        <v>2026E</v>
      </c>
      <c r="T5" s="119" t="str">
        <f>INDEX(headings,1,3)</f>
        <v>2027E</v>
      </c>
      <c r="U5" s="119" t="str">
        <f>INDEX(headings,1,4)</f>
        <v>2028E</v>
      </c>
      <c r="V5" s="127"/>
      <c r="Z5" s="119"/>
      <c r="AC5" s="127"/>
      <c r="AD5" s="128"/>
      <c r="AE5" s="128"/>
      <c r="AF5" s="128"/>
      <c r="AG5" s="128"/>
      <c r="AH5" s="128"/>
      <c r="AI5" s="128"/>
      <c r="AJ5" s="128"/>
      <c r="AK5" s="128"/>
      <c r="AL5" s="128"/>
      <c r="AM5" s="128"/>
      <c r="AN5" s="128"/>
      <c r="AO5" s="128"/>
      <c r="AP5" s="128"/>
      <c r="AQ5" s="128"/>
      <c r="AR5" s="128"/>
      <c r="AS5" s="128"/>
      <c r="AT5" s="128"/>
      <c r="AU5" s="128"/>
      <c r="AV5" s="128"/>
      <c r="AW5" s="128"/>
      <c r="BC5" s="129"/>
      <c r="BD5" s="129"/>
      <c r="BE5" s="129"/>
      <c r="BG5" s="129"/>
      <c r="BH5" s="129"/>
      <c r="BI5" s="129"/>
      <c r="BK5" s="129"/>
      <c r="BL5" s="129"/>
      <c r="BM5" s="129"/>
      <c r="BO5" s="129"/>
      <c r="BP5" s="129"/>
      <c r="BQ5" s="129"/>
    </row>
    <row r="6" spans="1:69">
      <c r="AT6" s="142"/>
      <c r="AU6" s="142"/>
      <c r="AV6" s="142"/>
      <c r="AW6" s="142"/>
    </row>
    <row r="7" spans="1:69">
      <c r="B7" s="130"/>
      <c r="C7" s="131" t="s">
        <v>379</v>
      </c>
      <c r="D7" s="131" t="s">
        <v>50</v>
      </c>
      <c r="E7" s="131" t="s">
        <v>52</v>
      </c>
      <c r="F7" s="131" t="s">
        <v>49</v>
      </c>
      <c r="H7" s="132" t="s">
        <v>660</v>
      </c>
      <c r="I7" s="132"/>
      <c r="J7" s="132"/>
      <c r="K7" s="132"/>
      <c r="M7" s="132" t="s">
        <v>661</v>
      </c>
      <c r="N7" s="132"/>
      <c r="O7" s="132"/>
      <c r="P7" s="132"/>
      <c r="R7" s="132" t="s">
        <v>158</v>
      </c>
      <c r="S7" s="132"/>
      <c r="T7" s="132"/>
      <c r="U7" s="132"/>
      <c r="AT7" s="142"/>
      <c r="AU7" s="142"/>
      <c r="AV7" s="142"/>
      <c r="AW7" s="142"/>
    </row>
    <row r="8" spans="1:69">
      <c r="A8" s="155" t="s">
        <v>1119</v>
      </c>
      <c r="B8" s="158" t="s">
        <v>705</v>
      </c>
      <c r="C8" s="143" t="str">
        <f>A8&amp;TEXT(Prices!$C$40,"0.0")</f>
        <v>EUR 28.4</v>
      </c>
      <c r="D8" s="143" t="str">
        <f>A8&amp;TEXT(Prices!$E$40,"0.0")</f>
        <v>EUR 34.0</v>
      </c>
      <c r="E8" s="52">
        <f>Prices!$F$40</f>
        <v>0.19718309859154926</v>
      </c>
      <c r="F8" s="143" t="str">
        <f>Prices!$D$40</f>
        <v>Buy</v>
      </c>
      <c r="H8" s="407">
        <f>(CLNX!D$18/Prices!$C$135)/CLNX!L$31*1000</f>
        <v>293.76878086758757</v>
      </c>
      <c r="I8" s="407">
        <f>(CLNX!E$18/Prices!$C$135)/CLNX!M$31*1000</f>
        <v>282.43167340162262</v>
      </c>
      <c r="J8" s="407">
        <f>(CLNX!F$18/Prices!$C$135)/CLNX!N$31*1000</f>
        <v>267.71393083680306</v>
      </c>
      <c r="K8" s="407">
        <f>(CLNX!G$18/Prices!$C$135)/CLNX!O$31*1000</f>
        <v>250.37626965371751</v>
      </c>
      <c r="L8" s="434"/>
      <c r="M8" s="407">
        <f>(CLNX!D$18/Prices!$C$135)/CLNX!L$32*1000</f>
        <v>212.28852920564387</v>
      </c>
      <c r="N8" s="407">
        <f>(CLNX!E$18/Prices!$C$135)/CLNX!M$32*1000</f>
        <v>200.58065512773146</v>
      </c>
      <c r="O8" s="407">
        <f>(CLNX!F$18/Prices!$C$135)/CLNX!N$32*1000</f>
        <v>187.32558584882963</v>
      </c>
      <c r="P8" s="407">
        <f>(CLNX!G$18/Prices!$C$135)/CLNX!O$32*1000</f>
        <v>173.04060849390146</v>
      </c>
      <c r="Q8" s="435"/>
      <c r="R8" s="440">
        <f>CLNX!$D$38</f>
        <v>16.743216277709806</v>
      </c>
      <c r="S8" s="440">
        <f>CLNX!$E$38</f>
        <v>15.881093218848719</v>
      </c>
      <c r="T8" s="440">
        <f>CLNX!$F$38</f>
        <v>14.506566116113852</v>
      </c>
      <c r="U8" s="440">
        <f>CLNX!$G$38</f>
        <v>13.566442316422739</v>
      </c>
      <c r="AT8" s="142"/>
      <c r="AU8" s="142"/>
      <c r="AV8" s="142"/>
      <c r="AW8" s="142"/>
    </row>
    <row r="9" spans="1:69">
      <c r="A9" s="155" t="s">
        <v>1119</v>
      </c>
      <c r="B9" s="158" t="s">
        <v>703</v>
      </c>
      <c r="C9" s="143" t="str">
        <f>A9&amp;TEXT(Prices!$C$41,"0.0")</f>
        <v>EUR 7.3</v>
      </c>
      <c r="D9" s="143" t="str">
        <f>A9&amp;TEXT(Prices!$E$41,"0.0")</f>
        <v>EUR 9.5</v>
      </c>
      <c r="E9" s="52">
        <f>Prices!$F$41</f>
        <v>0.30226182316655237</v>
      </c>
      <c r="F9" s="143" t="str">
        <f>Prices!$D$41</f>
        <v>Buy</v>
      </c>
      <c r="H9" s="407">
        <f>(INWIT!D$18/Prices!$C$135)/INWIT!L$31*1000</f>
        <v>381.05709184511431</v>
      </c>
      <c r="I9" s="407">
        <f>(INWIT!E$18/Prices!$C$135)/INWIT!M$31*1000</f>
        <v>364.39344564232454</v>
      </c>
      <c r="J9" s="407">
        <f>(INWIT!F$18/Prices!$C$135)/INWIT!N$31*1000</f>
        <v>347.44548891948659</v>
      </c>
      <c r="K9" s="407">
        <f>(INWIT!G$18/Prices!$C$135)/INWIT!O$31*1000</f>
        <v>331.63920276667051</v>
      </c>
      <c r="L9" s="434"/>
      <c r="M9" s="407">
        <f>(INWIT!D$18/Prices!$C$135)/INWIT!L$32*1000</f>
        <v>165.90296241964705</v>
      </c>
      <c r="N9" s="407">
        <f>(INWIT!E$18/Prices!$C$135)/INWIT!M$32*1000</f>
        <v>150.60161634744338</v>
      </c>
      <c r="O9" s="407">
        <f>(INWIT!F$18/Prices!$C$135)/INWIT!N$32*1000</f>
        <v>136.66439544277074</v>
      </c>
      <c r="P9" s="407">
        <f>(INWIT!G$18/Prices!$C$135)/INWIT!O$32*1000</f>
        <v>126.76118234811423</v>
      </c>
      <c r="Q9" s="436"/>
      <c r="R9" s="440">
        <f>INWIT!$D$38</f>
        <v>13.401364286449349</v>
      </c>
      <c r="S9" s="440">
        <f>INWIT!$E$38</f>
        <v>13.344570240254486</v>
      </c>
      <c r="T9" s="440">
        <f>INWIT!$F$38</f>
        <v>12.52870011857657</v>
      </c>
      <c r="U9" s="440">
        <f>INWIT!$G$38</f>
        <v>11.669890292813927</v>
      </c>
      <c r="AT9" s="142"/>
      <c r="AU9" s="142"/>
      <c r="AV9" s="142"/>
      <c r="AW9" s="142"/>
    </row>
    <row r="10" spans="1:69">
      <c r="B10" s="32"/>
      <c r="C10" s="28"/>
      <c r="D10" s="146"/>
      <c r="E10" s="29"/>
      <c r="F10" s="28"/>
      <c r="H10" s="437"/>
      <c r="I10" s="437"/>
      <c r="J10" s="437"/>
      <c r="K10" s="437"/>
      <c r="L10" s="438"/>
      <c r="M10" s="437"/>
      <c r="N10" s="437"/>
      <c r="O10" s="437"/>
      <c r="P10" s="437"/>
      <c r="Q10" s="435"/>
      <c r="R10" s="441"/>
      <c r="S10" s="441"/>
      <c r="T10" s="441"/>
      <c r="U10" s="441"/>
      <c r="AT10" s="142"/>
      <c r="AU10" s="142"/>
      <c r="AV10" s="142"/>
      <c r="AW10" s="142"/>
    </row>
    <row r="11" spans="1:69">
      <c r="A11" s="26" t="s">
        <v>1118</v>
      </c>
      <c r="B11" s="32" t="s">
        <v>567</v>
      </c>
      <c r="C11" s="28" t="str">
        <f>A11&amp;TEXT(Prices!C$55,"0.0")</f>
        <v>USD 177.8</v>
      </c>
      <c r="D11" s="146" t="str">
        <f>A11&amp;TEXT(Prices!E$55,"0.0")</f>
        <v>USD 203.0</v>
      </c>
      <c r="E11" s="29">
        <f>Prices!F$55</f>
        <v>0.14186072674091577</v>
      </c>
      <c r="F11" s="28" t="str">
        <f>Prices!D$55</f>
        <v>Buy</v>
      </c>
      <c r="H11" s="437">
        <f>AMT!D$18/AMT!L$31*1000</f>
        <v>606.94870575062043</v>
      </c>
      <c r="I11" s="437">
        <f>AMT!E$18/AMT!M$31*1000</f>
        <v>574.46963974662845</v>
      </c>
      <c r="J11" s="437">
        <f>AMT!F$18/AMT!N$31*1000</f>
        <v>541.75772344333177</v>
      </c>
      <c r="K11" s="437">
        <f>AMT!G$18/AMT!O$31*1000</f>
        <v>520.97450308699899</v>
      </c>
      <c r="L11" s="438"/>
      <c r="M11" s="437">
        <f>AMT!D$18/AMT!L$32*1000</f>
        <v>278.41683750028511</v>
      </c>
      <c r="N11" s="437">
        <f>AMT!E$18/AMT!M$32*1000</f>
        <v>251.96036830992517</v>
      </c>
      <c r="O11" s="437">
        <f>AMT!F$18/AMT!N$32*1000</f>
        <v>227.62929556442543</v>
      </c>
      <c r="P11" s="437">
        <f>AMT!G$18/AMT!O$32*1000</f>
        <v>218.89685003655453</v>
      </c>
      <c r="Q11" s="435"/>
      <c r="R11" s="441">
        <f>AMT!$D$38</f>
        <v>15.85626360865834</v>
      </c>
      <c r="S11" s="441">
        <f>AMT!$E$38</f>
        <v>15.174057650685361</v>
      </c>
      <c r="T11" s="441">
        <f>AMT!$F$38</f>
        <v>14.263536845619814</v>
      </c>
      <c r="U11" s="441">
        <f>AMT!$G$38</f>
        <v>12.773339417167975</v>
      </c>
      <c r="AT11" s="142"/>
      <c r="AU11" s="142"/>
      <c r="AV11" s="142"/>
      <c r="AW11" s="142"/>
    </row>
    <row r="12" spans="1:69">
      <c r="A12" s="26" t="s">
        <v>1118</v>
      </c>
      <c r="B12" s="32" t="s">
        <v>565</v>
      </c>
      <c r="C12" s="28" t="str">
        <f>A12&amp;TEXT(Prices!C$56,"0.0")</f>
        <v>USD 86.2</v>
      </c>
      <c r="D12" s="146" t="str">
        <f>A12&amp;TEXT(Prices!E$56,"0.0")</f>
        <v>USD 93.0</v>
      </c>
      <c r="E12" s="29">
        <f>Prices!F$56</f>
        <v>7.8698602331380707E-2</v>
      </c>
      <c r="F12" s="28" t="str">
        <f>Prices!D$56</f>
        <v>Neutral</v>
      </c>
      <c r="H12" s="437">
        <f>CCI!D$18/CCI!L$31*1000</f>
        <v>1353.6084324606809</v>
      </c>
      <c r="I12" s="437">
        <f>CCI!E$18/CCI!M$31*1000</f>
        <v>1129.5361660868523</v>
      </c>
      <c r="J12" s="437">
        <f>CCI!F$18/CCI!N$31*1000</f>
        <v>1084.5507512859092</v>
      </c>
      <c r="K12" s="437">
        <f>CCI!G$18/CCI!O$31*1000</f>
        <v>1041.5173001845912</v>
      </c>
      <c r="L12" s="438"/>
      <c r="M12" s="437">
        <f>CCI!D$18/CCI!L$32*1000</f>
        <v>630.09362707042487</v>
      </c>
      <c r="N12" s="437">
        <f>CCI!E$18/CCI!M$32*1000</f>
        <v>502.40335976622532</v>
      </c>
      <c r="O12" s="437">
        <f>CCI!F$18/CCI!N$32*1000</f>
        <v>461.85183408044219</v>
      </c>
      <c r="P12" s="437">
        <f>CCI!G$18/CCI!O$32*1000</f>
        <v>443.52620174429785</v>
      </c>
      <c r="Q12" s="435"/>
      <c r="R12" s="441">
        <f>CCI!$D$38</f>
        <v>18.998743014320645</v>
      </c>
      <c r="S12" s="441">
        <f>CCI!$E$38</f>
        <v>16.738136824793855</v>
      </c>
      <c r="T12" s="441">
        <f>CCI!$F$38</f>
        <v>16.037377196730173</v>
      </c>
      <c r="U12" s="441">
        <f>CCI!$G$38</f>
        <v>15.127174227420014</v>
      </c>
      <c r="AT12" s="142"/>
      <c r="AU12" s="142"/>
      <c r="AV12" s="142"/>
      <c r="AW12" s="142"/>
    </row>
    <row r="13" spans="1:69">
      <c r="A13" s="26" t="s">
        <v>1118</v>
      </c>
      <c r="B13" s="32" t="s">
        <v>643</v>
      </c>
      <c r="C13" s="28" t="str">
        <f>A13&amp;TEXT(Prices!C$57,"0.0")</f>
        <v>USD 217.5</v>
      </c>
      <c r="D13" s="146" t="str">
        <f>A13&amp;TEXT(Prices!E$57,"0.0")</f>
        <v>USD 212.0</v>
      </c>
      <c r="E13" s="29">
        <f>Prices!F$57</f>
        <v>-2.5287356321839094E-2</v>
      </c>
      <c r="F13" s="28" t="str">
        <f>Prices!D$57</f>
        <v>Neutral</v>
      </c>
      <c r="H13" s="437">
        <f>SBAC!D$18/SBAC!L$31*1000</f>
        <v>1029.9715632210703</v>
      </c>
      <c r="I13" s="437">
        <f>SBAC!E$18/SBAC!M$31*1000</f>
        <v>978.50014735832326</v>
      </c>
      <c r="J13" s="437">
        <f>SBAC!F$18/SBAC!N$31*1000</f>
        <v>916.91590191927276</v>
      </c>
      <c r="K13" s="437">
        <f>SBAC!G$18/SBAC!O$31*1000</f>
        <v>887.82525731244255</v>
      </c>
      <c r="L13" s="438"/>
      <c r="M13" s="437">
        <f>SBAC!D$18/SBAC!L$32*1000</f>
        <v>542.98624733348174</v>
      </c>
      <c r="N13" s="437">
        <f>SBAC!E$18/SBAC!M$32*1000</f>
        <v>474.44579585449867</v>
      </c>
      <c r="O13" s="437">
        <f>SBAC!F$18/SBAC!N$32*1000</f>
        <v>423.95384978133632</v>
      </c>
      <c r="P13" s="437">
        <f>SBAC!G$18/SBAC!O$32*1000</f>
        <v>410.50322606778644</v>
      </c>
      <c r="Q13" s="435"/>
      <c r="R13" s="441">
        <f>SBAC!$D$38</f>
        <v>17.876705197039147</v>
      </c>
      <c r="S13" s="441">
        <f>SBAC!$E$38</f>
        <v>17.487445562816884</v>
      </c>
      <c r="T13" s="441">
        <f>SBAC!$F$38</f>
        <v>16.719361232951421</v>
      </c>
      <c r="U13" s="441">
        <f>SBAC!$G$38</f>
        <v>15.456383943546125</v>
      </c>
      <c r="AT13" s="142"/>
      <c r="AU13" s="142"/>
      <c r="AV13" s="142"/>
      <c r="AW13" s="142"/>
    </row>
    <row r="14" spans="1:69">
      <c r="A14" s="26"/>
      <c r="B14" s="32"/>
      <c r="C14" s="28"/>
      <c r="D14" s="28"/>
      <c r="E14" s="29"/>
      <c r="F14" s="28"/>
      <c r="H14" s="437"/>
      <c r="I14" s="437"/>
      <c r="J14" s="437"/>
      <c r="K14" s="437"/>
      <c r="L14" s="438"/>
      <c r="M14" s="437"/>
      <c r="N14" s="437"/>
      <c r="O14" s="437"/>
      <c r="P14" s="437"/>
      <c r="Q14" s="435"/>
      <c r="R14" s="441"/>
      <c r="S14" s="441"/>
      <c r="T14" s="441"/>
      <c r="U14" s="441"/>
      <c r="AT14" s="142"/>
      <c r="AU14" s="142"/>
      <c r="AV14" s="142"/>
      <c r="AW14" s="142"/>
    </row>
    <row r="15" spans="1:69">
      <c r="A15" s="26" t="s">
        <v>91</v>
      </c>
      <c r="B15" s="32" t="s">
        <v>1084</v>
      </c>
      <c r="C15" s="28" t="str">
        <f>A15&amp;TEXT(Prices!C$89,"0")</f>
        <v>INR 402</v>
      </c>
      <c r="D15" s="28" t="str">
        <f>A15&amp;TEXT(Prices!E$89,"0")</f>
        <v>INR 400</v>
      </c>
      <c r="E15" s="29">
        <f>Prices!F$89</f>
        <v>-5.3462638319035083E-3</v>
      </c>
      <c r="F15" s="28" t="str">
        <f>Prices!D$89</f>
        <v>Neutral</v>
      </c>
      <c r="H15" s="437">
        <f>(BHIN!D$18/Prices!$C$132)/BHIN!L$31*1000</f>
        <v>60.508278375242817</v>
      </c>
      <c r="I15" s="437">
        <f>(BHIN!E$18/Prices!$C$132)/BHIN!M$31*1000</f>
        <v>54.720948258020847</v>
      </c>
      <c r="J15" s="437">
        <f>(BHIN!F$18/Prices!$C$132)/BHIN!N$31*1000</f>
        <v>54.866658755610594</v>
      </c>
      <c r="K15" s="437">
        <f>(BHIN!G$18/Prices!$C$132)/BHIN!O$31*1000</f>
        <v>54.986503482370509</v>
      </c>
      <c r="L15" s="438"/>
      <c r="M15" s="437">
        <f>(BHIN!D$18/Prices!$C$132)/BHIN!L$32*1000</f>
        <v>36.072381784166481</v>
      </c>
      <c r="N15" s="437">
        <f>(BHIN!E$18/Prices!$C$132)/BHIN!M$32*1000</f>
        <v>33.648318486233023</v>
      </c>
      <c r="O15" s="437">
        <f>(BHIN!F$18/Prices!$C$132)/BHIN!N$32*1000</f>
        <v>32.532746001525751</v>
      </c>
      <c r="P15" s="437">
        <f>(BHIN!G$18/Prices!$C$132)/BHIN!O$32*1000</f>
        <v>31.964516639884867</v>
      </c>
      <c r="Q15" s="435"/>
      <c r="R15" s="441">
        <f>BHIN!$D$38</f>
        <v>6.5632050974356098</v>
      </c>
      <c r="S15" s="441">
        <f>BHIN!$E$38</f>
        <v>6.3363701521983788</v>
      </c>
      <c r="T15" s="441">
        <f>BHIN!$F$38</f>
        <v>6.3299952591372257</v>
      </c>
      <c r="U15" s="441">
        <f>BHIN!$G$38</f>
        <v>6.4431087672088561</v>
      </c>
      <c r="AT15" s="142"/>
      <c r="AU15" s="142"/>
      <c r="AV15" s="142"/>
      <c r="AW15" s="142"/>
    </row>
    <row r="16" spans="1:69">
      <c r="A16" s="26" t="s">
        <v>1120</v>
      </c>
      <c r="B16" s="158" t="s">
        <v>836</v>
      </c>
      <c r="C16" s="143" t="str">
        <f>A16&amp;TEXT(Prices!C$90,"0.00")</f>
        <v>HKD 11.16</v>
      </c>
      <c r="D16" s="143" t="str">
        <f>A16&amp;TEXT(Prices!E$90,"0.00")</f>
        <v>HKD 14.00</v>
      </c>
      <c r="E16" s="52">
        <f>Prices!F$90</f>
        <v>0.25448028673835132</v>
      </c>
      <c r="F16" s="28" t="str">
        <f>Prices!D$90</f>
        <v>Buy</v>
      </c>
      <c r="H16" s="437">
        <f>(ChinaTow!D$18/Prices!$C$155)/ChinaTow!L$31*1000</f>
        <v>9.2376501103734263</v>
      </c>
      <c r="I16" s="437">
        <f>(ChinaTow!E$18/Prices!$C$155)/ChinaTow!M$31*1000</f>
        <v>8.018089566000322</v>
      </c>
      <c r="J16" s="437">
        <f>(ChinaTow!F$18/Prices!$C$155)/ChinaTow!N$31*1000</f>
        <v>6.8401830226358582</v>
      </c>
      <c r="K16" s="437">
        <f>(ChinaTow!G$18/Prices!$C$155)/ChinaTow!O$31*1000</f>
        <v>5.6897528508455411</v>
      </c>
      <c r="L16" s="435"/>
      <c r="M16" s="437">
        <f>(ChinaTow!D$18/Prices!$C$155)/ChinaTow!L$32*1000</f>
        <v>16.807976298397381</v>
      </c>
      <c r="N16" s="437">
        <f>(ChinaTow!E$18/Prices!$C$155)/ChinaTow!M$32*1000</f>
        <v>14.734866156572364</v>
      </c>
      <c r="O16" s="437">
        <f>(ChinaTow!F$18/Prices!$C$155)/ChinaTow!N$32*1000</f>
        <v>12.695926167987114</v>
      </c>
      <c r="P16" s="437">
        <f>(ChinaTow!G$18/Prices!$C$155)/ChinaTow!O$32*1000</f>
        <v>10.666242217214647</v>
      </c>
      <c r="Q16" s="436"/>
      <c r="R16" s="441">
        <f>ChinaTow!D$38</f>
        <v>3.4924814692271098</v>
      </c>
      <c r="S16" s="441">
        <f>ChinaTow!E$38</f>
        <v>2.9555981332787384</v>
      </c>
      <c r="T16" s="441">
        <f>ChinaTow!F$38</f>
        <v>2.4780861364310569</v>
      </c>
      <c r="U16" s="441">
        <f>ChinaTow!G$38</f>
        <v>2.0291667013012979</v>
      </c>
      <c r="AT16" s="142"/>
      <c r="AU16" s="142"/>
      <c r="AV16" s="142"/>
      <c r="AW16" s="142"/>
    </row>
    <row r="17" spans="1:21">
      <c r="A17" s="26" t="s">
        <v>311</v>
      </c>
      <c r="B17" s="32" t="s">
        <v>645</v>
      </c>
      <c r="C17" s="28" t="str">
        <f>A17&amp;TEXT(Prices!C$91,"0,0")</f>
        <v>IDR 488</v>
      </c>
      <c r="D17" s="28" t="str">
        <f>A17&amp;TEXT(Prices!E$91,"0,0")</f>
        <v>IDR 780</v>
      </c>
      <c r="E17" s="29">
        <f>Prices!F$91</f>
        <v>0.59836065573770503</v>
      </c>
      <c r="F17" s="28" t="str">
        <f>Prices!D$91</f>
        <v>Buy</v>
      </c>
      <c r="H17" s="437">
        <f>(TOWR!D$18/Prices!$C$152)/TOWR!L$31*1000000</f>
        <v>143.18740581985614</v>
      </c>
      <c r="I17" s="437">
        <f>(TOWR!E$18/Prices!$C$152)/TOWR!M$31*1000000</f>
        <v>120.51458553033933</v>
      </c>
      <c r="J17" s="437">
        <f>(TOWR!F$18/Prices!$C$152)/TOWR!N$31*1000000</f>
        <v>114.31019349759676</v>
      </c>
      <c r="K17" s="437">
        <f>(TOWR!G$18/Prices!$C$152)/TOWR!O$31*1000000</f>
        <v>107.44365066736677</v>
      </c>
      <c r="L17" s="438"/>
      <c r="M17" s="437">
        <f>(TOWR!D$18/Prices!$C$152)/TOWR!L$32*1000000</f>
        <v>80.604243369006781</v>
      </c>
      <c r="N17" s="437">
        <f>(TOWR!E$18/Prices!$C$152)/TOWR!M$32*1000000</f>
        <v>73.511093784337248</v>
      </c>
      <c r="O17" s="437">
        <f>(TOWR!F$18/Prices!$C$152)/TOWR!N$32*1000000</f>
        <v>71.149549969229085</v>
      </c>
      <c r="P17" s="437">
        <f>(TOWR!G$18/Prices!$C$152)/TOWR!O$32*1000000</f>
        <v>68.943959153924084</v>
      </c>
      <c r="Q17" s="435"/>
      <c r="R17" s="441">
        <f>TOWR!$D$38</f>
        <v>6.7954478395452336</v>
      </c>
      <c r="S17" s="441">
        <f>TOWR!$E$38</f>
        <v>6.4704877797952802</v>
      </c>
      <c r="T17" s="441">
        <f>TOWR!$F$38</f>
        <v>6.0303381841712556</v>
      </c>
      <c r="U17" s="441">
        <f>TOWR!$G$38</f>
        <v>5.5083920210238757</v>
      </c>
    </row>
    <row r="18" spans="1:21">
      <c r="A18" s="26" t="s">
        <v>311</v>
      </c>
      <c r="B18" s="158" t="s">
        <v>644</v>
      </c>
      <c r="C18" s="143" t="str">
        <f>A18&amp;TEXT(Prices!C$92,"0,0")</f>
        <v>IDR 1,875</v>
      </c>
      <c r="D18" s="143" t="str">
        <f>'Tower Multiples'!A18&amp;TEXT(Prices!E$92,"0,0")</f>
        <v>IDR 1,250</v>
      </c>
      <c r="E18" s="52">
        <f>Prices!F$92</f>
        <v>-0.33333333333333337</v>
      </c>
      <c r="F18" s="143" t="str">
        <f>Prices!D$92</f>
        <v>Reduce</v>
      </c>
      <c r="H18" s="407">
        <f>(TBIG!D$18/Prices!$C$152)/TBIG!L$31*1000000</f>
        <v>184.14081759600185</v>
      </c>
      <c r="I18" s="407">
        <f>(TBIG!E$18/Prices!$C$152)/TBIG!M$31*1000000</f>
        <v>169.76892157741258</v>
      </c>
      <c r="J18" s="407">
        <f>(TBIG!F$18/Prices!$C$152)/TBIG!N$31*1000000</f>
        <v>161.98771154738918</v>
      </c>
      <c r="K18" s="407">
        <f>(TBIG!G$18/Prices!$C$152)/TBIG!O$31*1000000</f>
        <v>154.0519080962045</v>
      </c>
      <c r="L18" s="435"/>
      <c r="M18" s="407">
        <f>(TBIG!D$18/Prices!$C$152)/TBIG!L$32*1000000</f>
        <v>100.38481760666896</v>
      </c>
      <c r="N18" s="407">
        <f>(TBIG!E$18/Prices!$C$152)/TBIG!M$32*1000000</f>
        <v>94.942162687316639</v>
      </c>
      <c r="O18" s="407">
        <f>(TBIG!F$18/Prices!$C$152)/TBIG!N$32*1000000</f>
        <v>92.439358880484619</v>
      </c>
      <c r="P18" s="407">
        <f>(TBIG!G$18/Prices!$C$152)/TBIG!O$32*1000000</f>
        <v>88.352502671957936</v>
      </c>
      <c r="Q18" s="436"/>
      <c r="R18" s="440">
        <f>TBIG!$D$38</f>
        <v>12.280700546551223</v>
      </c>
      <c r="S18" s="440">
        <f>TBIG!$E$38</f>
        <v>11.999304443214539</v>
      </c>
      <c r="T18" s="440">
        <f>TBIG!$F$38</f>
        <v>11.503515453661421</v>
      </c>
      <c r="U18" s="440">
        <f>TBIG!$G$38</f>
        <v>10.881347819593818</v>
      </c>
    </row>
    <row r="19" spans="1:21">
      <c r="A19" s="26" t="s">
        <v>311</v>
      </c>
      <c r="B19" s="158" t="s">
        <v>1111</v>
      </c>
      <c r="C19" s="143" t="str">
        <f>A19&amp;TEXT(Prices!C$93,"0,0")</f>
        <v>IDR 530</v>
      </c>
      <c r="D19" s="143" t="str">
        <f>A19&amp;TEXT(Prices!E$93,"0,0")</f>
        <v>IDR 740</v>
      </c>
      <c r="E19" s="52">
        <f>Prices!F$93</f>
        <v>0.39622641509433953</v>
      </c>
      <c r="F19" s="143" t="str">
        <f>Prices!D$93</f>
        <v>Buy</v>
      </c>
      <c r="H19" s="407">
        <f>(MITRA!D$18/Prices!$C$152)/MITRA!L$31*1000000</f>
        <v>99.413444871076535</v>
      </c>
      <c r="I19" s="407">
        <f>(MITRA!E$18/Prices!$C$152)/MITRA!M$31*1000000</f>
        <v>90.6481597404361</v>
      </c>
      <c r="J19" s="407">
        <f>(MITRA!F$18/Prices!$C$152)/MITRA!N$31*1000000</f>
        <v>82.914310002736741</v>
      </c>
      <c r="K19" s="407">
        <f>(MITRA!G$18/Prices!$C$152)/MITRA!O$31*1000000</f>
        <v>74.645718599776444</v>
      </c>
      <c r="L19" s="435"/>
      <c r="M19" s="407">
        <f>(MITRA!D$18/Prices!$C$152)/MITRA!L$32*1000000</f>
        <v>65.82770459908906</v>
      </c>
      <c r="N19" s="407">
        <f>(MITRA!E$18/Prices!$C$152)/MITRA!M$32*1000000</f>
        <v>59.662926545268661</v>
      </c>
      <c r="O19" s="407">
        <f>(MITRA!F$18/Prices!$C$152)/MITRA!N$32*1000000</f>
        <v>53.766158641751417</v>
      </c>
      <c r="P19" s="407">
        <f>(MITRA!G$18/Prices!$C$152)/MITRA!O$32*1000000</f>
        <v>47.92510219560846</v>
      </c>
      <c r="Q19" s="436"/>
      <c r="R19" s="440">
        <f>MITRA!$D$38</f>
        <v>8.1079444797813629</v>
      </c>
      <c r="S19" s="440">
        <f>MITRA!$E$38</f>
        <v>7.3557560114904588</v>
      </c>
      <c r="T19" s="440">
        <f>MITRA!$F$38</f>
        <v>6.6108615691813695</v>
      </c>
      <c r="U19" s="440">
        <f>MITRA!$G$38</f>
        <v>5.839020091641463</v>
      </c>
    </row>
    <row r="20" spans="1:21">
      <c r="B20" s="32"/>
      <c r="C20" s="28"/>
      <c r="D20" s="28"/>
      <c r="E20" s="29"/>
      <c r="F20" s="28"/>
      <c r="H20" s="437"/>
      <c r="I20" s="437"/>
      <c r="J20" s="437"/>
      <c r="K20" s="437"/>
      <c r="L20" s="438"/>
      <c r="M20" s="437"/>
      <c r="N20" s="437"/>
      <c r="O20" s="437"/>
      <c r="P20" s="437"/>
      <c r="Q20" s="435"/>
      <c r="R20" s="441"/>
      <c r="S20" s="441"/>
      <c r="T20" s="441"/>
      <c r="U20" s="441"/>
    </row>
    <row r="21" spans="1:21">
      <c r="A21" s="72" t="s">
        <v>1118</v>
      </c>
      <c r="B21" s="32" t="s">
        <v>1288</v>
      </c>
      <c r="C21" s="28" t="str">
        <f>A21&amp;TEXT(Prices!C$103,"0.0")</f>
        <v>USD 8.2</v>
      </c>
      <c r="D21" s="28" t="str">
        <f>A21&amp;TEXT(Prices!E$103,"0.0")</f>
        <v>USD 10.0</v>
      </c>
      <c r="E21" s="29">
        <f>Prices!F$103</f>
        <v>0.2179526216430181</v>
      </c>
      <c r="F21" s="28" t="str">
        <f>Prices!D$103</f>
        <v>Buy</v>
      </c>
      <c r="H21" s="437">
        <f>IHS!D$18/IHS!L$31*1000</f>
        <v>150.43486214965844</v>
      </c>
      <c r="I21" s="437">
        <f>IHS!E$18/IHS!M$31*1000</f>
        <v>143.57793868521864</v>
      </c>
      <c r="J21" s="437">
        <f>IHS!F$18/IHS!N$31*1000</f>
        <v>137.4052749160048</v>
      </c>
      <c r="K21" s="437">
        <f>IHS!G$18/IHS!O$31*1000</f>
        <v>132.53447340496726</v>
      </c>
      <c r="L21" s="438"/>
      <c r="M21" s="437">
        <f>IHS!D$18/IHS!L$32*1000</f>
        <v>98.713327483469087</v>
      </c>
      <c r="N21" s="437">
        <f>IHS!E$18/IHS!M$32*1000</f>
        <v>92.176052601477522</v>
      </c>
      <c r="O21" s="437">
        <f>IHS!F$18/IHS!N$32*1000</f>
        <v>87.392563278366694</v>
      </c>
      <c r="P21" s="437">
        <f>IHS!G$18/IHS!O$32*1000</f>
        <v>83.509452130573933</v>
      </c>
      <c r="Q21" s="435"/>
      <c r="R21" s="440">
        <f>IHS!$D$38</f>
        <v>6.1816633909340952</v>
      </c>
      <c r="S21" s="440">
        <f>IHS!$E$38</f>
        <v>5.7143062323752734</v>
      </c>
      <c r="T21" s="440">
        <f>IHS!$F$38</f>
        <v>5.1162271154164438</v>
      </c>
      <c r="U21" s="440">
        <f>IHS!$G$38</f>
        <v>4.6759175558287129</v>
      </c>
    </row>
    <row r="22" spans="1:21">
      <c r="A22" s="72" t="s">
        <v>1123</v>
      </c>
      <c r="B22" s="32" t="s">
        <v>1286</v>
      </c>
      <c r="C22" s="28" t="str">
        <f>A22&amp;TEXT(Prices!C$104,"0.0")</f>
        <v>GBP2.0</v>
      </c>
      <c r="D22" s="28" t="str">
        <f>A22&amp;TEXT(Prices!E$104,"0.0")</f>
        <v>GBP1.8</v>
      </c>
      <c r="E22" s="29">
        <f>Prices!F$104</f>
        <v>-8.8607594936708889E-2</v>
      </c>
      <c r="F22" s="28" t="str">
        <f>Prices!D$103</f>
        <v>Buy</v>
      </c>
      <c r="H22" s="437">
        <f>HTWS!D$18/HTWS!L$31*1000</f>
        <v>269.0931913459853</v>
      </c>
      <c r="I22" s="437">
        <f>HTWS!E$18/HTWS!M$31*1000</f>
        <v>261.77632861974172</v>
      </c>
      <c r="J22" s="437">
        <f>HTWS!F$18/HTWS!N$31*1000</f>
        <v>253.6393345663696</v>
      </c>
      <c r="K22" s="437">
        <f>HTWS!G$18/HTWS!O$31*1000</f>
        <v>246.123854331784</v>
      </c>
      <c r="L22" s="438"/>
      <c r="M22" s="437">
        <f>HTWS!D$18/HTWS!L$32*1000</f>
        <v>124.41546841244526</v>
      </c>
      <c r="N22" s="437">
        <f>HTWS!E$18/HTWS!M$32*1000</f>
        <v>117.23909922579509</v>
      </c>
      <c r="O22" s="437">
        <f>HTWS!F$18/HTWS!N$32*1000</f>
        <v>110.07879132484274</v>
      </c>
      <c r="P22" s="437">
        <f>HTWS!G$18/HTWS!O$32*1000</f>
        <v>104.14191212974801</v>
      </c>
      <c r="Q22" s="435"/>
      <c r="R22" s="440">
        <f>HTWS!$D$38</f>
        <v>9.4409017221949121</v>
      </c>
      <c r="S22" s="440">
        <f>HTWS!$E$38</f>
        <v>8.4892500338938266</v>
      </c>
      <c r="T22" s="440">
        <f>HTWS!$F$38</f>
        <v>7.6798549235299278</v>
      </c>
      <c r="U22" s="440">
        <f>HTWS!$G$38</f>
        <v>6.9611901375340386</v>
      </c>
    </row>
    <row r="23" spans="1:21">
      <c r="B23" s="32"/>
      <c r="C23" s="28"/>
      <c r="D23" s="28"/>
      <c r="E23" s="29"/>
      <c r="F23" s="28"/>
      <c r="H23" s="437"/>
      <c r="I23" s="437"/>
      <c r="J23" s="437"/>
      <c r="K23" s="437"/>
      <c r="L23" s="438"/>
      <c r="M23" s="437"/>
      <c r="N23" s="437"/>
      <c r="O23" s="437"/>
      <c r="P23" s="437"/>
      <c r="Q23" s="435"/>
      <c r="R23" s="441"/>
      <c r="S23" s="441"/>
      <c r="T23" s="441"/>
      <c r="U23" s="441"/>
    </row>
    <row r="24" spans="1:21">
      <c r="A24" s="155" t="s">
        <v>1121</v>
      </c>
      <c r="B24" s="159" t="s">
        <v>731</v>
      </c>
      <c r="C24" s="147" t="str">
        <f>A24&amp;TEXT(Prices!C$121,"0,0.0")</f>
        <v>MXN 16.2</v>
      </c>
      <c r="D24" s="147" t="str">
        <f>'Tower Multiples'!A24&amp;TEXT(Prices!E$121,"0,0.0")</f>
        <v>MXN 17.0</v>
      </c>
      <c r="E24" s="148">
        <f>Prices!F$121</f>
        <v>5.1980198019802026E-2</v>
      </c>
      <c r="F24" s="147" t="str">
        <f>Prices!D$121</f>
        <v>Neutral</v>
      </c>
      <c r="H24" s="439">
        <f>(SITES!D$18/Prices!$C$160)/SITES!L$31*1000</f>
        <v>182.73930276614209</v>
      </c>
      <c r="I24" s="439">
        <f>(SITES!E$18/Prices!$C$160)/SITES!M$31*1000</f>
        <v>165.32307466084487</v>
      </c>
      <c r="J24" s="439">
        <f>(SITES!F$18/Prices!$C$160)/SITES!N$31*1000</f>
        <v>148.12229921165519</v>
      </c>
      <c r="K24" s="439">
        <f>(SITES!G$18/Prices!$C$160)/SITES!O$31*1000</f>
        <v>131.05419287010437</v>
      </c>
      <c r="L24" s="438"/>
      <c r="M24" s="439">
        <f>(SITES!D$18/Prices!$C$160)/SITES!L$32*1000</f>
        <v>152.66048234802417</v>
      </c>
      <c r="N24" s="439">
        <f>(SITES!E$18/Prices!$C$160)/SITES!M$32*1000</f>
        <v>137.71460945337182</v>
      </c>
      <c r="O24" s="439">
        <f>(SITES!F$18/Prices!$C$160)/SITES!N$32*1000</f>
        <v>123.04765357334296</v>
      </c>
      <c r="P24" s="439">
        <f>(SITES!G$18/Prices!$C$160)/SITES!O$32*1000</f>
        <v>108.41459468722448</v>
      </c>
      <c r="Q24" s="435"/>
      <c r="R24" s="442">
        <f>SITES!$D$38</f>
        <v>5.9659758000851371</v>
      </c>
      <c r="S24" s="442">
        <f>SITES!$E$38</f>
        <v>5.216611931330486</v>
      </c>
      <c r="T24" s="442">
        <f>SITES!$F$38</f>
        <v>4.5264049138628577</v>
      </c>
      <c r="U24" s="442">
        <f>SITES!$G$38</f>
        <v>3.8737743753747691</v>
      </c>
    </row>
    <row r="25" spans="1:21">
      <c r="A25" s="155"/>
    </row>
    <row r="26" spans="1:21">
      <c r="A26" s="155"/>
    </row>
    <row r="27" spans="1:21">
      <c r="B27" s="130"/>
      <c r="C27" s="131" t="s">
        <v>379</v>
      </c>
      <c r="D27" s="131" t="s">
        <v>50</v>
      </c>
      <c r="E27" s="131" t="s">
        <v>52</v>
      </c>
      <c r="F27" s="131" t="s">
        <v>49</v>
      </c>
      <c r="H27" s="132" t="s">
        <v>647</v>
      </c>
      <c r="I27" s="132"/>
      <c r="J27" s="132"/>
      <c r="K27" s="132"/>
      <c r="M27" s="132" t="s">
        <v>159</v>
      </c>
      <c r="N27" s="132"/>
      <c r="O27" s="132"/>
      <c r="P27" s="132"/>
      <c r="R27" s="132" t="s">
        <v>313</v>
      </c>
      <c r="S27" s="132"/>
      <c r="T27" s="132"/>
      <c r="U27" s="132"/>
    </row>
    <row r="28" spans="1:21">
      <c r="A28" s="155"/>
      <c r="B28" s="158" t="s">
        <v>705</v>
      </c>
      <c r="C28" s="143" t="str">
        <f t="shared" ref="C28:F29" si="0">C8</f>
        <v>EUR 28.4</v>
      </c>
      <c r="D28" s="143" t="str">
        <f t="shared" si="0"/>
        <v>EUR 34.0</v>
      </c>
      <c r="E28" s="52">
        <f t="shared" si="0"/>
        <v>0.19718309859154926</v>
      </c>
      <c r="F28" s="143" t="str">
        <f t="shared" si="0"/>
        <v>Buy</v>
      </c>
      <c r="H28" s="407">
        <f>CLNX!$D$37</f>
        <v>9.6176123454438684</v>
      </c>
      <c r="I28" s="407">
        <f>CLNX!$E$37</f>
        <v>9.1700870087849626</v>
      </c>
      <c r="J28" s="407">
        <f>CLNX!$F$37</f>
        <v>8.5514799734665488</v>
      </c>
      <c r="K28" s="407">
        <f>CLNX!$G$37</f>
        <v>8.0061222017700686</v>
      </c>
      <c r="L28" s="434"/>
      <c r="M28" s="407">
        <f>CLNX!$D$39</f>
        <v>52.972812709199893</v>
      </c>
      <c r="N28" s="407">
        <f>CLNX!$E$39</f>
        <v>34.007157856684536</v>
      </c>
      <c r="O28" s="407">
        <f>CLNX!$F$39</f>
        <v>23.474064496952042</v>
      </c>
      <c r="P28" s="407">
        <f>CLNX!$G$39</f>
        <v>18.287461598027477</v>
      </c>
      <c r="Q28" s="435"/>
      <c r="R28" s="407">
        <f>CLNX!$D$44</f>
        <v>-53.044174905992179</v>
      </c>
      <c r="S28" s="407">
        <f>CLNX!$E$44</f>
        <v>-303.089354205858</v>
      </c>
      <c r="T28" s="407">
        <f>CLNX!$F$44</f>
        <v>181.83730042461602</v>
      </c>
      <c r="U28" s="407">
        <f>CLNX!$G$44</f>
        <v>136.69431401363275</v>
      </c>
    </row>
    <row r="29" spans="1:21">
      <c r="A29" s="155"/>
      <c r="B29" s="158" t="s">
        <v>703</v>
      </c>
      <c r="C29" s="143" t="str">
        <f t="shared" si="0"/>
        <v>EUR 7.3</v>
      </c>
      <c r="D29" s="143" t="str">
        <f t="shared" si="0"/>
        <v>EUR 9.5</v>
      </c>
      <c r="E29" s="52">
        <f t="shared" si="0"/>
        <v>0.30226182316655237</v>
      </c>
      <c r="F29" s="143" t="str">
        <f t="shared" si="0"/>
        <v>Buy</v>
      </c>
      <c r="H29" s="407">
        <f>INWIT!$D$37</f>
        <v>9.7776223273685456</v>
      </c>
      <c r="I29" s="407">
        <f>INWIT!$E$37</f>
        <v>9.6304467367418578</v>
      </c>
      <c r="J29" s="407">
        <f>INWIT!$F$37</f>
        <v>9.1387384362304278</v>
      </c>
      <c r="K29" s="407">
        <f>INWIT!$G$37</f>
        <v>8.6161864667366626</v>
      </c>
      <c r="L29" s="434"/>
      <c r="M29" s="407">
        <f>INWIT!$D$39</f>
        <v>21.076190051457353</v>
      </c>
      <c r="N29" s="407">
        <f>INWIT!$E$39</f>
        <v>17.527643688967174</v>
      </c>
      <c r="O29" s="407">
        <f>INWIT!$F$39</f>
        <v>16.23190957926559</v>
      </c>
      <c r="P29" s="407">
        <f>INWIT!$G$39</f>
        <v>14.608168780415328</v>
      </c>
      <c r="Q29" s="436"/>
      <c r="R29" s="407">
        <f>INWIT!$D$44</f>
        <v>18.164622994213762</v>
      </c>
      <c r="S29" s="407">
        <f>INWIT!$E$44</f>
        <v>18.090680136585604</v>
      </c>
      <c r="T29" s="407">
        <f>INWIT!$F$44</f>
        <v>19.495261765445541</v>
      </c>
      <c r="U29" s="407">
        <f>INWIT!$G$44</f>
        <v>18.101154196443549</v>
      </c>
    </row>
    <row r="30" spans="1:21">
      <c r="B30" s="32"/>
      <c r="C30" s="28"/>
      <c r="D30" s="146"/>
      <c r="E30" s="29"/>
      <c r="F30" s="28"/>
      <c r="H30" s="437"/>
      <c r="I30" s="437"/>
      <c r="J30" s="437"/>
      <c r="K30" s="437"/>
      <c r="L30" s="438"/>
      <c r="M30" s="437"/>
      <c r="N30" s="437"/>
      <c r="O30" s="437"/>
      <c r="P30" s="437"/>
      <c r="Q30" s="435"/>
      <c r="R30" s="437"/>
      <c r="S30" s="437"/>
      <c r="T30" s="437"/>
      <c r="U30" s="437"/>
    </row>
    <row r="31" spans="1:21">
      <c r="A31" s="26"/>
      <c r="B31" s="32" t="s">
        <v>567</v>
      </c>
      <c r="C31" s="28" t="str">
        <f t="shared" ref="C31:F33" si="1">C11</f>
        <v>USD 177.8</v>
      </c>
      <c r="D31" s="146" t="str">
        <f t="shared" si="1"/>
        <v>USD 203.0</v>
      </c>
      <c r="E31" s="29">
        <f t="shared" si="1"/>
        <v>0.14186072674091577</v>
      </c>
      <c r="F31" s="28" t="str">
        <f t="shared" si="1"/>
        <v>Buy</v>
      </c>
      <c r="H31" s="437">
        <f>AMT!$D$37</f>
        <v>10.629451194788215</v>
      </c>
      <c r="I31" s="437">
        <f>AMT!$E$37</f>
        <v>10.081938370600342</v>
      </c>
      <c r="J31" s="437">
        <f>AMT!$F$37</f>
        <v>9.5261173346423753</v>
      </c>
      <c r="K31" s="437">
        <f>AMT!$G$37</f>
        <v>8.6621100821905959</v>
      </c>
      <c r="L31" s="438"/>
      <c r="M31" s="437">
        <f>AMT!$D$39</f>
        <v>31.012927561033507</v>
      </c>
      <c r="N31" s="437">
        <f>AMT!$E$39</f>
        <v>29.562324113201385</v>
      </c>
      <c r="O31" s="437">
        <f>AMT!$F$39</f>
        <v>26.450938447063969</v>
      </c>
      <c r="P31" s="437">
        <f>AMT!$G$39</f>
        <v>23.433811058598831</v>
      </c>
      <c r="Q31" s="435"/>
      <c r="R31" s="437">
        <f>AMT!$D$44</f>
        <v>19.093792934743487</v>
      </c>
      <c r="S31" s="437">
        <f>AMT!$E$44</f>
        <v>15.994597230638631</v>
      </c>
      <c r="T31" s="437">
        <f>AMT!$F$44</f>
        <v>15.740638691657288</v>
      </c>
      <c r="U31" s="437">
        <f>AMT!$G$44</f>
        <v>14.573979732995866</v>
      </c>
    </row>
    <row r="32" spans="1:21">
      <c r="A32" s="26"/>
      <c r="B32" s="32" t="s">
        <v>565</v>
      </c>
      <c r="C32" s="28" t="str">
        <f t="shared" si="1"/>
        <v>USD 86.2</v>
      </c>
      <c r="D32" s="146" t="str">
        <f t="shared" si="1"/>
        <v>USD 93.0</v>
      </c>
      <c r="E32" s="29">
        <f t="shared" si="1"/>
        <v>7.8698602331380707E-2</v>
      </c>
      <c r="F32" s="28" t="str">
        <f t="shared" si="1"/>
        <v>Neutral</v>
      </c>
      <c r="H32" s="437">
        <f>IFERROR(CCI!$D$37, "")</f>
        <v>12.752837205758228</v>
      </c>
      <c r="I32" s="437">
        <f>CCI!$E$37</f>
        <v>11.197341936639511</v>
      </c>
      <c r="J32" s="437">
        <f>CCI!$F$37</f>
        <v>10.761385029943217</v>
      </c>
      <c r="K32" s="437">
        <f>CCI!$G$37</f>
        <v>10.177048180820639</v>
      </c>
      <c r="L32" s="438"/>
      <c r="M32" s="437">
        <f>CCI!$D$39</f>
        <v>18.924709919281888</v>
      </c>
      <c r="N32" s="437">
        <f>CCI!$E$39</f>
        <v>26.020338866034475</v>
      </c>
      <c r="O32" s="437">
        <f>CCI!$F$39</f>
        <v>25.552317366189904</v>
      </c>
      <c r="P32" s="437">
        <f>CCI!$G$39</f>
        <v>24.202504645338319</v>
      </c>
      <c r="Q32" s="435"/>
      <c r="R32" s="437">
        <f>CCI!$D$44</f>
        <v>20.00819326751342</v>
      </c>
      <c r="S32" s="437">
        <f>CCI!$E$44</f>
        <v>19.999494986981567</v>
      </c>
      <c r="T32" s="437">
        <f>CCI!$F$44</f>
        <v>18.841387479162613</v>
      </c>
      <c r="U32" s="437">
        <f>CCI!$G$44</f>
        <v>18.564717283627409</v>
      </c>
    </row>
    <row r="33" spans="1:21">
      <c r="A33" s="26"/>
      <c r="B33" s="32" t="s">
        <v>643</v>
      </c>
      <c r="C33" s="28" t="str">
        <f t="shared" si="1"/>
        <v>USD 217.5</v>
      </c>
      <c r="D33" s="146" t="str">
        <f t="shared" si="1"/>
        <v>USD 212.0</v>
      </c>
      <c r="E33" s="29">
        <f t="shared" si="1"/>
        <v>-2.5287356321839094E-2</v>
      </c>
      <c r="F33" s="28" t="str">
        <f t="shared" si="1"/>
        <v>Neutral</v>
      </c>
      <c r="H33" s="437">
        <f>SBAC!$D$37</f>
        <v>12.161028432544857</v>
      </c>
      <c r="I33" s="437">
        <f>SBAC!$E$37</f>
        <v>12.145908512974501</v>
      </c>
      <c r="J33" s="437">
        <f>SBAC!$F$37</f>
        <v>11.520312912599492</v>
      </c>
      <c r="K33" s="437">
        <f>SBAC!$G$37</f>
        <v>10.649103396497427</v>
      </c>
      <c r="L33" s="438"/>
      <c r="M33" s="437">
        <f>SBAC!$D$39</f>
        <v>22.413225656872928</v>
      </c>
      <c r="N33" s="437">
        <f>SBAC!$E$39</f>
        <v>25.580122596303212</v>
      </c>
      <c r="O33" s="437">
        <f>SBAC!$F$39</f>
        <v>24.269454206332838</v>
      </c>
      <c r="P33" s="437">
        <f>SBAC!$G$39</f>
        <v>22.381488950016966</v>
      </c>
      <c r="Q33" s="435"/>
      <c r="R33" s="437">
        <f>SBAC!$D$44</f>
        <v>15.639487593612129</v>
      </c>
      <c r="S33" s="437">
        <f>SBAC!$F$44</f>
        <v>16.892330873723331</v>
      </c>
      <c r="T33" s="437">
        <f>SBAC!$F$44</f>
        <v>16.892330873723331</v>
      </c>
      <c r="U33" s="437">
        <f>SBAC!$G$44</f>
        <v>15.894676028300815</v>
      </c>
    </row>
    <row r="34" spans="1:21">
      <c r="A34" s="26"/>
      <c r="B34" s="32"/>
      <c r="C34" s="28"/>
      <c r="D34" s="28"/>
      <c r="E34" s="29"/>
      <c r="F34" s="28"/>
      <c r="H34" s="437"/>
      <c r="I34" s="437"/>
      <c r="J34" s="437"/>
      <c r="K34" s="437"/>
      <c r="L34" s="438"/>
      <c r="M34" s="437"/>
      <c r="N34" s="437"/>
      <c r="O34" s="437"/>
      <c r="P34" s="437"/>
      <c r="Q34" s="435"/>
      <c r="R34" s="437"/>
      <c r="S34" s="437"/>
      <c r="T34" s="437"/>
      <c r="U34" s="437"/>
    </row>
    <row r="35" spans="1:21">
      <c r="A35" s="26"/>
      <c r="B35" s="32" t="s">
        <v>638</v>
      </c>
      <c r="C35" s="28" t="str">
        <f t="shared" ref="C35:F39" si="2">C15</f>
        <v>INR 402</v>
      </c>
      <c r="D35" s="28" t="str">
        <f t="shared" si="2"/>
        <v>INR 400</v>
      </c>
      <c r="E35" s="29">
        <f t="shared" si="2"/>
        <v>-5.3462638319035083E-3</v>
      </c>
      <c r="F35" s="28" t="str">
        <f t="shared" si="2"/>
        <v>Neutral</v>
      </c>
      <c r="H35" s="437">
        <f>BHIN!$D$37</f>
        <v>3.7582474987890531</v>
      </c>
      <c r="I35" s="437">
        <f>BHIN!$E$37</f>
        <v>3.6241481805196107</v>
      </c>
      <c r="J35" s="437">
        <f>BHIN!$F$37</f>
        <v>3.6167138711219367</v>
      </c>
      <c r="K35" s="437">
        <f>BHIN!$G$37</f>
        <v>3.6776998975278761</v>
      </c>
      <c r="L35" s="438"/>
      <c r="M35" s="437">
        <f>BHIN!$D$39</f>
        <v>8.9813675854090071</v>
      </c>
      <c r="N35" s="437">
        <f>BHIN!$E$39</f>
        <v>8.4355304124974477</v>
      </c>
      <c r="O35" s="437">
        <f>BHIN!$F$39</f>
        <v>8.2438287800504959</v>
      </c>
      <c r="P35" s="437">
        <f>BHIN!$G$39</f>
        <v>8.26746086503932</v>
      </c>
      <c r="Q35" s="435"/>
      <c r="R35" s="437">
        <f>BHIN!$D$44</f>
        <v>13.042648686565192</v>
      </c>
      <c r="S35" s="437">
        <f>BHIN!$E$44</f>
        <v>11.753330073883641</v>
      </c>
      <c r="T35" s="437">
        <f>BHIN!$F$44</f>
        <v>11.123930031518125</v>
      </c>
      <c r="U35" s="437">
        <f>BHIN!$G$44</f>
        <v>10.934775494515064</v>
      </c>
    </row>
    <row r="36" spans="1:21">
      <c r="A36" s="26"/>
      <c r="B36" s="158" t="s">
        <v>836</v>
      </c>
      <c r="C36" s="143" t="str">
        <f t="shared" si="2"/>
        <v>HKD 11.16</v>
      </c>
      <c r="D36" s="143" t="str">
        <f t="shared" si="2"/>
        <v>HKD 14.00</v>
      </c>
      <c r="E36" s="52">
        <f t="shared" si="2"/>
        <v>0.25448028673835132</v>
      </c>
      <c r="F36" s="28" t="str">
        <f t="shared" si="2"/>
        <v>Buy</v>
      </c>
      <c r="H36" s="437">
        <f>ChinaTow!D$37</f>
        <v>2.3684497253203243</v>
      </c>
      <c r="I36" s="437">
        <f>ChinaTow!E$37</f>
        <v>2.0086244176189703</v>
      </c>
      <c r="J36" s="437">
        <f>ChinaTow!F$37</f>
        <v>1.6794107394817834</v>
      </c>
      <c r="K36" s="437">
        <f>ChinaTow!G$37</f>
        <v>1.3709727675684447</v>
      </c>
      <c r="L36" s="435"/>
      <c r="M36" s="437">
        <f>ChinaTow!D$39</f>
        <v>5.2190902992382338</v>
      </c>
      <c r="N36" s="437">
        <f>ChinaTow!E$39</f>
        <v>4.3979494749034282</v>
      </c>
      <c r="O36" s="437">
        <f>ChinaTow!F$39</f>
        <v>3.6829895091893037</v>
      </c>
      <c r="P36" s="437">
        <f>ChinaTow!G$39</f>
        <v>3.0137927894909788</v>
      </c>
      <c r="Q36" s="436"/>
      <c r="R36" s="437">
        <f>ChinaTow!D$44</f>
        <v>12.630498984525531</v>
      </c>
      <c r="S36" s="437">
        <f>ChinaTow!E$44</f>
        <v>8.3055997083093462</v>
      </c>
      <c r="T36" s="437">
        <f>ChinaTow!F$44</f>
        <v>6.546335742457452</v>
      </c>
      <c r="U36" s="437">
        <f>ChinaTow!G$44</f>
        <v>5.7204948336611752</v>
      </c>
    </row>
    <row r="37" spans="1:21">
      <c r="A37" s="26"/>
      <c r="B37" s="32" t="s">
        <v>645</v>
      </c>
      <c r="C37" s="28" t="str">
        <f t="shared" si="2"/>
        <v>IDR 488</v>
      </c>
      <c r="D37" s="28" t="str">
        <f t="shared" si="2"/>
        <v>IDR 780</v>
      </c>
      <c r="E37" s="29">
        <f t="shared" si="2"/>
        <v>0.59836065573770503</v>
      </c>
      <c r="F37" s="28" t="str">
        <f t="shared" si="2"/>
        <v>Buy</v>
      </c>
      <c r="H37" s="437">
        <f>TOWR!$D$37</f>
        <v>5.6786949702712679</v>
      </c>
      <c r="I37" s="437">
        <f>TOWR!$E$37</f>
        <v>5.3974325876767688</v>
      </c>
      <c r="J37" s="437">
        <f>TOWR!$F$37</f>
        <v>5.0212311793736761</v>
      </c>
      <c r="K37" s="437">
        <f>TOWR!$G$37</f>
        <v>4.5783640520429483</v>
      </c>
      <c r="L37" s="438"/>
      <c r="M37" s="437">
        <f>TOWR!$D$39</f>
        <v>12.757383919885898</v>
      </c>
      <c r="N37" s="437">
        <f>TOWR!$E$39</f>
        <v>11.561882838839365</v>
      </c>
      <c r="O37" s="437">
        <f>TOWR!$F$39</f>
        <v>10.473339484867296</v>
      </c>
      <c r="P37" s="437">
        <f>TOWR!$G$39</f>
        <v>9.3617820773766187</v>
      </c>
      <c r="Q37" s="435"/>
      <c r="R37" s="437">
        <f>TOWR!$D$44</f>
        <v>6.3924063945088356</v>
      </c>
      <c r="S37" s="437">
        <f>TOWR!$E$44</f>
        <v>6.3625350190223147</v>
      </c>
      <c r="T37" s="437">
        <f>TOWR!$F$44</f>
        <v>6.0757003329277781</v>
      </c>
      <c r="U37" s="437">
        <f>TOWR!$G$44</f>
        <v>5.6255022686374279</v>
      </c>
    </row>
    <row r="38" spans="1:21">
      <c r="A38" s="26"/>
      <c r="B38" s="158" t="s">
        <v>644</v>
      </c>
      <c r="C38" s="143" t="str">
        <f t="shared" si="2"/>
        <v>IDR 1,875</v>
      </c>
      <c r="D38" s="143" t="str">
        <f t="shared" si="2"/>
        <v>IDR 1,250</v>
      </c>
      <c r="E38" s="52">
        <f t="shared" si="2"/>
        <v>-0.33333333333333337</v>
      </c>
      <c r="F38" s="143" t="str">
        <f t="shared" si="2"/>
        <v>Reduce</v>
      </c>
      <c r="H38" s="407">
        <f>TBIG!$D$37</f>
        <v>10.326570648944477</v>
      </c>
      <c r="I38" s="407">
        <f>TBIG!$E$37</f>
        <v>10.101950166883739</v>
      </c>
      <c r="J38" s="407">
        <f>TBIG!$F$37</f>
        <v>9.6960598500984432</v>
      </c>
      <c r="K38" s="407">
        <f>TBIG!$G$37</f>
        <v>9.1825298002879734</v>
      </c>
      <c r="L38" s="435"/>
      <c r="M38" s="407">
        <f>TBIG!$D$39</f>
        <v>18.522798948640428</v>
      </c>
      <c r="N38" s="407">
        <f>TBIG!$E$39</f>
        <v>18.280296916581527</v>
      </c>
      <c r="O38" s="407">
        <f>TBIG!$F$39</f>
        <v>17.456806372041395</v>
      </c>
      <c r="P38" s="407">
        <f>TBIG!$G$39</f>
        <v>16.03581803613643</v>
      </c>
      <c r="Q38" s="436"/>
      <c r="R38" s="407">
        <f>TBIG!$D$44</f>
        <v>30.76960411861911</v>
      </c>
      <c r="S38" s="407">
        <f>TBIG!$E$44</f>
        <v>26.918367570973011</v>
      </c>
      <c r="T38" s="407">
        <f>TBIG!$F$44</f>
        <v>26.288818521696925</v>
      </c>
      <c r="U38" s="407">
        <f>TBIG!$G$44</f>
        <v>24.916238187129728</v>
      </c>
    </row>
    <row r="39" spans="1:21">
      <c r="A39" s="26"/>
      <c r="B39" s="158" t="s">
        <v>1111</v>
      </c>
      <c r="C39" s="143" t="str">
        <f t="shared" si="2"/>
        <v>IDR 530</v>
      </c>
      <c r="D39" s="143" t="str">
        <f t="shared" si="2"/>
        <v>IDR 740</v>
      </c>
      <c r="E39" s="52">
        <f t="shared" si="2"/>
        <v>0.39622641509433953</v>
      </c>
      <c r="F39" s="143" t="str">
        <f t="shared" si="2"/>
        <v>Buy</v>
      </c>
      <c r="H39" s="407">
        <f>MITRA!$D$37</f>
        <v>6.7264232136733657</v>
      </c>
      <c r="I39" s="407">
        <f>MITRA!$E$37</f>
        <v>6.1024009369068883</v>
      </c>
      <c r="J39" s="407">
        <f>MITRA!$F$37</f>
        <v>5.4844298492929244</v>
      </c>
      <c r="K39" s="407">
        <f>MITRA!$G$37</f>
        <v>4.8441032603841192</v>
      </c>
      <c r="L39" s="435"/>
      <c r="M39" s="407">
        <f>MITRA!$D$39</f>
        <v>-14.972412806537246</v>
      </c>
      <c r="N39" s="407">
        <f>MITRA!$E$39</f>
        <v>95.289207730590405</v>
      </c>
      <c r="O39" s="407">
        <f>MITRA!$F$39</f>
        <v>11.957095746506777</v>
      </c>
      <c r="P39" s="407">
        <f>MITRA!$G$39</f>
        <v>19.740486790823862</v>
      </c>
      <c r="Q39" s="436"/>
      <c r="R39" s="407">
        <f>MITRA!$D$44</f>
        <v>19.954796982469823</v>
      </c>
      <c r="S39" s="407">
        <f>MITRA!$E$44</f>
        <v>19.034992925734667</v>
      </c>
      <c r="T39" s="407">
        <f>MITRA!$F$44</f>
        <v>17.252846383027336</v>
      </c>
      <c r="U39" s="407">
        <f>MITRA!$G$44</f>
        <v>15.245236495080288</v>
      </c>
    </row>
    <row r="40" spans="1:21">
      <c r="A40" s="26"/>
      <c r="B40" s="32"/>
      <c r="C40" s="28"/>
      <c r="D40" s="28"/>
      <c r="E40" s="29"/>
      <c r="F40" s="28"/>
      <c r="H40" s="437"/>
      <c r="I40" s="437"/>
      <c r="J40" s="437"/>
      <c r="K40" s="437"/>
      <c r="L40" s="438"/>
      <c r="M40" s="437"/>
      <c r="N40" s="437"/>
      <c r="O40" s="437"/>
      <c r="P40" s="437"/>
      <c r="Q40" s="435"/>
      <c r="R40" s="437"/>
      <c r="S40" s="437"/>
      <c r="T40" s="437"/>
      <c r="U40" s="437"/>
    </row>
    <row r="41" spans="1:21">
      <c r="A41" s="26"/>
      <c r="B41" s="32" t="str">
        <f t="shared" ref="B41:F42" si="3">B21</f>
        <v>IHS Holding</v>
      </c>
      <c r="C41" s="28" t="str">
        <f t="shared" si="3"/>
        <v>USD 8.2</v>
      </c>
      <c r="D41" s="28" t="str">
        <f t="shared" si="3"/>
        <v>USD 10.0</v>
      </c>
      <c r="E41" s="29">
        <f t="shared" si="3"/>
        <v>0.2179526216430181</v>
      </c>
      <c r="F41" s="28" t="str">
        <f t="shared" si="3"/>
        <v>Buy</v>
      </c>
      <c r="H41" s="437">
        <f>IHS!$D$37</f>
        <v>2.9975172372702517</v>
      </c>
      <c r="I41" s="437">
        <f>IHS!$E$37</f>
        <v>2.8003364444403975</v>
      </c>
      <c r="J41" s="437">
        <f>IHS!$F$37</f>
        <v>2.5523701455577399</v>
      </c>
      <c r="K41" s="437">
        <f>IHS!$G$37</f>
        <v>2.3600130647944275</v>
      </c>
      <c r="L41" s="438"/>
      <c r="M41" s="437">
        <f>IHS!$D$39</f>
        <v>8.9503605321559974</v>
      </c>
      <c r="N41" s="437">
        <f>IHS!$E$39</f>
        <v>8.2349002417875212</v>
      </c>
      <c r="O41" s="437">
        <f>IHS!$F$39</f>
        <v>7.2125828175435389</v>
      </c>
      <c r="P41" s="437">
        <f>IHS!$G$39</f>
        <v>6.5607571890069769</v>
      </c>
      <c r="Q41" s="435"/>
      <c r="R41" s="407">
        <f>IHS!$D$44</f>
        <v>13.266370641724958</v>
      </c>
      <c r="S41" s="407">
        <f>IHS!$E$44</f>
        <v>10.913526264922792</v>
      </c>
      <c r="T41" s="407">
        <f>IHS!$F$44</f>
        <v>8.682594416366177</v>
      </c>
      <c r="U41" s="407">
        <f>IHS!$G$44</f>
        <v>7.276462969452214</v>
      </c>
    </row>
    <row r="42" spans="1:21">
      <c r="A42" s="26"/>
      <c r="B42" s="32" t="str">
        <f t="shared" si="3"/>
        <v>Helios Towers</v>
      </c>
      <c r="C42" s="28" t="str">
        <f t="shared" si="3"/>
        <v>GBP2.0</v>
      </c>
      <c r="D42" s="28" t="str">
        <f t="shared" si="3"/>
        <v>GBP1.8</v>
      </c>
      <c r="E42" s="29">
        <f t="shared" si="3"/>
        <v>-8.8607594936708889E-2</v>
      </c>
      <c r="F42" s="28" t="str">
        <f t="shared" si="3"/>
        <v>Buy</v>
      </c>
      <c r="H42" s="437">
        <f>HTWS!$D$37</f>
        <v>4.6333490701102535</v>
      </c>
      <c r="I42" s="437">
        <f>HTWS!$E$37</f>
        <v>4.2745803315877042</v>
      </c>
      <c r="J42" s="437">
        <f>HTWS!$F$37</f>
        <v>3.9456529859359808</v>
      </c>
      <c r="K42" s="437">
        <f>HTWS!$G$37</f>
        <v>3.6489101891559796</v>
      </c>
      <c r="L42" s="438"/>
      <c r="M42" s="437">
        <f>HTWS!$D$39</f>
        <v>16.042507176499281</v>
      </c>
      <c r="N42" s="437">
        <f>HTWS!$E$39</f>
        <v>13.828395960195831</v>
      </c>
      <c r="O42" s="437">
        <f>HTWS!$F$39</f>
        <v>12.070973003334526</v>
      </c>
      <c r="P42" s="437">
        <f>HTWS!$G$39</f>
        <v>10.58540342954873</v>
      </c>
      <c r="Q42" s="435"/>
      <c r="R42" s="407">
        <f>HTWS!$D$44</f>
        <v>31.886063788307197</v>
      </c>
      <c r="S42" s="407">
        <f>HTWS!$E$44</f>
        <v>20.195136480917096</v>
      </c>
      <c r="T42" s="407">
        <f>HTWS!$F$44</f>
        <v>14.724466004875893</v>
      </c>
      <c r="U42" s="407">
        <f>HTWS!$G$44</f>
        <v>11.346262197442707</v>
      </c>
    </row>
    <row r="43" spans="1:21">
      <c r="B43" s="32"/>
      <c r="C43" s="28"/>
      <c r="D43" s="28"/>
      <c r="E43" s="29"/>
      <c r="F43" s="28"/>
      <c r="H43" s="437"/>
      <c r="I43" s="437"/>
      <c r="J43" s="437"/>
      <c r="K43" s="437"/>
      <c r="L43" s="438"/>
      <c r="M43" s="437"/>
      <c r="N43" s="437"/>
      <c r="O43" s="437"/>
      <c r="P43" s="437"/>
      <c r="Q43" s="435"/>
      <c r="R43" s="437"/>
      <c r="S43" s="437"/>
      <c r="T43" s="437"/>
      <c r="U43" s="437"/>
    </row>
    <row r="44" spans="1:21">
      <c r="B44" s="159" t="s">
        <v>731</v>
      </c>
      <c r="C44" s="147" t="str">
        <f>C24</f>
        <v>MXN 16.2</v>
      </c>
      <c r="D44" s="147" t="str">
        <f>D24</f>
        <v>MXN 17.0</v>
      </c>
      <c r="E44" s="148">
        <f>E24</f>
        <v>5.1980198019802026E-2</v>
      </c>
      <c r="F44" s="147" t="str">
        <f>F24</f>
        <v>Neutral</v>
      </c>
      <c r="H44" s="439">
        <f>SITES!$D$37</f>
        <v>5.7083848807458963</v>
      </c>
      <c r="I44" s="439">
        <f>SITES!$E$37</f>
        <v>4.9836434635725082</v>
      </c>
      <c r="J44" s="439">
        <f>SITES!$F$37</f>
        <v>4.3174451603007586</v>
      </c>
      <c r="K44" s="439">
        <f>SITES!$G$37</f>
        <v>3.6890055801325254</v>
      </c>
      <c r="L44" s="438"/>
      <c r="M44" s="439">
        <f>SITES!$D$39</f>
        <v>6.665870337815508</v>
      </c>
      <c r="N44" s="439">
        <f>SITES!$E$39</f>
        <v>5.7344327171223819</v>
      </c>
      <c r="O44" s="439">
        <f>SITES!$F$39</f>
        <v>4.9736087183367319</v>
      </c>
      <c r="P44" s="439">
        <f>SITES!$G$39</f>
        <v>4.2534390132025583</v>
      </c>
      <c r="Q44" s="435"/>
      <c r="R44" s="439">
        <f>SITES!$D$44</f>
        <v>15.247559094008842</v>
      </c>
      <c r="S44" s="439">
        <f>SITES!$E$44</f>
        <v>12.022763471942085</v>
      </c>
      <c r="T44" s="439">
        <f>SITES!$F$44</f>
        <v>9.8069279421320168</v>
      </c>
      <c r="U44" s="439">
        <f>SITES!$G$44</f>
        <v>8.1904275739193206</v>
      </c>
    </row>
    <row r="45" spans="1:21">
      <c r="H45" s="61"/>
      <c r="I45" s="61"/>
      <c r="J45" s="61"/>
      <c r="K45" s="61"/>
    </row>
    <row r="46" spans="1:21">
      <c r="H46" s="61"/>
      <c r="I46" s="61"/>
      <c r="J46" s="61"/>
      <c r="K46" s="61"/>
    </row>
    <row r="47" spans="1:21" collapsed="1">
      <c r="A47" s="155"/>
      <c r="B47" s="130" t="s">
        <v>571</v>
      </c>
      <c r="C47" s="131" t="s">
        <v>379</v>
      </c>
      <c r="D47" s="131" t="s">
        <v>50</v>
      </c>
      <c r="E47" s="131" t="s">
        <v>52</v>
      </c>
      <c r="F47" s="131" t="s">
        <v>49</v>
      </c>
      <c r="H47" s="132" t="s">
        <v>381</v>
      </c>
      <c r="I47" s="132"/>
      <c r="J47" s="132"/>
      <c r="K47" s="132"/>
      <c r="M47" s="132" t="s">
        <v>656</v>
      </c>
      <c r="N47" s="132"/>
      <c r="O47" s="132"/>
      <c r="P47" s="132"/>
      <c r="R47" s="132" t="s">
        <v>662</v>
      </c>
      <c r="S47" s="132"/>
      <c r="T47" s="132"/>
      <c r="U47" s="132"/>
    </row>
    <row r="48" spans="1:21">
      <c r="A48" s="155"/>
      <c r="B48" s="158" t="str">
        <f t="shared" ref="B48:F49" si="4">B28</f>
        <v>Cellnex</v>
      </c>
      <c r="C48" s="143" t="str">
        <f t="shared" si="4"/>
        <v>EUR 28.4</v>
      </c>
      <c r="D48" s="143" t="str">
        <f t="shared" si="4"/>
        <v>EUR 34.0</v>
      </c>
      <c r="E48" s="52">
        <f t="shared" si="4"/>
        <v>0.19718309859154926</v>
      </c>
      <c r="F48" s="143" t="str">
        <f t="shared" si="4"/>
        <v>Buy</v>
      </c>
      <c r="H48" s="407">
        <f>CLNX!$D$40</f>
        <v>69.909846035442797</v>
      </c>
      <c r="I48" s="407">
        <f>CLNX!$E$40</f>
        <v>44.880083080159999</v>
      </c>
      <c r="J48" s="407">
        <f>CLNX!$F$40</f>
        <v>30.96552156975239</v>
      </c>
      <c r="K48" s="407">
        <f>CLNX!$G$40</f>
        <v>24.108004253000008</v>
      </c>
      <c r="L48" s="434"/>
      <c r="M48" s="443">
        <f>IFERROR(CLNX!$D$45,"-")</f>
        <v>1.3063380281690141E-2</v>
      </c>
      <c r="N48" s="443">
        <f>IFERROR(CLNX!$E$45,"-")</f>
        <v>2.7545072488863877E-2</v>
      </c>
      <c r="O48" s="443">
        <f>IFERROR(CLNX!$F$45,"-")</f>
        <v>3.0073723002643923E-2</v>
      </c>
      <c r="P48" s="443">
        <f>IFERROR(CLNX!$G$45,"-")</f>
        <v>3.2817715520473648E-2</v>
      </c>
      <c r="Q48" s="444"/>
      <c r="R48" s="443">
        <f>IFERROR(CLNX!$D$47,"-")</f>
        <v>1.7081791676870729E-2</v>
      </c>
      <c r="S48" s="443">
        <f>IFERROR(CLNX!E$47,"-")</f>
        <v>3.1336381202406928E-2</v>
      </c>
      <c r="T48" s="443">
        <f>IFERROR(CLNX!F$47,"-")</f>
        <v>5.4094246233591915E-2</v>
      </c>
      <c r="U48" s="443">
        <f>IFERROR(CLNX!G$47,"-")</f>
        <v>6.9171552639320705E-2</v>
      </c>
    </row>
    <row r="49" spans="1:21">
      <c r="A49" s="26"/>
      <c r="B49" s="158" t="str">
        <f t="shared" si="4"/>
        <v>Inwit</v>
      </c>
      <c r="C49" s="143" t="str">
        <f t="shared" si="4"/>
        <v>EUR 7.3</v>
      </c>
      <c r="D49" s="143" t="str">
        <f t="shared" si="4"/>
        <v>EUR 9.5</v>
      </c>
      <c r="E49" s="52">
        <f t="shared" si="4"/>
        <v>0.30226182316655237</v>
      </c>
      <c r="F49" s="143" t="str">
        <f t="shared" si="4"/>
        <v>Buy</v>
      </c>
      <c r="H49" s="407">
        <f>INWIT!$D$40</f>
        <v>29.477188883157133</v>
      </c>
      <c r="I49" s="407">
        <f>INWIT!$E$40</f>
        <v>24.514186977576468</v>
      </c>
      <c r="J49" s="407">
        <f>INWIT!$F$40</f>
        <v>22.70197143953229</v>
      </c>
      <c r="K49" s="407">
        <f>INWIT!$G$40</f>
        <v>20.431005287294163</v>
      </c>
      <c r="L49" s="434"/>
      <c r="M49" s="443">
        <f>INWIT!$D$45</f>
        <v>7.5979437971213148E-2</v>
      </c>
      <c r="N49" s="443">
        <f>INWIT!$E$45</f>
        <v>7.5979437971213148E-2</v>
      </c>
      <c r="O49" s="443">
        <f>INWIT!$F$45</f>
        <v>7.5979437971213148E-2</v>
      </c>
      <c r="P49" s="443">
        <f>INWIT!$G$45</f>
        <v>7.5979437971213148E-2</v>
      </c>
      <c r="Q49" s="445"/>
      <c r="R49" s="443">
        <f>INWIT!$D$47</f>
        <v>4.3115750880967245E-2</v>
      </c>
      <c r="S49" s="443">
        <f>INWIT!$E$47</f>
        <v>5.4223452000116149E-2</v>
      </c>
      <c r="T49" s="443">
        <f>INWIT!$F$47</f>
        <v>5.421095143116543E-2</v>
      </c>
      <c r="U49" s="443">
        <f>INWIT!$G$47</f>
        <v>5.5981244018938961E-2</v>
      </c>
    </row>
    <row r="50" spans="1:21">
      <c r="A50" s="26"/>
      <c r="B50" s="32"/>
      <c r="C50" s="28"/>
      <c r="D50" s="146"/>
      <c r="E50" s="29"/>
      <c r="F50" s="28"/>
      <c r="H50" s="437"/>
      <c r="I50" s="437"/>
      <c r="J50" s="437"/>
      <c r="K50" s="437"/>
      <c r="L50" s="438"/>
      <c r="M50" s="446"/>
      <c r="N50" s="446"/>
      <c r="O50" s="446"/>
      <c r="P50" s="446"/>
      <c r="Q50" s="444"/>
      <c r="R50" s="446"/>
      <c r="S50" s="446"/>
      <c r="T50" s="446"/>
      <c r="U50" s="446"/>
    </row>
    <row r="51" spans="1:21">
      <c r="A51" s="26"/>
      <c r="B51" s="32" t="str">
        <f t="shared" ref="B51:F53" si="5">B31</f>
        <v>American Tower</v>
      </c>
      <c r="C51" s="28" t="str">
        <f t="shared" si="5"/>
        <v>USD 177.8</v>
      </c>
      <c r="D51" s="146" t="str">
        <f t="shared" si="5"/>
        <v>USD 203.0</v>
      </c>
      <c r="E51" s="29">
        <f t="shared" si="5"/>
        <v>0.14186072674091577</v>
      </c>
      <c r="F51" s="28" t="str">
        <f t="shared" si="5"/>
        <v>Buy</v>
      </c>
      <c r="H51" s="437">
        <f>AMT!$D$40</f>
        <v>31.012927561033507</v>
      </c>
      <c r="I51" s="437">
        <f>AMT!$E$40</f>
        <v>29.562324113201385</v>
      </c>
      <c r="J51" s="437">
        <f>AMT!$F$40</f>
        <v>26.450938447063969</v>
      </c>
      <c r="K51" s="437">
        <f>AMT!$G$40</f>
        <v>23.433811058598831</v>
      </c>
      <c r="L51" s="438"/>
      <c r="M51" s="446">
        <f>AMT!$D$45</f>
        <v>3.7890966823224861E-2</v>
      </c>
      <c r="N51" s="446">
        <f>AMT!$E$45</f>
        <v>4.2046834071386888E-2</v>
      </c>
      <c r="O51" s="446">
        <f>AMT!$F$45</f>
        <v>4.6250191048866636E-2</v>
      </c>
      <c r="P51" s="446">
        <f>AMT!$G$45</f>
        <v>5.0874373830397529E-2</v>
      </c>
      <c r="Q51" s="444"/>
      <c r="R51" s="446">
        <f>AMT!$D$47</f>
        <v>4.3483885363533571E-2</v>
      </c>
      <c r="S51" s="446">
        <f>AMT!$E$47</f>
        <v>4.4244256987755637E-2</v>
      </c>
      <c r="T51" s="446">
        <f>AMT!$F$47</f>
        <v>4.7797841904127961E-2</v>
      </c>
      <c r="U51" s="446">
        <f>AMT!$G$47</f>
        <v>5.1911443298804365E-2</v>
      </c>
    </row>
    <row r="52" spans="1:21">
      <c r="A52" s="26"/>
      <c r="B52" s="32" t="str">
        <f t="shared" si="5"/>
        <v>Crown Castle</v>
      </c>
      <c r="C52" s="28" t="str">
        <f t="shared" si="5"/>
        <v>USD 86.2</v>
      </c>
      <c r="D52" s="146" t="str">
        <f t="shared" si="5"/>
        <v>USD 93.0</v>
      </c>
      <c r="E52" s="29">
        <f t="shared" si="5"/>
        <v>7.8698602331380707E-2</v>
      </c>
      <c r="F52" s="28" t="str">
        <f t="shared" si="5"/>
        <v>Neutral</v>
      </c>
      <c r="H52" s="437">
        <f>CCI!$D$40</f>
        <v>18.924709919281888</v>
      </c>
      <c r="I52" s="437">
        <f>CCI!$E$40</f>
        <v>26.020338866034475</v>
      </c>
      <c r="J52" s="437">
        <f>CCI!$F$40</f>
        <v>25.552317366189904</v>
      </c>
      <c r="K52" s="437">
        <f>CCI!$G$40</f>
        <v>24.202504645338319</v>
      </c>
      <c r="L52" s="438"/>
      <c r="M52" s="446">
        <f>CCI!$D$45</f>
        <v>5.5239226516714292E-2</v>
      </c>
      <c r="N52" s="446">
        <f>CCI!$E$45</f>
        <v>4.8823081886948998E-2</v>
      </c>
      <c r="O52" s="446">
        <f>CCI!$F$45</f>
        <v>4.8271336116960349E-2</v>
      </c>
      <c r="P52" s="446">
        <f>CCI!$G$45</f>
        <v>4.8271336116960349E-2</v>
      </c>
      <c r="Q52" s="444"/>
      <c r="R52" s="446">
        <f>CCI!$D$47</f>
        <v>7.6331050410740495E-2</v>
      </c>
      <c r="S52" s="446">
        <f>CCI!$E$47</f>
        <v>4.6701247103758697E-2</v>
      </c>
      <c r="T52" s="446">
        <f>CCI!$F$47</f>
        <v>4.5775538782317542E-2</v>
      </c>
      <c r="U52" s="446">
        <f>CCI!$G$47</f>
        <v>4.6410906813996566E-2</v>
      </c>
    </row>
    <row r="53" spans="1:21">
      <c r="A53" s="26"/>
      <c r="B53" s="32" t="str">
        <f t="shared" si="5"/>
        <v xml:space="preserve">SBA </v>
      </c>
      <c r="C53" s="28" t="str">
        <f t="shared" si="5"/>
        <v>USD 217.5</v>
      </c>
      <c r="D53" s="146" t="str">
        <f t="shared" si="5"/>
        <v>USD 212.0</v>
      </c>
      <c r="E53" s="29">
        <f t="shared" si="5"/>
        <v>-2.5287356321839094E-2</v>
      </c>
      <c r="F53" s="28" t="str">
        <f t="shared" si="5"/>
        <v>Neutral</v>
      </c>
      <c r="H53" s="437">
        <f>SBAC!$D$40</f>
        <v>26.53249585038407</v>
      </c>
      <c r="I53" s="437">
        <f>SBAC!$E$40</f>
        <v>30.671364946396377</v>
      </c>
      <c r="J53" s="437">
        <f>SBAC!$F$40</f>
        <v>28.986948639231425</v>
      </c>
      <c r="K53" s="437">
        <f>SBAC!$G$40</f>
        <v>26.540020779801843</v>
      </c>
      <c r="L53" s="438"/>
      <c r="M53" s="446">
        <f>SBAC!$D$45</f>
        <v>2.0663660461762025E-2</v>
      </c>
      <c r="N53" s="446">
        <f>SBAC!$E$45</f>
        <v>2.3462114942528738E-2</v>
      </c>
      <c r="O53" s="446">
        <f>SBAC!$F$45</f>
        <v>2.8154537931034486E-2</v>
      </c>
      <c r="P53" s="446">
        <f>SBAC!$G$45</f>
        <v>3.3785445517241379E-2</v>
      </c>
      <c r="Q53" s="444"/>
      <c r="R53" s="446">
        <f>SBAC!$D$47</f>
        <v>5.5876458233612411E-2</v>
      </c>
      <c r="S53" s="446">
        <f>SBAC!$E$47</f>
        <v>4.7513483539036325E-2</v>
      </c>
      <c r="T53" s="446">
        <f>SBAC!$F$47</f>
        <v>4.9390253033748763E-2</v>
      </c>
      <c r="U53" s="446">
        <f>SBAC!$G$47</f>
        <v>5.2858501474945897E-2</v>
      </c>
    </row>
    <row r="54" spans="1:21">
      <c r="A54" s="26"/>
      <c r="B54" s="32"/>
      <c r="C54" s="28"/>
      <c r="D54" s="28"/>
      <c r="E54" s="29"/>
      <c r="F54" s="28"/>
      <c r="H54" s="437"/>
      <c r="I54" s="437"/>
      <c r="J54" s="437"/>
      <c r="K54" s="437"/>
      <c r="L54" s="438"/>
      <c r="M54" s="446"/>
      <c r="N54" s="446"/>
      <c r="O54" s="446"/>
      <c r="P54" s="446"/>
      <c r="Q54" s="444"/>
      <c r="R54" s="446"/>
      <c r="S54" s="446"/>
      <c r="T54" s="446"/>
      <c r="U54" s="446"/>
    </row>
    <row r="55" spans="1:21">
      <c r="A55" s="26"/>
      <c r="B55" s="32" t="str">
        <f t="shared" ref="B55:F58" si="6">B35</f>
        <v>Bharti Infratel</v>
      </c>
      <c r="C55" s="28" t="str">
        <f t="shared" si="6"/>
        <v>INR 402</v>
      </c>
      <c r="D55" s="28" t="str">
        <f t="shared" si="6"/>
        <v>INR 400</v>
      </c>
      <c r="E55" s="29">
        <f t="shared" si="6"/>
        <v>-5.3462638319035083E-3</v>
      </c>
      <c r="F55" s="28" t="str">
        <f t="shared" si="6"/>
        <v>Neutral</v>
      </c>
      <c r="H55" s="437">
        <f>BHIN!$D$40</f>
        <v>13.497059313470109</v>
      </c>
      <c r="I55" s="437">
        <f>BHIN!$E$40</f>
        <v>12.095453485112632</v>
      </c>
      <c r="J55" s="437">
        <f>BHIN!$F$40</f>
        <v>11.715277381482592</v>
      </c>
      <c r="K55" s="437">
        <f>BHIN!$G$40</f>
        <v>11.68115936676678</v>
      </c>
      <c r="L55" s="438"/>
      <c r="M55" s="446">
        <f>BHIN!$D$45</f>
        <v>3.9786149446723859E-2</v>
      </c>
      <c r="N55" s="446">
        <f>BHIN!$E$45</f>
        <v>5.10493618598548E-2</v>
      </c>
      <c r="O55" s="446">
        <f>BHIN!$F$45</f>
        <v>5.3937771839627065E-2</v>
      </c>
      <c r="P55" s="446">
        <f>BHIN!$G$45</f>
        <v>5.487081104691751E-2</v>
      </c>
      <c r="Q55" s="444"/>
      <c r="R55" s="446">
        <f>BHIN!$D$47</f>
        <v>5.3071324970602324E-2</v>
      </c>
      <c r="S55" s="446">
        <f>BHIN!$E$47</f>
        <v>6.4722520593870805E-2</v>
      </c>
      <c r="T55" s="446">
        <f>BHIN!$F$47</f>
        <v>7.0296894301507498E-2</v>
      </c>
      <c r="U55" s="446">
        <f>BHIN!$G$47</f>
        <v>7.296825326151625E-2</v>
      </c>
    </row>
    <row r="56" spans="1:21">
      <c r="A56" s="26"/>
      <c r="B56" s="158" t="str">
        <f t="shared" si="6"/>
        <v>China Tower</v>
      </c>
      <c r="C56" s="143" t="str">
        <f t="shared" si="6"/>
        <v>HKD 11.16</v>
      </c>
      <c r="D56" s="143" t="str">
        <f t="shared" si="6"/>
        <v>HKD 14.00</v>
      </c>
      <c r="E56" s="52">
        <f t="shared" si="6"/>
        <v>0.25448028673835132</v>
      </c>
      <c r="F56" s="28" t="str">
        <f t="shared" si="6"/>
        <v>Buy</v>
      </c>
      <c r="H56" s="437">
        <f>ChinaTow!$D$40</f>
        <v>5.2321707260533676</v>
      </c>
      <c r="I56" s="437">
        <f>ChinaTow!$E$40</f>
        <v>4.4089719046650915</v>
      </c>
      <c r="J56" s="437">
        <f>ChinaTow!$F$40</f>
        <v>3.6922200593376475</v>
      </c>
      <c r="K56" s="437">
        <f>ChinaTow!$G$40</f>
        <v>3.0213461548781742</v>
      </c>
      <c r="L56" s="435"/>
      <c r="M56" s="446">
        <f>ChinaTow!$D$45</f>
        <v>5.3783047301344825E-2</v>
      </c>
      <c r="N56" s="446">
        <f>ChinaTow!$E$45</f>
        <v>8.1789003585702708E-2</v>
      </c>
      <c r="O56" s="446">
        <f>ChinaTow!$F$45</f>
        <v>0.10376900162919493</v>
      </c>
      <c r="P56" s="446">
        <f>ChinaTow!$G$45</f>
        <v>0.11874964388169215</v>
      </c>
      <c r="Q56" s="445"/>
      <c r="R56" s="446">
        <f>ChinaTow!$D$47</f>
        <v>0.16217347605282215</v>
      </c>
      <c r="S56" s="446">
        <f>ChinaTow!$E$47</f>
        <v>0.16187056594671795</v>
      </c>
      <c r="T56" s="446">
        <f>ChinaTow!$F$47</f>
        <v>0.16237295763251294</v>
      </c>
      <c r="U56" s="446">
        <f>ChinaTow!$G$47</f>
        <v>0.16500841580810829</v>
      </c>
    </row>
    <row r="57" spans="1:21">
      <c r="B57" s="32" t="str">
        <f t="shared" si="6"/>
        <v>Sarana Menara</v>
      </c>
      <c r="C57" s="28" t="str">
        <f t="shared" si="6"/>
        <v>IDR 488</v>
      </c>
      <c r="D57" s="28" t="str">
        <f t="shared" si="6"/>
        <v>IDR 780</v>
      </c>
      <c r="E57" s="29">
        <f t="shared" si="6"/>
        <v>0.59836065573770503</v>
      </c>
      <c r="F57" s="28" t="str">
        <f t="shared" si="6"/>
        <v>Buy</v>
      </c>
      <c r="H57" s="437">
        <f>TOWR!$D$40</f>
        <v>18.22483417126557</v>
      </c>
      <c r="I57" s="437">
        <f>TOWR!$E$40</f>
        <v>16.516975484056236</v>
      </c>
      <c r="J57" s="437">
        <f>TOWR!$F$40</f>
        <v>14.961913549810422</v>
      </c>
      <c r="K57" s="437">
        <f>TOWR!$G$40</f>
        <v>13.373974396252313</v>
      </c>
      <c r="L57" s="438"/>
      <c r="M57" s="446">
        <f>IFERROR(TOWR!$D$45,"-")</f>
        <v>3.3186442185544673E-2</v>
      </c>
      <c r="N57" s="446">
        <f>IFERROR(TOWR!$E$45,"-")</f>
        <v>3.4373933363989376E-2</v>
      </c>
      <c r="O57" s="446">
        <f>IFERROR(TOWR!$F$45,"-")</f>
        <v>3.7063089785534013E-2</v>
      </c>
      <c r="P57" s="446">
        <f>IFERROR(TOWR!$G$45,"-")</f>
        <v>4.1045172142787169E-2</v>
      </c>
      <c r="Q57" s="444"/>
      <c r="R57" s="446">
        <f>IFERROR(TOWR!$D$47,"-")</f>
        <v>8.8707907824937436E-4</v>
      </c>
      <c r="S57" s="446">
        <f>IFERROR(TOWR!E$47,"-")</f>
        <v>2.3523742074948069E-2</v>
      </c>
      <c r="T57" s="446">
        <f>IFERROR(TOWR!F$47,"-")</f>
        <v>4.2792380917166917E-2</v>
      </c>
      <c r="U57" s="446">
        <f>IFERROR(TOWR!G$47,"-")</f>
        <v>6.3276362309907339E-2</v>
      </c>
    </row>
    <row r="58" spans="1:21">
      <c r="B58" s="158" t="str">
        <f t="shared" si="6"/>
        <v>Tower Bersama</v>
      </c>
      <c r="C58" s="143" t="str">
        <f t="shared" si="6"/>
        <v>IDR 1,875</v>
      </c>
      <c r="D58" s="143" t="str">
        <f t="shared" si="6"/>
        <v>IDR 1,250</v>
      </c>
      <c r="E58" s="52">
        <f t="shared" si="6"/>
        <v>-0.33333333333333337</v>
      </c>
      <c r="F58" s="143" t="str">
        <f t="shared" si="6"/>
        <v>Reduce</v>
      </c>
      <c r="H58" s="407">
        <f>TBIG!$D$40</f>
        <v>23.153498685800535</v>
      </c>
      <c r="I58" s="407">
        <f>TBIG!$E$40</f>
        <v>22.850371145726907</v>
      </c>
      <c r="J58" s="407">
        <f>TBIG!$F$40</f>
        <v>21.821007965051745</v>
      </c>
      <c r="K58" s="407">
        <f>TBIG!$G$40</f>
        <v>20.044772545170535</v>
      </c>
      <c r="L58" s="435"/>
      <c r="M58" s="443">
        <f>IFERROR(TBIG!$D$45,"-")</f>
        <v>2.7305910570459457E-2</v>
      </c>
      <c r="N58" s="443">
        <f>IFERROR(TBIG!$E$45,"-")</f>
        <v>3.1036979258937912E-2</v>
      </c>
      <c r="O58" s="443">
        <f>IFERROR(TBIG!$F$45,"-")</f>
        <v>3.1782928684186619E-2</v>
      </c>
      <c r="P58" s="443">
        <f>IFERROR(TBIG!$G$45,"-")</f>
        <v>3.3507745328777601E-2</v>
      </c>
      <c r="Q58" s="445"/>
      <c r="R58" s="443">
        <f>IFERROR(TBIG!$D$47,"-")</f>
        <v>2.5461790403438461E-2</v>
      </c>
      <c r="S58" s="443">
        <f>IFERROR(TBIG!$E$47,"-")</f>
        <v>3.0668271908717595E-2</v>
      </c>
      <c r="T58" s="443">
        <f>IFERROR(TBIG!$F$47,"-")</f>
        <v>3.3400789212991402E-2</v>
      </c>
      <c r="U58" s="443">
        <f>IFERROR(TBIG!$G$47,"-")</f>
        <v>3.8985226293729379E-2</v>
      </c>
    </row>
    <row r="59" spans="1:21">
      <c r="A59" s="26"/>
      <c r="B59" s="158" t="s">
        <v>1111</v>
      </c>
      <c r="C59" s="143" t="str">
        <f>C39</f>
        <v>IDR 530</v>
      </c>
      <c r="D59" s="143" t="str">
        <f>D39</f>
        <v>IDR 740</v>
      </c>
      <c r="E59" s="52">
        <f>E39</f>
        <v>0.39622641509433953</v>
      </c>
      <c r="F59" s="143" t="str">
        <f>F39</f>
        <v>Buy</v>
      </c>
      <c r="H59" s="407">
        <f>MITRA!$D$40</f>
        <v>-19.963217075382996</v>
      </c>
      <c r="I59" s="407">
        <f>MITRA!$E$40</f>
        <v>127.05227697412053</v>
      </c>
      <c r="J59" s="407">
        <f>MITRA!$F$40</f>
        <v>15.942794328675701</v>
      </c>
      <c r="K59" s="407">
        <f>MITRA!$G$40</f>
        <v>26.320649054431819</v>
      </c>
      <c r="L59" s="435"/>
      <c r="M59" s="443">
        <f>IFERROR(MITRA!$D$45,"-")</f>
        <v>3.8383603629671095E-2</v>
      </c>
      <c r="N59" s="443">
        <f>IFERROR(MITRA!$E$45,"-")</f>
        <v>4.0236089715877853E-2</v>
      </c>
      <c r="O59" s="443">
        <f>IFERROR(MITRA!$F$45,"-")</f>
        <v>4.43897428256999E-2</v>
      </c>
      <c r="P59" s="443">
        <f>IFERROR(MITRA!$G$45,"-")</f>
        <v>5.0232358162688895E-2</v>
      </c>
      <c r="Q59" s="445"/>
      <c r="R59" s="443">
        <f>IFERROR(MITRA!$D$47,"-")</f>
        <v>3.7615784678446583E-2</v>
      </c>
      <c r="S59" s="443">
        <f>IFERROR(MITRA!$E$47,"-")</f>
        <v>3.8872902005518684E-2</v>
      </c>
      <c r="T59" s="443">
        <f>IFERROR(MITRA!$F$47,"-")</f>
        <v>4.3215042473150715E-2</v>
      </c>
      <c r="U59" s="443">
        <f>IFERROR(MITRA!$G$47,"-")</f>
        <v>5.6835217063474074E-2</v>
      </c>
    </row>
    <row r="60" spans="1:21">
      <c r="B60" s="32"/>
      <c r="C60" s="28"/>
      <c r="D60" s="28"/>
      <c r="E60" s="29"/>
      <c r="F60" s="28"/>
      <c r="H60" s="437"/>
      <c r="I60" s="437"/>
      <c r="J60" s="437"/>
      <c r="K60" s="437"/>
      <c r="L60" s="438"/>
      <c r="M60" s="446"/>
      <c r="N60" s="446"/>
      <c r="O60" s="446"/>
      <c r="P60" s="446"/>
      <c r="Q60" s="444"/>
      <c r="R60" s="446"/>
      <c r="S60" s="446"/>
      <c r="T60" s="446"/>
      <c r="U60" s="446"/>
    </row>
    <row r="61" spans="1:21" collapsed="1">
      <c r="B61" s="32" t="str">
        <f t="shared" ref="B61:F62" si="7">B41</f>
        <v>IHS Holding</v>
      </c>
      <c r="C61" s="28" t="str">
        <f t="shared" si="7"/>
        <v>USD 8.2</v>
      </c>
      <c r="D61" s="28" t="str">
        <f t="shared" si="7"/>
        <v>USD 10.0</v>
      </c>
      <c r="E61" s="29">
        <f t="shared" si="7"/>
        <v>0.2179526216430181</v>
      </c>
      <c r="F61" s="28" t="str">
        <f t="shared" si="7"/>
        <v>Buy</v>
      </c>
      <c r="H61" s="437">
        <f>IHS!$D$40</f>
        <v>12.786229331651425</v>
      </c>
      <c r="I61" s="437">
        <f>IHS!$E$40</f>
        <v>11.764143202553603</v>
      </c>
      <c r="J61" s="437">
        <f>IHS!$F$40</f>
        <v>10.303689739347913</v>
      </c>
      <c r="K61" s="437">
        <f>IHS!$G$40</f>
        <v>9.3725102700099665</v>
      </c>
      <c r="L61" s="438"/>
      <c r="M61" s="446">
        <f>IFERROR(IHS!$D$45,"-")</f>
        <v>0</v>
      </c>
      <c r="N61" s="446">
        <f>IFERROR(IHS!$E$45,"-")</f>
        <v>-2.2111742588028352E-2</v>
      </c>
      <c r="O61" s="446">
        <f>IFERROR(IHS!$F$45,"-")</f>
        <v>-3.0200489638306377E-2</v>
      </c>
      <c r="P61" s="446">
        <f>IFERROR(IHS!$G$45,"-")</f>
        <v>-4.207479241769331E-2</v>
      </c>
      <c r="Q61" s="444"/>
      <c r="R61" s="446">
        <f>IFERROR(IHS!$D$47,"-")</f>
        <v>4.6704068029774996E-2</v>
      </c>
      <c r="S61" s="446">
        <f>IFERROR(IHS!$E$47,"-")</f>
        <v>5.9639572767733851E-2</v>
      </c>
      <c r="T61" s="446">
        <f>IFERROR(IHS!$F$47,"-")</f>
        <v>8.8775493828355354E-2</v>
      </c>
      <c r="U61" s="446">
        <f>IFERROR(IHS!$G$47,"-")</f>
        <v>0.10666385227309569</v>
      </c>
    </row>
    <row r="62" spans="1:21" collapsed="1">
      <c r="B62" s="32" t="str">
        <f t="shared" si="7"/>
        <v>Helios Towers</v>
      </c>
      <c r="C62" s="28" t="str">
        <f t="shared" si="7"/>
        <v>GBP2.0</v>
      </c>
      <c r="D62" s="28" t="str">
        <f t="shared" si="7"/>
        <v>GBP1.8</v>
      </c>
      <c r="E62" s="29">
        <f t="shared" si="7"/>
        <v>-8.8607594936708889E-2</v>
      </c>
      <c r="F62" s="28" t="str">
        <f t="shared" si="7"/>
        <v>Buy</v>
      </c>
      <c r="H62" s="437">
        <f>HTWS!$D$40</f>
        <v>22.917867394998972</v>
      </c>
      <c r="I62" s="437">
        <f>HTWS!$E$40</f>
        <v>19.75485137170833</v>
      </c>
      <c r="J62" s="437">
        <f>HTWS!$F$40</f>
        <v>17.244247147620751</v>
      </c>
      <c r="K62" s="437">
        <f>HTWS!$G$40</f>
        <v>15.12200489935533</v>
      </c>
      <c r="L62" s="438"/>
      <c r="M62" s="446">
        <f>IFERROR(HTWS!$D$45,"-")</f>
        <v>0</v>
      </c>
      <c r="N62" s="446">
        <f>IFERROR(HTWS!$E$45,"-")</f>
        <v>0</v>
      </c>
      <c r="O62" s="446">
        <f>IFERROR(HTWS!$F$45,"-")</f>
        <v>0</v>
      </c>
      <c r="P62" s="446">
        <f>IFERROR(HTWS!$G$45,"-")</f>
        <v>0</v>
      </c>
      <c r="Q62" s="444"/>
      <c r="R62" s="446">
        <f>IFERROR(HTWS!$D$47,"-")</f>
        <v>3.0567082782728051E-2</v>
      </c>
      <c r="S62" s="446">
        <f>IFERROR(HTWS!$E$47,"-")</f>
        <v>5.041908188932305E-2</v>
      </c>
      <c r="T62" s="446">
        <f>IFERROR(HTWS!$F$47,"-")</f>
        <v>7.1125374906831296E-2</v>
      </c>
      <c r="U62" s="446">
        <f>IFERROR(HTWS!$G$47,"-")</f>
        <v>9.3931021509918625E-2</v>
      </c>
    </row>
    <row r="63" spans="1:21">
      <c r="A63" s="155"/>
      <c r="B63" s="32"/>
      <c r="C63" s="28"/>
      <c r="D63" s="28"/>
      <c r="E63" s="29"/>
      <c r="F63" s="28"/>
      <c r="H63" s="437"/>
      <c r="I63" s="437"/>
      <c r="J63" s="437"/>
      <c r="K63" s="437"/>
      <c r="L63" s="438"/>
      <c r="M63" s="446"/>
      <c r="N63" s="446"/>
      <c r="O63" s="446"/>
      <c r="P63" s="446"/>
      <c r="Q63" s="444"/>
      <c r="R63" s="446"/>
      <c r="S63" s="446"/>
      <c r="T63" s="446"/>
      <c r="U63" s="446"/>
    </row>
    <row r="64" spans="1:21">
      <c r="A64" s="155"/>
      <c r="B64" s="159" t="str">
        <f>B44</f>
        <v>Telesites</v>
      </c>
      <c r="C64" s="147" t="str">
        <f>C44</f>
        <v>MXN 16.2</v>
      </c>
      <c r="D64" s="147" t="str">
        <f>D44</f>
        <v>MXN 17.0</v>
      </c>
      <c r="E64" s="148">
        <f>E44</f>
        <v>5.1980198019802026E-2</v>
      </c>
      <c r="F64" s="147" t="str">
        <f>F44</f>
        <v>Neutral</v>
      </c>
      <c r="H64" s="439">
        <f>SITES!$D$40</f>
        <v>9.5226719111650109</v>
      </c>
      <c r="I64" s="439">
        <f>SITES!$E$40</f>
        <v>8.1920467387462601</v>
      </c>
      <c r="J64" s="439">
        <f>SITES!$F$40</f>
        <v>7.1051553119096171</v>
      </c>
      <c r="K64" s="439">
        <f>SITES!$G$40</f>
        <v>6.0763414474322266</v>
      </c>
      <c r="L64" s="438"/>
      <c r="M64" s="447">
        <f>IFERROR(SITES!$D$45,"-")</f>
        <v>0</v>
      </c>
      <c r="N64" s="447">
        <f>IFERROR(SITES!$E$45,"-")</f>
        <v>0</v>
      </c>
      <c r="O64" s="447">
        <f>IFERROR(SITES!$F$45,"-")</f>
        <v>0</v>
      </c>
      <c r="P64" s="447">
        <f>IFERROR(SITES!$G$45,"-")</f>
        <v>0</v>
      </c>
      <c r="Q64" s="444"/>
      <c r="R64" s="447">
        <f>IFERROR(SITES!$D$47,"-")</f>
        <v>0.1044569546060938</v>
      </c>
      <c r="S64" s="447">
        <f>IFERROR(SITES!$E$47,"-")</f>
        <v>0.12077051884403564</v>
      </c>
      <c r="T64" s="447">
        <f>IFERROR(SITES!$F$47,"-")</f>
        <v>0.13459529958969638</v>
      </c>
      <c r="U64" s="447">
        <f>IFERROR(SITES!$G$47,"-")</f>
        <v>0.15016912693876572</v>
      </c>
    </row>
    <row r="65" spans="1:21">
      <c r="A65" s="155"/>
    </row>
    <row r="66" spans="1:21">
      <c r="A66" s="155"/>
    </row>
    <row r="67" spans="1:21">
      <c r="A67" s="155"/>
      <c r="B67" s="130"/>
      <c r="C67" s="131" t="s">
        <v>379</v>
      </c>
      <c r="D67" s="131" t="s">
        <v>50</v>
      </c>
      <c r="E67" s="131" t="s">
        <v>52</v>
      </c>
      <c r="F67" s="131" t="s">
        <v>49</v>
      </c>
      <c r="H67" s="132" t="s">
        <v>657</v>
      </c>
      <c r="I67" s="132"/>
      <c r="J67" s="132"/>
      <c r="K67" s="132"/>
      <c r="M67" s="132" t="s">
        <v>493</v>
      </c>
      <c r="N67" s="132"/>
      <c r="O67" s="132"/>
      <c r="P67" s="132"/>
      <c r="R67" s="132" t="s">
        <v>658</v>
      </c>
      <c r="S67" s="132"/>
      <c r="T67" s="132"/>
      <c r="U67" s="132"/>
    </row>
    <row r="68" spans="1:21">
      <c r="A68" s="155"/>
      <c r="B68" s="158" t="str">
        <f t="shared" ref="B68:F69" si="8">B48</f>
        <v>Cellnex</v>
      </c>
      <c r="C68" s="143" t="str">
        <f t="shared" si="8"/>
        <v>EUR 28.4</v>
      </c>
      <c r="D68" s="143" t="str">
        <f t="shared" si="8"/>
        <v>EUR 34.0</v>
      </c>
      <c r="E68" s="52">
        <f t="shared" si="8"/>
        <v>0.19718309859154926</v>
      </c>
      <c r="F68" s="143" t="str">
        <f t="shared" si="8"/>
        <v>Buy</v>
      </c>
      <c r="H68" s="440">
        <f>CLNX!D41</f>
        <v>1.2515239254210184</v>
      </c>
      <c r="I68" s="440">
        <f>CLNX!E41</f>
        <v>1.2698128027788684</v>
      </c>
      <c r="J68" s="440">
        <f>CLNX!F41</f>
        <v>1.2688832970980621</v>
      </c>
      <c r="K68" s="440">
        <f>CLNX!G41</f>
        <v>1.2703534319517944</v>
      </c>
      <c r="L68" s="450"/>
      <c r="M68" s="440" t="str">
        <f>CLNX!D42</f>
        <v>na</v>
      </c>
      <c r="N68" s="440" t="str">
        <f>CLNX!E42</f>
        <v>na</v>
      </c>
      <c r="O68" s="440" t="str">
        <f>CLNX!F42</f>
        <v>na</v>
      </c>
      <c r="P68" s="440" t="str">
        <f>CLNX!G42</f>
        <v>na</v>
      </c>
      <c r="Q68" s="451"/>
      <c r="R68" s="440">
        <f>(CLNX!D$12/CLNX!D$24)</f>
        <v>7.7726794954739766</v>
      </c>
      <c r="S68" s="440">
        <f>(CLNX!E$12/CLNX!E$24)</f>
        <v>7.4978408698967431</v>
      </c>
      <c r="T68" s="440">
        <f>(CLNX!F$12/CLNX!F$24)</f>
        <v>7.0505043416993587</v>
      </c>
      <c r="U68" s="440">
        <f>(CLNX!G$12/CLNX!G$24)</f>
        <v>6.7139466876699041</v>
      </c>
    </row>
    <row r="69" spans="1:21">
      <c r="A69" s="26"/>
      <c r="B69" s="158" t="str">
        <f t="shared" si="8"/>
        <v>Inwit</v>
      </c>
      <c r="C69" s="143" t="str">
        <f t="shared" si="8"/>
        <v>EUR 7.3</v>
      </c>
      <c r="D69" s="143" t="str">
        <f t="shared" si="8"/>
        <v>EUR 9.5</v>
      </c>
      <c r="E69" s="52">
        <f t="shared" si="8"/>
        <v>0.30226182316655237</v>
      </c>
      <c r="F69" s="143" t="str">
        <f t="shared" si="8"/>
        <v>Buy</v>
      </c>
      <c r="H69" s="440">
        <f>INWIT!D41</f>
        <v>1.375216821991599</v>
      </c>
      <c r="I69" s="440">
        <f>INWIT!E41</f>
        <v>1.3437119123270522</v>
      </c>
      <c r="J69" s="440">
        <f>INWIT!F41</f>
        <v>1.2995635647860406</v>
      </c>
      <c r="K69" s="440">
        <f>INWIT!G41</f>
        <v>1.2521467734754241</v>
      </c>
      <c r="L69" s="450"/>
      <c r="M69" s="440">
        <f>INWIT!D42</f>
        <v>7.3466998441706428</v>
      </c>
      <c r="N69" s="440">
        <f>INWIT!E42</f>
        <v>6.8657189424149712</v>
      </c>
      <c r="O69" s="440">
        <f>INWIT!F42</f>
        <v>6.4285877425553313</v>
      </c>
      <c r="P69" s="440">
        <f>INWIT!G42</f>
        <v>6.0666589647658986</v>
      </c>
      <c r="Q69" s="452"/>
      <c r="R69" s="440">
        <f>(INWIT!D$12/INWIT!D$24)</f>
        <v>5.3191259763992633</v>
      </c>
      <c r="S69" s="440">
        <f>(INWIT!E$12/INWIT!E$24)</f>
        <v>5.7041650110566353</v>
      </c>
      <c r="T69" s="440">
        <f>(INWIT!F$12/INWIT!F$24)</f>
        <v>5.7483881005504349</v>
      </c>
      <c r="U69" s="440">
        <f>(INWIT!G$12/INWIT!G$24)</f>
        <v>5.7309773957486527</v>
      </c>
    </row>
    <row r="70" spans="1:21">
      <c r="A70" s="26"/>
      <c r="B70" s="32"/>
      <c r="C70" s="28"/>
      <c r="D70" s="146"/>
      <c r="E70" s="29"/>
      <c r="F70" s="28"/>
      <c r="H70" s="441"/>
      <c r="I70" s="441"/>
      <c r="J70" s="441"/>
      <c r="K70" s="441"/>
      <c r="L70" s="453"/>
      <c r="M70" s="441"/>
      <c r="N70" s="441"/>
      <c r="O70" s="441"/>
      <c r="P70" s="441"/>
      <c r="Q70" s="451"/>
      <c r="R70" s="441"/>
      <c r="S70" s="441"/>
      <c r="T70" s="441"/>
      <c r="U70" s="441"/>
    </row>
    <row r="71" spans="1:21">
      <c r="A71" s="26"/>
      <c r="B71" s="32" t="str">
        <f t="shared" ref="B71:F73" si="9">B51</f>
        <v>American Tower</v>
      </c>
      <c r="C71" s="28" t="str">
        <f t="shared" si="9"/>
        <v>USD 177.8</v>
      </c>
      <c r="D71" s="146" t="str">
        <f t="shared" si="9"/>
        <v>USD 203.0</v>
      </c>
      <c r="E71" s="29">
        <f t="shared" si="9"/>
        <v>0.14186072674091577</v>
      </c>
      <c r="F71" s="28" t="str">
        <f t="shared" si="9"/>
        <v>Buy</v>
      </c>
      <c r="H71" s="441">
        <f>AMT!$D$41</f>
        <v>2.4661602958259854</v>
      </c>
      <c r="I71" s="441">
        <f>AMT!$E$41</f>
        <v>2.3916300390317384</v>
      </c>
      <c r="J71" s="441">
        <f>AMT!$F$41</f>
        <v>2.3192568921315933</v>
      </c>
      <c r="K71" s="441">
        <f>AMT!$G$41</f>
        <v>2.2352119916642845</v>
      </c>
      <c r="L71" s="453"/>
      <c r="M71" s="441">
        <f>AMT!$D$42</f>
        <v>5.5694451076973044</v>
      </c>
      <c r="N71" s="441">
        <f>AMT!$E$42</f>
        <v>5.4642750145324257</v>
      </c>
      <c r="O71" s="441">
        <f>AMT!$F$42</f>
        <v>5.3368637931185861</v>
      </c>
      <c r="P71" s="441">
        <f>AMT!$G$42</f>
        <v>5.1877937008440753</v>
      </c>
      <c r="Q71" s="451"/>
      <c r="R71" s="441">
        <f>(AMT!D$12/AMT!D$24)</f>
        <v>4.9775621665864556</v>
      </c>
      <c r="S71" s="441">
        <f>(AMT!E$12/AMT!E$24)</f>
        <v>4.927312201490798</v>
      </c>
      <c r="T71" s="441">
        <f>(AMT!F$12/AMT!F$24)</f>
        <v>4.8215766502029327</v>
      </c>
      <c r="U71" s="441">
        <f>(AMT!G$12/AMT!G$24)</f>
        <v>4.5206469975479582</v>
      </c>
    </row>
    <row r="72" spans="1:21">
      <c r="A72" s="26"/>
      <c r="B72" s="32" t="str">
        <f t="shared" si="9"/>
        <v>Crown Castle</v>
      </c>
      <c r="C72" s="28" t="str">
        <f t="shared" si="9"/>
        <v>USD 86.2</v>
      </c>
      <c r="D72" s="146" t="str">
        <f t="shared" si="9"/>
        <v>USD 93.0</v>
      </c>
      <c r="E72" s="29">
        <f t="shared" si="9"/>
        <v>7.8698602331380707E-2</v>
      </c>
      <c r="F72" s="28" t="str">
        <f t="shared" si="9"/>
        <v>Neutral</v>
      </c>
      <c r="H72" s="441">
        <f>CCI!$D$41</f>
        <v>1.3573239818835157</v>
      </c>
      <c r="I72" s="441">
        <f>CCI!$E$41</f>
        <v>1.8213619644355192</v>
      </c>
      <c r="J72" s="441">
        <f>CCI!$F$41</f>
        <v>1.6388646758167362</v>
      </c>
      <c r="K72" s="441">
        <f>CCI!$G$41</f>
        <v>1.4962754596279069</v>
      </c>
      <c r="L72" s="453"/>
      <c r="M72" s="441">
        <f>CCI!$D$42</f>
        <v>8.6710347919655675</v>
      </c>
      <c r="N72" s="441">
        <f>CCI!$E$42</f>
        <v>7.182120285821016</v>
      </c>
      <c r="O72" s="441">
        <f>CCI!$F$42</f>
        <v>7.4891567879923668</v>
      </c>
      <c r="P72" s="441">
        <f>CCI!$G$42</f>
        <v>7.8531786788722844</v>
      </c>
      <c r="Q72" s="451"/>
      <c r="R72" s="441">
        <f>(CCI!D$12/CCI!D$24)</f>
        <v>7.5263709395738738</v>
      </c>
      <c r="S72" s="441">
        <f>(CCI!E$12/CCI!E$24)</f>
        <v>5.4076605627072496</v>
      </c>
      <c r="T72" s="441">
        <f>(CCI!F$12/CCI!F$24)</f>
        <v>5.4236958743599839</v>
      </c>
      <c r="U72" s="441">
        <f>(CCI!G$12/CCI!G$24)</f>
        <v>5.352306098937837</v>
      </c>
    </row>
    <row r="73" spans="1:21">
      <c r="A73" s="26"/>
      <c r="B73" s="32" t="str">
        <f t="shared" si="9"/>
        <v xml:space="preserve">SBA </v>
      </c>
      <c r="C73" s="28" t="str">
        <f t="shared" si="9"/>
        <v>USD 217.5</v>
      </c>
      <c r="D73" s="146" t="str">
        <f t="shared" si="9"/>
        <v>USD 212.0</v>
      </c>
      <c r="E73" s="29">
        <f t="shared" si="9"/>
        <v>-2.5287356321839094E-2</v>
      </c>
      <c r="F73" s="28" t="str">
        <f t="shared" si="9"/>
        <v>Neutral</v>
      </c>
      <c r="H73" s="441">
        <f>SBAC!$D$41</f>
        <v>4.2286501488989883</v>
      </c>
      <c r="I73" s="441">
        <f>SBAC!$E$41</f>
        <v>4.1720209525582721</v>
      </c>
      <c r="J73" s="441">
        <f>SBAC!$F$41</f>
        <v>4.1299143687030497</v>
      </c>
      <c r="K73" s="441">
        <f>SBAC!$G$41</f>
        <v>4.0798563621003163</v>
      </c>
      <c r="L73" s="453"/>
      <c r="M73" s="441">
        <f>SBAC!$D$42</f>
        <v>9.1734139932106054</v>
      </c>
      <c r="N73" s="441">
        <f>SBAC!$E$42</f>
        <v>9.0505655560393592</v>
      </c>
      <c r="O73" s="441">
        <f>SBAC!$F$42</f>
        <v>8.6505132084149388</v>
      </c>
      <c r="P73" s="441">
        <f>SBAC!$G$42</f>
        <v>8.2425207264956164</v>
      </c>
      <c r="Q73" s="451"/>
      <c r="R73" s="441">
        <f>(SBAC!D$12/SBAC!D$24)</f>
        <v>6.2876481676264486</v>
      </c>
      <c r="S73" s="441">
        <f>(SBAC!E$12/SBAC!E$24)</f>
        <v>6.2342240272577811</v>
      </c>
      <c r="T73" s="441">
        <f>(SBAC!F$12/SBAC!F$24)</f>
        <v>6.1046382064553661</v>
      </c>
      <c r="U73" s="441">
        <f>(SBAC!G$12/SBAC!G$24)</f>
        <v>5.8262575004693415</v>
      </c>
    </row>
    <row r="74" spans="1:21">
      <c r="A74" s="26"/>
      <c r="B74" s="32"/>
      <c r="C74" s="28"/>
      <c r="D74" s="28"/>
      <c r="E74" s="29"/>
      <c r="F74" s="28"/>
      <c r="H74" s="441"/>
      <c r="I74" s="441"/>
      <c r="J74" s="441"/>
      <c r="K74" s="441"/>
      <c r="L74" s="453"/>
      <c r="M74" s="441"/>
      <c r="N74" s="441"/>
      <c r="O74" s="441"/>
      <c r="P74" s="441"/>
      <c r="Q74" s="451"/>
      <c r="R74" s="441"/>
      <c r="S74" s="441"/>
      <c r="T74" s="441"/>
      <c r="U74" s="441"/>
    </row>
    <row r="75" spans="1:21">
      <c r="A75" s="26"/>
      <c r="B75" s="32" t="str">
        <f t="shared" ref="B75:F78" si="10">B55</f>
        <v>Bharti Infratel</v>
      </c>
      <c r="C75" s="28" t="str">
        <f t="shared" si="10"/>
        <v>INR 402</v>
      </c>
      <c r="D75" s="28" t="str">
        <f t="shared" si="10"/>
        <v>INR 400</v>
      </c>
      <c r="E75" s="29">
        <f t="shared" si="10"/>
        <v>-5.3462638319035083E-3</v>
      </c>
      <c r="F75" s="28" t="str">
        <f t="shared" si="10"/>
        <v>Neutral</v>
      </c>
      <c r="H75" s="441">
        <f>BHIN!$D$41</f>
        <v>2.3579633403850591</v>
      </c>
      <c r="I75" s="441">
        <f>BHIN!$E$41</f>
        <v>2.3043119227440187</v>
      </c>
      <c r="J75" s="441">
        <f>BHIN!$F$41</f>
        <v>2.2734644459133104</v>
      </c>
      <c r="K75" s="441">
        <f>BHIN!$G$41</f>
        <v>2.252645779875651</v>
      </c>
      <c r="L75" s="453"/>
      <c r="M75" s="441">
        <f>BHIN!$D$42</f>
        <v>4.1480686677861627</v>
      </c>
      <c r="N75" s="441">
        <f>BHIN!$E$42</f>
        <v>3.9709743456196795</v>
      </c>
      <c r="O75" s="441">
        <f>BHIN!$F$42</f>
        <v>3.8263069131958947</v>
      </c>
      <c r="P75" s="441">
        <f>BHIN!$G$42</f>
        <v>3.703633604633827</v>
      </c>
      <c r="Q75" s="451"/>
      <c r="R75" s="441">
        <f>(BHIN!D$12/BHIN!D$24)</f>
        <v>0.89593418911922729</v>
      </c>
      <c r="S75" s="441">
        <f>(BHIN!E$12/BHIN!E$24)</f>
        <v>0.76641570050344299</v>
      </c>
      <c r="T75" s="441">
        <f>(BHIN!F$12/BHIN!F$24)</f>
        <v>0.676567632611493</v>
      </c>
      <c r="U75" s="441">
        <f>(BHIN!G$12/BHIN!G$24)</f>
        <v>0.59711669876889872</v>
      </c>
    </row>
    <row r="76" spans="1:21">
      <c r="A76" s="26"/>
      <c r="B76" s="158" t="str">
        <f t="shared" si="10"/>
        <v>China Tower</v>
      </c>
      <c r="C76" s="143" t="str">
        <f t="shared" si="10"/>
        <v>HKD 11.16</v>
      </c>
      <c r="D76" s="143" t="str">
        <f t="shared" si="10"/>
        <v>HKD 14.00</v>
      </c>
      <c r="E76" s="52">
        <f t="shared" si="10"/>
        <v>0.25448028673835132</v>
      </c>
      <c r="F76" s="28" t="str">
        <f t="shared" si="10"/>
        <v>Buy</v>
      </c>
      <c r="H76" s="441">
        <f>ChinaTow!$D$41</f>
        <v>0.87703684219071476</v>
      </c>
      <c r="I76" s="441">
        <f>ChinaTow!$E$41</f>
        <v>0.7974059120136836</v>
      </c>
      <c r="J76" s="441">
        <f>ChinaTow!$F$41</f>
        <v>0.69856637801595534</v>
      </c>
      <c r="K76" s="441">
        <f>ChinaTow!$G$41</f>
        <v>0.58936666731627319</v>
      </c>
      <c r="L76" s="451"/>
      <c r="M76" s="441">
        <f>ChinaTow!$D$42</f>
        <v>1.4541763746655707</v>
      </c>
      <c r="N76" s="441">
        <f>ChinaTow!$E$42</f>
        <v>1.4636191049034495</v>
      </c>
      <c r="O76" s="441">
        <f>ChinaTow!$F$42</f>
        <v>1.4185620130919148</v>
      </c>
      <c r="P76" s="441">
        <f>ChinaTow!$G$42</f>
        <v>1.3255289773332766</v>
      </c>
      <c r="Q76" s="452"/>
      <c r="R76" s="441">
        <f>(ChinaTow!D$12/ChinaTow!D$24)</f>
        <v>1.0340087378426155</v>
      </c>
      <c r="S76" s="441">
        <f>(ChinaTow!E$12/ChinaTow!E$24)</f>
        <v>0.74866202178314556</v>
      </c>
      <c r="T76" s="441">
        <f>(ChinaTow!F$12/ChinaTow!F$24)</f>
        <v>0.54940412088015489</v>
      </c>
      <c r="U76" s="441">
        <f>(ChinaTow!G$12/ChinaTow!G$24)</f>
        <v>0.40284921204513668</v>
      </c>
    </row>
    <row r="77" spans="1:21">
      <c r="A77" s="26"/>
      <c r="B77" s="32" t="str">
        <f t="shared" si="10"/>
        <v>Sarana Menara</v>
      </c>
      <c r="C77" s="28" t="str">
        <f t="shared" si="10"/>
        <v>IDR 488</v>
      </c>
      <c r="D77" s="28" t="str">
        <f t="shared" si="10"/>
        <v>IDR 780</v>
      </c>
      <c r="E77" s="29">
        <f t="shared" si="10"/>
        <v>0.59836065573770503</v>
      </c>
      <c r="F77" s="28" t="str">
        <f t="shared" si="10"/>
        <v>Buy</v>
      </c>
      <c r="H77" s="441">
        <f>IFERROR(TOWR!$D$41,"-")</f>
        <v>1.0350002197803827</v>
      </c>
      <c r="I77" s="441">
        <f>IFERROR(TOWR!$E$41,"-")</f>
        <v>0.98666225655194117</v>
      </c>
      <c r="J77" s="441">
        <f>IFERROR(TOWR!$E$41,"-")</f>
        <v>0.98666225655194117</v>
      </c>
      <c r="K77" s="441">
        <f>IFERROR(TOWR!$E$41,"-")</f>
        <v>0.98666225655194117</v>
      </c>
      <c r="L77" s="453"/>
      <c r="M77" s="441">
        <f>IFERROR(TOWR!$D$42,"-")</f>
        <v>1.5141940459870808</v>
      </c>
      <c r="N77" s="441">
        <f>IFERROR(TOWR!$E$42,"-")</f>
        <v>1.4260050125385388</v>
      </c>
      <c r="O77" s="441">
        <f>IFERROR(TOWR!$E$42,"-")</f>
        <v>1.4260050125385388</v>
      </c>
      <c r="P77" s="441">
        <f>IFERROR(TOWR!$E$42,"-")</f>
        <v>1.4260050125385388</v>
      </c>
      <c r="Q77" s="451"/>
      <c r="R77" s="441">
        <f>(TOWR!D$12/TOWR!D$24)</f>
        <v>4.5985980772788295</v>
      </c>
      <c r="S77" s="441">
        <f>(TOWR!E$12/TOWR!E$24)</f>
        <v>4.3988436662255639</v>
      </c>
      <c r="T77" s="441">
        <f>(TOWR!F$12/TOWR!F$24)</f>
        <v>4.1109054729053094</v>
      </c>
      <c r="U77" s="441">
        <f>(TOWR!G$12/TOWR!G$24)</f>
        <v>3.7594099332318067</v>
      </c>
    </row>
    <row r="78" spans="1:21">
      <c r="A78" s="26"/>
      <c r="B78" s="158" t="str">
        <f t="shared" si="10"/>
        <v>Tower Bersama</v>
      </c>
      <c r="C78" s="143" t="str">
        <f t="shared" si="10"/>
        <v>IDR 1,875</v>
      </c>
      <c r="D78" s="143" t="str">
        <f t="shared" si="10"/>
        <v>IDR 1,250</v>
      </c>
      <c r="E78" s="52">
        <f t="shared" si="10"/>
        <v>-0.33333333333333337</v>
      </c>
      <c r="F78" s="143" t="str">
        <f t="shared" si="10"/>
        <v>Reduce</v>
      </c>
      <c r="H78" s="440">
        <f>IFERROR(TBIG!$D$41,"-")</f>
        <v>1.7653686152816517</v>
      </c>
      <c r="I78" s="440">
        <f>IFERROR(TBIG!$E$41,"-")</f>
        <v>1.715806566993441</v>
      </c>
      <c r="J78" s="440">
        <f>IFERROR(TBIG!$F$41,"-")</f>
        <v>1.6675827255425231</v>
      </c>
      <c r="K78" s="440">
        <f>IFERROR(TBIG!$G$41,"-")</f>
        <v>1.6200488886472071</v>
      </c>
      <c r="L78" s="451"/>
      <c r="M78" s="440">
        <f>IFERROR(TBIG!$D$42,"-")</f>
        <v>1.9401687390919113</v>
      </c>
      <c r="N78" s="440">
        <f>IFERROR(TBIG!$E$42,"-")</f>
        <v>1.8909742772929072</v>
      </c>
      <c r="O78" s="440">
        <f>IFERROR(TBIG!$F$42,"-")</f>
        <v>1.8417383328367145</v>
      </c>
      <c r="P78" s="440">
        <f>IFERROR(TBIG!$G$42,"-")</f>
        <v>1.7930272046957383</v>
      </c>
      <c r="Q78" s="452"/>
      <c r="R78" s="440">
        <f>(TBIG!D$12/TBIG!D$24)</f>
        <v>4.9972249669627598</v>
      </c>
      <c r="S78" s="440">
        <f>(TBIG!E$12/TBIG!E$24)</f>
        <v>5.010561787352521</v>
      </c>
      <c r="T78" s="440">
        <f>(TBIG!F$12/TBIG!F$24)</f>
        <v>4.9245508469254782</v>
      </c>
      <c r="U78" s="440">
        <f>(TBIG!G$12/TBIG!G$24)</f>
        <v>4.7672528103670739</v>
      </c>
    </row>
    <row r="79" spans="1:21">
      <c r="A79" s="26"/>
      <c r="B79" s="158" t="s">
        <v>1111</v>
      </c>
      <c r="C79" s="143" t="str">
        <f>C59</f>
        <v>IDR 530</v>
      </c>
      <c r="D79" s="143" t="str">
        <f>D59</f>
        <v>IDR 740</v>
      </c>
      <c r="E79" s="52">
        <f>E59</f>
        <v>0.39622641509433953</v>
      </c>
      <c r="F79" s="143" t="str">
        <f>F59</f>
        <v>Buy</v>
      </c>
      <c r="H79" s="440">
        <f>IFERROR(MITRA!$D$41,"-")</f>
        <v>1.2163834024205582</v>
      </c>
      <c r="I79" s="440">
        <f>IFERROR(MITRA!$E$41,"-")</f>
        <v>1.1795677590999387</v>
      </c>
      <c r="J79" s="440">
        <f>IFERROR(MITRA!$F$41,"-")</f>
        <v>1.1378934125263167</v>
      </c>
      <c r="K79" s="440">
        <f>IFERROR(MITRA!$G$41,"-")</f>
        <v>1.0899150581356558</v>
      </c>
      <c r="L79" s="451"/>
      <c r="M79" s="440">
        <f>IFERROR(MITRA!$D$42,"-")</f>
        <v>1.6520428387247819</v>
      </c>
      <c r="N79" s="440">
        <f>IFERROR(MITRA!$E$42,"-")</f>
        <v>1.4029465043437455</v>
      </c>
      <c r="O79" s="440">
        <f>IFERROR(MITRA!$F$42,"-")</f>
        <v>1.2918308874505073</v>
      </c>
      <c r="P79" s="440">
        <f>IFERROR(MITRA!$G$42,"-")</f>
        <v>1.1187253881627359</v>
      </c>
      <c r="Q79" s="452"/>
      <c r="R79" s="440">
        <f>(MITRA!D$12/MITRA!D$24)</f>
        <v>2.6393941791433102</v>
      </c>
      <c r="S79" s="440">
        <f>(MITRA!E$12/MITRA!E$24)</f>
        <v>2.3713840631944563</v>
      </c>
      <c r="T79" s="440">
        <f>(MITRA!F$12/MITRA!F$24)</f>
        <v>2.1065144912335487</v>
      </c>
      <c r="U79" s="440">
        <f>(MITRA!G$12/MITRA!G$24)</f>
        <v>1.8118910604721146</v>
      </c>
    </row>
    <row r="80" spans="1:21">
      <c r="B80" s="32"/>
      <c r="C80" s="28"/>
      <c r="D80" s="28"/>
      <c r="E80" s="29"/>
      <c r="F80" s="28"/>
      <c r="H80" s="441"/>
      <c r="I80" s="441"/>
      <c r="J80" s="441"/>
      <c r="K80" s="441"/>
      <c r="L80" s="453"/>
      <c r="M80" s="441"/>
      <c r="N80" s="441"/>
      <c r="O80" s="441"/>
      <c r="P80" s="441"/>
      <c r="Q80" s="451"/>
      <c r="R80" s="441"/>
      <c r="S80" s="441"/>
      <c r="T80" s="441"/>
      <c r="U80" s="441"/>
    </row>
    <row r="81" spans="1:21">
      <c r="B81" s="32" t="str">
        <f t="shared" ref="B81:F82" si="11">B61</f>
        <v>IHS Holding</v>
      </c>
      <c r="C81" s="28" t="str">
        <f t="shared" si="11"/>
        <v>USD 8.2</v>
      </c>
      <c r="D81" s="28" t="str">
        <f t="shared" si="11"/>
        <v>USD 10.0</v>
      </c>
      <c r="E81" s="29">
        <f t="shared" si="11"/>
        <v>0.2179526216430181</v>
      </c>
      <c r="F81" s="28" t="str">
        <f t="shared" si="11"/>
        <v>Buy</v>
      </c>
      <c r="H81" s="441">
        <f>IFERROR(IHS!$D$41,"-")</f>
        <v>1.5688393097883626</v>
      </c>
      <c r="I81" s="441">
        <f>IFERROR(IHS!$E$41,"-")</f>
        <v>1.4822484306950034</v>
      </c>
      <c r="J81" s="441">
        <f>IFERROR(IHS!$F$41,"-")</f>
        <v>1.3943752003813765</v>
      </c>
      <c r="K81" s="441">
        <f>IFERROR(IHS!$G$41,"-")</f>
        <v>1.3134321727273737</v>
      </c>
      <c r="L81" s="453"/>
      <c r="M81" s="441">
        <f>IFERROR(IHS!$D$42,"-")</f>
        <v>4.074884231102863</v>
      </c>
      <c r="N81" s="441">
        <f>IFERROR(IHS!$E$42,"-")</f>
        <v>3.8778527108165588</v>
      </c>
      <c r="O81" s="441">
        <f>IFERROR(IHS!$F$42,"-")</f>
        <v>3.6905486399041716</v>
      </c>
      <c r="P81" s="441">
        <f>IFERROR(IHS!$G$42,"-")</f>
        <v>3.5302322878581358</v>
      </c>
      <c r="Q81" s="451"/>
      <c r="R81" s="440">
        <f>(IHS!D$12/IHS!D$24)</f>
        <v>2.9762387436066198</v>
      </c>
      <c r="S81" s="440">
        <f>(IHS!E$12/IHS!E$24)</f>
        <v>2.6770186865928856</v>
      </c>
      <c r="T81" s="440">
        <f>(IHS!F$12/IHS!F$24)</f>
        <v>2.3263761499103262</v>
      </c>
      <c r="U81" s="440">
        <f>(IHS!G$12/IHS!G$24)</f>
        <v>2.0659482849679391</v>
      </c>
    </row>
    <row r="82" spans="1:21">
      <c r="B82" s="32" t="str">
        <f t="shared" si="11"/>
        <v>Helios Towers</v>
      </c>
      <c r="C82" s="28" t="str">
        <f t="shared" si="11"/>
        <v>GBP2.0</v>
      </c>
      <c r="D82" s="28" t="str">
        <f t="shared" si="11"/>
        <v>GBP1.8</v>
      </c>
      <c r="E82" s="29">
        <f t="shared" si="11"/>
        <v>-8.8607594936708889E-2</v>
      </c>
      <c r="F82" s="28" t="str">
        <f t="shared" si="11"/>
        <v>Buy</v>
      </c>
      <c r="H82" s="441">
        <f>IFERROR(HTWS!$D$41,"-")</f>
        <v>2.1143499894067341</v>
      </c>
      <c r="I82" s="441">
        <f>IFERROR(HTWS!$E$41,"-")</f>
        <v>2.0108405589557781</v>
      </c>
      <c r="J82" s="441">
        <f>IFERROR(HTWS!$F$41,"-")</f>
        <v>1.9121087670154873</v>
      </c>
      <c r="K82" s="441">
        <f>IFERROR(HTWS!$G$41,"-")</f>
        <v>1.827238145203586</v>
      </c>
      <c r="L82" s="453"/>
      <c r="M82" s="441">
        <f>IFERROR(HTWS!$D$42,"-")</f>
        <v>3.8762972594692204</v>
      </c>
      <c r="N82" s="441">
        <f>IFERROR(HTWS!$E$42,"-")</f>
        <v>3.7008482437737529</v>
      </c>
      <c r="O82" s="441">
        <f>IFERROR(HTWS!$F$42,"-")</f>
        <v>3.5305193174856009</v>
      </c>
      <c r="P82" s="441">
        <f>IFERROR(HTWS!$G$42,"-")</f>
        <v>3.3803302898875747</v>
      </c>
      <c r="Q82" s="451"/>
      <c r="R82" s="440">
        <f>(HTWS!D$12/HTWS!D$24)</f>
        <v>3.6414003428757296</v>
      </c>
      <c r="S82" s="440">
        <f>(HTWS!E$12/HTWS!E$24)</f>
        <v>3.196192771154803</v>
      </c>
      <c r="T82" s="440">
        <f>(HTWS!F$12/HTWS!F$24)</f>
        <v>2.8028634268399317</v>
      </c>
      <c r="U82" s="440">
        <f>(HTWS!G$12/HTWS!G$24)</f>
        <v>2.4260396404231952</v>
      </c>
    </row>
    <row r="83" spans="1:21">
      <c r="B83" s="32"/>
      <c r="C83" s="28"/>
      <c r="D83" s="28"/>
      <c r="E83" s="29"/>
      <c r="F83" s="28"/>
      <c r="H83" s="441"/>
      <c r="I83" s="441"/>
      <c r="J83" s="441"/>
      <c r="K83" s="441"/>
      <c r="L83" s="453"/>
      <c r="M83" s="441"/>
      <c r="N83" s="441"/>
      <c r="O83" s="441"/>
      <c r="P83" s="441"/>
      <c r="Q83" s="451"/>
      <c r="R83" s="441"/>
      <c r="S83" s="441"/>
      <c r="T83" s="441"/>
      <c r="U83" s="441"/>
    </row>
    <row r="84" spans="1:21">
      <c r="A84" s="155"/>
      <c r="B84" s="159" t="str">
        <f>B64</f>
        <v>Telesites</v>
      </c>
      <c r="C84" s="147" t="str">
        <f>C64</f>
        <v>MXN 16.2</v>
      </c>
      <c r="D84" s="147" t="str">
        <f>D64</f>
        <v>MXN 17.0</v>
      </c>
      <c r="E84" s="148">
        <f>E64</f>
        <v>5.1980198019802026E-2</v>
      </c>
      <c r="F84" s="147" t="str">
        <f>F64</f>
        <v>Neutral</v>
      </c>
      <c r="H84" s="442">
        <f>SITES!$D$41</f>
        <v>2.8724707872555366</v>
      </c>
      <c r="I84" s="442">
        <f>SITES!$E$41</f>
        <v>3.2054975269550914</v>
      </c>
      <c r="J84" s="442">
        <f>SITES!$F$41</f>
        <v>3.755862405723696</v>
      </c>
      <c r="K84" s="442">
        <f>SITES!$G$41</f>
        <v>4.8272064277955034</v>
      </c>
      <c r="L84" s="453"/>
      <c r="M84" s="442">
        <f>IFERROR(SITES!$D$42,"-")</f>
        <v>2.6898283139885981</v>
      </c>
      <c r="N84" s="442">
        <f>IFERROR(SITES!$E$42,"-")</f>
        <v>2.693699650478139</v>
      </c>
      <c r="O84" s="442">
        <f>IFERROR(SITES!$F$42,"-")</f>
        <v>2.6522096026400104</v>
      </c>
      <c r="P84" s="442">
        <f>IFERROR(SITES!$G$42,"-")</f>
        <v>2.5594957826487055</v>
      </c>
      <c r="Q84" s="451"/>
      <c r="R84" s="442">
        <f>(SITES!D$12/SITES!D$24)</f>
        <v>2.0769491639583384</v>
      </c>
      <c r="S84" s="442">
        <f>(SITES!E$12/SITES!E$24)</f>
        <v>1.6273954003907021</v>
      </c>
      <c r="T84" s="442">
        <f>(SITES!F$12/SITES!F$24)</f>
        <v>1.2051572781167126</v>
      </c>
      <c r="U84" s="442">
        <f>(SITES!G$12/SITES!G$24)</f>
        <v>0.80248782257771623</v>
      </c>
    </row>
    <row r="85" spans="1:21">
      <c r="A85" s="155"/>
    </row>
    <row r="86" spans="1:21">
      <c r="A86" s="155"/>
    </row>
    <row r="87" spans="1:21" collapsed="1">
      <c r="B87" s="130"/>
      <c r="C87" s="131" t="s">
        <v>379</v>
      </c>
      <c r="D87" s="131" t="s">
        <v>50</v>
      </c>
      <c r="E87" s="131" t="s">
        <v>52</v>
      </c>
      <c r="F87" s="131" t="s">
        <v>49</v>
      </c>
      <c r="H87" s="132" t="s">
        <v>666</v>
      </c>
      <c r="I87" s="132"/>
      <c r="J87" s="132"/>
      <c r="K87" s="132"/>
      <c r="M87" s="132" t="s">
        <v>664</v>
      </c>
      <c r="N87" s="132"/>
      <c r="O87" s="132"/>
      <c r="P87" s="132"/>
      <c r="R87" s="132" t="s">
        <v>665</v>
      </c>
      <c r="S87" s="132"/>
      <c r="T87" s="132"/>
      <c r="U87" s="132"/>
    </row>
    <row r="88" spans="1:21">
      <c r="A88" s="26"/>
      <c r="B88" s="158" t="str">
        <f t="shared" ref="B88:F89" si="12">B68</f>
        <v>Cellnex</v>
      </c>
      <c r="C88" s="143" t="str">
        <f t="shared" si="12"/>
        <v>EUR 28.4</v>
      </c>
      <c r="D88" s="143" t="str">
        <f t="shared" si="12"/>
        <v>EUR 34.0</v>
      </c>
      <c r="E88" s="52">
        <f t="shared" si="12"/>
        <v>0.19718309859154926</v>
      </c>
      <c r="F88" s="143" t="str">
        <f t="shared" si="12"/>
        <v>Buy</v>
      </c>
      <c r="H88" s="164">
        <f>(CLNX!D$23/CLNX!C$23)-1</f>
        <v>-8.3086455654277414E-2</v>
      </c>
      <c r="I88" s="164">
        <f>(CLNX!E$23/CLNX!D$23)-1</f>
        <v>3.7557117012070318E-2</v>
      </c>
      <c r="J88" s="164">
        <f>(CLNX!F$23/CLNX!E$23)-1</f>
        <v>4.9110041223117573E-2</v>
      </c>
      <c r="K88" s="164">
        <f>(CLNX!G$23/CLNX!F$23)-1</f>
        <v>2.8206962079263542E-2</v>
      </c>
      <c r="M88" s="164">
        <f>(CLNX!D$24/CLNX!C$24)-1</f>
        <v>3.3170968704703707E-2</v>
      </c>
      <c r="N88" s="164">
        <f>(CLNX!E$24/CLNX!D$24)-1</f>
        <v>4.2981714058814013E-2</v>
      </c>
      <c r="O88" s="164">
        <f>(CLNX!F$24/CLNX!E$24)-1</f>
        <v>7.1037417733836872E-2</v>
      </c>
      <c r="P88" s="164">
        <f>(CLNX!G$24/CLNX!F$24)-1</f>
        <v>2.9343013180358257E-2</v>
      </c>
      <c r="Q88" s="141"/>
      <c r="R88" s="164">
        <f>(CLNX!D$25/CLNX!C$25)-1</f>
        <v>2.19655935245886E-2</v>
      </c>
      <c r="S88" s="164">
        <f>(CLNX!E$25/CLNX!D$25)-1</f>
        <v>0.54099382376457816</v>
      </c>
      <c r="T88" s="164">
        <f>(CLNX!F$25/CLNX!E$25)-1</f>
        <v>0.41732978603926907</v>
      </c>
      <c r="U88" s="164">
        <f>(CLNX!G$25/CLNX!F$25)-1</f>
        <v>0.23565246031255871</v>
      </c>
    </row>
    <row r="89" spans="1:21">
      <c r="A89" s="26"/>
      <c r="B89" s="158" t="str">
        <f t="shared" si="12"/>
        <v>Inwit</v>
      </c>
      <c r="C89" s="143" t="str">
        <f t="shared" si="12"/>
        <v>EUR 7.3</v>
      </c>
      <c r="D89" s="143" t="str">
        <f t="shared" si="12"/>
        <v>EUR 9.5</v>
      </c>
      <c r="E89" s="52">
        <f t="shared" si="12"/>
        <v>0.30226182316655237</v>
      </c>
      <c r="F89" s="143" t="str">
        <f t="shared" si="12"/>
        <v>Buy</v>
      </c>
      <c r="H89" s="164">
        <f>(INWIT!D$23/INWIT!C$23)-1</f>
        <v>3.9696858040013883E-2</v>
      </c>
      <c r="I89" s="164">
        <f>(INWIT!E$23/INWIT!D$23)-1</f>
        <v>-1.2695155243883982E-2</v>
      </c>
      <c r="J89" s="164">
        <f>(INWIT!F$23/INWIT!E$23)-1</f>
        <v>2.1504042528555534E-2</v>
      </c>
      <c r="K89" s="164">
        <f>(INWIT!G$23/INWIT!F$23)-1</f>
        <v>2.4817854507799941E-2</v>
      </c>
      <c r="M89" s="164">
        <f>(INWIT!D$24/INWIT!C$24)-1</f>
        <v>4.7501181108342116E-2</v>
      </c>
      <c r="N89" s="164">
        <f>(INWIT!E$24/INWIT!D$24)-1</f>
        <v>-2.3417664699891483E-2</v>
      </c>
      <c r="O89" s="164">
        <f>(INWIT!F$24/INWIT!E$24)-1</f>
        <v>3.2472471674291681E-2</v>
      </c>
      <c r="P89" s="164">
        <f>(INWIT!G$24/INWIT!F$24)-1</f>
        <v>3.7324811698764115E-2</v>
      </c>
      <c r="Q89" s="143"/>
      <c r="R89" s="164">
        <f>(INWIT!D$25/INWIT!C$25)-1</f>
        <v>0.13930522575163407</v>
      </c>
      <c r="S89" s="164">
        <f>(INWIT!E$25/INWIT!D$25)-1</f>
        <v>0.16931901935611449</v>
      </c>
      <c r="T89" s="164">
        <f>(INWIT!F$25/INWIT!E$25)-1</f>
        <v>4.672795904458793E-2</v>
      </c>
      <c r="U89" s="164">
        <f>(INWIT!G$25/INWIT!F$25)-1</f>
        <v>7.3616955646707893E-2</v>
      </c>
    </row>
    <row r="90" spans="1:21">
      <c r="A90" s="26"/>
      <c r="B90" s="32"/>
      <c r="C90" s="28"/>
      <c r="D90" s="146"/>
      <c r="E90" s="29"/>
      <c r="F90" s="28"/>
      <c r="H90" s="165"/>
      <c r="I90" s="165"/>
      <c r="J90" s="165"/>
      <c r="K90" s="165"/>
      <c r="L90" s="146"/>
      <c r="M90" s="165"/>
      <c r="N90" s="165"/>
      <c r="O90" s="165"/>
      <c r="P90" s="165"/>
      <c r="Q90" s="141"/>
      <c r="R90" s="165"/>
      <c r="S90" s="165"/>
      <c r="T90" s="165"/>
      <c r="U90" s="165"/>
    </row>
    <row r="91" spans="1:21">
      <c r="A91" s="26"/>
      <c r="B91" s="32" t="str">
        <f t="shared" ref="B91:F93" si="13">B71</f>
        <v>American Tower</v>
      </c>
      <c r="C91" s="28" t="str">
        <f t="shared" si="13"/>
        <v>USD 177.8</v>
      </c>
      <c r="D91" s="146" t="str">
        <f t="shared" si="13"/>
        <v>USD 203.0</v>
      </c>
      <c r="E91" s="29">
        <f t="shared" si="13"/>
        <v>0.14186072674091577</v>
      </c>
      <c r="F91" s="28" t="str">
        <f t="shared" si="13"/>
        <v>Buy</v>
      </c>
      <c r="H91" s="165">
        <f>(AMT!D$23/AMT!C$23)-1</f>
        <v>4.438873540020416E-2</v>
      </c>
      <c r="I91" s="165">
        <f>(AMT!E$23/AMT!D$23)-1</f>
        <v>2.3440391576196706E-2</v>
      </c>
      <c r="J91" s="165">
        <f>(AMT!F$23/AMT!E$23)-1</f>
        <v>2.2392606455503339E-2</v>
      </c>
      <c r="K91" s="165">
        <f>(AMT!G$23/AMT!F$23)-1</f>
        <v>5.7556516086732401E-2</v>
      </c>
      <c r="L91" s="146"/>
      <c r="M91" s="165">
        <f>(AMT!D$24/AMT!C$24)-1</f>
        <v>4.0831760465337208E-2</v>
      </c>
      <c r="N91" s="165">
        <f>(AMT!E$24/AMT!D$24)-1</f>
        <v>1.4366450391134933E-2</v>
      </c>
      <c r="O91" s="165">
        <f>(AMT!F$24/AMT!E$24)-1</f>
        <v>2.7694635966952319E-2</v>
      </c>
      <c r="P91" s="165">
        <f>(AMT!G$24/AMT!F$24)-1</f>
        <v>7.3826539828443671E-2</v>
      </c>
      <c r="Q91" s="141"/>
      <c r="R91" s="165">
        <f>(AMT!D$25/AMT!C$25)-1</f>
        <v>-2.0376409903658743E-2</v>
      </c>
      <c r="S91" s="165">
        <f>(AMT!E$25/AMT!D$25)-1</f>
        <v>1.8356734417791509E-2</v>
      </c>
      <c r="T91" s="165">
        <f>(AMT!F$25/AMT!E$25)-1</f>
        <v>7.9660164044881965E-2</v>
      </c>
      <c r="U91" s="165">
        <f>(AMT!G$25/AMT!F$25)-1</f>
        <v>8.5449239110538144E-2</v>
      </c>
    </row>
    <row r="92" spans="1:21">
      <c r="A92" s="26"/>
      <c r="B92" s="32" t="str">
        <f t="shared" si="13"/>
        <v>Crown Castle</v>
      </c>
      <c r="C92" s="28" t="str">
        <f t="shared" si="13"/>
        <v>USD 86.2</v>
      </c>
      <c r="D92" s="146" t="str">
        <f t="shared" si="13"/>
        <v>USD 93.0</v>
      </c>
      <c r="E92" s="29">
        <f t="shared" si="13"/>
        <v>7.8698602331380707E-2</v>
      </c>
      <c r="F92" s="28" t="str">
        <f t="shared" si="13"/>
        <v>Neutral</v>
      </c>
      <c r="H92" s="165">
        <f>(CCI!D$23/CCI!C$23)-1</f>
        <v>-4.3698571780901641E-2</v>
      </c>
      <c r="I92" s="165">
        <f>(CCI!E$23/CCI!D$23)-1</f>
        <v>-4.8433791080576993E-2</v>
      </c>
      <c r="J92" s="165">
        <f>(CCI!F$23/CCI!E$23)-1</f>
        <v>3.1293494349737827E-4</v>
      </c>
      <c r="K92" s="165">
        <f>(CCI!G$23/CCI!F$23)-1</f>
        <v>1.5460298244437842E-2</v>
      </c>
      <c r="L92" s="146"/>
      <c r="M92" s="165">
        <f>(CCI!D$24/CCI!C$24)-1</f>
        <v>-5.6672158154859931E-2</v>
      </c>
      <c r="N92" s="165">
        <f>(CCI!E$24/CCI!D$24)-1</f>
        <v>-5.1658205437681293E-2</v>
      </c>
      <c r="O92" s="165">
        <f>(CCI!F$24/CCI!E$24)-1</f>
        <v>3.3740945541222978E-3</v>
      </c>
      <c r="P92" s="165">
        <f>(CCI!G$24/CCI!F$24)-1</f>
        <v>1.8103999763007028E-2</v>
      </c>
      <c r="Q92" s="141"/>
      <c r="R92" s="165">
        <f>(CCI!D$25/CCI!C$25)-1</f>
        <v>3.9644071475077647E-2</v>
      </c>
      <c r="S92" s="165">
        <f>(CCI!E$25/CCI!D$25)-1</f>
        <v>-0.39233612415936192</v>
      </c>
      <c r="T92" s="165">
        <f>(CCI!F$25/CCI!E$25)-1</f>
        <v>-2.1024620965371055E-2</v>
      </c>
      <c r="U92" s="165">
        <f>(CCI!G$25/CCI!F$25)-1</f>
        <v>1.3880077626185372E-2</v>
      </c>
    </row>
    <row r="93" spans="1:21">
      <c r="A93" s="26"/>
      <c r="B93" s="32" t="str">
        <f t="shared" si="13"/>
        <v xml:space="preserve">SBA </v>
      </c>
      <c r="C93" s="28" t="str">
        <f t="shared" si="13"/>
        <v>USD 217.5</v>
      </c>
      <c r="D93" s="146" t="str">
        <f t="shared" si="13"/>
        <v>USD 212.0</v>
      </c>
      <c r="E93" s="29">
        <f t="shared" si="13"/>
        <v>-2.5287356321839094E-2</v>
      </c>
      <c r="F93" s="28" t="str">
        <f t="shared" si="13"/>
        <v>Neutral</v>
      </c>
      <c r="H93" s="165">
        <f>(SBAC!D$23/SBAC!C$23)-1</f>
        <v>5.8116074678156382E-2</v>
      </c>
      <c r="I93" s="165">
        <f>(SBAC!E$23/SBAC!D$23)-1</f>
        <v>-1.2163604206307688E-2</v>
      </c>
      <c r="J93" s="165">
        <f>(SBAC!F$23/SBAC!E$23)-1</f>
        <v>2.4407705226832555E-2</v>
      </c>
      <c r="K93" s="165">
        <f>(SBAC!G$23/SBAC!F$23)-1</f>
        <v>4.7488401547831627E-2</v>
      </c>
      <c r="L93" s="146"/>
      <c r="M93" s="165">
        <f>(SBAC!D$24/SBAC!C$24)-1</f>
        <v>1.7843547785145963E-2</v>
      </c>
      <c r="N93" s="165">
        <f>(SBAC!E$24/SBAC!D$24)-1</f>
        <v>8.569493193552491E-3</v>
      </c>
      <c r="O93" s="165">
        <f>(SBAC!F$24/SBAC!E$24)-1</f>
        <v>1.6280987280014481E-2</v>
      </c>
      <c r="P93" s="165">
        <f>(SBAC!G$24/SBAC!F$24)-1</f>
        <v>4.7393260365231837E-2</v>
      </c>
      <c r="Q93" s="141"/>
      <c r="R93" s="165">
        <f>(SBAC!D$25/SBAC!C$25)-1</f>
        <v>0.15244223719999672</v>
      </c>
      <c r="S93" s="165">
        <f>(SBAC!E$25/SBAC!D$25)-1</f>
        <v>-0.13553688595050817</v>
      </c>
      <c r="T93" s="165">
        <f>(SBAC!F$25/SBAC!E$25)-1</f>
        <v>2.4117337050868937E-2</v>
      </c>
      <c r="U93" s="165">
        <f>(SBAC!G$25/SBAC!F$25)-1</f>
        <v>4.9950986236055872E-2</v>
      </c>
    </row>
    <row r="94" spans="1:21">
      <c r="A94" s="26"/>
      <c r="B94" s="32"/>
      <c r="C94" s="28"/>
      <c r="D94" s="28"/>
      <c r="E94" s="29"/>
      <c r="F94" s="28"/>
      <c r="H94" s="165"/>
      <c r="I94" s="165"/>
      <c r="J94" s="165"/>
      <c r="K94" s="165"/>
      <c r="L94" s="146"/>
      <c r="M94" s="165"/>
      <c r="N94" s="165"/>
      <c r="O94" s="165"/>
      <c r="P94" s="165"/>
      <c r="Q94" s="141"/>
      <c r="R94" s="165"/>
      <c r="S94" s="165"/>
      <c r="T94" s="165"/>
      <c r="U94" s="165"/>
    </row>
    <row r="95" spans="1:21">
      <c r="A95" s="26"/>
      <c r="B95" s="32" t="str">
        <f t="shared" ref="B95:F98" si="14">B75</f>
        <v>Bharti Infratel</v>
      </c>
      <c r="C95" s="28" t="str">
        <f t="shared" si="14"/>
        <v>INR 402</v>
      </c>
      <c r="D95" s="28" t="str">
        <f t="shared" si="14"/>
        <v>INR 400</v>
      </c>
      <c r="E95" s="29">
        <f t="shared" si="14"/>
        <v>-5.3462638319035083E-3</v>
      </c>
      <c r="F95" s="28" t="str">
        <f t="shared" si="14"/>
        <v>Neutral</v>
      </c>
      <c r="H95" s="165">
        <f>(BHIN!D$23/BHIN!C$23)-1</f>
        <v>0.10689170867896713</v>
      </c>
      <c r="I95" s="165">
        <f>(BHIN!E$23/BHIN!D$23)-1</f>
        <v>6.4015668470264853E-2</v>
      </c>
      <c r="J95" s="165">
        <f>(BHIN!F$23/BHIN!E$23)-1</f>
        <v>3.4865522207627064E-2</v>
      </c>
      <c r="K95" s="165">
        <f>(BHIN!G$23/BHIN!F$23)-1</f>
        <v>1.5132377300706379E-2</v>
      </c>
      <c r="L95" s="146"/>
      <c r="M95" s="165">
        <f>(BHIN!D$24/BHIN!C$24)-1</f>
        <v>-8.4044816625325813E-2</v>
      </c>
      <c r="N95" s="165">
        <f>(BHIN!E$24/BHIN!D$24)-1</f>
        <v>6.2781605424780285E-2</v>
      </c>
      <c r="O95" s="165">
        <f>(BHIN!F$24/BHIN!E$24)-1</f>
        <v>3.3782743433448337E-2</v>
      </c>
      <c r="P95" s="165">
        <f>(BHIN!G$24/BHIN!F$24)-1</f>
        <v>1.4127915356211052E-2</v>
      </c>
      <c r="Q95" s="141"/>
      <c r="R95" s="165">
        <f>(BHIN!D$25/BHIN!C$25)-1</f>
        <v>-0.44487769300370039</v>
      </c>
      <c r="S95" s="165">
        <f>(BHIN!E$25/BHIN!D$25)-1</f>
        <v>9.2442703769864298E-2</v>
      </c>
      <c r="T95" s="165">
        <f>(BHIN!F$25/BHIN!E$25)-1</f>
        <v>5.6758028483065992E-2</v>
      </c>
      <c r="U95" s="165">
        <f>(BHIN!G$25/BHIN!F$25)-1</f>
        <v>2.9299189627571387E-2</v>
      </c>
    </row>
    <row r="96" spans="1:21">
      <c r="A96" s="26"/>
      <c r="B96" s="158" t="str">
        <f t="shared" si="14"/>
        <v>China Tower</v>
      </c>
      <c r="C96" s="143" t="str">
        <f t="shared" si="14"/>
        <v>HKD 11.16</v>
      </c>
      <c r="D96" s="143" t="str">
        <f t="shared" si="14"/>
        <v>HKD 14.00</v>
      </c>
      <c r="E96" s="52">
        <f t="shared" si="14"/>
        <v>0.25448028673835132</v>
      </c>
      <c r="F96" s="28" t="str">
        <f t="shared" si="14"/>
        <v>Buy</v>
      </c>
      <c r="H96" s="165">
        <f>(ChinaTow!D$23/ChinaTow!C$23)-1</f>
        <v>4.3942394553180053E-2</v>
      </c>
      <c r="I96" s="165">
        <f>(ChinaTow!E$23/ChinaTow!D$23)-1</f>
        <v>4.4041049954688161E-2</v>
      </c>
      <c r="J96" s="165">
        <f>(ChinaTow!F$23/ChinaTow!E$23)-1</f>
        <v>4.0833779241742363E-2</v>
      </c>
      <c r="K96" s="165">
        <f>(ChinaTow!G$23/ChinaTow!F$23)-1</f>
        <v>3.9433058662023734E-2</v>
      </c>
      <c r="L96" s="145"/>
      <c r="M96" s="165">
        <f>(ChinaTow!D$24/ChinaTow!C$24)-1</f>
        <v>3.99544207019491E-2</v>
      </c>
      <c r="N96" s="165">
        <f>(ChinaTow!E$24/ChinaTow!D$24)-1</f>
        <v>4.6263004259888829E-2</v>
      </c>
      <c r="O96" s="165">
        <f>(ChinaTow!F$24/ChinaTow!E$24)-1</f>
        <v>3.7931164652380778E-2</v>
      </c>
      <c r="P96" s="165">
        <f>(ChinaTow!G$24/ChinaTow!F$24)-1</f>
        <v>3.6256096293915574E-2</v>
      </c>
      <c r="Q96" s="143"/>
      <c r="R96" s="165">
        <f>(ChinaTow!D$25/ChinaTow!C$25)-1</f>
        <v>0.33800710523233501</v>
      </c>
      <c r="S96" s="165">
        <f>(ChinaTow!E$25/ChinaTow!D$25)-1</f>
        <v>5.0743512678576241E-2</v>
      </c>
      <c r="T96" s="165">
        <f>(ChinaTow!F$25/ChinaTow!E$25)-1</f>
        <v>3.9176508506014507E-2</v>
      </c>
      <c r="U96" s="165">
        <f>(ChinaTow!G$25/ChinaTow!F$25)-1</f>
        <v>3.6944517311511049E-2</v>
      </c>
    </row>
    <row r="97" spans="1:21">
      <c r="B97" s="32" t="str">
        <f t="shared" si="14"/>
        <v>Sarana Menara</v>
      </c>
      <c r="C97" s="28" t="str">
        <f t="shared" si="14"/>
        <v>IDR 488</v>
      </c>
      <c r="D97" s="28" t="str">
        <f t="shared" si="14"/>
        <v>IDR 780</v>
      </c>
      <c r="E97" s="29">
        <f t="shared" si="14"/>
        <v>0.59836065573770503</v>
      </c>
      <c r="F97" s="28" t="str">
        <f t="shared" si="14"/>
        <v>Buy</v>
      </c>
      <c r="H97" s="165">
        <f>(TOWR!D$23/TOWR!C$23)-1</f>
        <v>4.014406959057859E-2</v>
      </c>
      <c r="I97" s="165">
        <f>(TOWR!E$23/TOWR!D$23)-1</f>
        <v>2.5827743864807351E-2</v>
      </c>
      <c r="J97" s="165">
        <f>(TOWR!F$23/TOWR!E$23)-1</f>
        <v>3.9743701506383955E-2</v>
      </c>
      <c r="K97" s="165">
        <f>(TOWR!G$23/TOWR!F$23)-1</f>
        <v>5.0839301258194691E-2</v>
      </c>
      <c r="L97" s="146"/>
      <c r="M97" s="165">
        <f>(TOWR!D$24/TOWR!C$24)-1</f>
        <v>3.4577098739703827E-2</v>
      </c>
      <c r="N97" s="165">
        <f>(TOWR!E$24/TOWR!D$24)-1</f>
        <v>2.3986398548070387E-2</v>
      </c>
      <c r="O97" s="165">
        <f>(TOWR!F$24/TOWR!E$24)-1</f>
        <v>3.7874021207807473E-2</v>
      </c>
      <c r="P97" s="165">
        <f>(TOWR!G$24/TOWR!F$24)-1</f>
        <v>4.89462646290999E-2</v>
      </c>
      <c r="Q97" s="141"/>
      <c r="R97" s="165">
        <f>(TOWR!D$25/TOWR!C$25)-1</f>
        <v>4.4342221912457997</v>
      </c>
      <c r="S97" s="165">
        <f>(TOWR!E$25/TOWR!D$25)-1</f>
        <v>7.5836283753372147E-2</v>
      </c>
      <c r="T97" s="165">
        <f>(TOWR!F$25/TOWR!E$25)-1</f>
        <v>6.7806773447114832E-2</v>
      </c>
      <c r="U97" s="165">
        <f>(TOWR!G$25/TOWR!F$25)-1</f>
        <v>7.1921709304687109E-2</v>
      </c>
    </row>
    <row r="98" spans="1:21">
      <c r="B98" s="158" t="str">
        <f t="shared" si="14"/>
        <v>Tower Bersama</v>
      </c>
      <c r="C98" s="143" t="str">
        <f t="shared" si="14"/>
        <v>IDR 1,875</v>
      </c>
      <c r="D98" s="143" t="str">
        <f t="shared" si="14"/>
        <v>IDR 1,250</v>
      </c>
      <c r="E98" s="52">
        <f t="shared" si="14"/>
        <v>-0.33333333333333337</v>
      </c>
      <c r="F98" s="143" t="str">
        <f t="shared" si="14"/>
        <v>Reduce</v>
      </c>
      <c r="H98" s="164">
        <f>(TBIG!D$23/TBIG!C$23)-1</f>
        <v>3.3221474888613933E-3</v>
      </c>
      <c r="I98" s="164">
        <f>(TBIG!E$23/TBIG!D$23)-1</f>
        <v>1.8710495654750137E-3</v>
      </c>
      <c r="J98" s="164">
        <f>(TBIG!F$23/TBIG!E$23)-1</f>
        <v>1.9073619031072964E-2</v>
      </c>
      <c r="K98" s="164">
        <f>(TBIG!G$23/TBIG!F$23)-1</f>
        <v>2.8795322584637795E-2</v>
      </c>
      <c r="L98" s="145"/>
      <c r="M98" s="164">
        <f>(TBIG!D$24/TBIG!C$24)-1</f>
        <v>-1.2808177028950429E-2</v>
      </c>
      <c r="N98" s="164">
        <f>(TBIG!E$24/TBIG!D$24)-1</f>
        <v>3.0625078689372476E-3</v>
      </c>
      <c r="O98" s="164">
        <f>(TBIG!F$24/TBIG!E$24)-1</f>
        <v>2.0284095662098878E-2</v>
      </c>
      <c r="P98" s="164">
        <f>(TBIG!G$24/TBIG!F$24)-1</f>
        <v>3.0015897031884897E-2</v>
      </c>
      <c r="Q98" s="143"/>
      <c r="R98" s="164">
        <f>(TBIG!D$25/TBIG!C$25)-1</f>
        <v>0.14273650336076948</v>
      </c>
      <c r="S98" s="164">
        <f>(TBIG!E$25/TBIG!D$25)-1</f>
        <v>-6.91986225573471E-3</v>
      </c>
      <c r="T98" s="164">
        <f>(TBIG!F$25/TBIG!E$25)-1</f>
        <v>2.4269110109871539E-2</v>
      </c>
      <c r="U98" s="164">
        <f>(TBIG!G$25/TBIG!F$25)-1</f>
        <v>6.064418491683865E-2</v>
      </c>
    </row>
    <row r="99" spans="1:21">
      <c r="A99" s="26"/>
      <c r="B99" s="158" t="s">
        <v>1111</v>
      </c>
      <c r="C99" s="143" t="str">
        <f>C79</f>
        <v>IDR 530</v>
      </c>
      <c r="D99" s="143" t="str">
        <f>D79</f>
        <v>IDR 740</v>
      </c>
      <c r="E99" s="52">
        <f>E79</f>
        <v>0.39622641509433953</v>
      </c>
      <c r="F99" s="143" t="str">
        <f>F79</f>
        <v>Buy</v>
      </c>
      <c r="H99" s="164">
        <f>(MITRA!D$23/MITRA!C$23)-1</f>
        <v>3.7736669327629091E-2</v>
      </c>
      <c r="I99" s="164">
        <f>(MITRA!E$23/MITRA!D$23)-1</f>
        <v>4.1823284134787198E-2</v>
      </c>
      <c r="J99" s="164">
        <f>(MITRA!F$23/MITRA!E$23)-1</f>
        <v>4.357532873981862E-2</v>
      </c>
      <c r="K99" s="164">
        <f>(MITRA!G$23/MITRA!F$23)-1</f>
        <v>4.4507212755362513E-2</v>
      </c>
      <c r="L99" s="145"/>
      <c r="M99" s="164">
        <f>(MITRA!D$24/MITRA!C$24)-1</f>
        <v>4.1242536453736101E-2</v>
      </c>
      <c r="N99" s="164">
        <f>(MITRA!E$24/MITRA!D$24)-1</f>
        <v>4.1823284134787198E-2</v>
      </c>
      <c r="O99" s="164">
        <f>(MITRA!F$24/MITRA!E$24)-1</f>
        <v>4.3575328739818842E-2</v>
      </c>
      <c r="P99" s="164">
        <f>(MITRA!G$24/MITRA!F$24)-1</f>
        <v>4.4507212755362291E-2</v>
      </c>
      <c r="Q99" s="143"/>
      <c r="R99" s="164">
        <f>(MITRA!D$25/MITRA!C$25)-1</f>
        <v>-0.39903790407959983</v>
      </c>
      <c r="S99" s="164">
        <f>(MITRA!E$25/MITRA!D$25)-1</f>
        <v>-1.1485110214606367</v>
      </c>
      <c r="T99" s="164">
        <f>(MITRA!F$25/MITRA!E$25)-1</f>
        <v>6.47433502260815</v>
      </c>
      <c r="U99" s="164">
        <f>(MITRA!G$25/MITRA!F$25)-1</f>
        <v>-0.44119382227968096</v>
      </c>
    </row>
    <row r="100" spans="1:21">
      <c r="B100" s="32"/>
      <c r="C100" s="28"/>
      <c r="D100" s="28"/>
      <c r="E100" s="29"/>
      <c r="F100" s="28"/>
      <c r="H100" s="165"/>
      <c r="I100" s="165"/>
      <c r="J100" s="165"/>
      <c r="K100" s="165"/>
      <c r="L100" s="146"/>
      <c r="M100" s="165"/>
      <c r="N100" s="165"/>
      <c r="O100" s="165"/>
      <c r="P100" s="165"/>
      <c r="Q100" s="141"/>
      <c r="R100" s="165"/>
      <c r="S100" s="165"/>
      <c r="T100" s="165"/>
      <c r="U100" s="165"/>
    </row>
    <row r="101" spans="1:21">
      <c r="B101" s="32" t="str">
        <f t="shared" ref="B101:F102" si="15">B81</f>
        <v>IHS Holding</v>
      </c>
      <c r="C101" s="28" t="str">
        <f t="shared" si="15"/>
        <v>USD 8.2</v>
      </c>
      <c r="D101" s="28" t="str">
        <f t="shared" si="15"/>
        <v>USD 10.0</v>
      </c>
      <c r="E101" s="29">
        <f t="shared" si="15"/>
        <v>0.2179526216430181</v>
      </c>
      <c r="F101" s="28" t="str">
        <f t="shared" si="15"/>
        <v>Buy</v>
      </c>
      <c r="H101" s="165">
        <f>(IHS!D$23/IHS!C$23)-1</f>
        <v>8.2120939793539627E-3</v>
      </c>
      <c r="I101" s="165">
        <f>(IHS!E$23/IHS!D$23)-1</f>
        <v>4.0997523620556642E-2</v>
      </c>
      <c r="J101" s="165">
        <f>(IHS!F$23/IHS!E$23)-1</f>
        <v>6.8295621892227931E-2</v>
      </c>
      <c r="K101" s="165">
        <f>(IHS!G$23/IHS!F$23)-1</f>
        <v>6.0550987562172809E-2</v>
      </c>
      <c r="L101" s="146"/>
      <c r="M101" s="165">
        <f>(IHS!D$24/IHS!C$24)-1</f>
        <v>9.3674242415197506E-2</v>
      </c>
      <c r="N101" s="165">
        <f>(IHS!E$24/IHS!D$24)-1</f>
        <v>5.2058917175883623E-2</v>
      </c>
      <c r="O101" s="165">
        <f>(IHS!F$24/IHS!E$24)-1</f>
        <v>8.7523343700158129E-2</v>
      </c>
      <c r="P101" s="165">
        <f>(IHS!G$24/IHS!F$24)-1</f>
        <v>7.2964303409404963E-2</v>
      </c>
      <c r="Q101" s="141"/>
      <c r="R101" s="165">
        <f>(IHS!D$25/IHS!C$25)-1</f>
        <v>0.13754284741329337</v>
      </c>
      <c r="S101" s="165">
        <f>(IHS!E$25/IHS!D$25)-1</f>
        <v>5.7013190286173021E-2</v>
      </c>
      <c r="T101" s="165">
        <f>(IHS!F$25/IHS!E$25)-1</f>
        <v>0.11171232826105171</v>
      </c>
      <c r="U101" s="165">
        <f>(IHS!G$25/IHS!F$25)-1</f>
        <v>7.8050615035453852E-2</v>
      </c>
    </row>
    <row r="102" spans="1:21">
      <c r="B102" s="32" t="str">
        <f t="shared" si="15"/>
        <v>Helios Towers</v>
      </c>
      <c r="C102" s="28" t="str">
        <f t="shared" si="15"/>
        <v>GBP2.0</v>
      </c>
      <c r="D102" s="28" t="str">
        <f t="shared" si="15"/>
        <v>GBP1.8</v>
      </c>
      <c r="E102" s="29">
        <f t="shared" si="15"/>
        <v>-8.8607594936708889E-2</v>
      </c>
      <c r="F102" s="28" t="str">
        <f t="shared" si="15"/>
        <v>Buy</v>
      </c>
      <c r="H102" s="165">
        <f>(HTWS!D$23/HTWS!C$23)-1</f>
        <v>7.3553232244709221E-2</v>
      </c>
      <c r="I102" s="165">
        <f>(HTWS!E$23/HTWS!D$23)-1</f>
        <v>7.0303469776268779E-2</v>
      </c>
      <c r="J102" s="165">
        <f>(HTWS!F$23/HTWS!E$23)-1</f>
        <v>6.5936316881828771E-2</v>
      </c>
      <c r="K102" s="165">
        <f>(HTWS!G$23/HTWS!F$23)-1</f>
        <v>6.4928810853746244E-2</v>
      </c>
      <c r="L102" s="146"/>
      <c r="M102" s="165">
        <f>(HTWS!D$24/HTWS!C$24)-1</f>
        <v>0.13146049955139327</v>
      </c>
      <c r="N102" s="165">
        <f>(HTWS!E$24/HTWS!D$24)-1</f>
        <v>9.8119358255187139E-2</v>
      </c>
      <c r="O102" s="165">
        <f>(HTWS!F$24/HTWS!E$24)-1</f>
        <v>8.7609448886626806E-2</v>
      </c>
      <c r="P102" s="165">
        <f>(HTWS!G$24/HTWS!F$24)-1</f>
        <v>8.6511640757660713E-2</v>
      </c>
      <c r="Q102" s="141"/>
      <c r="R102" s="165">
        <f>(HTWS!D$25/HTWS!C$25)-1</f>
        <v>0.2260003508801256</v>
      </c>
      <c r="S102" s="165">
        <f>(HTWS!E$25/HTWS!D$25)-1</f>
        <v>0.14552832313828912</v>
      </c>
      <c r="T102" s="165">
        <f>(HTWS!F$25/HTWS!E$25)-1</f>
        <v>0.12716161575610374</v>
      </c>
      <c r="U102" s="165">
        <f>(HTWS!G$25/HTWS!F$25)-1</f>
        <v>0.12305164416511416</v>
      </c>
    </row>
    <row r="103" spans="1:21">
      <c r="A103" s="155"/>
      <c r="B103" s="32"/>
      <c r="C103" s="28"/>
      <c r="D103" s="28"/>
      <c r="E103" s="29"/>
      <c r="F103" s="28"/>
      <c r="H103" s="165"/>
      <c r="I103" s="165"/>
      <c r="J103" s="165"/>
      <c r="K103" s="165"/>
      <c r="L103" s="146"/>
      <c r="M103" s="165"/>
      <c r="N103" s="165"/>
      <c r="O103" s="165"/>
      <c r="P103" s="165"/>
      <c r="Q103" s="141"/>
      <c r="R103" s="165"/>
      <c r="S103" s="165"/>
      <c r="T103" s="165"/>
      <c r="U103" s="165"/>
    </row>
    <row r="104" spans="1:21">
      <c r="B104" s="159" t="str">
        <f>B84</f>
        <v>Telesites</v>
      </c>
      <c r="C104" s="147" t="str">
        <f>C84</f>
        <v>MXN 16.2</v>
      </c>
      <c r="D104" s="147" t="str">
        <f>D84</f>
        <v>MXN 17.0</v>
      </c>
      <c r="E104" s="148">
        <f>E84</f>
        <v>5.1980198019802026E-2</v>
      </c>
      <c r="F104" s="147" t="str">
        <f>F84</f>
        <v>Neutral</v>
      </c>
      <c r="H104" s="166">
        <f>IFERROR(((SITES!D$23/SITES!C$23)-1), "na")</f>
        <v>7.0780174451068545E-2</v>
      </c>
      <c r="I104" s="166">
        <f>(SITES!E$23/SITES!D$23)-1</f>
        <v>6.798640357996133E-2</v>
      </c>
      <c r="J104" s="166">
        <f>(SITES!F$23/SITES!E$23)-1</f>
        <v>6.4931203966758888E-2</v>
      </c>
      <c r="K104" s="166">
        <f>(SITES!G$23/SITES!F$23)-1</f>
        <v>6.5370761308113812E-2</v>
      </c>
      <c r="L104" s="146"/>
      <c r="M104" s="166">
        <f>(SITES!D$24/SITES!C$24)-1</f>
        <v>6.9159611252254338E-2</v>
      </c>
      <c r="N104" s="166">
        <f>(SITES!E$24/SITES!D$24)-1</f>
        <v>6.6331892102049927E-2</v>
      </c>
      <c r="O104" s="166">
        <f>(SITES!F$24/SITES!E$24)-1</f>
        <v>6.3252828161287189E-2</v>
      </c>
      <c r="P104" s="166">
        <f>(SITES!G$24/SITES!F$24)-1</f>
        <v>6.3658794786771056E-2</v>
      </c>
      <c r="Q104" s="141"/>
      <c r="R104" s="166">
        <f>IFERROR(((SITES!D$25/SITES!C$25)-1), "na")</f>
        <v>7.5192190061797115E-2</v>
      </c>
      <c r="S104" s="166">
        <f>(SITES!E$25/SITES!D$25)-1</f>
        <v>8.3841663510656028E-2</v>
      </c>
      <c r="T104" s="166">
        <f>(SITES!F$25/SITES!E$25)-1</f>
        <v>6.3702704943687793E-2</v>
      </c>
      <c r="U104" s="166">
        <f>(SITES!G$25/SITES!F$25)-1</f>
        <v>6.4424007548091966E-2</v>
      </c>
    </row>
    <row r="105" spans="1:21">
      <c r="A105" s="26"/>
      <c r="L105" s="149"/>
    </row>
    <row r="106" spans="1:21">
      <c r="A106" s="26"/>
      <c r="L106" s="149"/>
    </row>
    <row r="107" spans="1:21">
      <c r="A107" s="26"/>
      <c r="B107" s="130"/>
      <c r="C107" s="131" t="s">
        <v>379</v>
      </c>
      <c r="D107" s="131" t="s">
        <v>50</v>
      </c>
      <c r="E107" s="131" t="s">
        <v>52</v>
      </c>
      <c r="F107" s="131" t="s">
        <v>49</v>
      </c>
      <c r="H107" s="132" t="s">
        <v>383</v>
      </c>
      <c r="I107" s="132"/>
      <c r="J107" s="132"/>
      <c r="K107" s="132"/>
      <c r="M107" s="132" t="s">
        <v>384</v>
      </c>
      <c r="N107" s="132"/>
      <c r="O107" s="132"/>
      <c r="P107" s="132"/>
      <c r="R107" s="132" t="s">
        <v>659</v>
      </c>
      <c r="S107" s="132"/>
      <c r="T107" s="132"/>
      <c r="U107" s="132"/>
    </row>
    <row r="108" spans="1:21">
      <c r="A108" s="26"/>
      <c r="B108" s="158" t="str">
        <f t="shared" ref="B108:F109" si="16">B88</f>
        <v>Cellnex</v>
      </c>
      <c r="C108" s="143" t="str">
        <f t="shared" si="16"/>
        <v>EUR 28.4</v>
      </c>
      <c r="D108" s="143" t="str">
        <f t="shared" si="16"/>
        <v>EUR 34.0</v>
      </c>
      <c r="E108" s="52">
        <f t="shared" si="16"/>
        <v>0.19718309859154926</v>
      </c>
      <c r="F108" s="143" t="str">
        <f t="shared" si="16"/>
        <v>Buy</v>
      </c>
      <c r="H108" s="443">
        <f>(CLNX!D$24/CLNX!D$23)</f>
        <v>0.57441845019034765</v>
      </c>
      <c r="I108" s="443">
        <f>(CLNX!E$24/CLNX!E$23)</f>
        <v>0.57742164739020008</v>
      </c>
      <c r="J108" s="443">
        <f>(CLNX!F$24/CLNX!F$23)</f>
        <v>0.58949029736042002</v>
      </c>
      <c r="K108" s="443">
        <f>(CLNX!G$24/CLNX!G$23)</f>
        <v>0.59014161672130694</v>
      </c>
      <c r="L108" s="448"/>
      <c r="M108" s="443">
        <f>(CLNX!D$25/CLNX!D$23)</f>
        <v>0.18155751702747622</v>
      </c>
      <c r="N108" s="443">
        <f>(CLNX!E$25/CLNX!E$23)</f>
        <v>0.2696516729633866</v>
      </c>
      <c r="O108" s="443">
        <f>(CLNX!F$25/CLNX!F$23)</f>
        <v>0.36429481458470492</v>
      </c>
      <c r="P108" s="443">
        <f>(CLNX!G$25/CLNX!G$23)</f>
        <v>0.43779297410164486</v>
      </c>
      <c r="Q108" s="444"/>
      <c r="R108" s="443">
        <f>(CLNX!D$24-CLNX!D$25)/CLNX!D$23</f>
        <v>0.39286093316287146</v>
      </c>
      <c r="S108" s="443">
        <f>(CLNX!E$24-CLNX!E$25)/CLNX!E$23</f>
        <v>0.30776997442681348</v>
      </c>
      <c r="T108" s="443">
        <f>(CLNX!F$24-CLNX!F$25)/CLNX!F$23</f>
        <v>0.22519548277571511</v>
      </c>
      <c r="U108" s="443">
        <f>(CLNX!G$24-CLNX!G$25)/CLNX!G$23</f>
        <v>0.15234864261966208</v>
      </c>
    </row>
    <row r="109" spans="1:21">
      <c r="A109" s="26"/>
      <c r="B109" s="158" t="str">
        <f t="shared" si="16"/>
        <v>Inwit</v>
      </c>
      <c r="C109" s="143" t="str">
        <f t="shared" si="16"/>
        <v>EUR 7.3</v>
      </c>
      <c r="D109" s="143" t="str">
        <f t="shared" si="16"/>
        <v>EUR 9.5</v>
      </c>
      <c r="E109" s="52">
        <f t="shared" si="16"/>
        <v>0.30226182316655237</v>
      </c>
      <c r="F109" s="143" t="str">
        <f t="shared" si="16"/>
        <v>Buy</v>
      </c>
      <c r="H109" s="443">
        <f>(INWIT!D$24/INWIT!D$23)</f>
        <v>0.72959902576897251</v>
      </c>
      <c r="I109" s="443">
        <f>(INWIT!E$24/INWIT!E$23)</f>
        <v>0.7216753003923041</v>
      </c>
      <c r="J109" s="443">
        <f>(INWIT!F$24/INWIT!F$23)</f>
        <v>0.72942430976380601</v>
      </c>
      <c r="K109" s="443">
        <f>(INWIT!G$24/INWIT!G$23)</f>
        <v>0.73832626104825749</v>
      </c>
      <c r="L109" s="448"/>
      <c r="M109" s="443">
        <f>(INWIT!D$25/INWIT!D$23)</f>
        <v>0.46391792366156104</v>
      </c>
      <c r="N109" s="443">
        <f>(INWIT!E$25/INWIT!E$23)</f>
        <v>0.54944331980024042</v>
      </c>
      <c r="O109" s="443">
        <f>(INWIT!F$25/INWIT!F$23)</f>
        <v>0.56301067915657454</v>
      </c>
      <c r="P109" s="443">
        <f>(INWIT!G$25/INWIT!G$23)</f>
        <v>0.58981975059653535</v>
      </c>
      <c r="Q109" s="445"/>
      <c r="R109" s="443">
        <f>(INWIT!D$24-INWIT!D$25)/INWIT!D$23</f>
        <v>0.26568110210741142</v>
      </c>
      <c r="S109" s="443">
        <f>(INWIT!E$24-INWIT!E$25)/INWIT!E$23</f>
        <v>0.17223198059206371</v>
      </c>
      <c r="T109" s="443">
        <f>(INWIT!F$24-INWIT!F$25)/INWIT!F$23</f>
        <v>0.16641363060723141</v>
      </c>
      <c r="U109" s="443">
        <f>(INWIT!G$24-INWIT!G$25)/INWIT!G$23</f>
        <v>0.1485065104517222</v>
      </c>
    </row>
    <row r="110" spans="1:21">
      <c r="A110" s="26"/>
      <c r="B110" s="32"/>
      <c r="C110" s="28"/>
      <c r="D110" s="146"/>
      <c r="E110" s="29"/>
      <c r="F110" s="28"/>
      <c r="H110" s="446"/>
      <c r="I110" s="446"/>
      <c r="J110" s="446"/>
      <c r="K110" s="446"/>
      <c r="L110" s="449"/>
      <c r="M110" s="446"/>
      <c r="N110" s="446"/>
      <c r="O110" s="446"/>
      <c r="P110" s="446"/>
      <c r="Q110" s="444"/>
      <c r="R110" s="446"/>
      <c r="S110" s="446"/>
      <c r="T110" s="446"/>
      <c r="U110" s="446"/>
    </row>
    <row r="111" spans="1:21">
      <c r="A111" s="26"/>
      <c r="B111" s="32" t="str">
        <f t="shared" ref="B111:F113" si="17">B91</f>
        <v>American Tower</v>
      </c>
      <c r="C111" s="28" t="str">
        <f t="shared" si="17"/>
        <v>USD 177.8</v>
      </c>
      <c r="D111" s="146" t="str">
        <f t="shared" si="17"/>
        <v>USD 203.0</v>
      </c>
      <c r="E111" s="29">
        <f t="shared" si="17"/>
        <v>0.14186072674091577</v>
      </c>
      <c r="F111" s="28" t="str">
        <f t="shared" si="17"/>
        <v>Buy</v>
      </c>
      <c r="H111" s="446">
        <f>(AMT!D$24/AMT!D$23)</f>
        <v>0.67036292137474207</v>
      </c>
      <c r="I111" s="446">
        <f>(AMT!E$24/AMT!E$23)</f>
        <v>0.66441940598169369</v>
      </c>
      <c r="J111" s="446">
        <f>(AMT!F$24/AMT!F$23)</f>
        <v>0.66786502097954392</v>
      </c>
      <c r="K111" s="446">
        <f>(AMT!G$24/AMT!G$23)</f>
        <v>0.67813981914144628</v>
      </c>
      <c r="L111" s="449"/>
      <c r="M111" s="446">
        <f>(AMT!D$25/AMT!D$23)</f>
        <v>0.34274259254852457</v>
      </c>
      <c r="N111" s="446">
        <f>(AMT!E$25/AMT!E$23)</f>
        <v>0.34104011349020225</v>
      </c>
      <c r="O111" s="446">
        <f>(AMT!F$25/AMT!F$23)</f>
        <v>0.36014288694168306</v>
      </c>
      <c r="P111" s="446">
        <f>(AMT!G$25/AMT!G$23)</f>
        <v>0.36964154317579989</v>
      </c>
      <c r="Q111" s="444"/>
      <c r="R111" s="446">
        <f>(AMT!D$24-AMT!D$25)/AMT!D$23</f>
        <v>0.32762032882621756</v>
      </c>
      <c r="S111" s="446">
        <f>(AMT!E$24-AMT!E$25)/AMT!E$23</f>
        <v>0.32337929249149144</v>
      </c>
      <c r="T111" s="446">
        <f>(AMT!F$24-AMT!F$25)/AMT!F$23</f>
        <v>0.30772213403786092</v>
      </c>
      <c r="U111" s="446">
        <f>(AMT!G$24-AMT!G$25)/AMT!G$23</f>
        <v>0.30849827596564633</v>
      </c>
    </row>
    <row r="112" spans="1:21">
      <c r="A112" s="26"/>
      <c r="B112" s="32" t="str">
        <f t="shared" si="17"/>
        <v>Crown Castle</v>
      </c>
      <c r="C112" s="28" t="str">
        <f t="shared" si="17"/>
        <v>USD 86.2</v>
      </c>
      <c r="D112" s="146" t="str">
        <f t="shared" si="17"/>
        <v>USD 93.0</v>
      </c>
      <c r="E112" s="29">
        <f t="shared" si="17"/>
        <v>7.8698602331380707E-2</v>
      </c>
      <c r="F112" s="28" t="str">
        <f t="shared" si="17"/>
        <v>Neutral</v>
      </c>
      <c r="H112" s="446">
        <f>(CCI!D$24/CCI!D$23)</f>
        <v>0.67124636593829112</v>
      </c>
      <c r="I112" s="446">
        <f>(CCI!E$24/CCI!E$23)</f>
        <v>0.66897182487199658</v>
      </c>
      <c r="J112" s="446">
        <f>(CCI!F$24/CCI!F$23)</f>
        <v>0.67101901376599993</v>
      </c>
      <c r="K112" s="446">
        <f>(CCI!G$24/CCI!G$23)</f>
        <v>0.67276597914588621</v>
      </c>
      <c r="L112" s="449"/>
      <c r="M112" s="446">
        <f>(CCI!D$25/CCI!D$23)</f>
        <v>0.67387226859232841</v>
      </c>
      <c r="N112" s="446">
        <f>(CCI!E$25/CCI!E$23)</f>
        <v>0.43033036557628801</v>
      </c>
      <c r="O112" s="446">
        <f>(CCI!F$25/CCI!F$23)</f>
        <v>0.42115103987329044</v>
      </c>
      <c r="P112" s="446">
        <f>(CCI!G$25/CCI!G$23)</f>
        <v>0.42049566067455985</v>
      </c>
      <c r="Q112" s="444"/>
      <c r="R112" s="446">
        <f>(CCI!D$24-CCI!D$25)/CCI!D$23</f>
        <v>-2.6259026540372821E-3</v>
      </c>
      <c r="S112" s="446">
        <f>(CCI!E$24-CCI!E$25)/CCI!E$23</f>
        <v>0.2386414592957086</v>
      </c>
      <c r="T112" s="446">
        <f>(CCI!F$24-CCI!F$25)/CCI!F$23</f>
        <v>0.24986797389270951</v>
      </c>
      <c r="U112" s="446">
        <f>(CCI!G$24-CCI!G$25)/CCI!G$23</f>
        <v>0.25227031847132636</v>
      </c>
    </row>
    <row r="113" spans="1:21">
      <c r="A113" s="26"/>
      <c r="B113" s="32" t="str">
        <f t="shared" si="17"/>
        <v xml:space="preserve">SBA </v>
      </c>
      <c r="C113" s="28" t="str">
        <f t="shared" si="17"/>
        <v>USD 217.5</v>
      </c>
      <c r="D113" s="146" t="str">
        <f t="shared" si="17"/>
        <v>USD 212.0</v>
      </c>
      <c r="E113" s="29">
        <f t="shared" si="17"/>
        <v>-2.5287356321839094E-2</v>
      </c>
      <c r="F113" s="28" t="str">
        <f t="shared" si="17"/>
        <v>Neutral</v>
      </c>
      <c r="H113" s="446">
        <f>(SBAC!D$24/SBAC!D$23)</f>
        <v>0.68027235995137647</v>
      </c>
      <c r="I113" s="446">
        <f>(SBAC!E$24/SBAC!E$23)</f>
        <v>0.69455018283516734</v>
      </c>
      <c r="J113" s="446">
        <f>(SBAC!F$24/SBAC!F$23)</f>
        <v>0.68904025411536873</v>
      </c>
      <c r="K113" s="446">
        <f>(SBAC!G$24/SBAC!G$23)</f>
        <v>0.68897767002895927</v>
      </c>
      <c r="L113" s="449"/>
      <c r="M113" s="446">
        <f>(SBAC!D$25/SBAC!D$23)</f>
        <v>0.54258269731986231</v>
      </c>
      <c r="N113" s="446">
        <f>(SBAC!E$25/SBAC!E$23)</f>
        <v>0.47481822916399169</v>
      </c>
      <c r="O113" s="446">
        <f>(SBAC!F$25/SBAC!F$23)</f>
        <v>0.47468364202411256</v>
      </c>
      <c r="P113" s="446">
        <f>(SBAC!G$25/SBAC!G$23)</f>
        <v>0.47579959583025666</v>
      </c>
      <c r="Q113" s="444"/>
      <c r="R113" s="446">
        <f>(SBAC!D$24-SBAC!D$25)/SBAC!D$23</f>
        <v>0.13768966263151411</v>
      </c>
      <c r="S113" s="446">
        <f>(SBAC!E$24-SBAC!E$25)/SBAC!E$23</f>
        <v>0.21973195367117559</v>
      </c>
      <c r="T113" s="446">
        <f>(SBAC!F$24-SBAC!F$25)/SBAC!F$23</f>
        <v>0.21435661209125612</v>
      </c>
      <c r="U113" s="446">
        <f>(SBAC!G$24-SBAC!G$25)/SBAC!G$23</f>
        <v>0.21317807419870258</v>
      </c>
    </row>
    <row r="114" spans="1:21">
      <c r="A114" s="26"/>
      <c r="B114" s="32"/>
      <c r="C114" s="28"/>
      <c r="D114" s="28"/>
      <c r="E114" s="29"/>
      <c r="F114" s="28"/>
      <c r="H114" s="446"/>
      <c r="I114" s="446"/>
      <c r="J114" s="446"/>
      <c r="K114" s="446"/>
      <c r="L114" s="449"/>
      <c r="M114" s="446"/>
      <c r="N114" s="446"/>
      <c r="O114" s="446"/>
      <c r="P114" s="446"/>
      <c r="Q114" s="444"/>
      <c r="R114" s="446"/>
      <c r="S114" s="446"/>
      <c r="T114" s="446"/>
      <c r="U114" s="446"/>
    </row>
    <row r="115" spans="1:21">
      <c r="A115" s="26"/>
      <c r="B115" s="32" t="str">
        <f t="shared" ref="B115:F118" si="18">B95</f>
        <v>Bharti Infratel</v>
      </c>
      <c r="C115" s="28" t="str">
        <f t="shared" si="18"/>
        <v>INR 402</v>
      </c>
      <c r="D115" s="28" t="str">
        <f t="shared" si="18"/>
        <v>INR 400</v>
      </c>
      <c r="E115" s="29">
        <f t="shared" si="18"/>
        <v>-5.3462638319035083E-3</v>
      </c>
      <c r="F115" s="28" t="str">
        <f t="shared" si="18"/>
        <v>Neutral</v>
      </c>
      <c r="H115" s="446">
        <f>(BHIN!D$24/BHIN!D$23)</f>
        <v>0.57262380848916083</v>
      </c>
      <c r="I115" s="446">
        <f>(BHIN!E$24/BHIN!E$23)</f>
        <v>0.57195966988485147</v>
      </c>
      <c r="J115" s="446">
        <f>(BHIN!F$24/BHIN!F$23)</f>
        <v>0.57136122904693809</v>
      </c>
      <c r="K115" s="446">
        <f>(BHIN!G$24/BHIN!G$23)</f>
        <v>0.57079587360761719</v>
      </c>
      <c r="L115" s="449"/>
      <c r="M115" s="446">
        <f>(BHIN!D$25/BHIN!D$23)</f>
        <v>0.41844935785666365</v>
      </c>
      <c r="N115" s="446">
        <f>(BHIN!E$25/BHIN!E$23)</f>
        <v>0.42962896264950279</v>
      </c>
      <c r="O115" s="446">
        <f>(BHIN!F$25/BHIN!F$23)</f>
        <v>0.4387177326965036</v>
      </c>
      <c r="P115" s="446">
        <f>(BHIN!G$25/BHIN!G$23)</f>
        <v>0.44484031525081613</v>
      </c>
      <c r="Q115" s="444"/>
      <c r="R115" s="446">
        <f>(BHIN!D$24-BHIN!D$25)/BHIN!D$23</f>
        <v>0.15417445063249724</v>
      </c>
      <c r="S115" s="446">
        <f>(BHIN!E$24-BHIN!E$25)/BHIN!E$23</f>
        <v>0.14233070723534871</v>
      </c>
      <c r="T115" s="446">
        <f>(BHIN!F$24-BHIN!F$25)/BHIN!F$23</f>
        <v>0.13264349635043449</v>
      </c>
      <c r="U115" s="446">
        <f>(BHIN!G$24-BHIN!G$25)/BHIN!G$23</f>
        <v>0.12595555835680103</v>
      </c>
    </row>
    <row r="116" spans="1:21">
      <c r="A116" s="26"/>
      <c r="B116" s="158" t="str">
        <f t="shared" si="18"/>
        <v>China Tower</v>
      </c>
      <c r="C116" s="143" t="str">
        <f t="shared" si="18"/>
        <v>HKD 11.16</v>
      </c>
      <c r="D116" s="143" t="str">
        <f t="shared" si="18"/>
        <v>HKD 14.00</v>
      </c>
      <c r="E116" s="52">
        <f t="shared" si="18"/>
        <v>0.25448028673835132</v>
      </c>
      <c r="F116" s="28" t="str">
        <f t="shared" si="18"/>
        <v>Buy</v>
      </c>
      <c r="H116" s="446">
        <f>(ChinaTow!D$24/ChinaTow!D$23)</f>
        <v>0.67815670496441172</v>
      </c>
      <c r="I116" s="446">
        <f>(ChinaTow!E$24/ChinaTow!E$23)</f>
        <v>0.67959997504489544</v>
      </c>
      <c r="J116" s="446">
        <f>(ChinaTow!F$24/ChinaTow!F$23)</f>
        <v>0.67770474754379328</v>
      </c>
      <c r="K116" s="446">
        <f>(ChinaTow!G$24/ChinaTow!G$23)</f>
        <v>0.67563338521632765</v>
      </c>
      <c r="L116" s="444"/>
      <c r="M116" s="446">
        <f>(ChinaTow!D$25/ChinaTow!D$23)</f>
        <v>0.45380508661940905</v>
      </c>
      <c r="N116" s="446">
        <f>(ChinaTow!E$25/ChinaTow!E$23)</f>
        <v>0.45671839321507351</v>
      </c>
      <c r="O116" s="446">
        <f>(ChinaTow!F$25/ChinaTow!F$23)</f>
        <v>0.45599118197093474</v>
      </c>
      <c r="P116" s="446">
        <f>(ChinaTow!G$25/ChinaTow!G$23)</f>
        <v>0.45489947827501376</v>
      </c>
      <c r="Q116" s="445"/>
      <c r="R116" s="446">
        <f>(ChinaTow!D$24-ChinaTow!D$25)/ChinaTow!D$23</f>
        <v>0.2243516183450027</v>
      </c>
      <c r="S116" s="446">
        <f>(ChinaTow!E$24-ChinaTow!E$25)/ChinaTow!E$23</f>
        <v>0.22288158182982193</v>
      </c>
      <c r="T116" s="446">
        <f>(ChinaTow!F$24-ChinaTow!F$25)/ChinaTow!F$23</f>
        <v>0.22171356557285848</v>
      </c>
      <c r="U116" s="446">
        <f>(ChinaTow!G$24-ChinaTow!G$25)/ChinaTow!G$23</f>
        <v>0.22073390694131387</v>
      </c>
    </row>
    <row r="117" spans="1:21">
      <c r="A117" s="26"/>
      <c r="B117" s="32" t="str">
        <f t="shared" si="18"/>
        <v>Sarana Menara</v>
      </c>
      <c r="C117" s="28" t="str">
        <f t="shared" si="18"/>
        <v>IDR 488</v>
      </c>
      <c r="D117" s="28" t="str">
        <f t="shared" si="18"/>
        <v>IDR 780</v>
      </c>
      <c r="E117" s="29">
        <f t="shared" si="18"/>
        <v>0.59836065573770503</v>
      </c>
      <c r="F117" s="28" t="str">
        <f t="shared" si="18"/>
        <v>Buy</v>
      </c>
      <c r="H117" s="446">
        <f>(TOWR!D$24/TOWR!D$23)</f>
        <v>0.83566162295071023</v>
      </c>
      <c r="I117" s="446">
        <f>(TOWR!E$24/TOWR!E$23)</f>
        <v>0.83416162295071028</v>
      </c>
      <c r="J117" s="446">
        <f>(TOWR!F$24/TOWR!F$23)</f>
        <v>0.83266162295071022</v>
      </c>
      <c r="K117" s="446">
        <f>(TOWR!G$24/TOWR!G$23)</f>
        <v>0.83116162295071039</v>
      </c>
      <c r="L117" s="449"/>
      <c r="M117" s="446">
        <f>(TOWR!D$25/TOWR!D$23)</f>
        <v>0.44513005220603707</v>
      </c>
      <c r="N117" s="446">
        <f>(TOWR!E$25/TOWR!E$23)</f>
        <v>0.46682989811533054</v>
      </c>
      <c r="O117" s="446">
        <f>(TOWR!F$25/TOWR!F$23)</f>
        <v>0.47942981191708206</v>
      </c>
      <c r="P117" s="446">
        <f>(TOWR!G$25/TOWR!G$23)</f>
        <v>0.48904834722727364</v>
      </c>
      <c r="Q117" s="444"/>
      <c r="R117" s="446">
        <f>(TOWR!D$24-TOWR!D$25)/TOWR!D$23</f>
        <v>0.39053157074467321</v>
      </c>
      <c r="S117" s="446">
        <f>(TOWR!E$24-TOWR!E$25)/TOWR!E$23</f>
        <v>0.36733172483537974</v>
      </c>
      <c r="T117" s="446">
        <f>(TOWR!F$24-TOWR!F$25)/TOWR!F$23</f>
        <v>0.35323181103362816</v>
      </c>
      <c r="U117" s="446">
        <f>(TOWR!G$24-TOWR!G$25)/TOWR!G$23</f>
        <v>0.34211327572343669</v>
      </c>
    </row>
    <row r="118" spans="1:21">
      <c r="A118" s="26"/>
      <c r="B118" s="158" t="str">
        <f t="shared" si="18"/>
        <v>Tower Bersama</v>
      </c>
      <c r="C118" s="143" t="str">
        <f t="shared" si="18"/>
        <v>IDR 1,875</v>
      </c>
      <c r="D118" s="143" t="str">
        <f t="shared" si="18"/>
        <v>IDR 1,250</v>
      </c>
      <c r="E118" s="52">
        <f t="shared" si="18"/>
        <v>-0.33333333333333337</v>
      </c>
      <c r="F118" s="143" t="str">
        <f t="shared" si="18"/>
        <v>Reduce</v>
      </c>
      <c r="H118" s="443">
        <f>(TBIG!D$24/TBIG!D$23)</f>
        <v>0.84087797840201206</v>
      </c>
      <c r="I118" s="443">
        <f>(TBIG!E$24/TBIG!E$23)</f>
        <v>0.84187797840201217</v>
      </c>
      <c r="J118" s="443">
        <f>(TBIG!F$24/TBIG!F$23)</f>
        <v>0.84287797840201206</v>
      </c>
      <c r="K118" s="443">
        <f>(TBIG!G$24/TBIG!G$23)</f>
        <v>0.84387797840201217</v>
      </c>
      <c r="L118" s="444"/>
      <c r="M118" s="443">
        <f>(TBIG!D$25/TBIG!D$23)</f>
        <v>0.55750595131857472</v>
      </c>
      <c r="N118" s="443">
        <f>(TBIG!E$25/TBIG!E$23)</f>
        <v>0.5526141185223612</v>
      </c>
      <c r="O118" s="443">
        <f>(TBIG!F$25/TBIG!F$23)</f>
        <v>0.55543148291015776</v>
      </c>
      <c r="P118" s="443">
        <f>(TBIG!G$25/TBIG!G$23)</f>
        <v>0.57262621586222218</v>
      </c>
      <c r="Q118" s="445"/>
      <c r="R118" s="443">
        <f>(TBIG!D$24-TBIG!D$25)/TBIG!D$23</f>
        <v>0.28337202708343728</v>
      </c>
      <c r="S118" s="443">
        <f>(TBIG!E$24-TBIG!E$25)/TBIG!E$23</f>
        <v>0.28926385987965098</v>
      </c>
      <c r="T118" s="443">
        <f>(TBIG!F$24-TBIG!F$25)/TBIG!F$23</f>
        <v>0.28744649549185436</v>
      </c>
      <c r="U118" s="443">
        <f>(TBIG!G$24-TBIG!G$25)/TBIG!G$23</f>
        <v>0.27125176253979</v>
      </c>
    </row>
    <row r="119" spans="1:21">
      <c r="A119" s="26"/>
      <c r="B119" s="158" t="s">
        <v>1111</v>
      </c>
      <c r="C119" s="143" t="str">
        <f>C99</f>
        <v>IDR 530</v>
      </c>
      <c r="D119" s="143" t="str">
        <f>D99</f>
        <v>IDR 740</v>
      </c>
      <c r="E119" s="52">
        <f>E99</f>
        <v>0.39622641509433953</v>
      </c>
      <c r="F119" s="143" t="str">
        <f>F99</f>
        <v>Buy</v>
      </c>
      <c r="H119" s="443">
        <f>(MITRA!D$24/MITRA!D$23)</f>
        <v>0.82960893854748607</v>
      </c>
      <c r="I119" s="443">
        <f>(MITRA!E$24/MITRA!E$23)</f>
        <v>0.82960893854748596</v>
      </c>
      <c r="J119" s="443">
        <f>(MITRA!F$24/MITRA!F$23)</f>
        <v>0.82960893854748619</v>
      </c>
      <c r="K119" s="443">
        <f>(MITRA!G$24/MITRA!G$23)</f>
        <v>0.82960893854748607</v>
      </c>
      <c r="L119" s="444"/>
      <c r="M119" s="443">
        <f>(MITRA!D$25/MITRA!D$23)</f>
        <v>-0.4492544588896506</v>
      </c>
      <c r="N119" s="443">
        <f>(MITRA!E$25/MITRA!E$23)</f>
        <v>6.4040840324332493E-2</v>
      </c>
      <c r="O119" s="443">
        <f>(MITRA!F$25/MITRA!F$23)</f>
        <v>0.45867574915883574</v>
      </c>
      <c r="P119" s="443">
        <f>(MITRA!G$25/MITRA!G$23)</f>
        <v>0.24538925061543285</v>
      </c>
      <c r="Q119" s="445"/>
      <c r="R119" s="443">
        <f>(MITRA!D$24-MITRA!D$25)/MITRA!D$23</f>
        <v>1.2788633974371366</v>
      </c>
      <c r="S119" s="443">
        <f>(MITRA!E$24-MITRA!E$25)/MITRA!E$23</f>
        <v>0.76556809822315353</v>
      </c>
      <c r="T119" s="443">
        <f>(MITRA!F$24-MITRA!F$25)/MITRA!F$23</f>
        <v>0.37093318938865039</v>
      </c>
      <c r="U119" s="443">
        <f>(MITRA!G$24-MITRA!G$25)/MITRA!G$23</f>
        <v>0.58421968793205326</v>
      </c>
    </row>
    <row r="120" spans="1:21">
      <c r="B120" s="32"/>
      <c r="C120" s="28"/>
      <c r="D120" s="28"/>
      <c r="E120" s="29"/>
      <c r="F120" s="28"/>
      <c r="H120" s="446"/>
      <c r="I120" s="446"/>
      <c r="J120" s="446"/>
      <c r="K120" s="446"/>
      <c r="L120" s="449"/>
      <c r="M120" s="446"/>
      <c r="N120" s="446"/>
      <c r="O120" s="446"/>
      <c r="P120" s="446"/>
      <c r="Q120" s="444"/>
      <c r="R120" s="446"/>
      <c r="S120" s="446"/>
      <c r="T120" s="446"/>
      <c r="U120" s="446"/>
    </row>
    <row r="121" spans="1:21">
      <c r="B121" s="32" t="str">
        <f t="shared" ref="B121:F122" si="19">B101</f>
        <v>IHS Holding</v>
      </c>
      <c r="C121" s="28" t="str">
        <f t="shared" si="19"/>
        <v>USD 8.2</v>
      </c>
      <c r="D121" s="28" t="str">
        <f t="shared" si="19"/>
        <v>USD 10.0</v>
      </c>
      <c r="E121" s="29">
        <f t="shared" si="19"/>
        <v>0.2179526216430181</v>
      </c>
      <c r="F121" s="28" t="str">
        <f t="shared" si="19"/>
        <v>Buy</v>
      </c>
      <c r="H121" s="446">
        <f>(IHS!D$24/IHS!D$23)</f>
        <v>0.48490463613181384</v>
      </c>
      <c r="I121" s="446">
        <f>(IHS!E$24/IHS!E$23)</f>
        <v>0.49005711814579772</v>
      </c>
      <c r="J121" s="446">
        <f>(IHS!F$24/IHS!F$23)</f>
        <v>0.49887741258921525</v>
      </c>
      <c r="K121" s="446">
        <f>(IHS!G$24/IHS!G$23)</f>
        <v>0.50471656880532023</v>
      </c>
      <c r="L121" s="449"/>
      <c r="M121" s="446">
        <f>(IHS!D$25/IHS!D$23)</f>
        <v>0.33490463613181382</v>
      </c>
      <c r="N121" s="446">
        <f>(IHS!E$25/IHS!E$23)</f>
        <v>0.34005711814579775</v>
      </c>
      <c r="O121" s="446">
        <f>(IHS!F$25/IHS!F$23)</f>
        <v>0.35387741258921529</v>
      </c>
      <c r="P121" s="446">
        <f>(IHS!G$25/IHS!G$23)</f>
        <v>0.35971656880532027</v>
      </c>
      <c r="Q121" s="444"/>
      <c r="R121" s="446">
        <f>(IHS!D$24-IHS!D$25)/IHS!D$23</f>
        <v>0.15000000000000002</v>
      </c>
      <c r="S121" s="446">
        <f>(IHS!E$24-IHS!E$25)/IHS!E$23</f>
        <v>0.15</v>
      </c>
      <c r="T121" s="446">
        <f>(IHS!F$24-IHS!F$25)/IHS!F$23</f>
        <v>0.14499999999999996</v>
      </c>
      <c r="U121" s="446">
        <f>(IHS!G$24-IHS!G$25)/IHS!G$23</f>
        <v>0.14500000000000002</v>
      </c>
    </row>
    <row r="122" spans="1:21">
      <c r="B122" s="32" t="str">
        <f t="shared" si="19"/>
        <v>Helios Towers</v>
      </c>
      <c r="C122" s="28" t="str">
        <f t="shared" si="19"/>
        <v>GBP2.0</v>
      </c>
      <c r="D122" s="28" t="str">
        <f t="shared" si="19"/>
        <v>GBP1.8</v>
      </c>
      <c r="E122" s="29">
        <f t="shared" si="19"/>
        <v>-8.8607594936708889E-2</v>
      </c>
      <c r="F122" s="28" t="str">
        <f t="shared" si="19"/>
        <v>Buy</v>
      </c>
      <c r="H122" s="446">
        <f>(HTWS!D$24/HTWS!D$23)</f>
        <v>0.49077399664245713</v>
      </c>
      <c r="I122" s="446">
        <f>(HTWS!E$24/HTWS!E$23)</f>
        <v>0.50352861731262399</v>
      </c>
      <c r="J122" s="446">
        <f>(HTWS!F$24/HTWS!F$23)</f>
        <v>0.51376660434653387</v>
      </c>
      <c r="K122" s="446">
        <f>(HTWS!G$24/HTWS!G$23)</f>
        <v>0.52417907240910178</v>
      </c>
      <c r="L122" s="449"/>
      <c r="M122" s="446">
        <f>(HTWS!D$25/HTWS!D$23)</f>
        <v>0.28881701713667685</v>
      </c>
      <c r="N122" s="446">
        <f>(HTWS!E$25/HTWS!E$23)</f>
        <v>0.30911613638283253</v>
      </c>
      <c r="O122" s="446">
        <f>(HTWS!F$25/HTWS!F$23)</f>
        <v>0.32687116314865589</v>
      </c>
      <c r="P122" s="446">
        <f>(HTWS!G$25/HTWS!G$23)</f>
        <v>0.34471149006661311</v>
      </c>
      <c r="Q122" s="444"/>
      <c r="R122" s="446">
        <f>(HTWS!D$24-HTWS!D$25)/HTWS!D$23</f>
        <v>0.20195697950578029</v>
      </c>
      <c r="S122" s="446">
        <f>(HTWS!E$24-HTWS!E$25)/HTWS!E$23</f>
        <v>0.19441248092979144</v>
      </c>
      <c r="T122" s="446">
        <f>(HTWS!F$24-HTWS!F$25)/HTWS!F$23</f>
        <v>0.18689544119787802</v>
      </c>
      <c r="U122" s="446">
        <f>(HTWS!G$24-HTWS!G$25)/HTWS!G$23</f>
        <v>0.17946758234248861</v>
      </c>
    </row>
    <row r="123" spans="1:21">
      <c r="B123" s="32"/>
      <c r="C123" s="28"/>
      <c r="D123" s="28"/>
      <c r="E123" s="29"/>
      <c r="F123" s="28"/>
      <c r="H123" s="446"/>
      <c r="I123" s="446"/>
      <c r="J123" s="446"/>
      <c r="K123" s="446"/>
      <c r="L123" s="449"/>
      <c r="M123" s="446"/>
      <c r="N123" s="446"/>
      <c r="O123" s="446"/>
      <c r="P123" s="446"/>
      <c r="Q123" s="444"/>
      <c r="R123" s="446"/>
      <c r="S123" s="446"/>
      <c r="T123" s="446"/>
      <c r="U123" s="446"/>
    </row>
    <row r="124" spans="1:21">
      <c r="A124" s="155"/>
      <c r="B124" s="159" t="str">
        <f>B104</f>
        <v>Telesites</v>
      </c>
      <c r="C124" s="147" t="str">
        <f>C104</f>
        <v>MXN 16.2</v>
      </c>
      <c r="D124" s="147" t="str">
        <f>D104</f>
        <v>MXN 17.0</v>
      </c>
      <c r="E124" s="148">
        <f>E104</f>
        <v>5.1980198019802026E-2</v>
      </c>
      <c r="F124" s="147" t="str">
        <f>F104</f>
        <v>Neutral</v>
      </c>
      <c r="H124" s="447">
        <f>(SITES!D$24/SITES!D$23)</f>
        <v>0.95682333821475374</v>
      </c>
      <c r="I124" s="447">
        <f>(SITES!E$24/SITES!E$23)</f>
        <v>0.95534103919848989</v>
      </c>
      <c r="J124" s="447">
        <f>(SITES!F$24/SITES!F$23)</f>
        <v>0.95383538204411944</v>
      </c>
      <c r="K124" s="447">
        <f>(SITES!G$24/SITES!G$23)</f>
        <v>0.95230264405258036</v>
      </c>
      <c r="L124" s="449"/>
      <c r="M124" s="447">
        <f>(SITES!D$25/SITES!D$23)</f>
        <v>0.85636002374096709</v>
      </c>
      <c r="N124" s="447">
        <f>(SITES!E$25/SITES!E$23)</f>
        <v>0.86907349155774383</v>
      </c>
      <c r="O124" s="447">
        <f>(SITES!F$25/SITES!F$23)</f>
        <v>0.86807093295923632</v>
      </c>
      <c r="P124" s="447">
        <f>(SITES!G$25/SITES!G$23)</f>
        <v>0.86729951192010823</v>
      </c>
      <c r="Q124" s="444"/>
      <c r="R124" s="447">
        <f>(SITES!D$24-SITES!D$25)/SITES!D$23</f>
        <v>0.10046331447378662</v>
      </c>
      <c r="S124" s="447">
        <f>(SITES!E$24-SITES!E$25)/SITES!E$23</f>
        <v>8.6267547640746137E-2</v>
      </c>
      <c r="T124" s="447">
        <f>(SITES!F$24-SITES!F$25)/SITES!F$23</f>
        <v>8.5764449084883121E-2</v>
      </c>
      <c r="U124" s="447">
        <f>(SITES!G$24-SITES!G$25)/SITES!G$23</f>
        <v>8.5003132132472112E-2</v>
      </c>
    </row>
    <row r="125" spans="1:21">
      <c r="A125" s="155"/>
    </row>
    <row r="126" spans="1:21">
      <c r="A126" s="155"/>
    </row>
    <row r="127" spans="1:21">
      <c r="B127" s="130"/>
      <c r="C127" s="131" t="s">
        <v>379</v>
      </c>
      <c r="D127" s="131" t="s">
        <v>50</v>
      </c>
      <c r="E127" s="131" t="s">
        <v>52</v>
      </c>
      <c r="F127" s="131" t="s">
        <v>49</v>
      </c>
      <c r="H127" s="132" t="s">
        <v>663</v>
      </c>
      <c r="I127" s="132"/>
      <c r="J127" s="132"/>
      <c r="K127" s="132"/>
      <c r="M127" s="132" t="s">
        <v>667</v>
      </c>
      <c r="N127" s="132"/>
      <c r="O127" s="132"/>
      <c r="P127" s="132"/>
      <c r="R127" s="132" t="s">
        <v>668</v>
      </c>
      <c r="S127" s="132"/>
      <c r="T127" s="132"/>
      <c r="U127" s="132"/>
    </row>
    <row r="128" spans="1:21">
      <c r="A128" s="26"/>
      <c r="B128" s="158" t="str">
        <f t="shared" ref="B128:F129" si="20">B108</f>
        <v>Cellnex</v>
      </c>
      <c r="C128" s="143" t="str">
        <f t="shared" si="20"/>
        <v>EUR 28.4</v>
      </c>
      <c r="D128" s="143" t="str">
        <f t="shared" si="20"/>
        <v>EUR 34.0</v>
      </c>
      <c r="E128" s="52">
        <f t="shared" si="20"/>
        <v>0.19718309859154926</v>
      </c>
      <c r="F128" s="143" t="str">
        <f t="shared" si="20"/>
        <v>Buy</v>
      </c>
      <c r="H128" s="440">
        <f>-(CLNX!D$25/CLNX!D$33)</f>
        <v>1.2354334049237901</v>
      </c>
      <c r="I128" s="440">
        <f>-(CLNX!E$25/CLNX!E$33)</f>
        <v>2.0380147085679865</v>
      </c>
      <c r="J128" s="440">
        <f>-(CLNX!F$25/CLNX!F$33)</f>
        <v>2.9294178962285997</v>
      </c>
      <c r="K128" s="440">
        <f>-(CLNX!G$25/CLNX!G$33)</f>
        <v>3.473782144056675</v>
      </c>
      <c r="L128" s="450"/>
      <c r="M128" s="440">
        <f>CLNX!D$11/Prices!$C$135/1000</f>
        <v>16.375005958801022</v>
      </c>
      <c r="N128" s="440">
        <f>CLNX!E$11/Prices!$C$135/1000</f>
        <v>16.114637770556929</v>
      </c>
      <c r="O128" s="440">
        <f>CLNX!F$11/Prices!$C$135/1000</f>
        <v>15.866668067467312</v>
      </c>
      <c r="P128" s="440">
        <f>CLNX!G$11/Prices!$C$135/1000</f>
        <v>15.630506445477202</v>
      </c>
      <c r="Q128" s="451"/>
      <c r="R128" s="440">
        <f>CLNX!D$18/Prices!$C$135/1000</f>
        <v>32.877904253845841</v>
      </c>
      <c r="S128" s="440">
        <f>CLNX!E$18/Prices!$C$135/1000</f>
        <v>32.525376198586699</v>
      </c>
      <c r="T128" s="440">
        <f>CLNX!F$18/Prices!$C$135/1000</f>
        <v>31.82080768107005</v>
      </c>
      <c r="U128" s="440">
        <f>CLNX!G$18/Prices!$C$135/1000</f>
        <v>30.631810784273654</v>
      </c>
    </row>
    <row r="129" spans="1:21">
      <c r="A129" s="26"/>
      <c r="B129" s="158" t="str">
        <f t="shared" si="20"/>
        <v>Inwit</v>
      </c>
      <c r="C129" s="143" t="str">
        <f t="shared" si="20"/>
        <v>EUR 7.3</v>
      </c>
      <c r="D129" s="143" t="str">
        <f t="shared" si="20"/>
        <v>EUR 9.5</v>
      </c>
      <c r="E129" s="52">
        <f t="shared" si="20"/>
        <v>0.30226182316655237</v>
      </c>
      <c r="F129" s="143" t="str">
        <f t="shared" si="20"/>
        <v>Buy</v>
      </c>
      <c r="H129" s="440">
        <f>-(INWIT!D$25/INWIT!D$33)</f>
        <v>-3.5548967846706905</v>
      </c>
      <c r="I129" s="440">
        <f>-(INWIT!E$25/INWIT!E$33)</f>
        <v>-3.6286230729257949</v>
      </c>
      <c r="J129" s="440">
        <f>-(INWIT!F$25/INWIT!F$33)</f>
        <v>-3.624121710147385</v>
      </c>
      <c r="K129" s="440">
        <f>-(INWIT!G$25/INWIT!G$33)</f>
        <v>-3.5987345575313183</v>
      </c>
      <c r="L129" s="450"/>
      <c r="M129" s="440">
        <f>INWIT!D$11/Prices!$C$135/1000</f>
        <v>5.629656642220457</v>
      </c>
      <c r="N129" s="440">
        <f>INWIT!E$11/Prices!$C$135/1000</f>
        <v>5.540483593711504</v>
      </c>
      <c r="O129" s="440">
        <f>INWIT!F$11/Prices!$C$135/1000</f>
        <v>5.540483593711504</v>
      </c>
      <c r="P129" s="440">
        <f>INWIT!G$11/Prices!$C$135/1000</f>
        <v>5.540483593711504</v>
      </c>
      <c r="Q129" s="452"/>
      <c r="R129" s="440">
        <f>INWIT!D$18/Prices!$C$135/1000</f>
        <v>9.0120002221369546</v>
      </c>
      <c r="S129" s="440">
        <f>INWIT!E$18/Prices!$C$135/1000</f>
        <v>8.763662367697906</v>
      </c>
      <c r="T129" s="440">
        <f>INWIT!F$18/Prices!$C$135/1000</f>
        <v>8.4950422040814466</v>
      </c>
      <c r="U129" s="440">
        <f>INWIT!G$18/Prices!$C$135/1000</f>
        <v>8.2080702684750957</v>
      </c>
    </row>
    <row r="130" spans="1:21">
      <c r="A130" s="26"/>
      <c r="B130" s="32"/>
      <c r="C130" s="28"/>
      <c r="D130" s="146"/>
      <c r="E130" s="29"/>
      <c r="F130" s="28"/>
      <c r="H130" s="441"/>
      <c r="I130" s="441"/>
      <c r="J130" s="441"/>
      <c r="K130" s="441"/>
      <c r="L130" s="453"/>
      <c r="M130" s="441"/>
      <c r="N130" s="441"/>
      <c r="O130" s="441"/>
      <c r="P130" s="441"/>
      <c r="Q130" s="451"/>
      <c r="R130" s="441"/>
      <c r="S130" s="441"/>
      <c r="T130" s="441"/>
      <c r="U130" s="441"/>
    </row>
    <row r="131" spans="1:21">
      <c r="A131" s="26"/>
      <c r="B131" s="32" t="str">
        <f t="shared" ref="B131:F133" si="21">B111</f>
        <v>American Tower</v>
      </c>
      <c r="C131" s="28" t="str">
        <f t="shared" si="21"/>
        <v>USD 177.8</v>
      </c>
      <c r="D131" s="146" t="str">
        <f t="shared" si="21"/>
        <v>USD 203.0</v>
      </c>
      <c r="E131" s="29">
        <f t="shared" si="21"/>
        <v>0.14186072674091577</v>
      </c>
      <c r="F131" s="28" t="str">
        <f t="shared" si="21"/>
        <v>Buy</v>
      </c>
      <c r="H131" s="441">
        <f>-(AMT!D$25/AMT!D$33)</f>
        <v>-2.9126544740829474</v>
      </c>
      <c r="I131" s="441">
        <f>-(AMT!E$25/AMT!E$33)</f>
        <v>-2.9274079734469707</v>
      </c>
      <c r="J131" s="441">
        <f>-(AMT!F$25/AMT!F$33)</f>
        <v>-2.9080700282914345</v>
      </c>
      <c r="K131" s="441">
        <f>-(AMT!G$25/AMT!G$33)</f>
        <v>-2.9367262702964809</v>
      </c>
      <c r="L131" s="453"/>
      <c r="M131" s="441">
        <f>AMT!D$11/1000</f>
        <v>83.366448624473364</v>
      </c>
      <c r="N131" s="441">
        <f>AMT!E$11/1000</f>
        <v>83.437767771477269</v>
      </c>
      <c r="O131" s="441">
        <f>AMT!F$11/1000</f>
        <v>83.387004338880672</v>
      </c>
      <c r="P131" s="441">
        <f>AMT!G$11/1000</f>
        <v>83.339919262282791</v>
      </c>
      <c r="Q131" s="451"/>
      <c r="R131" s="441">
        <f>AMT!D$18/1000</f>
        <v>112.42487361364681</v>
      </c>
      <c r="S131" s="441">
        <f>AMT!E$18/1000</f>
        <v>109.13351848947984</v>
      </c>
      <c r="T131" s="441">
        <f>AMT!F$18/1000</f>
        <v>105.42600397522963</v>
      </c>
      <c r="U131" s="441">
        <f>AMT!G$18/1000</f>
        <v>101.38159117391588</v>
      </c>
    </row>
    <row r="132" spans="1:21">
      <c r="A132" s="26"/>
      <c r="B132" s="32" t="str">
        <f t="shared" si="21"/>
        <v>Crown Castle</v>
      </c>
      <c r="C132" s="28" t="str">
        <f t="shared" si="21"/>
        <v>USD 86.2</v>
      </c>
      <c r="D132" s="146" t="str">
        <f t="shared" si="21"/>
        <v>USD 93.0</v>
      </c>
      <c r="E132" s="29">
        <f t="shared" si="21"/>
        <v>7.8698602331380707E-2</v>
      </c>
      <c r="F132" s="28" t="str">
        <f t="shared" si="21"/>
        <v>Neutral</v>
      </c>
      <c r="H132" s="441">
        <f>-(CCI!D$25/CCI!D$33)</f>
        <v>-2.9970802919708026</v>
      </c>
      <c r="I132" s="441">
        <f>-(CCI!E$25/CCI!E$33)</f>
        <v>-2.129303906547872</v>
      </c>
      <c r="J132" s="441">
        <f>-(CCI!F$25/CCI!F$33)</f>
        <v>-2.3914661460200057</v>
      </c>
      <c r="K132" s="441">
        <f>-(CCI!G$25/CCI!G$33)</f>
        <v>-2.3605100432500845</v>
      </c>
      <c r="L132" s="453"/>
      <c r="M132" s="441">
        <f>CCI!D$11/1000</f>
        <v>37.654401249999999</v>
      </c>
      <c r="N132" s="441">
        <f>CCI!E$11/1000</f>
        <v>37.398305618279579</v>
      </c>
      <c r="O132" s="441">
        <f>CCI!F$11/1000</f>
        <v>37.352416989247317</v>
      </c>
      <c r="P132" s="441">
        <f>CCI!G$11/1000</f>
        <v>37.352416989247317</v>
      </c>
      <c r="Q132" s="451"/>
      <c r="R132" s="441">
        <f>CCI!D$18/1000</f>
        <v>54.393401250000004</v>
      </c>
      <c r="S132" s="441">
        <f>CCI!E$18/1000</f>
        <v>45.445758106338424</v>
      </c>
      <c r="T132" s="441">
        <f>CCI!F$18/1000</f>
        <v>43.690042464801564</v>
      </c>
      <c r="U132" s="441">
        <f>CCI!G$18/1000</f>
        <v>41.956482920636077</v>
      </c>
    </row>
    <row r="133" spans="1:21">
      <c r="A133" s="26"/>
      <c r="B133" s="32" t="str">
        <f t="shared" si="21"/>
        <v xml:space="preserve">SBA </v>
      </c>
      <c r="C133" s="28" t="str">
        <f t="shared" si="21"/>
        <v>USD 217.5</v>
      </c>
      <c r="D133" s="146" t="str">
        <f t="shared" si="21"/>
        <v>USD 212.0</v>
      </c>
      <c r="E133" s="29">
        <f t="shared" si="21"/>
        <v>-2.5287356321839094E-2</v>
      </c>
      <c r="F133" s="28" t="str">
        <f t="shared" si="21"/>
        <v>Neutral</v>
      </c>
      <c r="H133" s="441">
        <f>-(SBAC!D$25/SBAC!D$33)</f>
        <v>-3.467825468831248</v>
      </c>
      <c r="I133" s="441">
        <f>-(SBAC!E$25/SBAC!E$33)</f>
        <v>-2.6656862462640238</v>
      </c>
      <c r="J133" s="441">
        <f>-(SBAC!F$25/SBAC!F$33)</f>
        <v>-2.4496273568068982</v>
      </c>
      <c r="K133" s="441">
        <f>-(SBAC!G$25/SBAC!G$33)</f>
        <v>-2.4455089211090875</v>
      </c>
      <c r="L133" s="453"/>
      <c r="M133" s="441">
        <f>SBAC!D$11/1000</f>
        <v>23.25798683584345</v>
      </c>
      <c r="N133" s="441">
        <f>SBAC!E$11/1000</f>
        <v>23.343923124430674</v>
      </c>
      <c r="O133" s="441">
        <f>SBAC!F$11/1000</f>
        <v>23.088045773242321</v>
      </c>
      <c r="P133" s="441">
        <f>SBAC!G$11/1000</f>
        <v>22.814597575918466</v>
      </c>
      <c r="Q133" s="451"/>
      <c r="R133" s="441">
        <f>SBAC!D$18/1000</f>
        <v>34.480939905812541</v>
      </c>
      <c r="S133" s="441">
        <f>SBAC!E$18/1000</f>
        <v>34.019178386844821</v>
      </c>
      <c r="T133" s="441">
        <f>SBAC!F$18/1000</f>
        <v>33.054525475626022</v>
      </c>
      <c r="U133" s="441">
        <f>SBAC!G$18/1000</f>
        <v>32.005817026742008</v>
      </c>
    </row>
    <row r="134" spans="1:21">
      <c r="A134" s="26"/>
      <c r="B134" s="32"/>
      <c r="C134" s="28"/>
      <c r="D134" s="28"/>
      <c r="E134" s="29"/>
      <c r="F134" s="28"/>
      <c r="H134" s="441"/>
      <c r="I134" s="441"/>
      <c r="J134" s="441"/>
      <c r="K134" s="441"/>
      <c r="L134" s="453"/>
      <c r="M134" s="441"/>
      <c r="N134" s="441"/>
      <c r="O134" s="441"/>
      <c r="P134" s="441"/>
      <c r="Q134" s="451"/>
      <c r="R134" s="441"/>
      <c r="S134" s="441"/>
      <c r="T134" s="441"/>
      <c r="U134" s="441"/>
    </row>
    <row r="135" spans="1:21">
      <c r="A135" s="26"/>
      <c r="B135" s="32" t="str">
        <f t="shared" ref="B135:F138" si="22">B115</f>
        <v>Bharti Infratel</v>
      </c>
      <c r="C135" s="28" t="str">
        <f t="shared" si="22"/>
        <v>INR 402</v>
      </c>
      <c r="D135" s="28" t="str">
        <f t="shared" si="22"/>
        <v>INR 400</v>
      </c>
      <c r="E135" s="29">
        <f t="shared" si="22"/>
        <v>-5.3462638319035083E-3</v>
      </c>
      <c r="F135" s="28" t="str">
        <f t="shared" si="22"/>
        <v>Neutral</v>
      </c>
      <c r="H135" s="441">
        <f>(BHIN!D$25/BHIN!D$33)</f>
        <v>7.7385565294112668</v>
      </c>
      <c r="I135" s="441">
        <f>(BHIN!E$25/BHIN!E$33)</f>
        <v>9.1751561977826963</v>
      </c>
      <c r="J135" s="441">
        <f>-(BHIN!F$25/BHIN!F$33)</f>
        <v>-10.655343565643987</v>
      </c>
      <c r="K135" s="441">
        <f>-(BHIN!G$25/BHIN!G$33)</f>
        <v>-11.59059565354786</v>
      </c>
      <c r="L135" s="453"/>
      <c r="M135" s="441">
        <f>BHIN!D$11/Prices!$C$132/1000</f>
        <v>11.256914443353935</v>
      </c>
      <c r="N135" s="441">
        <f>BHIN!E$11/Prices!$C$132/1000</f>
        <v>11.256914443353935</v>
      </c>
      <c r="O135" s="441">
        <f>BHIN!F$11/Prices!$C$132/1000</f>
        <v>11.256914443353935</v>
      </c>
      <c r="P135" s="441">
        <f>BHIN!G$11/Prices!$C$132/1000</f>
        <v>11.256914443353935</v>
      </c>
      <c r="Q135" s="451"/>
      <c r="R135" s="441">
        <f>BHIN!D$18/Prices!$C$132/1000</f>
        <v>13.295847057062355</v>
      </c>
      <c r="S135" s="441">
        <f>BHIN!E$18/Prices!$C$132/1000</f>
        <v>13.642206005465887</v>
      </c>
      <c r="T135" s="441">
        <f>BHIN!F$18/Prices!$C$132/1000</f>
        <v>14.088888331899524</v>
      </c>
      <c r="U135" s="441">
        <f>BHIN!G$18/Prices!$C$132/1000</f>
        <v>14.54325243493833</v>
      </c>
    </row>
    <row r="136" spans="1:21">
      <c r="A136" s="26"/>
      <c r="B136" s="158" t="str">
        <f t="shared" si="22"/>
        <v>China Tower</v>
      </c>
      <c r="C136" s="143" t="str">
        <f t="shared" si="22"/>
        <v>HKD 11.16</v>
      </c>
      <c r="D136" s="143" t="str">
        <f t="shared" si="22"/>
        <v>HKD 14.00</v>
      </c>
      <c r="E136" s="52">
        <f t="shared" si="22"/>
        <v>0.25448028673835132</v>
      </c>
      <c r="F136" s="28" t="str">
        <f t="shared" si="22"/>
        <v>Buy</v>
      </c>
      <c r="H136" s="441">
        <f>(ChinaTow!D$25/ChinaTow!D$33)</f>
        <v>-19.08733535941716</v>
      </c>
      <c r="I136" s="441">
        <f>(ChinaTow!E$25/ChinaTow!E$33)</f>
        <v>-23.421828578878578</v>
      </c>
      <c r="J136" s="441">
        <f>-(ChinaTow!F$25/ChinaTow!F$33)</f>
        <v>28.069351142177869</v>
      </c>
      <c r="K136" s="441">
        <f>-(ChinaTow!G$25/ChinaTow!G$33)</f>
        <v>32.831884165253648</v>
      </c>
      <c r="L136" s="451"/>
      <c r="M136" s="441">
        <f>ChinaTow!D$11/Prices!$C$132/1000</f>
        <v>1.8055796460372509</v>
      </c>
      <c r="N136" s="441">
        <f>ChinaTow!E$11/Prices!$C$132/1000</f>
        <v>1.8055796460372509</v>
      </c>
      <c r="O136" s="441">
        <f>ChinaTow!F$11/Prices!$C$132/1000</f>
        <v>1.8055796460372509</v>
      </c>
      <c r="P136" s="441">
        <f>ChinaTow!G$11/Prices!$C$132/1000</f>
        <v>1.8055796460372509</v>
      </c>
      <c r="Q136" s="452"/>
      <c r="R136" s="441">
        <f>ChinaTow!D$18/Prices!$C$132/1000</f>
        <v>2.5649881629752835</v>
      </c>
      <c r="S136" s="441">
        <f>ChinaTow!E$18/Prices!$C$132/1000</f>
        <v>2.2711065371397079</v>
      </c>
      <c r="T136" s="441">
        <f>ChinaTow!F$18/Prices!$C$132/1000</f>
        <v>1.9764101427769343</v>
      </c>
      <c r="U136" s="441">
        <f>ChinaTow!G$18/Prices!$C$132/1000</f>
        <v>1.6770480321585279</v>
      </c>
    </row>
    <row r="137" spans="1:21">
      <c r="A137" s="26"/>
      <c r="B137" s="32" t="str">
        <f t="shared" si="22"/>
        <v>Sarana Menara</v>
      </c>
      <c r="C137" s="28" t="str">
        <f t="shared" si="22"/>
        <v>IDR 488</v>
      </c>
      <c r="D137" s="28" t="str">
        <f t="shared" si="22"/>
        <v>IDR 780</v>
      </c>
      <c r="E137" s="29">
        <f t="shared" si="22"/>
        <v>0.59836065573770503</v>
      </c>
      <c r="F137" s="28" t="str">
        <f t="shared" si="22"/>
        <v>Buy</v>
      </c>
      <c r="H137" s="441">
        <f>-(TOWR!D$25/TOWR!D$33)</f>
        <v>1.8043082028840078</v>
      </c>
      <c r="I137" s="441">
        <f>-(TOWR!E$25/TOWR!E$33)</f>
        <v>1.9716027538392813</v>
      </c>
      <c r="J137" s="441">
        <f>-(TOWR!F$25/TOWR!F$33)</f>
        <v>2.1611270697108194</v>
      </c>
      <c r="K137" s="441">
        <f>-(TOWR!G$25/TOWR!G$33)</f>
        <v>2.4036091882064063</v>
      </c>
      <c r="L137" s="453"/>
      <c r="M137" s="441">
        <f>TOWR!D$11/Prices!$C$152</f>
        <v>1.4145295409370366</v>
      </c>
      <c r="N137" s="441">
        <f>TOWR!E$11/Prices!$C$152</f>
        <v>1.4145295409370366</v>
      </c>
      <c r="O137" s="441">
        <f>TOWR!F$11/Prices!$C$152</f>
        <v>1.4145295409370366</v>
      </c>
      <c r="P137" s="441">
        <f>TOWR!G$11/Prices!$C$152</f>
        <v>1.4145295409370366</v>
      </c>
      <c r="Q137" s="451"/>
      <c r="R137" s="441">
        <f>TOWR!D$18/Prices!$C$152</f>
        <v>4.3755207470431641</v>
      </c>
      <c r="S137" s="441">
        <f>TOWR!E$18/Prices!$C$152</f>
        <v>4.2662163277740124</v>
      </c>
      <c r="T137" s="441">
        <f>TOWR!F$18/Prices!$C$152</f>
        <v>4.1265979852632428</v>
      </c>
      <c r="U137" s="441">
        <f>TOWR!G$18/Prices!$C$152</f>
        <v>3.9539263445590969</v>
      </c>
    </row>
    <row r="138" spans="1:21">
      <c r="A138" s="26"/>
      <c r="B138" s="158" t="str">
        <f t="shared" si="22"/>
        <v>Tower Bersama</v>
      </c>
      <c r="C138" s="143" t="str">
        <f t="shared" si="22"/>
        <v>IDR 1,875</v>
      </c>
      <c r="D138" s="143" t="str">
        <f t="shared" si="22"/>
        <v>IDR 1,250</v>
      </c>
      <c r="E138" s="52">
        <f t="shared" si="22"/>
        <v>-0.33333333333333337</v>
      </c>
      <c r="F138" s="143" t="str">
        <f t="shared" si="22"/>
        <v>Reduce</v>
      </c>
      <c r="H138" s="440">
        <f>(TBIG!D$25/TBIG!D$33)</f>
        <v>-2.0272839244327949</v>
      </c>
      <c r="I138" s="440">
        <f>-(TBIG!E$25/TBIG!E$33)</f>
        <v>1.9979229017295805</v>
      </c>
      <c r="J138" s="440">
        <f>-(TBIG!F$25/TBIG!F$33)</f>
        <v>2.035958434349022</v>
      </c>
      <c r="K138" s="440">
        <f>-(TBIG!G$25/TBIG!G$33)</f>
        <v>2.1531199950072253</v>
      </c>
      <c r="L138" s="451"/>
      <c r="M138" s="440">
        <f>TBIG!D$11/Prices!$C$152</f>
        <v>2.4545127609592607</v>
      </c>
      <c r="N138" s="440">
        <f>TBIG!E$11/Prices!$C$152</f>
        <v>2.4380716781276237</v>
      </c>
      <c r="O138" s="440">
        <f>TBIG!F$11/Prices!$C$152</f>
        <v>2.4216305952959876</v>
      </c>
      <c r="P138" s="440">
        <f>TBIG!G$11/Prices!$C$152</f>
        <v>2.4051895124643505</v>
      </c>
      <c r="Q138" s="452"/>
      <c r="R138" s="440">
        <f>TBIG!D$18/Prices!$C$152</f>
        <v>4.1385648754701414</v>
      </c>
      <c r="S138" s="440">
        <f>TBIG!E$18/Prices!$C$152</f>
        <v>4.0561190743275413</v>
      </c>
      <c r="T138" s="440">
        <f>TBIG!F$18/Prices!$C$152</f>
        <v>3.9674030312186557</v>
      </c>
      <c r="U138" s="440">
        <f>TBIG!G$18/Prices!$C$152</f>
        <v>3.8654704779499633</v>
      </c>
    </row>
    <row r="139" spans="1:21">
      <c r="A139" s="26"/>
      <c r="B139" s="158" t="s">
        <v>1111</v>
      </c>
      <c r="C139" s="143" t="str">
        <f t="shared" ref="C139:F139" si="23">C119</f>
        <v>IDR 530</v>
      </c>
      <c r="D139" s="143" t="str">
        <f t="shared" si="23"/>
        <v>IDR 740</v>
      </c>
      <c r="E139" s="52">
        <f t="shared" si="23"/>
        <v>0.39622641509433953</v>
      </c>
      <c r="F139" s="143" t="str">
        <f t="shared" si="23"/>
        <v>Buy</v>
      </c>
      <c r="H139" s="440">
        <f>(MITRA!D$25/MITRA!D$33)</f>
        <v>5.9869557611959863</v>
      </c>
      <c r="I139" s="440">
        <f>-(MITRA!E$25/MITRA!E$33)</f>
        <v>0.53655068257524441</v>
      </c>
      <c r="J139" s="440">
        <f>-(MITRA!F$25/MITRA!F$33)</f>
        <v>3.6466820299523506</v>
      </c>
      <c r="K139" s="440">
        <f>-(MITRA!G$25/MITRA!G$33)</f>
        <v>2.0757618555823907</v>
      </c>
      <c r="L139" s="451"/>
      <c r="M139" s="440">
        <f>MITRA!D$11/Prices!$C$152</f>
        <v>2.5488843961970771</v>
      </c>
      <c r="N139" s="440">
        <f>MITRA!E$11/Prices!$C$152</f>
        <v>2.5218428210508357</v>
      </c>
      <c r="O139" s="440">
        <f>MITRA!F$11/Prices!$C$152</f>
        <v>2.4948012459045947</v>
      </c>
      <c r="P139" s="440">
        <f>MITRA!G$11/Prices!$C$152</f>
        <v>2.4677596707583533</v>
      </c>
      <c r="Q139" s="452"/>
      <c r="R139" s="440">
        <f>MITRA!D$18/Prices!$C$152</f>
        <v>3.7791026933291034</v>
      </c>
      <c r="S139" s="440">
        <f>MITRA!E$18/Prices!$C$152</f>
        <v>3.5719000864121444</v>
      </c>
      <c r="T139" s="440">
        <f>MITRA!F$18/Prices!$C$152</f>
        <v>3.3500697813505753</v>
      </c>
      <c r="U139" s="440">
        <f>MITRA!G$18/Prices!$C$152</f>
        <v>3.090631332905144</v>
      </c>
    </row>
    <row r="140" spans="1:21">
      <c r="A140" s="26"/>
      <c r="B140" s="32"/>
      <c r="C140" s="28"/>
      <c r="D140" s="28"/>
      <c r="E140" s="29"/>
      <c r="F140" s="28"/>
      <c r="H140" s="441"/>
      <c r="I140" s="441"/>
      <c r="J140" s="441"/>
      <c r="K140" s="441"/>
      <c r="L140" s="453"/>
      <c r="M140" s="441"/>
      <c r="N140" s="441"/>
      <c r="O140" s="441"/>
      <c r="P140" s="441"/>
      <c r="Q140" s="451"/>
      <c r="R140" s="441"/>
      <c r="S140" s="441"/>
      <c r="T140" s="441"/>
      <c r="U140" s="441"/>
    </row>
    <row r="141" spans="1:21">
      <c r="A141" s="26"/>
      <c r="B141" s="32" t="str">
        <f t="shared" ref="B141:F142" si="24">B121</f>
        <v>IHS Holding</v>
      </c>
      <c r="C141" s="28" t="str">
        <f t="shared" si="24"/>
        <v>USD 8.2</v>
      </c>
      <c r="D141" s="28" t="str">
        <f t="shared" si="24"/>
        <v>USD 10.0</v>
      </c>
      <c r="E141" s="29">
        <f t="shared" si="24"/>
        <v>0.2179526216430181</v>
      </c>
      <c r="F141" s="28" t="str">
        <f t="shared" si="24"/>
        <v>Buy</v>
      </c>
      <c r="H141" s="441">
        <f>(IHS!D$25/IHS!D$33)</f>
        <v>1.3867692871774644</v>
      </c>
      <c r="I141" s="441">
        <f>-(IHS!E$25/IHS!E$33)</f>
        <v>-1.4658334284303329</v>
      </c>
      <c r="J141" s="441">
        <f>-(IHS!F$25/IHS!F$33)</f>
        <v>-1.6295850935631651</v>
      </c>
      <c r="K141" s="441">
        <f>-(IHS!G$25/IHS!G$33)</f>
        <v>-1.7567752123683777</v>
      </c>
      <c r="L141" s="453"/>
      <c r="M141" s="441">
        <f>IHS!D$11/Prices!$C$152</f>
        <v>0.1559774781886325</v>
      </c>
      <c r="N141" s="441">
        <f>IHS!E$11/Prices!$C$152</f>
        <v>0.1521261645531857</v>
      </c>
      <c r="O141" s="441">
        <f>IHS!F$11/Prices!$C$152</f>
        <v>0.14750458819064952</v>
      </c>
      <c r="P141" s="441">
        <f>IHS!G$11/Prices!$C$152</f>
        <v>0.14211274910102398</v>
      </c>
      <c r="Q141" s="451"/>
      <c r="R141" s="440">
        <f>IHS!D$18/Prices!$C$152</f>
        <v>0.30080266199138189</v>
      </c>
      <c r="S141" s="440">
        <f>IHS!E$18/Prices!$C$152</f>
        <v>0.29253638812036681</v>
      </c>
      <c r="T141" s="440">
        <f>IHS!F$18/Prices!$C$152</f>
        <v>0.28484249892591107</v>
      </c>
      <c r="U141" s="440">
        <f>IHS!G$18/Prices!$C$152</f>
        <v>0.279323252831645</v>
      </c>
    </row>
    <row r="142" spans="1:21">
      <c r="A142" s="26"/>
      <c r="B142" s="32" t="str">
        <f t="shared" si="24"/>
        <v>Helios Towers</v>
      </c>
      <c r="C142" s="28" t="str">
        <f t="shared" si="24"/>
        <v>GBP2.0</v>
      </c>
      <c r="D142" s="28" t="str">
        <f t="shared" si="24"/>
        <v>GBP1.8</v>
      </c>
      <c r="E142" s="29">
        <f t="shared" si="24"/>
        <v>-8.8607594936708889E-2</v>
      </c>
      <c r="F142" s="28" t="str">
        <f t="shared" si="24"/>
        <v>Buy</v>
      </c>
      <c r="H142" s="441">
        <f>(HTWS!D$25/HTWS!D$33)</f>
        <v>-1.6351377626557613</v>
      </c>
      <c r="I142" s="441">
        <f>-(HTWS!E$25/HTWS!E$33)</f>
        <v>1.9457105284748992</v>
      </c>
      <c r="J142" s="441">
        <f>-(HTWS!F$25/HTWS!F$33)</f>
        <v>2.2889907211750158</v>
      </c>
      <c r="K142" s="441">
        <f>-(HTWS!G$25/HTWS!G$33)</f>
        <v>2.6790025938902575</v>
      </c>
      <c r="L142" s="453"/>
      <c r="M142" s="441">
        <f>HTWS!D$11/Prices!$C$152</f>
        <v>0.12062412573942126</v>
      </c>
      <c r="N142" s="441">
        <f>HTWS!E$11/Prices!$C$152</f>
        <v>0.11984220030802706</v>
      </c>
      <c r="O142" s="441">
        <f>HTWS!F$11/Prices!$C$152</f>
        <v>0.11815805322502418</v>
      </c>
      <c r="P142" s="441">
        <f>HTWS!G$11/Prices!$C$152</f>
        <v>0.116305491433721</v>
      </c>
      <c r="Q142" s="451"/>
      <c r="R142" s="440">
        <f>HTWS!D$18/Prices!$C$152</f>
        <v>0.22914202828589356</v>
      </c>
      <c r="S142" s="440">
        <f>HTWS!E$18/Prices!$C$152</f>
        <v>0.22626123270550308</v>
      </c>
      <c r="T142" s="440">
        <f>HTWS!F$18/Prices!$C$152</f>
        <v>0.22262134992621885</v>
      </c>
      <c r="U142" s="440">
        <f>HTWS!G$18/Prices!$C$152</f>
        <v>0.21924599849302148</v>
      </c>
    </row>
    <row r="143" spans="1:21">
      <c r="A143" s="26"/>
      <c r="B143" s="32"/>
      <c r="C143" s="28"/>
      <c r="D143" s="28"/>
      <c r="E143" s="29"/>
      <c r="F143" s="28"/>
      <c r="H143" s="441"/>
      <c r="I143" s="441"/>
      <c r="J143" s="441"/>
      <c r="K143" s="441"/>
      <c r="L143" s="453"/>
      <c r="M143" s="441"/>
      <c r="N143" s="441"/>
      <c r="O143" s="441"/>
      <c r="P143" s="441"/>
      <c r="Q143" s="451"/>
      <c r="R143" s="441"/>
      <c r="S143" s="441"/>
      <c r="T143" s="441"/>
      <c r="U143" s="441"/>
    </row>
    <row r="144" spans="1:21">
      <c r="A144" s="26"/>
      <c r="B144" s="159" t="str">
        <f t="shared" ref="B144:F144" si="25">B124</f>
        <v>Telesites</v>
      </c>
      <c r="C144" s="147" t="str">
        <f t="shared" si="25"/>
        <v>MXN 16.2</v>
      </c>
      <c r="D144" s="147" t="str">
        <f t="shared" si="25"/>
        <v>MXN 17.0</v>
      </c>
      <c r="E144" s="148">
        <f t="shared" si="25"/>
        <v>5.1980198019802026E-2</v>
      </c>
      <c r="F144" s="147" t="str">
        <f t="shared" si="25"/>
        <v>Neutral</v>
      </c>
      <c r="H144" s="442">
        <f>(SITES!D$25/SITES!D$33)</f>
        <v>9.9058533491524372</v>
      </c>
      <c r="I144" s="442">
        <f>-(SITES!E$25/SITES!E$33)</f>
        <v>-12.290824116643623</v>
      </c>
      <c r="J144" s="442">
        <f>-(SITES!F$25/SITES!F$33)</f>
        <v>-15.647380795568386</v>
      </c>
      <c r="K144" s="442">
        <f>-(SITES!G$25/SITES!G$33)</f>
        <v>-21.152861349104569</v>
      </c>
      <c r="L144" s="453"/>
      <c r="M144" s="442">
        <f>SITES!D$11/Prices!$C$152</f>
        <v>2.9608259415442779</v>
      </c>
      <c r="N144" s="442">
        <f>SITES!E$11/Prices!$C$152</f>
        <v>2.9138287043769084</v>
      </c>
      <c r="O144" s="442">
        <f>SITES!F$11/Prices!$C$152</f>
        <v>2.866831467209539</v>
      </c>
      <c r="P144" s="442">
        <f>SITES!G$11/Prices!$C$152</f>
        <v>2.8198342300421695</v>
      </c>
      <c r="Q144" s="451"/>
      <c r="R144" s="442">
        <f>SITES!D$18/Prices!$C$152</f>
        <v>4.5420660664617589</v>
      </c>
      <c r="S144" s="442">
        <f>SITES!E$18/Prices!$C$152</f>
        <v>4.2349948670067707</v>
      </c>
      <c r="T144" s="442">
        <f>SITES!F$18/Prices!$C$152</f>
        <v>3.9070980136290445</v>
      </c>
      <c r="U144" s="442">
        <f>SITES!G$18/Prices!$C$152</f>
        <v>3.5566207826469145</v>
      </c>
    </row>
    <row r="145" spans="1:21">
      <c r="A145" s="26"/>
      <c r="B145" s="161"/>
      <c r="C145" s="144"/>
      <c r="D145" s="144"/>
      <c r="E145" s="52"/>
      <c r="F145" s="144"/>
      <c r="G145" s="61"/>
      <c r="H145" s="151"/>
      <c r="I145" s="151"/>
      <c r="J145" s="151"/>
      <c r="K145" s="151"/>
      <c r="L145" s="152"/>
      <c r="M145" s="151"/>
      <c r="N145" s="151"/>
      <c r="O145" s="151"/>
      <c r="P145" s="151"/>
      <c r="Q145" s="151"/>
      <c r="R145" s="151"/>
      <c r="S145" s="151"/>
      <c r="T145" s="151"/>
      <c r="U145" s="151"/>
    </row>
  </sheetData>
  <conditionalFormatting sqref="B8:F24 H8:K24 M8:P24 R8:U24 B28:F44 H28:K44 M28:P44 R28:U44 B48:F64 H48:K64 M48:P64 R48:U64 B68:F84 H68:K84 M68:P84 R68:U84 B88:F104 H88:K104 M88:P104 R88:U104 B108:F124 H108:K124 M108:P124 R108:U124 B128:F144 H128:K144 M128:P144 R128:U144">
    <cfRule type="expression" dxfId="1" priority="40">
      <formula>EVEN(ROW())=ROW()</formula>
    </cfRule>
  </conditionalFormatting>
  <hyperlinks>
    <hyperlink ref="Y1" location="Prices!A1" display="Jump to Prices" xr:uid="{57AD22EB-6356-4026-B96D-08B07E3847B4}"/>
  </hyperlinks>
  <pageMargins left="0.70866141732283472" right="0.70866141732283472" top="0.74803149606299213" bottom="0.74803149606299213" header="0.31496062992125984" footer="0.31496062992125984"/>
  <pageSetup paperSize="9" scale="63" fitToHeight="0" orientation="landscape" r:id="rId1"/>
  <rowBreaks count="2" manualBreakCount="2">
    <brk id="65" max="21" man="1"/>
    <brk id="125" max="21"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6">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586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579</v>
      </c>
      <c r="K7" s="249"/>
      <c r="L7" s="219" t="str">
        <f>L5</f>
        <v>2025E</v>
      </c>
      <c r="M7" s="219" t="str">
        <f t="shared" ref="M7:P7" si="1">M5</f>
        <v>2026E</v>
      </c>
      <c r="N7" s="219" t="str">
        <f t="shared" si="1"/>
        <v>2027E</v>
      </c>
      <c r="O7" s="219" t="str">
        <f t="shared" si="1"/>
        <v>2028E</v>
      </c>
      <c r="P7" s="219" t="str">
        <f t="shared" si="1"/>
        <v>2025-28</v>
      </c>
    </row>
    <row r="8" spans="2:44" ht="12.6" thickTop="1">
      <c r="I8" s="5"/>
      <c r="J8" s="5"/>
      <c r="K8" s="5"/>
      <c r="L8" s="5"/>
      <c r="M8" s="5"/>
      <c r="N8" s="5"/>
    </row>
    <row r="9" spans="2:44">
      <c r="B9" s="25" t="s">
        <v>13</v>
      </c>
      <c r="C9" s="241">
        <f>Prices!C57</f>
        <v>217.5</v>
      </c>
      <c r="D9" s="412">
        <v>106.93327280847564</v>
      </c>
      <c r="E9" s="413">
        <v>107.32838218129046</v>
      </c>
      <c r="F9" s="413">
        <v>106.15193458961987</v>
      </c>
      <c r="G9" s="413">
        <v>104.89470149847571</v>
      </c>
      <c r="H9" s="209"/>
      <c r="I9" s="209"/>
      <c r="J9" s="5" t="s">
        <v>225</v>
      </c>
      <c r="L9" s="406">
        <f>'US TOWERS'!D37</f>
        <v>11.387442893079657</v>
      </c>
      <c r="M9" s="406">
        <f>'US TOWERS'!E37</f>
        <v>10.664828796929593</v>
      </c>
      <c r="N9" s="406">
        <f>'US TOWERS'!F37</f>
        <v>10.122737038800418</v>
      </c>
      <c r="O9" s="406">
        <f>'US TOWERS'!G37</f>
        <v>9.3108648624289465</v>
      </c>
      <c r="P9" s="233">
        <f>'US TOWERS'!H37</f>
        <v>2.1319402766994067E-2</v>
      </c>
    </row>
    <row r="10" spans="2:44">
      <c r="B10" s="5" t="s">
        <v>226</v>
      </c>
      <c r="C10" s="5"/>
      <c r="D10" s="408">
        <v>106.93327280847564</v>
      </c>
      <c r="E10" s="408">
        <v>107.32838218129046</v>
      </c>
      <c r="F10" s="408">
        <v>106.15193458961987</v>
      </c>
      <c r="G10" s="408">
        <v>104.89470149847571</v>
      </c>
      <c r="H10" s="207"/>
      <c r="I10" s="207"/>
      <c r="J10" s="5" t="s">
        <v>158</v>
      </c>
      <c r="L10" s="406">
        <f>'US TOWERS'!D38</f>
        <v>16.941426909201031</v>
      </c>
      <c r="M10" s="406">
        <f>'US TOWERS'!E38</f>
        <v>15.912039926787417</v>
      </c>
      <c r="N10" s="406">
        <f>'US TOWERS'!F38</f>
        <v>15.06465830693746</v>
      </c>
      <c r="O10" s="406">
        <f>'US TOWERS'!G38</f>
        <v>13.718815633600604</v>
      </c>
      <c r="P10" s="233">
        <f>'US TOWERS'!H38</f>
        <v>2.4614840647188663E-2</v>
      </c>
    </row>
    <row r="11" spans="2:44">
      <c r="B11" s="25" t="s">
        <v>357</v>
      </c>
      <c r="C11" s="5"/>
      <c r="D11" s="409">
        <f>$C$9*D10</f>
        <v>23257.986835843451</v>
      </c>
      <c r="E11" s="409">
        <f>$C$9*E10</f>
        <v>23343.923124430676</v>
      </c>
      <c r="F11" s="409">
        <f>$C$9*F10</f>
        <v>23088.04577324232</v>
      </c>
      <c r="G11" s="409">
        <f>$C$9*G10</f>
        <v>22814.597575918466</v>
      </c>
      <c r="H11" s="209"/>
      <c r="I11" s="209"/>
      <c r="J11" s="5" t="s">
        <v>159</v>
      </c>
      <c r="L11" s="406">
        <f>'US TOWERS'!D39</f>
        <v>25.044328983269025</v>
      </c>
      <c r="M11" s="406">
        <f>'US TOWERS'!E39</f>
        <v>27.8658053659967</v>
      </c>
      <c r="N11" s="406">
        <f>'US TOWERS'!F39</f>
        <v>25.812240765059837</v>
      </c>
      <c r="O11" s="406">
        <f>'US TOWERS'!G39</f>
        <v>23.410812249171794</v>
      </c>
      <c r="P11" s="233">
        <f>'US TOWERS'!H39</f>
        <v>-2.3256584083791054E-2</v>
      </c>
    </row>
    <row r="12" spans="2:44">
      <c r="B12" s="5" t="s">
        <v>22</v>
      </c>
      <c r="C12" s="209"/>
      <c r="D12" s="410">
        <v>12127.739212969087</v>
      </c>
      <c r="E12" s="410">
        <v>12127.739212969087</v>
      </c>
      <c r="F12" s="410">
        <v>12068.996913414867</v>
      </c>
      <c r="G12" s="410">
        <v>12064.538005253678</v>
      </c>
      <c r="H12" s="207"/>
      <c r="I12" s="207"/>
      <c r="J12" s="5" t="s">
        <v>381</v>
      </c>
      <c r="L12" s="406">
        <f>'US TOWERS'!D40</f>
        <v>25.811327577987573</v>
      </c>
      <c r="M12" s="406">
        <f>'US TOWERS'!E40</f>
        <v>28.805352403453771</v>
      </c>
      <c r="N12" s="406">
        <f>'US TOWERS'!F40</f>
        <v>26.649214263292812</v>
      </c>
      <c r="O12" s="406">
        <f>'US TOWERS'!G40</f>
        <v>24.132769909398622</v>
      </c>
      <c r="P12" s="233">
        <f>'US TOWERS'!H40</f>
        <v>-2.3323863631279806E-2</v>
      </c>
    </row>
    <row r="13" spans="2:44">
      <c r="B13" s="5" t="s">
        <v>433</v>
      </c>
      <c r="C13" s="216"/>
      <c r="D13" s="410">
        <v>0</v>
      </c>
      <c r="E13" s="410">
        <v>0</v>
      </c>
      <c r="F13" s="410">
        <v>0</v>
      </c>
      <c r="G13" s="410">
        <v>0</v>
      </c>
      <c r="H13" s="207"/>
      <c r="I13" s="207"/>
      <c r="J13" s="5" t="s">
        <v>434</v>
      </c>
      <c r="L13" s="406">
        <f>'US TOWERS'!D41</f>
        <v>2.1457008634461956</v>
      </c>
      <c r="M13" s="406">
        <f>'US TOWERS'!E41</f>
        <v>2.3952937667674412</v>
      </c>
      <c r="N13" s="406">
        <f>'US TOWERS'!F41</f>
        <v>2.2737439576569054</v>
      </c>
      <c r="O13" s="406">
        <f>'US TOWERS'!G41</f>
        <v>2.1582900479284297</v>
      </c>
      <c r="P13" s="233">
        <f>'US TOWERS'!H41</f>
        <v>-4.683231757630979E-2</v>
      </c>
    </row>
    <row r="14" spans="2:44">
      <c r="B14" s="5" t="s">
        <v>436</v>
      </c>
      <c r="C14" s="216"/>
      <c r="D14" s="410">
        <v>0</v>
      </c>
      <c r="E14" s="410">
        <v>0</v>
      </c>
      <c r="F14" s="410">
        <v>0</v>
      </c>
      <c r="G14" s="410">
        <v>0</v>
      </c>
      <c r="H14" s="207"/>
      <c r="I14" s="207"/>
      <c r="J14" s="5" t="s">
        <v>493</v>
      </c>
      <c r="L14" s="406">
        <f>'US TOWERS'!D42</f>
        <v>6.6616104987076543</v>
      </c>
      <c r="M14" s="406">
        <f>'US TOWERS'!E42</f>
        <v>6.2743590798659357</v>
      </c>
      <c r="N14" s="406">
        <f>'US TOWERS'!F42</f>
        <v>6.1943441993636563</v>
      </c>
      <c r="O14" s="406">
        <f>'US TOWERS'!G42</f>
        <v>6.0951108740004605</v>
      </c>
      <c r="P14" s="233">
        <f>'US TOWERS'!H42</f>
        <v>-1.6256078937624263E-2</v>
      </c>
    </row>
    <row r="15" spans="2:44">
      <c r="B15" s="5" t="s">
        <v>435</v>
      </c>
      <c r="C15" s="228"/>
      <c r="D15" s="410">
        <v>0</v>
      </c>
      <c r="E15" s="410">
        <v>0</v>
      </c>
      <c r="F15" s="410">
        <v>0</v>
      </c>
      <c r="G15" s="410">
        <v>0</v>
      </c>
      <c r="H15" s="207"/>
      <c r="I15" s="207"/>
      <c r="J15" s="5" t="s">
        <v>390</v>
      </c>
      <c r="L15" s="406">
        <f>'US TOWERS'!D43</f>
        <v>18.49996444927001</v>
      </c>
      <c r="M15" s="406">
        <f>'US TOWERS'!E43</f>
        <v>22.021153935230735</v>
      </c>
      <c r="N15" s="406">
        <f>'US TOWERS'!F43</f>
        <v>21.040110636012585</v>
      </c>
      <c r="O15" s="406">
        <f>'US TOWERS'!G43</f>
        <v>19.751014947338149</v>
      </c>
      <c r="P15" s="233">
        <f>'US TOWERS'!H43</f>
        <v>-2.3323863631279806E-2</v>
      </c>
    </row>
    <row r="16" spans="2:44">
      <c r="B16" s="5" t="s">
        <v>438</v>
      </c>
      <c r="C16" s="216"/>
      <c r="D16" s="410">
        <v>904.78614299999992</v>
      </c>
      <c r="E16" s="410">
        <v>1452.4839505549471</v>
      </c>
      <c r="F16" s="410">
        <v>2102.5172110311587</v>
      </c>
      <c r="G16" s="410">
        <v>2873.3185544301396</v>
      </c>
      <c r="H16" s="207"/>
      <c r="I16" s="207"/>
      <c r="J16" s="5" t="s">
        <v>437</v>
      </c>
      <c r="L16" s="406">
        <f>'US TOWERS'!D44</f>
        <v>18.652157517178388</v>
      </c>
      <c r="M16" s="406">
        <f>'US TOWERS'!E44</f>
        <v>17.021096013740827</v>
      </c>
      <c r="N16" s="406">
        <f>'US TOWERS'!F44</f>
        <v>16.633597012595249</v>
      </c>
      <c r="O16" s="406">
        <f>'US TOWERS'!G44</f>
        <v>15.656821263786458</v>
      </c>
      <c r="P16" s="233">
        <f>'US TOWERS'!H44</f>
        <v>5.8193878007610333E-2</v>
      </c>
    </row>
    <row r="17" spans="2:24">
      <c r="B17" s="5" t="s">
        <v>4</v>
      </c>
      <c r="C17" s="216"/>
      <c r="D17" s="410">
        <v>0</v>
      </c>
      <c r="E17" s="410">
        <v>0</v>
      </c>
      <c r="F17" s="410">
        <v>0</v>
      </c>
      <c r="G17" s="410">
        <v>0</v>
      </c>
      <c r="H17" s="207"/>
      <c r="I17" s="207"/>
      <c r="J17" s="5" t="s">
        <v>481</v>
      </c>
      <c r="L17" s="406">
        <f>'US TOWERS'!D45</f>
        <v>3.9641506768476914E-2</v>
      </c>
      <c r="M17" s="406">
        <f>'US TOWERS'!E45</f>
        <v>4.0795481094250033E-2</v>
      </c>
      <c r="N17" s="406">
        <f>'US TOWERS'!F45</f>
        <v>4.3870265844032343E-2</v>
      </c>
      <c r="O17" s="406">
        <f>'US TOWERS'!G45</f>
        <v>4.748006555840064E-2</v>
      </c>
      <c r="P17" s="233">
        <f>'US TOWERS'!H45</f>
        <v>6.0092600761919579E-2</v>
      </c>
      <c r="S17" s="72"/>
      <c r="T17" s="26"/>
      <c r="U17" s="26"/>
      <c r="V17" s="26"/>
      <c r="W17" s="26"/>
      <c r="X17" s="26"/>
    </row>
    <row r="18" spans="2:24" ht="12.6" thickBot="1">
      <c r="B18" s="25" t="s">
        <v>423</v>
      </c>
      <c r="C18" s="209"/>
      <c r="D18" s="411">
        <f>D11+D12+D13-D14+D15-D16-D17</f>
        <v>34480.939905812542</v>
      </c>
      <c r="E18" s="411">
        <f>E11+E12+E13-E14+E15-E16-E17</f>
        <v>34019.178386844818</v>
      </c>
      <c r="F18" s="411">
        <f>F11+F12+F13-F14+F15-F16-F17</f>
        <v>33054.525475626026</v>
      </c>
      <c r="G18" s="411">
        <f>G11+G12+G13-G14+G15-G16-G17</f>
        <v>32005.817026742006</v>
      </c>
      <c r="H18" s="230">
        <f>IF(D18=0,"nm",IF(G18=0,"nm",(G18/D18)^(1/3)-1))</f>
        <v>-2.4523957904932225E-2</v>
      </c>
      <c r="I18" s="214"/>
      <c r="J18" s="5" t="s">
        <v>33</v>
      </c>
      <c r="L18" s="406">
        <f>'US TOWERS'!D46</f>
        <v>3.6837692922845361E-2</v>
      </c>
      <c r="M18" s="406">
        <f>'US TOWERS'!E46</f>
        <v>3.0045030008981226E-2</v>
      </c>
      <c r="N18" s="406">
        <f>'US TOWERS'!F46</f>
        <v>4.0046239661242392E-2</v>
      </c>
      <c r="O18" s="406">
        <f>'US TOWERS'!G46</f>
        <v>4.3647498132346405E-2</v>
      </c>
      <c r="P18" s="233">
        <f>'US TOWERS'!H46</f>
        <v>5.6280011990409662E-2</v>
      </c>
      <c r="S18" s="72"/>
      <c r="T18" s="26"/>
      <c r="U18" s="26"/>
      <c r="V18" s="26"/>
      <c r="W18" s="26"/>
      <c r="X18" s="26"/>
    </row>
    <row r="19" spans="2:24" ht="12.6" thickTop="1">
      <c r="B19" s="25"/>
      <c r="C19" s="209"/>
      <c r="D19" s="189"/>
      <c r="E19" s="189"/>
      <c r="F19" s="189"/>
      <c r="G19" s="189"/>
      <c r="H19" s="230"/>
      <c r="I19" s="214"/>
      <c r="J19" s="5" t="s">
        <v>482</v>
      </c>
      <c r="L19" s="406">
        <f>'US TOWERS'!D47</f>
        <v>5.4054157927825586E-2</v>
      </c>
      <c r="M19" s="406">
        <f>'US TOWERS'!E47</f>
        <v>4.5410880962061723E-2</v>
      </c>
      <c r="N19" s="406">
        <f>'US TOWERS'!F47</f>
        <v>4.7528267189260127E-2</v>
      </c>
      <c r="O19" s="406">
        <f>'US TOWERS'!G47</f>
        <v>5.063030951403185E-2</v>
      </c>
      <c r="P19" s="233">
        <f>'US TOWERS'!H47</f>
        <v>-2.3323863631279806E-2</v>
      </c>
      <c r="S19" s="72"/>
      <c r="T19" s="26"/>
      <c r="U19" s="26"/>
      <c r="V19" s="26"/>
      <c r="W19" s="26"/>
      <c r="X19" s="26"/>
    </row>
    <row r="20" spans="2:24">
      <c r="H20" s="231"/>
      <c r="I20" s="13"/>
      <c r="J20" s="5" t="s">
        <v>504</v>
      </c>
      <c r="L20" s="425">
        <f>'US TOWERS'!D48</f>
        <v>0.73336646593231936</v>
      </c>
      <c r="M20" s="425">
        <f>'US TOWERS'!E48</f>
        <v>0.89836356903827519</v>
      </c>
      <c r="N20" s="425">
        <f>'US TOWERS'!F48</f>
        <v>0.9230352469897245</v>
      </c>
      <c r="O20" s="425">
        <f>'US TOWERS'!G48</f>
        <v>0.93777948454456617</v>
      </c>
      <c r="P20" s="233" t="str">
        <f>'US TOWERS'!H48</f>
        <v>nm</v>
      </c>
      <c r="S20" s="72"/>
      <c r="T20" s="26"/>
      <c r="U20" s="26"/>
      <c r="V20" s="26"/>
      <c r="W20" s="26"/>
      <c r="X20" s="26"/>
    </row>
    <row r="21" spans="2:24" ht="12.6" thickBot="1">
      <c r="B21" s="249" t="s">
        <v>755</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2679.634</v>
      </c>
      <c r="D23" s="410">
        <v>2835.3638096541272</v>
      </c>
      <c r="E23" s="410">
        <v>2800.8755664926057</v>
      </c>
      <c r="F23" s="410">
        <v>2869.2385116965947</v>
      </c>
      <c r="G23" s="410">
        <v>3005.4940622765453</v>
      </c>
      <c r="H23" s="233">
        <f t="shared" ref="H23:H32" si="3">IF(D23=0,"nm",IF(G23=0,"nm",(G23/D23)^(1/3)-1))</f>
        <v>1.961377504190831E-2</v>
      </c>
      <c r="I23" s="207"/>
      <c r="J23" s="249" t="s">
        <v>7</v>
      </c>
      <c r="K23" s="249"/>
      <c r="L23" s="219" t="str">
        <f>L5</f>
        <v>2025E</v>
      </c>
      <c r="M23" s="219" t="str">
        <f t="shared" ref="M23:P23" si="4">M5</f>
        <v>2026E</v>
      </c>
      <c r="N23" s="219" t="str">
        <f t="shared" si="4"/>
        <v>2027E</v>
      </c>
      <c r="O23" s="219" t="str">
        <f t="shared" si="4"/>
        <v>2028E</v>
      </c>
      <c r="P23" s="219" t="str">
        <f t="shared" si="4"/>
        <v>2025-28</v>
      </c>
      <c r="S23" s="72"/>
      <c r="T23" s="26"/>
      <c r="U23" s="26"/>
      <c r="V23" s="26"/>
      <c r="W23" s="26"/>
      <c r="X23" s="26"/>
    </row>
    <row r="24" spans="2:24" ht="12.6" thickTop="1">
      <c r="B24" s="5" t="s">
        <v>397</v>
      </c>
      <c r="C24" s="423">
        <v>1895.0059999999999</v>
      </c>
      <c r="D24" s="410">
        <v>1928.8196301141384</v>
      </c>
      <c r="E24" s="410">
        <v>1945.3486368059921</v>
      </c>
      <c r="F24" s="410">
        <v>1977.0208332170239</v>
      </c>
      <c r="G24" s="410">
        <v>2070.7182963131659</v>
      </c>
      <c r="H24" s="233">
        <f t="shared" si="3"/>
        <v>2.3944618484634139E-2</v>
      </c>
      <c r="I24" s="209"/>
      <c r="J24" s="13"/>
      <c r="K24" s="13"/>
      <c r="L24" s="13"/>
      <c r="M24" s="13"/>
      <c r="N24" s="13"/>
      <c r="O24" s="208"/>
      <c r="S24" s="72"/>
      <c r="T24" s="26"/>
      <c r="U24" s="26"/>
      <c r="V24" s="26"/>
      <c r="W24" s="26" t="s">
        <v>588</v>
      </c>
      <c r="X24" s="26" t="s">
        <v>581</v>
      </c>
    </row>
    <row r="25" spans="2:24">
      <c r="B25" s="5" t="s">
        <v>157</v>
      </c>
      <c r="C25" s="422">
        <v>1334.9210000000003</v>
      </c>
      <c r="D25" s="410">
        <v>1538.419343725257</v>
      </c>
      <c r="E25" s="410">
        <v>1329.9067765907112</v>
      </c>
      <c r="F25" s="410">
        <v>1361.9805865679839</v>
      </c>
      <c r="G25" s="410">
        <v>1430.0128601014164</v>
      </c>
      <c r="H25" s="233">
        <f t="shared" si="3"/>
        <v>-2.4063104207353581E-2</v>
      </c>
      <c r="I25" s="208"/>
      <c r="J25" s="207" t="s">
        <v>8</v>
      </c>
      <c r="K25" s="207"/>
      <c r="L25" s="252">
        <v>0</v>
      </c>
      <c r="M25" s="252">
        <v>0</v>
      </c>
      <c r="N25" s="252">
        <v>0</v>
      </c>
      <c r="O25" s="252">
        <v>0</v>
      </c>
      <c r="P25" s="233" t="str">
        <f>IF(L25=0,"nm",IF(O25=0,"nm",(O25/L25)^(1/3)-1))</f>
        <v>nm</v>
      </c>
      <c r="S25" s="72"/>
      <c r="T25" s="26"/>
      <c r="U25" s="26"/>
      <c r="V25" s="113" t="s">
        <v>225</v>
      </c>
      <c r="W25" s="242">
        <f>D37/L9</f>
        <v>1.067933209125933</v>
      </c>
      <c r="X25" s="242">
        <v>1</v>
      </c>
    </row>
    <row r="26" spans="2:24">
      <c r="B26" s="5" t="s">
        <v>487</v>
      </c>
      <c r="C26" s="422">
        <v>1106.7720000000004</v>
      </c>
      <c r="D26" s="410">
        <v>1299.573930030914</v>
      </c>
      <c r="E26" s="410">
        <v>1109.1511071091663</v>
      </c>
      <c r="F26" s="410">
        <v>1140.3244227952118</v>
      </c>
      <c r="G26" s="410">
        <v>1205.9454396169833</v>
      </c>
      <c r="H26" s="233">
        <f>IF(D26=0,"nm",IF(G26=0,"nm",(G26/D26)^(1/3)-1))</f>
        <v>-2.4616159317523922E-2</v>
      </c>
      <c r="I26" s="209"/>
      <c r="J26" s="209" t="s">
        <v>9</v>
      </c>
      <c r="K26" s="209"/>
      <c r="L26" s="235">
        <f>D11+L25</f>
        <v>23257.986835843451</v>
      </c>
      <c r="M26" s="235">
        <f>E11+M25</f>
        <v>23343.923124430676</v>
      </c>
      <c r="N26" s="235">
        <f>F11+N25</f>
        <v>23088.04577324232</v>
      </c>
      <c r="O26" s="235">
        <f>G11+O25</f>
        <v>22814.597575918466</v>
      </c>
      <c r="P26" s="233">
        <f>IF(L26=0,"nm",IF(O26=0,"nm",(O26/L26)^(1/3)-1))</f>
        <v>-6.3954671226317261E-3</v>
      </c>
      <c r="Q26" s="5"/>
      <c r="S26" s="72"/>
      <c r="T26" s="26"/>
      <c r="U26" s="26"/>
      <c r="V26" s="113" t="s">
        <v>158</v>
      </c>
      <c r="W26" s="242">
        <f t="shared" ref="W26:W33" si="5">D38/L10</f>
        <v>1.0552065828250961</v>
      </c>
      <c r="X26" s="242">
        <v>1</v>
      </c>
    </row>
    <row r="27" spans="2:24">
      <c r="B27" s="5" t="s">
        <v>488</v>
      </c>
      <c r="C27" s="423">
        <v>7220.4499999999989</v>
      </c>
      <c r="D27" s="410">
        <v>8154.1245295003482</v>
      </c>
      <c r="E27" s="410">
        <v>8154.1245295003482</v>
      </c>
      <c r="F27" s="410">
        <v>8003.6830124413455</v>
      </c>
      <c r="G27" s="410">
        <v>7844.8391771972483</v>
      </c>
      <c r="H27" s="233">
        <f t="shared" si="3"/>
        <v>-1.2806618511759571E-2</v>
      </c>
      <c r="I27" s="209"/>
      <c r="J27" s="208"/>
      <c r="K27" s="208"/>
      <c r="L27" s="208"/>
      <c r="M27" s="208"/>
      <c r="N27" s="208"/>
      <c r="O27" s="208"/>
      <c r="Q27" s="25"/>
      <c r="S27" s="72"/>
      <c r="T27" s="26"/>
      <c r="U27" s="26"/>
      <c r="V27" s="113" t="s">
        <v>159</v>
      </c>
      <c r="W27" s="242">
        <f t="shared" si="5"/>
        <v>0.89494215124893872</v>
      </c>
      <c r="X27" s="242">
        <v>1</v>
      </c>
    </row>
    <row r="28" spans="2:24">
      <c r="B28" s="5" t="s">
        <v>492</v>
      </c>
      <c r="C28" s="422">
        <v>2792.0839999999998</v>
      </c>
      <c r="D28" s="410">
        <v>3758.7903403610098</v>
      </c>
      <c r="E28" s="410">
        <v>3758.7903403610098</v>
      </c>
      <c r="F28" s="410">
        <v>3821.1057169962651</v>
      </c>
      <c r="G28" s="410">
        <v>3883.0132296615493</v>
      </c>
      <c r="H28" s="233">
        <f t="shared" si="3"/>
        <v>1.0897034910636982E-2</v>
      </c>
      <c r="I28" s="208"/>
      <c r="Q28" s="5"/>
      <c r="S28" s="72"/>
      <c r="T28" s="26"/>
      <c r="U28" s="26"/>
      <c r="V28" s="113" t="s">
        <v>381</v>
      </c>
      <c r="W28" s="242">
        <f t="shared" si="5"/>
        <v>1.027939991471478</v>
      </c>
      <c r="X28" s="242">
        <v>1</v>
      </c>
    </row>
    <row r="29" spans="2:24" ht="12.6" thickBot="1">
      <c r="B29" s="5" t="s">
        <v>489</v>
      </c>
      <c r="C29" s="422">
        <v>1106.7720000000004</v>
      </c>
      <c r="D29" s="410">
        <v>1299.573930030914</v>
      </c>
      <c r="E29" s="410">
        <v>1109.1511071091663</v>
      </c>
      <c r="F29" s="410">
        <v>1140.3244227952118</v>
      </c>
      <c r="G29" s="410">
        <v>1205.9454396169833</v>
      </c>
      <c r="H29" s="233">
        <f t="shared" si="3"/>
        <v>-2.4616159317523922E-2</v>
      </c>
      <c r="I29" s="212"/>
      <c r="J29" s="249" t="s">
        <v>1074</v>
      </c>
      <c r="K29" s="249"/>
      <c r="L29" s="219" t="str">
        <f>L$5</f>
        <v>2025E</v>
      </c>
      <c r="M29" s="219" t="str">
        <f t="shared" ref="M29:P29" si="6">M$5</f>
        <v>2026E</v>
      </c>
      <c r="N29" s="219" t="str">
        <f t="shared" si="6"/>
        <v>2027E</v>
      </c>
      <c r="O29" s="219" t="str">
        <f t="shared" si="6"/>
        <v>2028E</v>
      </c>
      <c r="P29" s="219" t="str">
        <f t="shared" si="6"/>
        <v>2025-28</v>
      </c>
      <c r="Q29" s="5"/>
      <c r="S29" s="72"/>
      <c r="T29" s="26"/>
      <c r="U29" s="26"/>
      <c r="V29" s="113" t="s">
        <v>434</v>
      </c>
      <c r="W29" s="242">
        <f t="shared" si="5"/>
        <v>1.9707547407644614</v>
      </c>
      <c r="X29" s="242">
        <v>1</v>
      </c>
    </row>
    <row r="30" spans="2:24" ht="12.6" thickTop="1">
      <c r="B30" s="5" t="s">
        <v>490</v>
      </c>
      <c r="C30" s="423">
        <v>1523.0098090716504</v>
      </c>
      <c r="D30" s="410">
        <v>1487.1322795347246</v>
      </c>
      <c r="E30" s="410">
        <v>1384.0801648768595</v>
      </c>
      <c r="F30" s="410">
        <v>1366.7767903573722</v>
      </c>
      <c r="G30" s="410">
        <v>1435.3609683705777</v>
      </c>
      <c r="H30" s="233">
        <f t="shared" si="3"/>
        <v>-1.1741608714975205E-2</v>
      </c>
      <c r="I30" s="214"/>
      <c r="J30" s="208"/>
      <c r="K30" s="208"/>
      <c r="L30" s="208"/>
      <c r="M30" s="208"/>
      <c r="N30" s="208"/>
      <c r="O30" s="5"/>
      <c r="Q30" s="5"/>
      <c r="S30" s="72"/>
      <c r="T30" s="26"/>
      <c r="U30" s="26"/>
      <c r="V30" s="113" t="s">
        <v>493</v>
      </c>
      <c r="W30" s="242">
        <f t="shared" si="5"/>
        <v>1.3770564933194815</v>
      </c>
      <c r="X30" s="242">
        <v>1</v>
      </c>
    </row>
    <row r="31" spans="2:24">
      <c r="B31" s="5" t="s">
        <v>491</v>
      </c>
      <c r="C31" s="423">
        <v>424.19099999999997</v>
      </c>
      <c r="D31" s="410">
        <v>480.59514299999995</v>
      </c>
      <c r="E31" s="410">
        <v>547.69780755494708</v>
      </c>
      <c r="F31" s="410">
        <v>650.03326047621135</v>
      </c>
      <c r="G31" s="410">
        <v>770.80134339898063</v>
      </c>
      <c r="H31" s="233">
        <f t="shared" si="3"/>
        <v>0.17054387054623654</v>
      </c>
      <c r="I31" s="214"/>
      <c r="J31" s="5" t="s">
        <v>613</v>
      </c>
      <c r="K31" s="207"/>
      <c r="L31" s="253">
        <v>33477.564951384637</v>
      </c>
      <c r="M31" s="253">
        <v>34766.656375767634</v>
      </c>
      <c r="N31" s="253">
        <v>36049.680681114653</v>
      </c>
      <c r="O31" s="253">
        <v>36049.680681114653</v>
      </c>
      <c r="Q31" s="5"/>
      <c r="S31" s="72"/>
      <c r="T31" s="26"/>
      <c r="U31" s="26"/>
      <c r="V31" s="113" t="s">
        <v>390</v>
      </c>
      <c r="W31" s="242">
        <f t="shared" si="5"/>
        <v>0.96738697542052465</v>
      </c>
      <c r="X31" s="242">
        <v>1</v>
      </c>
    </row>
    <row r="32" spans="2:24">
      <c r="B32" s="5" t="s">
        <v>506</v>
      </c>
      <c r="C32" s="424">
        <v>-200.01900000000001</v>
      </c>
      <c r="D32" s="410">
        <v>-356.53100000000001</v>
      </c>
      <c r="E32" s="410">
        <v>-450</v>
      </c>
      <c r="F32" s="410">
        <v>-450</v>
      </c>
      <c r="G32" s="410">
        <v>-450</v>
      </c>
      <c r="H32" s="233">
        <f t="shared" si="3"/>
        <v>8.069980265981247E-2</v>
      </c>
      <c r="I32" s="214"/>
      <c r="J32" s="5" t="s">
        <v>1072</v>
      </c>
      <c r="K32" s="214"/>
      <c r="L32" s="253">
        <v>63502.418477710802</v>
      </c>
      <c r="M32" s="253">
        <v>71702.982056305744</v>
      </c>
      <c r="N32" s="253">
        <v>77967.272835650947</v>
      </c>
      <c r="O32" s="253">
        <v>77967.272835650947</v>
      </c>
      <c r="Q32" s="5"/>
      <c r="S32" s="72"/>
      <c r="T32" s="26"/>
      <c r="U32" s="26"/>
      <c r="V32" s="113" t="s">
        <v>437</v>
      </c>
      <c r="W32" s="242">
        <f t="shared" si="5"/>
        <v>0.83848142388934743</v>
      </c>
      <c r="X32" s="242">
        <v>1</v>
      </c>
    </row>
    <row r="33" spans="2:24">
      <c r="B33" s="5" t="s">
        <v>3</v>
      </c>
      <c r="C33" s="423">
        <v>385.47399999999993</v>
      </c>
      <c r="D33" s="410">
        <v>443.62651971748346</v>
      </c>
      <c r="E33" s="410">
        <v>498.8984650592634</v>
      </c>
      <c r="F33" s="410">
        <v>555.99500992809476</v>
      </c>
      <c r="G33" s="410">
        <v>584.75062092714711</v>
      </c>
      <c r="H33" s="233">
        <f>IF(D33=0,"nm",IF(G33=0,"nm",(G33/D33)^(1/3)-1))</f>
        <v>9.6438803872705758E-2</v>
      </c>
      <c r="I33" s="5"/>
      <c r="Q33" s="5"/>
      <c r="S33" s="72"/>
      <c r="T33" s="26"/>
      <c r="U33" s="26"/>
      <c r="V33" s="113" t="s">
        <v>481</v>
      </c>
      <c r="W33" s="242">
        <f t="shared" si="5"/>
        <v>0.52126324517497535</v>
      </c>
      <c r="X33" s="242">
        <v>1</v>
      </c>
    </row>
    <row r="34" spans="2:24">
      <c r="H34" s="231"/>
      <c r="I34" s="33"/>
      <c r="J34" s="205"/>
      <c r="K34" s="205"/>
      <c r="L34" s="205"/>
      <c r="M34" s="205"/>
      <c r="N34" s="205"/>
      <c r="O34" s="211"/>
      <c r="Q34" s="5"/>
      <c r="S34" s="72"/>
      <c r="T34" s="26"/>
      <c r="U34" s="26"/>
      <c r="V34" s="113" t="s">
        <v>482</v>
      </c>
      <c r="W34" s="242">
        <f>D47/L19</f>
        <v>1.03371249087295</v>
      </c>
      <c r="X34" s="242">
        <v>1</v>
      </c>
    </row>
    <row r="35" spans="2:24" ht="12.6" thickBot="1">
      <c r="B35" s="249" t="s">
        <v>587</v>
      </c>
      <c r="C35" s="219"/>
      <c r="D35" s="219" t="str">
        <f>D5</f>
        <v>2025E</v>
      </c>
      <c r="E35" s="219" t="str">
        <f t="shared" ref="E35:H35" si="7">E5</f>
        <v>2026E</v>
      </c>
      <c r="F35" s="219" t="str">
        <f t="shared" si="7"/>
        <v>2027E</v>
      </c>
      <c r="G35" s="219" t="str">
        <f t="shared" si="7"/>
        <v>2028E</v>
      </c>
      <c r="H35" s="219" t="str">
        <f t="shared" si="7"/>
        <v>2025-28</v>
      </c>
      <c r="I35" s="214"/>
      <c r="J35" s="249" t="s">
        <v>1073</v>
      </c>
      <c r="K35" s="249"/>
      <c r="L35" s="249"/>
      <c r="M35" s="249"/>
      <c r="N35" s="220"/>
      <c r="O35" s="220"/>
      <c r="P35" s="220"/>
      <c r="Q35" s="5"/>
      <c r="S35" s="72"/>
      <c r="T35" s="26"/>
      <c r="U35" s="26"/>
      <c r="V35" s="26"/>
      <c r="W35" s="26"/>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12.161028432544857</v>
      </c>
      <c r="E37" s="406">
        <f t="shared" ref="E37:G41" si="8">E$18/E23</f>
        <v>12.145908512974501</v>
      </c>
      <c r="F37" s="406">
        <f t="shared" si="8"/>
        <v>11.520312912599492</v>
      </c>
      <c r="G37" s="406">
        <f t="shared" si="8"/>
        <v>10.649103396497427</v>
      </c>
      <c r="H37" s="13">
        <f t="shared" ref="H37:H45" si="9">H23</f>
        <v>1.961377504190831E-2</v>
      </c>
      <c r="I37" s="5"/>
      <c r="J37" s="208"/>
      <c r="K37" s="208"/>
      <c r="L37" s="208"/>
      <c r="M37" s="208"/>
      <c r="N37" s="208"/>
      <c r="O37" s="5"/>
      <c r="Q37" s="5"/>
      <c r="R37" s="5"/>
      <c r="S37" s="26"/>
      <c r="T37" s="26"/>
      <c r="U37" s="26"/>
      <c r="V37" s="26"/>
      <c r="W37" s="26"/>
      <c r="X37" s="26"/>
    </row>
    <row r="38" spans="2:24">
      <c r="B38" s="5" t="s">
        <v>158</v>
      </c>
      <c r="C38" s="207"/>
      <c r="D38" s="406">
        <f>D$18/D24</f>
        <v>17.876705197039147</v>
      </c>
      <c r="E38" s="406">
        <f t="shared" si="8"/>
        <v>17.487445562816884</v>
      </c>
      <c r="F38" s="406">
        <f t="shared" si="8"/>
        <v>16.719361232951421</v>
      </c>
      <c r="G38" s="406">
        <f t="shared" si="8"/>
        <v>15.456383943546125</v>
      </c>
      <c r="H38" s="13">
        <f t="shared" si="9"/>
        <v>2.3944618484634139E-2</v>
      </c>
      <c r="I38" s="217"/>
      <c r="J38" s="212"/>
      <c r="K38" s="212"/>
      <c r="L38" s="212"/>
      <c r="M38" s="212"/>
      <c r="N38" s="212"/>
      <c r="O38" s="5"/>
      <c r="Q38" s="5"/>
      <c r="R38" s="5"/>
      <c r="S38" s="26"/>
      <c r="T38" s="26"/>
      <c r="U38" s="26"/>
      <c r="V38" s="26"/>
      <c r="W38" s="26"/>
      <c r="X38" s="26"/>
    </row>
    <row r="39" spans="2:24">
      <c r="B39" s="5" t="s">
        <v>159</v>
      </c>
      <c r="C39" s="207"/>
      <c r="D39" s="406">
        <f>D$18/D25</f>
        <v>22.413225656872928</v>
      </c>
      <c r="E39" s="406">
        <f t="shared" si="8"/>
        <v>25.580122596303212</v>
      </c>
      <c r="F39" s="406">
        <f t="shared" si="8"/>
        <v>24.269454206332838</v>
      </c>
      <c r="G39" s="406">
        <f t="shared" si="8"/>
        <v>22.381488950016966</v>
      </c>
      <c r="H39" s="13">
        <f t="shared" si="9"/>
        <v>-2.4063104207353581E-2</v>
      </c>
      <c r="I39" s="13"/>
      <c r="J39" s="217"/>
      <c r="K39" s="217"/>
      <c r="L39" s="217"/>
      <c r="M39" s="217"/>
      <c r="N39" s="217"/>
      <c r="O39" s="14"/>
      <c r="Q39" s="5"/>
      <c r="R39" s="5"/>
      <c r="S39" s="26"/>
      <c r="T39" s="26"/>
      <c r="U39" s="26"/>
      <c r="V39" s="26"/>
      <c r="W39" s="26"/>
      <c r="X39" s="26"/>
    </row>
    <row r="40" spans="2:24">
      <c r="B40" s="5" t="s">
        <v>381</v>
      </c>
      <c r="C40" s="207"/>
      <c r="D40" s="406">
        <f>D$18/D26</f>
        <v>26.53249585038407</v>
      </c>
      <c r="E40" s="406">
        <f t="shared" si="8"/>
        <v>30.671364946396377</v>
      </c>
      <c r="F40" s="406">
        <f t="shared" si="8"/>
        <v>28.986948639231425</v>
      </c>
      <c r="G40" s="406">
        <f t="shared" si="8"/>
        <v>26.540020779801843</v>
      </c>
      <c r="H40" s="13">
        <f t="shared" si="9"/>
        <v>-2.4616159317523922E-2</v>
      </c>
      <c r="I40" s="5"/>
      <c r="J40" s="217"/>
      <c r="K40" s="217"/>
      <c r="L40" s="217"/>
      <c r="M40" s="217"/>
      <c r="N40" s="217"/>
      <c r="O40" s="14"/>
      <c r="Q40" s="5"/>
      <c r="R40" s="5"/>
      <c r="S40" s="26"/>
      <c r="T40" s="26"/>
      <c r="U40" s="26"/>
      <c r="V40" s="26"/>
      <c r="W40" s="242"/>
      <c r="X40" s="242"/>
    </row>
    <row r="41" spans="2:24">
      <c r="B41" s="5" t="s">
        <v>434</v>
      </c>
      <c r="C41" s="207"/>
      <c r="D41" s="406">
        <f>D$18/D27</f>
        <v>4.2286501488989883</v>
      </c>
      <c r="E41" s="406">
        <f t="shared" si="8"/>
        <v>4.1720209525582721</v>
      </c>
      <c r="F41" s="406">
        <f t="shared" si="8"/>
        <v>4.1299143687030497</v>
      </c>
      <c r="G41" s="406">
        <f t="shared" si="8"/>
        <v>4.0798563621003163</v>
      </c>
      <c r="H41" s="13">
        <f t="shared" si="9"/>
        <v>-1.2806618511759571E-2</v>
      </c>
      <c r="I41" s="207"/>
      <c r="J41" s="217"/>
      <c r="K41" s="217"/>
      <c r="L41" s="217"/>
      <c r="M41" s="217"/>
      <c r="N41" s="217"/>
      <c r="O41" s="14"/>
      <c r="Q41" s="5"/>
      <c r="R41" s="5"/>
      <c r="S41" s="26"/>
      <c r="T41" s="26"/>
      <c r="U41" s="26"/>
      <c r="V41" s="26"/>
      <c r="W41" s="242"/>
      <c r="X41" s="242"/>
    </row>
    <row r="42" spans="2:24">
      <c r="B42" s="5" t="s">
        <v>493</v>
      </c>
      <c r="C42" s="207"/>
      <c r="D42" s="406">
        <f>D18/D28</f>
        <v>9.1734139932106054</v>
      </c>
      <c r="E42" s="406">
        <f>E18/E28</f>
        <v>9.0505655560393592</v>
      </c>
      <c r="F42" s="406">
        <f>F18/F28</f>
        <v>8.6505132084149388</v>
      </c>
      <c r="G42" s="406">
        <f>G18/G28</f>
        <v>8.2425207264956164</v>
      </c>
      <c r="H42" s="13">
        <f t="shared" si="9"/>
        <v>1.0897034910636982E-2</v>
      </c>
      <c r="I42" s="208"/>
      <c r="J42" s="5"/>
      <c r="K42" s="5"/>
      <c r="L42" s="5"/>
      <c r="M42" s="5"/>
      <c r="N42" s="5"/>
      <c r="O42" s="5"/>
      <c r="Q42" s="5"/>
      <c r="R42" s="5"/>
      <c r="S42" s="26"/>
      <c r="T42" s="26"/>
      <c r="U42" s="26"/>
      <c r="V42" s="26"/>
      <c r="W42" s="242"/>
      <c r="X42" s="242"/>
    </row>
    <row r="43" spans="2:24">
      <c r="B43" s="5" t="s">
        <v>390</v>
      </c>
      <c r="C43" s="207"/>
      <c r="D43" s="406">
        <f>L26/D29</f>
        <v>17.896624653966548</v>
      </c>
      <c r="E43" s="406">
        <f>M26/E29</f>
        <v>21.046657191077472</v>
      </c>
      <c r="F43" s="406">
        <f>N26/F29</f>
        <v>20.246909836981231</v>
      </c>
      <c r="G43" s="406">
        <f>O26/G29</f>
        <v>18.918432647470802</v>
      </c>
      <c r="H43" s="13">
        <f t="shared" si="9"/>
        <v>-2.4616159317523922E-2</v>
      </c>
      <c r="I43" s="207"/>
      <c r="J43" s="53"/>
      <c r="K43" s="53"/>
      <c r="L43" s="53"/>
      <c r="M43" s="53"/>
      <c r="N43" s="53"/>
      <c r="O43" s="53"/>
      <c r="Q43" s="5"/>
      <c r="R43" s="5"/>
      <c r="S43" s="26"/>
      <c r="T43" s="26"/>
      <c r="U43" s="26"/>
      <c r="V43" s="26"/>
      <c r="W43" s="242"/>
      <c r="X43" s="242"/>
    </row>
    <row r="44" spans="2:24">
      <c r="B44" s="5" t="s">
        <v>437</v>
      </c>
      <c r="C44" s="53"/>
      <c r="D44" s="406">
        <f>D11/D30</f>
        <v>15.639487593612129</v>
      </c>
      <c r="E44" s="406">
        <f>E11/E30</f>
        <v>16.866019553504376</v>
      </c>
      <c r="F44" s="406">
        <f>F11/F30</f>
        <v>16.892330873723331</v>
      </c>
      <c r="G44" s="406">
        <f>G11/G30</f>
        <v>15.894676028300815</v>
      </c>
      <c r="H44" s="13">
        <f t="shared" si="9"/>
        <v>-1.1741608714975205E-2</v>
      </c>
      <c r="I44" s="207"/>
      <c r="J44" s="217"/>
      <c r="K44" s="217"/>
      <c r="L44" s="217"/>
      <c r="M44" s="217"/>
      <c r="N44" s="217"/>
      <c r="O44" s="14"/>
      <c r="Q44" s="5"/>
      <c r="R44" s="5"/>
      <c r="S44" s="26"/>
      <c r="T44" s="26"/>
      <c r="U44" s="26"/>
      <c r="V44" s="26"/>
      <c r="W44" s="255"/>
      <c r="X44" s="255"/>
    </row>
    <row r="45" spans="2:24">
      <c r="B45" s="5" t="s">
        <v>481</v>
      </c>
      <c r="C45" s="207"/>
      <c r="D45" s="208">
        <f>D31/D11</f>
        <v>2.0663660461762025E-2</v>
      </c>
      <c r="E45" s="208">
        <f>E31/E11</f>
        <v>2.3462114942528738E-2</v>
      </c>
      <c r="F45" s="208">
        <f>F31/F11</f>
        <v>2.8154537931034486E-2</v>
      </c>
      <c r="G45" s="208">
        <f>G31/G11</f>
        <v>3.3785445517241379E-2</v>
      </c>
      <c r="H45" s="13">
        <f t="shared" si="9"/>
        <v>0.17054387054623654</v>
      </c>
      <c r="I45" s="208"/>
      <c r="J45" s="13"/>
      <c r="K45" s="13"/>
      <c r="L45" s="13"/>
      <c r="M45" s="13"/>
      <c r="N45" s="13"/>
      <c r="O45" s="5"/>
      <c r="Q45" s="5"/>
      <c r="R45" s="5"/>
      <c r="S45" s="26"/>
      <c r="T45" s="26"/>
      <c r="U45" s="26"/>
      <c r="V45" s="26"/>
      <c r="W45" s="26"/>
      <c r="X45" s="26"/>
    </row>
    <row r="46" spans="2:24">
      <c r="B46" s="5" t="s">
        <v>505</v>
      </c>
      <c r="C46" s="207"/>
      <c r="D46" s="208">
        <f>(D31+D32)/D11</f>
        <v>5.3342597480879848E-3</v>
      </c>
      <c r="E46" s="208">
        <f>(E31+E32)/E11</f>
        <v>4.1851494726994299E-3</v>
      </c>
      <c r="F46" s="208">
        <f>(F31+F32)/F11</f>
        <v>8.6639320815986107E-3</v>
      </c>
      <c r="G46" s="208">
        <f>(G31+G32)/G11</f>
        <v>1.4061231732511323E-2</v>
      </c>
      <c r="H46" s="233" t="s">
        <v>507</v>
      </c>
      <c r="I46" s="207"/>
      <c r="J46" s="5"/>
      <c r="K46" s="5"/>
      <c r="L46" s="5"/>
      <c r="M46" s="5"/>
      <c r="N46" s="5"/>
      <c r="O46" s="5"/>
      <c r="Q46" s="5"/>
      <c r="R46" s="5"/>
      <c r="S46" s="26"/>
      <c r="T46" s="26"/>
      <c r="U46" s="26"/>
      <c r="V46" s="26"/>
      <c r="W46" s="26"/>
      <c r="X46" s="26"/>
    </row>
    <row r="47" spans="2:24">
      <c r="B47" s="5" t="s">
        <v>482</v>
      </c>
      <c r="C47" s="5"/>
      <c r="D47" s="208">
        <f>1/D43</f>
        <v>5.5876458233612411E-2</v>
      </c>
      <c r="E47" s="208">
        <f>1/E43</f>
        <v>4.7513483539036325E-2</v>
      </c>
      <c r="F47" s="208">
        <f>1/F43</f>
        <v>4.9390253033748763E-2</v>
      </c>
      <c r="G47" s="208">
        <f>1/G43</f>
        <v>5.2858501474945897E-2</v>
      </c>
      <c r="H47" s="13">
        <f>H29</f>
        <v>-2.4616159317523922E-2</v>
      </c>
      <c r="I47" s="13"/>
      <c r="J47" s="217"/>
      <c r="K47" s="217"/>
      <c r="L47" s="217"/>
      <c r="M47" s="217"/>
      <c r="N47" s="217"/>
      <c r="O47" s="14"/>
      <c r="Q47" s="5"/>
      <c r="R47" s="5"/>
      <c r="S47" s="26"/>
      <c r="T47" s="26"/>
      <c r="U47" s="26"/>
      <c r="V47" s="26"/>
      <c r="W47" s="26"/>
      <c r="X47" s="26"/>
    </row>
    <row r="48" spans="2:24">
      <c r="B48" s="5" t="s">
        <v>518</v>
      </c>
      <c r="C48" s="5"/>
      <c r="D48" s="248">
        <f>D31/D29</f>
        <v>0.36980977526116399</v>
      </c>
      <c r="E48" s="248">
        <f>E31/E29</f>
        <v>0.49379909017305867</v>
      </c>
      <c r="F48" s="248">
        <f>F31/F29</f>
        <v>0.57004239099152343</v>
      </c>
      <c r="G48" s="248">
        <f>G31/G29</f>
        <v>0.63916767548272546</v>
      </c>
      <c r="H48" s="233" t="s">
        <v>507</v>
      </c>
      <c r="I48" s="207"/>
      <c r="J48" s="13"/>
      <c r="K48" s="13"/>
      <c r="L48" s="13"/>
      <c r="M48" s="13"/>
      <c r="N48" s="13"/>
      <c r="O48" s="5"/>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3">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853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795</v>
      </c>
      <c r="C9" s="239">
        <f>Prices!C66</f>
        <v>220.2</v>
      </c>
      <c r="D9" s="410">
        <v>0</v>
      </c>
      <c r="E9" s="410">
        <v>0</v>
      </c>
      <c r="F9" s="410">
        <v>0</v>
      </c>
      <c r="G9" s="410">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46812.471615000002</v>
      </c>
      <c r="E10" s="408">
        <v>46312.471615000002</v>
      </c>
      <c r="F10" s="408">
        <v>45812.471615000002</v>
      </c>
      <c r="G10" s="408">
        <v>45312.471615000002</v>
      </c>
      <c r="H10" s="209"/>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10308.106249623001</v>
      </c>
      <c r="E11" s="409">
        <f t="shared" ref="E11:G11" si="2">($C$9*E10)/1000</f>
        <v>10198.006249623</v>
      </c>
      <c r="F11" s="409">
        <f t="shared" si="2"/>
        <v>10087.906249623</v>
      </c>
      <c r="G11" s="409">
        <f t="shared" si="2"/>
        <v>9977.8062496230013</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4039.2943183508742</v>
      </c>
      <c r="E12" s="410">
        <v>3594.5908638024384</v>
      </c>
      <c r="F12" s="410">
        <v>3062.4091396840222</v>
      </c>
      <c r="G12" s="410">
        <v>2429.1681069197139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f t="shared" ref="E14:G15" si="3">D14</f>
        <v>0</v>
      </c>
      <c r="F14" s="410">
        <f t="shared" si="3"/>
        <v>0</v>
      </c>
      <c r="G14" s="410">
        <f t="shared" si="3"/>
        <v>0</v>
      </c>
      <c r="H14" s="209"/>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f t="shared" si="3"/>
        <v>0</v>
      </c>
      <c r="F15" s="410">
        <f t="shared" si="3"/>
        <v>0</v>
      </c>
      <c r="G15" s="410">
        <f t="shared" si="3"/>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398.28725588899999</v>
      </c>
      <c r="F16" s="410">
        <v>792.27451177800003</v>
      </c>
      <c r="G16" s="410">
        <v>1181.961767667</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857</v>
      </c>
      <c r="C18" s="209"/>
      <c r="D18" s="411">
        <f>D11+D12+D13-SBKK!D14+D15-D16-D17</f>
        <v>14347.400567973875</v>
      </c>
      <c r="E18" s="411">
        <f>E11+E12+E13-E14+E15-E16-E17</f>
        <v>13394.30985753644</v>
      </c>
      <c r="F18" s="411">
        <f>F11+F12+F13-F14+F15-F16-F17</f>
        <v>12358.040877529023</v>
      </c>
      <c r="G18" s="411">
        <f>G11+G12+G13-G14+G15-G16-G17</f>
        <v>11225.012588875716</v>
      </c>
      <c r="H18" s="230">
        <f>IF(D18=0,"nm",IF(G18=0,"nm",(G18/D18)^(1/3)-1))</f>
        <v>-7.8551209391452659E-2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796</v>
      </c>
      <c r="C21" s="219"/>
      <c r="D21" s="219" t="str">
        <f>D5</f>
        <v>2025E</v>
      </c>
      <c r="E21" s="219" t="str">
        <f t="shared" ref="E21:H21" si="4">E5</f>
        <v>2026E</v>
      </c>
      <c r="F21" s="219" t="str">
        <f t="shared" si="4"/>
        <v>2027E</v>
      </c>
      <c r="G21" s="219" t="str">
        <f t="shared" si="4"/>
        <v>2028E</v>
      </c>
      <c r="H21" s="219" t="str">
        <f t="shared" si="4"/>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6544.4</v>
      </c>
      <c r="D23" s="416">
        <v>6917.1680055235393</v>
      </c>
      <c r="E23" s="416">
        <v>7277.0058391689909</v>
      </c>
      <c r="F23" s="416">
        <v>7653.1029342715638</v>
      </c>
      <c r="G23" s="416">
        <v>8016.777215395472</v>
      </c>
      <c r="H23" s="233">
        <f t="shared" ref="H23:H32" si="5">IF(D23=0,"nm",IF(G23=0,"nm",(G23/D23)^(1/3)-1))</f>
        <v>5.040592690688217E-2</v>
      </c>
      <c r="I23" s="207"/>
      <c r="J23" s="249" t="s">
        <v>7</v>
      </c>
      <c r="K23" s="249"/>
      <c r="L23" s="219" t="str">
        <f>D21</f>
        <v>2025E</v>
      </c>
      <c r="M23" s="219" t="str">
        <f t="shared" ref="M23:P23" si="6">E21</f>
        <v>2026E</v>
      </c>
      <c r="N23" s="219" t="str">
        <f t="shared" si="6"/>
        <v>2027E</v>
      </c>
      <c r="O23" s="219" t="str">
        <f t="shared" si="6"/>
        <v>2028E</v>
      </c>
      <c r="P23" s="219" t="str">
        <f t="shared" si="6"/>
        <v>2025-28</v>
      </c>
      <c r="S23" s="72"/>
      <c r="T23" s="26"/>
      <c r="U23" s="26"/>
      <c r="V23" s="26"/>
      <c r="W23" s="26"/>
      <c r="X23" s="26"/>
    </row>
    <row r="24" spans="2:24" ht="12.6" thickTop="1">
      <c r="B24" s="5" t="s">
        <v>397</v>
      </c>
      <c r="C24" s="423">
        <v>1753.1000000000001</v>
      </c>
      <c r="D24" s="416">
        <v>1778.851354352882</v>
      </c>
      <c r="E24" s="416">
        <v>1918.3614803403896</v>
      </c>
      <c r="F24" s="416">
        <v>2059.264921254643</v>
      </c>
      <c r="G24" s="416">
        <v>2186.63353303853</v>
      </c>
      <c r="H24" s="233">
        <f t="shared" si="5"/>
        <v>7.1220269421736537E-2</v>
      </c>
      <c r="I24" s="209"/>
      <c r="J24" s="13"/>
      <c r="K24" s="13"/>
      <c r="L24" s="13"/>
      <c r="M24" s="13"/>
      <c r="N24" s="13"/>
      <c r="O24" s="208"/>
      <c r="S24" s="72"/>
      <c r="T24" s="26"/>
      <c r="U24" s="26"/>
      <c r="V24" s="26"/>
      <c r="W24" s="26" t="s">
        <v>852</v>
      </c>
      <c r="X24" s="26" t="s">
        <v>209</v>
      </c>
    </row>
    <row r="25" spans="2:24">
      <c r="B25" s="5" t="s">
        <v>157</v>
      </c>
      <c r="C25" s="422">
        <v>1009.6000000000001</v>
      </c>
      <c r="D25" s="416">
        <v>1218.1883941617034</v>
      </c>
      <c r="E25" s="416">
        <v>1349.8620337934149</v>
      </c>
      <c r="F25" s="416">
        <v>1484.9108676480896</v>
      </c>
      <c r="G25" s="416">
        <v>1606.7752106120129</v>
      </c>
      <c r="H25" s="233">
        <f t="shared" si="5"/>
        <v>9.6680753411503284E-2</v>
      </c>
      <c r="I25" s="208"/>
      <c r="J25" s="207" t="s">
        <v>8</v>
      </c>
      <c r="K25" s="207"/>
      <c r="L25" s="252">
        <v>0</v>
      </c>
      <c r="M25" s="252">
        <v>0</v>
      </c>
      <c r="N25" s="252">
        <v>0</v>
      </c>
      <c r="O25" s="252">
        <v>0</v>
      </c>
      <c r="P25" s="233" t="str">
        <f>IF(L25=0,"nm",IF(O25=0,"nm",(O25/L25)^(1/3)-1))</f>
        <v>nm</v>
      </c>
      <c r="S25" s="72"/>
      <c r="T25" s="26"/>
      <c r="U25" s="26"/>
      <c r="V25" s="113" t="s">
        <v>225</v>
      </c>
      <c r="W25" s="242">
        <f>D37/L9</f>
        <v>0.99994091746369074</v>
      </c>
      <c r="X25" s="242">
        <v>1</v>
      </c>
    </row>
    <row r="26" spans="2:24">
      <c r="B26" s="5" t="s">
        <v>487</v>
      </c>
      <c r="C26" s="422">
        <v>1009.6000000000001</v>
      </c>
      <c r="D26" s="416">
        <v>976.08795404627892</v>
      </c>
      <c r="E26" s="416">
        <v>1022.7189697107665</v>
      </c>
      <c r="F26" s="416">
        <v>1093.6201127825898</v>
      </c>
      <c r="G26" s="416">
        <v>1175.2443515802681</v>
      </c>
      <c r="H26" s="233">
        <f t="shared" si="5"/>
        <v>6.3848387890190095E-2</v>
      </c>
      <c r="I26" s="209"/>
      <c r="J26" s="209" t="s">
        <v>9</v>
      </c>
      <c r="K26" s="209"/>
      <c r="L26" s="235">
        <f>D11+L25</f>
        <v>10308.106249623001</v>
      </c>
      <c r="M26" s="235">
        <f>E11+M25</f>
        <v>10198.006249623</v>
      </c>
      <c r="N26" s="235">
        <f>F11+N25</f>
        <v>10087.906249623</v>
      </c>
      <c r="O26" s="235">
        <f>G11+O25</f>
        <v>9977.8062496230013</v>
      </c>
      <c r="P26" s="233">
        <f>IF(L26=0,"nm",IF(O26=0,"nm",(O26/L26)^(1/3)-1))</f>
        <v>-1.0797071545027737E-2</v>
      </c>
      <c r="Q26" s="5"/>
      <c r="S26" s="72"/>
      <c r="T26" s="26"/>
      <c r="U26" s="26"/>
      <c r="V26" s="113" t="s">
        <v>158</v>
      </c>
      <c r="W26" s="242">
        <f t="shared" ref="W26:W33" si="7">D38/L10</f>
        <v>1.2984553318385292</v>
      </c>
      <c r="X26" s="242">
        <v>1</v>
      </c>
    </row>
    <row r="27" spans="2:24">
      <c r="B27" s="5" t="s">
        <v>488</v>
      </c>
      <c r="C27" s="423">
        <v>4482.1000000000004</v>
      </c>
      <c r="D27" s="416">
        <v>4039.2943183508742</v>
      </c>
      <c r="E27" s="416">
        <v>3594.5908638024384</v>
      </c>
      <c r="F27" s="416">
        <v>3062.4091396840222</v>
      </c>
      <c r="G27" s="416">
        <v>2429.1681069197139</v>
      </c>
      <c r="H27" s="233">
        <f t="shared" si="5"/>
        <v>-0.15591919550331912</v>
      </c>
      <c r="I27" s="209"/>
      <c r="J27" s="208"/>
      <c r="K27" s="208"/>
      <c r="L27" s="208"/>
      <c r="M27" s="208"/>
      <c r="N27" s="208"/>
      <c r="O27" s="208"/>
      <c r="Q27" s="25"/>
      <c r="S27" s="72"/>
      <c r="T27" s="26"/>
      <c r="U27" s="26"/>
      <c r="V27" s="113" t="s">
        <v>159</v>
      </c>
      <c r="W27" s="242">
        <f t="shared" si="7"/>
        <v>1.1385988554047739</v>
      </c>
      <c r="X27" s="242">
        <v>1</v>
      </c>
    </row>
    <row r="28" spans="2:24" ht="12.6" thickBot="1">
      <c r="B28" s="5" t="s">
        <v>492</v>
      </c>
      <c r="C28" s="422">
        <v>1966.9949999999999</v>
      </c>
      <c r="D28" s="416">
        <v>1769.1977878570779</v>
      </c>
      <c r="E28" s="416">
        <v>1553.3864702314761</v>
      </c>
      <c r="F28" s="416">
        <v>1320.4084412911873</v>
      </c>
      <c r="G28" s="416">
        <v>1072.5770811908769</v>
      </c>
      <c r="H28" s="233">
        <f t="shared" si="5"/>
        <v>-0.15364861672303309</v>
      </c>
      <c r="I28" s="208"/>
      <c r="J28" s="249" t="s">
        <v>1073</v>
      </c>
      <c r="K28" s="249"/>
      <c r="L28" s="249"/>
      <c r="M28" s="249"/>
      <c r="N28" s="220"/>
      <c r="O28" s="220"/>
      <c r="P28" s="220"/>
      <c r="Q28" s="5"/>
      <c r="S28" s="72"/>
      <c r="T28" s="26"/>
      <c r="U28" s="26"/>
      <c r="V28" s="113" t="s">
        <v>381</v>
      </c>
      <c r="W28" s="242">
        <f t="shared" si="7"/>
        <v>1.0847858777830621</v>
      </c>
      <c r="X28" s="242">
        <v>1</v>
      </c>
    </row>
    <row r="29" spans="2:24" ht="12.6" thickTop="1">
      <c r="B29" s="5" t="s">
        <v>489</v>
      </c>
      <c r="C29" s="422">
        <v>381.30400000000009</v>
      </c>
      <c r="D29" s="416">
        <v>572.61672062633954</v>
      </c>
      <c r="E29" s="416">
        <v>603.92772990239678</v>
      </c>
      <c r="F29" s="416">
        <v>659.74162229005219</v>
      </c>
      <c r="G29" s="416">
        <v>727.99176020722655</v>
      </c>
      <c r="H29" s="233">
        <f t="shared" si="5"/>
        <v>8.3313477186794049E-2</v>
      </c>
      <c r="I29" s="212"/>
      <c r="J29" s="209"/>
      <c r="K29" s="209"/>
      <c r="L29" s="209"/>
      <c r="M29" s="209"/>
      <c r="N29" s="209"/>
      <c r="O29" s="211"/>
      <c r="Q29" s="5"/>
      <c r="S29" s="72"/>
      <c r="T29" s="26"/>
      <c r="U29" s="26"/>
      <c r="V29" s="113" t="s">
        <v>434</v>
      </c>
      <c r="W29" s="242">
        <f t="shared" si="7"/>
        <v>2.0561804628432485</v>
      </c>
      <c r="X29" s="242">
        <v>1</v>
      </c>
    </row>
    <row r="30" spans="2:24">
      <c r="B30" s="5" t="s">
        <v>490</v>
      </c>
      <c r="C30" s="423">
        <v>526.1</v>
      </c>
      <c r="D30" s="416">
        <v>558.74870862150635</v>
      </c>
      <c r="E30" s="416">
        <v>581.04155825601947</v>
      </c>
      <c r="F30" s="416">
        <v>629.0911667065526</v>
      </c>
      <c r="G30" s="416">
        <v>691.57983049180302</v>
      </c>
      <c r="H30" s="233">
        <f t="shared" si="5"/>
        <v>7.3680985918841202E-2</v>
      </c>
      <c r="I30" s="214"/>
      <c r="J30" s="208"/>
      <c r="K30" s="208"/>
      <c r="L30" s="208"/>
      <c r="M30" s="208"/>
      <c r="N30" s="208"/>
      <c r="O30" s="5"/>
      <c r="Q30" s="5"/>
      <c r="S30" s="72"/>
      <c r="T30" s="26"/>
      <c r="U30" s="26"/>
      <c r="V30" s="113" t="s">
        <v>493</v>
      </c>
      <c r="W30" s="242">
        <f t="shared" si="7"/>
        <v>2.486648118403318</v>
      </c>
      <c r="X30" s="242">
        <v>1</v>
      </c>
    </row>
    <row r="31" spans="2:24">
      <c r="B31" s="5" t="s">
        <v>491</v>
      </c>
      <c r="C31" s="423">
        <v>406.88725588900002</v>
      </c>
      <c r="D31" s="416">
        <v>402.58725588900001</v>
      </c>
      <c r="E31" s="416">
        <v>398.28725588899999</v>
      </c>
      <c r="F31" s="416">
        <v>393.98725588900004</v>
      </c>
      <c r="G31" s="416">
        <v>389.68725588900003</v>
      </c>
      <c r="H31" s="233">
        <f t="shared" si="5"/>
        <v>-1.0797071545027737E-2</v>
      </c>
      <c r="I31" s="214"/>
      <c r="J31" s="212"/>
      <c r="K31" s="212"/>
      <c r="L31" s="212"/>
      <c r="M31" s="212"/>
      <c r="N31" s="212"/>
      <c r="O31" s="5"/>
      <c r="Q31" s="5"/>
      <c r="S31" s="72"/>
      <c r="T31" s="26"/>
      <c r="U31" s="26"/>
      <c r="V31" s="113" t="s">
        <v>390</v>
      </c>
      <c r="W31" s="242">
        <f t="shared" si="7"/>
        <v>1.1188616017421347</v>
      </c>
      <c r="X31" s="242">
        <v>1</v>
      </c>
    </row>
    <row r="32" spans="2:24">
      <c r="B32" s="5" t="s">
        <v>506</v>
      </c>
      <c r="C32" s="424">
        <v>0</v>
      </c>
      <c r="D32" s="416">
        <v>0</v>
      </c>
      <c r="E32" s="416">
        <v>526.82600000000002</v>
      </c>
      <c r="F32" s="416">
        <v>66.856999999999999</v>
      </c>
      <c r="G32" s="416">
        <v>0</v>
      </c>
      <c r="H32" s="233" t="str">
        <f t="shared" si="5"/>
        <v>nm</v>
      </c>
      <c r="I32" s="214"/>
      <c r="J32" s="214"/>
      <c r="K32" s="214"/>
      <c r="L32" s="214"/>
      <c r="M32" s="214"/>
      <c r="N32" s="214"/>
      <c r="O32" s="211"/>
      <c r="Q32" s="5"/>
      <c r="S32" s="72"/>
      <c r="T32" s="26"/>
      <c r="U32" s="26"/>
      <c r="V32" s="113" t="s">
        <v>437</v>
      </c>
      <c r="W32" s="242">
        <f t="shared" si="7"/>
        <v>1.0691459940815402</v>
      </c>
      <c r="X32" s="242">
        <v>1</v>
      </c>
    </row>
    <row r="33" spans="2:24">
      <c r="B33" s="5" t="s">
        <v>3</v>
      </c>
      <c r="C33" s="423">
        <v>-105.676</v>
      </c>
      <c r="D33" s="416">
        <v>-95.2356431133028</v>
      </c>
      <c r="E33" s="416">
        <v>-84.750509449592329</v>
      </c>
      <c r="F33" s="416">
        <v>-72.203278509316632</v>
      </c>
      <c r="G33" s="416">
        <v>-57.274580718536299</v>
      </c>
      <c r="H33" s="233">
        <f>IF(D33=0,"nm",IF(G33=0,"nm",(G33/D33)^(1/3)-1))</f>
        <v>-0.15591250451273397</v>
      </c>
      <c r="I33" s="5"/>
      <c r="J33" s="214"/>
      <c r="K33" s="214"/>
      <c r="L33" s="214"/>
      <c r="M33" s="214"/>
      <c r="N33" s="214"/>
      <c r="O33" s="211"/>
      <c r="Q33" s="5"/>
      <c r="S33" s="72"/>
      <c r="T33" s="26"/>
      <c r="U33" s="26"/>
      <c r="V33" s="113" t="s">
        <v>481</v>
      </c>
      <c r="W33" s="242">
        <f t="shared" si="7"/>
        <v>0.9154130875670381</v>
      </c>
      <c r="X33" s="242">
        <v>1</v>
      </c>
    </row>
    <row r="34" spans="2:24">
      <c r="B34" s="5"/>
      <c r="H34" s="231"/>
      <c r="I34" s="33"/>
      <c r="J34" s="214"/>
      <c r="K34" s="214"/>
      <c r="L34" s="214"/>
      <c r="M34" s="214"/>
      <c r="N34" s="214"/>
      <c r="O34" s="211"/>
      <c r="Q34" s="5"/>
      <c r="S34" s="72"/>
      <c r="T34" s="26"/>
      <c r="U34" s="26"/>
      <c r="V34" s="113" t="s">
        <v>482</v>
      </c>
      <c r="W34" s="242">
        <f>D47/L19</f>
        <v>0.8937655903491013</v>
      </c>
      <c r="X34" s="242">
        <v>1</v>
      </c>
    </row>
    <row r="35" spans="2:24" ht="12.6" thickBot="1">
      <c r="B35" s="249" t="s">
        <v>854</v>
      </c>
      <c r="C35" s="219"/>
      <c r="D35" s="219" t="str">
        <f>D5</f>
        <v>2025E</v>
      </c>
      <c r="E35" s="219" t="str">
        <f t="shared" ref="E35:H35" si="8">E5</f>
        <v>2026E</v>
      </c>
      <c r="F35" s="219" t="str">
        <f t="shared" si="8"/>
        <v>2027E</v>
      </c>
      <c r="G35" s="219" t="str">
        <f t="shared" si="8"/>
        <v>2028E</v>
      </c>
      <c r="H35" s="219" t="str">
        <f t="shared" si="8"/>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2.0741726319957965</v>
      </c>
      <c r="E37" s="406">
        <f t="shared" ref="E37:G41" si="9">E$18/E23</f>
        <v>1.8406347546734996</v>
      </c>
      <c r="F37" s="406">
        <f t="shared" si="9"/>
        <v>1.6147752073460493</v>
      </c>
      <c r="G37" s="406">
        <f t="shared" si="9"/>
        <v>1.4001901621164086</v>
      </c>
      <c r="H37" s="13">
        <f t="shared" ref="H37:H45" si="10">H23</f>
        <v>5.040592690688217E-2</v>
      </c>
      <c r="I37" s="5"/>
      <c r="J37" s="217"/>
      <c r="K37" s="217"/>
      <c r="L37" s="217"/>
      <c r="M37" s="217"/>
      <c r="N37" s="217"/>
      <c r="O37" s="14"/>
      <c r="Q37" s="5"/>
      <c r="R37" s="5"/>
      <c r="S37" s="26"/>
      <c r="T37" s="26"/>
      <c r="U37" s="26"/>
      <c r="V37" s="26"/>
      <c r="W37" s="26"/>
      <c r="X37" s="26"/>
    </row>
    <row r="38" spans="2:24">
      <c r="B38" s="5" t="s">
        <v>158</v>
      </c>
      <c r="C38" s="207"/>
      <c r="D38" s="406">
        <f>D$18/D24</f>
        <v>8.0655421448596716</v>
      </c>
      <c r="E38" s="406">
        <f t="shared" si="9"/>
        <v>6.982161597177079</v>
      </c>
      <c r="F38" s="406">
        <f t="shared" si="9"/>
        <v>6.0011904005045027</v>
      </c>
      <c r="G38" s="406">
        <f t="shared" si="9"/>
        <v>5.1334676886974835</v>
      </c>
      <c r="H38" s="13">
        <f t="shared" si="10"/>
        <v>7.1220269421736537E-2</v>
      </c>
      <c r="I38" s="217"/>
      <c r="J38" s="13"/>
      <c r="K38" s="13"/>
      <c r="L38" s="13"/>
      <c r="M38" s="13"/>
      <c r="N38" s="13"/>
      <c r="O38" s="5"/>
      <c r="Q38" s="5"/>
      <c r="R38" s="5"/>
      <c r="S38" s="26"/>
      <c r="T38" s="26"/>
      <c r="U38" s="26"/>
      <c r="V38" s="26"/>
      <c r="W38" s="26"/>
      <c r="X38" s="26"/>
    </row>
    <row r="39" spans="2:24">
      <c r="B39" s="5" t="s">
        <v>159</v>
      </c>
      <c r="C39" s="207"/>
      <c r="D39" s="406">
        <f>D$18/D25</f>
        <v>11.777653306118584</v>
      </c>
      <c r="E39" s="406">
        <f t="shared" si="9"/>
        <v>9.922725080203513</v>
      </c>
      <c r="F39" s="406">
        <f t="shared" si="9"/>
        <v>8.3224125749059894</v>
      </c>
      <c r="G39" s="406">
        <f t="shared" si="9"/>
        <v>6.986050391330199</v>
      </c>
      <c r="H39" s="13">
        <f t="shared" si="10"/>
        <v>9.6680753411503284E-2</v>
      </c>
      <c r="I39" s="13"/>
      <c r="J39" s="5"/>
      <c r="K39" s="5"/>
      <c r="L39" s="5"/>
      <c r="M39" s="5"/>
      <c r="N39" s="5"/>
      <c r="O39" s="5"/>
      <c r="Q39" s="5"/>
      <c r="R39" s="5"/>
      <c r="S39" s="26"/>
      <c r="T39" s="26"/>
      <c r="U39" s="26"/>
      <c r="V39" s="26"/>
      <c r="W39" s="26"/>
      <c r="X39" s="26"/>
    </row>
    <row r="40" spans="2:24">
      <c r="B40" s="5" t="s">
        <v>381</v>
      </c>
      <c r="C40" s="207"/>
      <c r="D40" s="406">
        <f>D$18/D26</f>
        <v>14.698880883119296</v>
      </c>
      <c r="E40" s="406">
        <f t="shared" si="9"/>
        <v>13.096764853520282</v>
      </c>
      <c r="F40" s="406">
        <f t="shared" si="9"/>
        <v>11.300122165900387</v>
      </c>
      <c r="G40" s="406">
        <f t="shared" si="9"/>
        <v>9.5512159439713393</v>
      </c>
      <c r="H40" s="13">
        <f t="shared" si="10"/>
        <v>6.3848387890190095E-2</v>
      </c>
      <c r="I40" s="5"/>
      <c r="J40" s="217"/>
      <c r="K40" s="217"/>
      <c r="L40" s="217"/>
      <c r="M40" s="217"/>
      <c r="N40" s="217"/>
      <c r="O40" s="14"/>
      <c r="Q40" s="5"/>
      <c r="R40" s="5"/>
      <c r="S40" s="26"/>
      <c r="T40" s="26"/>
      <c r="U40" s="26"/>
      <c r="V40" s="26"/>
      <c r="W40" s="242"/>
      <c r="X40" s="242"/>
    </row>
    <row r="41" spans="2:24">
      <c r="B41" s="5" t="s">
        <v>434</v>
      </c>
      <c r="C41" s="207"/>
      <c r="D41" s="406">
        <f>D$18/D27</f>
        <v>3.5519572076717347</v>
      </c>
      <c r="E41" s="406">
        <f t="shared" si="9"/>
        <v>3.7262404443346413</v>
      </c>
      <c r="F41" s="406">
        <f t="shared" si="9"/>
        <v>4.0353983788084307</v>
      </c>
      <c r="G41" s="406">
        <f t="shared" si="9"/>
        <v>4.6209286862034009</v>
      </c>
      <c r="H41" s="13">
        <f t="shared" si="10"/>
        <v>-0.15591919550331912</v>
      </c>
      <c r="I41" s="207"/>
      <c r="J41" s="13"/>
      <c r="K41" s="13"/>
      <c r="L41" s="13"/>
      <c r="M41" s="13"/>
      <c r="N41" s="13"/>
      <c r="O41" s="5"/>
      <c r="Q41" s="5"/>
      <c r="R41" s="5"/>
      <c r="S41" s="26"/>
      <c r="T41" s="26"/>
      <c r="U41" s="26"/>
      <c r="V41" s="26"/>
      <c r="W41" s="242"/>
      <c r="X41" s="242"/>
    </row>
    <row r="42" spans="2:24">
      <c r="B42" s="5" t="s">
        <v>493</v>
      </c>
      <c r="C42" s="207"/>
      <c r="D42" s="406">
        <f>D18/D28</f>
        <v>8.1095514964169233</v>
      </c>
      <c r="E42" s="406">
        <f>E18/E28</f>
        <v>8.6226512939439353</v>
      </c>
      <c r="F42" s="406">
        <f>F18/F28</f>
        <v>9.3592561900350102</v>
      </c>
      <c r="G42" s="406">
        <f>G18/G28</f>
        <v>10.465460045456725</v>
      </c>
      <c r="H42" s="13">
        <f t="shared" si="10"/>
        <v>-0.15364861672303309</v>
      </c>
      <c r="I42" s="208"/>
      <c r="J42" s="5"/>
      <c r="K42" s="5"/>
      <c r="L42" s="5"/>
      <c r="M42" s="5"/>
      <c r="N42" s="5"/>
      <c r="O42" s="5"/>
      <c r="Q42" s="5"/>
      <c r="R42" s="5"/>
      <c r="S42" s="26"/>
      <c r="T42" s="26"/>
      <c r="U42" s="26"/>
      <c r="V42" s="26"/>
      <c r="W42" s="242"/>
      <c r="X42" s="242"/>
    </row>
    <row r="43" spans="2:24">
      <c r="B43" s="5" t="s">
        <v>390</v>
      </c>
      <c r="C43" s="207"/>
      <c r="D43" s="406">
        <f>L26/D29</f>
        <v>18.001755586787247</v>
      </c>
      <c r="E43" s="406">
        <f>M26/E29</f>
        <v>16.886136775456794</v>
      </c>
      <c r="F43" s="406">
        <f>N26/F29</f>
        <v>15.290692460188454</v>
      </c>
      <c r="G43" s="406">
        <f>O26/G29</f>
        <v>13.705932944601967</v>
      </c>
      <c r="H43" s="13">
        <f t="shared" si="10"/>
        <v>8.3313477186794049E-2</v>
      </c>
      <c r="I43" s="207"/>
      <c r="J43" s="207"/>
      <c r="K43" s="207"/>
      <c r="L43" s="207"/>
      <c r="M43" s="207"/>
      <c r="N43" s="207"/>
      <c r="O43" s="14"/>
      <c r="Q43" s="5"/>
      <c r="R43" s="5"/>
      <c r="S43" s="26"/>
      <c r="T43" s="26"/>
      <c r="U43" s="26"/>
      <c r="V43" s="26"/>
      <c r="W43" s="242"/>
      <c r="X43" s="242"/>
    </row>
    <row r="44" spans="2:24">
      <c r="B44" s="5" t="s">
        <v>437</v>
      </c>
      <c r="C44" s="53"/>
      <c r="D44" s="406">
        <f>D11/D30</f>
        <v>18.448554941727231</v>
      </c>
      <c r="E44" s="406">
        <f>E11/E30</f>
        <v>17.551251033113775</v>
      </c>
      <c r="F44" s="406">
        <f>F11/F30</f>
        <v>16.035682558436921</v>
      </c>
      <c r="G44" s="406">
        <f>G11/G30</f>
        <v>14.427555301211555</v>
      </c>
      <c r="H44" s="13">
        <f t="shared" si="10"/>
        <v>7.3680985918841202E-2</v>
      </c>
      <c r="I44" s="207"/>
      <c r="J44" s="208"/>
      <c r="K44" s="208"/>
      <c r="L44" s="208"/>
      <c r="M44" s="208"/>
      <c r="N44" s="208"/>
      <c r="O44" s="208"/>
      <c r="Q44" s="5"/>
      <c r="R44" s="5"/>
      <c r="S44" s="26"/>
      <c r="T44" s="26"/>
      <c r="U44" s="26"/>
      <c r="V44" s="26"/>
      <c r="W44" s="255"/>
      <c r="X44" s="255"/>
    </row>
    <row r="45" spans="2:24">
      <c r="B45" s="5" t="s">
        <v>481</v>
      </c>
      <c r="C45" s="207"/>
      <c r="D45" s="208">
        <f>D31/D11</f>
        <v>3.9055404178019983E-2</v>
      </c>
      <c r="E45" s="208">
        <f t="shared" ref="E45:G45" si="11">E31/E11</f>
        <v>3.9055404178019983E-2</v>
      </c>
      <c r="F45" s="208">
        <f t="shared" si="11"/>
        <v>3.905540417801999E-2</v>
      </c>
      <c r="G45" s="208">
        <f t="shared" si="11"/>
        <v>3.9055404178019983E-2</v>
      </c>
      <c r="H45" s="13">
        <f t="shared" si="10"/>
        <v>-1.0797071545027737E-2</v>
      </c>
      <c r="I45" s="208"/>
      <c r="J45" s="207"/>
      <c r="K45" s="207"/>
      <c r="L45" s="207"/>
      <c r="M45" s="207"/>
      <c r="N45" s="207"/>
      <c r="O45" s="208"/>
      <c r="Q45" s="5"/>
      <c r="R45" s="5"/>
      <c r="S45" s="26"/>
      <c r="T45" s="26"/>
      <c r="U45" s="26"/>
      <c r="V45" s="26"/>
      <c r="W45" s="26"/>
      <c r="X45" s="26"/>
    </row>
    <row r="46" spans="2:24">
      <c r="B46" s="5" t="s">
        <v>505</v>
      </c>
      <c r="C46" s="207"/>
      <c r="D46" s="208">
        <f>(D31+D32)/D11</f>
        <v>3.9055404178019983E-2</v>
      </c>
      <c r="E46" s="208">
        <f t="shared" ref="E46:G46" si="12">(E31+E32)/E11</f>
        <v>9.0715109722863688E-2</v>
      </c>
      <c r="F46" s="208">
        <f t="shared" si="12"/>
        <v>4.5682844832764226E-2</v>
      </c>
      <c r="G46" s="208">
        <f t="shared" si="12"/>
        <v>3.9055404178019983E-2</v>
      </c>
      <c r="H46" s="233">
        <f>((G31+G32)/(D31+D32))^(1/3)-1</f>
        <v>-1.0797071545027737E-2</v>
      </c>
      <c r="I46" s="207"/>
      <c r="J46" s="207"/>
      <c r="K46" s="207"/>
      <c r="L46" s="207"/>
      <c r="M46" s="207"/>
      <c r="N46" s="207"/>
      <c r="O46" s="14"/>
      <c r="Q46" s="5"/>
      <c r="R46" s="5"/>
      <c r="S46" s="26"/>
      <c r="T46" s="26"/>
      <c r="U46" s="26"/>
      <c r="V46" s="26"/>
      <c r="W46" s="26"/>
      <c r="X46" s="26"/>
    </row>
    <row r="47" spans="2:24">
      <c r="B47" s="5" t="s">
        <v>482</v>
      </c>
      <c r="C47" s="5"/>
      <c r="D47" s="208">
        <f>1/D43</f>
        <v>5.5550137606243818E-2</v>
      </c>
      <c r="E47" s="208">
        <f>1/E43</f>
        <v>5.9220176485450061E-2</v>
      </c>
      <c r="F47" s="208">
        <f>1/F43</f>
        <v>6.5399261845311821E-2</v>
      </c>
      <c r="G47" s="208">
        <f>1/G43</f>
        <v>7.2961104073827124E-2</v>
      </c>
      <c r="H47" s="13">
        <f>H29</f>
        <v>8.3313477186794049E-2</v>
      </c>
      <c r="I47" s="13"/>
      <c r="J47" s="208"/>
      <c r="K47" s="208"/>
      <c r="L47" s="208"/>
      <c r="M47" s="208"/>
      <c r="N47" s="208"/>
      <c r="O47" s="208"/>
      <c r="Q47" s="5"/>
      <c r="R47" s="5"/>
      <c r="S47" s="26"/>
      <c r="T47" s="26"/>
      <c r="U47" s="26"/>
      <c r="V47" s="26"/>
      <c r="W47" s="26"/>
      <c r="X47" s="26"/>
    </row>
    <row r="48" spans="2:24">
      <c r="B48" s="5" t="s">
        <v>518</v>
      </c>
      <c r="C48" s="5"/>
      <c r="D48" s="248">
        <f>D31/1000/D29</f>
        <v>7.030658403559052E-4</v>
      </c>
      <c r="E48" s="248">
        <f t="shared" ref="E48:G48" si="13">E31/1000/E29</f>
        <v>6.5949489677079212E-4</v>
      </c>
      <c r="F48" s="248">
        <f t="shared" si="13"/>
        <v>5.9718417419446284E-4</v>
      </c>
      <c r="G48" s="248">
        <f t="shared" si="13"/>
        <v>5.3529075078826934E-4</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A2CDF-91FF-462A-A2FE-4E2E1881B1CB}">
  <sheetPr codeName="Sheet23">
    <pageSetUpPr fitToPage="1"/>
  </sheetPr>
  <dimension ref="B1:AR50"/>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1339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c r="R5" s="128"/>
    </row>
    <row r="6" spans="2:44">
      <c r="I6" s="5"/>
      <c r="J6" s="5"/>
      <c r="K6" s="5"/>
      <c r="L6" s="5"/>
      <c r="M6" s="5"/>
      <c r="N6" s="5"/>
      <c r="O6" s="33"/>
    </row>
    <row r="7" spans="2:44" ht="12.6" thickBot="1">
      <c r="B7" s="249" t="s">
        <v>223</v>
      </c>
      <c r="C7" s="219"/>
      <c r="D7" s="219" t="str">
        <f>D5</f>
        <v>2025E</v>
      </c>
      <c r="E7" s="219" t="str">
        <f>E5</f>
        <v>2026E</v>
      </c>
      <c r="F7" s="219" t="str">
        <f>F5</f>
        <v>2027E</v>
      </c>
      <c r="G7" s="219" t="str">
        <f>G5</f>
        <v>2028E</v>
      </c>
      <c r="H7" s="219" t="str">
        <f>H5</f>
        <v>2025-28</v>
      </c>
      <c r="I7" s="33"/>
      <c r="J7" s="249" t="s">
        <v>1095</v>
      </c>
      <c r="K7" s="249"/>
      <c r="L7" s="219" t="str">
        <f>L5</f>
        <v>2025E</v>
      </c>
      <c r="M7" s="219" t="str">
        <f>M5</f>
        <v>2026E</v>
      </c>
      <c r="N7" s="219" t="str">
        <f>N5</f>
        <v>2027E</v>
      </c>
      <c r="O7" s="219" t="str">
        <f>O5</f>
        <v>2028E</v>
      </c>
      <c r="P7" s="219" t="str">
        <f>P5</f>
        <v>2025-28</v>
      </c>
    </row>
    <row r="8" spans="2:44" ht="12.6" thickTop="1">
      <c r="B8" s="5"/>
      <c r="C8" s="5"/>
      <c r="D8" s="5"/>
      <c r="E8" s="5"/>
      <c r="F8" s="5"/>
      <c r="G8" s="5"/>
      <c r="H8" s="5"/>
      <c r="I8" s="5"/>
      <c r="J8" s="5"/>
      <c r="K8" s="5"/>
      <c r="L8" s="5"/>
      <c r="M8" s="5"/>
      <c r="N8" s="5"/>
    </row>
    <row r="9" spans="2:44">
      <c r="B9" s="25" t="s">
        <v>706</v>
      </c>
      <c r="C9" s="509">
        <f>Prices!C31</f>
        <v>6.6150000000000002</v>
      </c>
      <c r="D9" s="412">
        <v>0</v>
      </c>
      <c r="E9" s="510">
        <v>0</v>
      </c>
      <c r="F9" s="510">
        <v>0</v>
      </c>
      <c r="G9" s="510">
        <v>0</v>
      </c>
      <c r="H9" s="511"/>
      <c r="I9" s="511"/>
      <c r="J9" s="5" t="s">
        <v>225</v>
      </c>
      <c r="L9" s="512">
        <f>'W.EUR OTHER'!D37</f>
        <v>1.3465386244194999</v>
      </c>
      <c r="M9" s="512">
        <f>'W.EUR OTHER'!E37</f>
        <v>1.2702660024694201</v>
      </c>
      <c r="N9" s="512">
        <f>'W.EUR OTHER'!F37</f>
        <v>1.2208337889627725</v>
      </c>
      <c r="O9" s="512">
        <f>'W.EUR OTHER'!G37</f>
        <v>1.1536080915506541</v>
      </c>
      <c r="P9" s="233">
        <f>'W.EUR OTHER'!H37</f>
        <v>2.9241923321861041E-2</v>
      </c>
    </row>
    <row r="10" spans="2:44">
      <c r="B10" s="5" t="s">
        <v>226</v>
      </c>
      <c r="C10" s="5"/>
      <c r="D10" s="408">
        <v>414.96015919999996</v>
      </c>
      <c r="E10" s="408">
        <v>414.96015919999996</v>
      </c>
      <c r="F10" s="408">
        <v>414.96015919999996</v>
      </c>
      <c r="G10" s="408">
        <v>414.96015919999996</v>
      </c>
      <c r="H10" s="513"/>
      <c r="I10" s="513"/>
      <c r="J10" s="5" t="s">
        <v>158</v>
      </c>
      <c r="L10" s="512">
        <f>'W.EUR OTHER'!D38</f>
        <v>6.667367354960847</v>
      </c>
      <c r="M10" s="512">
        <f>'W.EUR OTHER'!E38</f>
        <v>6.1251275377702257</v>
      </c>
      <c r="N10" s="512">
        <f>'W.EUR OTHER'!F38</f>
        <v>5.693173880990817</v>
      </c>
      <c r="O10" s="512">
        <f>'W.EUR OTHER'!G38</f>
        <v>5.2531257055567684</v>
      </c>
      <c r="P10" s="233">
        <f>'W.EUR OTHER'!H38</f>
        <v>5.8382923375347229E-2</v>
      </c>
    </row>
    <row r="11" spans="2:44">
      <c r="B11" s="25" t="s">
        <v>227</v>
      </c>
      <c r="C11" s="5"/>
      <c r="D11" s="514">
        <f>$C$9*D10</f>
        <v>2744.9614531079997</v>
      </c>
      <c r="E11" s="514">
        <f>$C$9*E10</f>
        <v>2744.9614531079997</v>
      </c>
      <c r="F11" s="514">
        <f>$C$9*F10</f>
        <v>2744.9614531079997</v>
      </c>
      <c r="G11" s="514">
        <f>$C$9*G10</f>
        <v>2744.9614531079997</v>
      </c>
      <c r="H11" s="511"/>
      <c r="I11" s="511"/>
      <c r="J11" s="5" t="s">
        <v>159</v>
      </c>
      <c r="L11" s="512">
        <f>'W.EUR OTHER'!D39</f>
        <v>15.71905243017703</v>
      </c>
      <c r="M11" s="512">
        <f>'W.EUR OTHER'!E39</f>
        <v>13.415100889859009</v>
      </c>
      <c r="N11" s="512">
        <f>'W.EUR OTHER'!F39</f>
        <v>12.045703081903499</v>
      </c>
      <c r="O11" s="512">
        <f>'W.EUR OTHER'!G39</f>
        <v>10.673746267054129</v>
      </c>
      <c r="P11" s="233">
        <f>'W.EUR OTHER'!H39</f>
        <v>0.11215962069465446</v>
      </c>
    </row>
    <row r="12" spans="2:44">
      <c r="B12" s="5" t="s">
        <v>22</v>
      </c>
      <c r="C12" s="511"/>
      <c r="D12" s="493">
        <v>6602</v>
      </c>
      <c r="E12" s="493">
        <v>6546.2879202256263</v>
      </c>
      <c r="F12" s="493">
        <v>5078.6271268928795</v>
      </c>
      <c r="G12" s="493">
        <v>5468.1606865803569</v>
      </c>
      <c r="H12" s="513"/>
      <c r="I12" s="513"/>
      <c r="J12" s="5" t="s">
        <v>381</v>
      </c>
      <c r="L12" s="512">
        <f>'W.EUR OTHER'!D40</f>
        <v>21.129903360999098</v>
      </c>
      <c r="M12" s="512">
        <f>'W.EUR OTHER'!E40</f>
        <v>18.023434560619052</v>
      </c>
      <c r="N12" s="512">
        <f>'W.EUR OTHER'!F40</f>
        <v>16.210652780747434</v>
      </c>
      <c r="O12" s="512">
        <f>'W.EUR OTHER'!G40</f>
        <v>14.322076025505165</v>
      </c>
      <c r="P12" s="233">
        <f>'W.EUR OTHER'!H40</f>
        <v>0.11282738841201478</v>
      </c>
    </row>
    <row r="13" spans="2:44">
      <c r="B13" s="5" t="s">
        <v>433</v>
      </c>
      <c r="C13" s="515"/>
      <c r="D13" s="493">
        <v>-2023.4731902473386</v>
      </c>
      <c r="E13" s="493">
        <v>-2177.2571527061364</v>
      </c>
      <c r="F13" s="493">
        <v>-1171.3643481559013</v>
      </c>
      <c r="G13" s="493">
        <v>-1260.3880386157498</v>
      </c>
      <c r="H13" s="513"/>
      <c r="I13" s="513"/>
      <c r="J13" s="5" t="s">
        <v>434</v>
      </c>
      <c r="L13" s="512">
        <f>'W.EUR OTHER'!D41</f>
        <v>1.2120765277172925</v>
      </c>
      <c r="M13" s="512">
        <f>'W.EUR OTHER'!E41</f>
        <v>1.1889933972002771</v>
      </c>
      <c r="N13" s="512">
        <f>'W.EUR OTHER'!F41</f>
        <v>1.1398416223606038</v>
      </c>
      <c r="O13" s="512">
        <f>'W.EUR OTHER'!G41</f>
        <v>1.1031258509246087</v>
      </c>
      <c r="P13" s="233">
        <f>'W.EUR OTHER'!H41</f>
        <v>8.7083597491850462E-3</v>
      </c>
    </row>
    <row r="14" spans="2:44">
      <c r="B14" s="5" t="s">
        <v>436</v>
      </c>
      <c r="C14" s="515"/>
      <c r="D14" s="495">
        <v>0</v>
      </c>
      <c r="E14" s="495">
        <v>0</v>
      </c>
      <c r="F14" s="495">
        <v>0</v>
      </c>
      <c r="G14" s="495">
        <v>0</v>
      </c>
      <c r="H14" s="513"/>
      <c r="I14" s="513"/>
      <c r="J14" s="5" t="s">
        <v>493</v>
      </c>
      <c r="L14" s="512">
        <f>'W.EUR OTHER'!D42</f>
        <v>2.9964633075980172</v>
      </c>
      <c r="M14" s="512">
        <f>'W.EUR OTHER'!E42</f>
        <v>2.89073467136717</v>
      </c>
      <c r="N14" s="512">
        <f>'W.EUR OTHER'!F42</f>
        <v>2.8500424120410317</v>
      </c>
      <c r="O14" s="512">
        <f>'W.EUR OTHER'!G42</f>
        <v>2.701072051718306</v>
      </c>
      <c r="P14" s="233">
        <f>'W.EUR OTHER'!H42</f>
        <v>1.1940300513105573E-2</v>
      </c>
    </row>
    <row r="15" spans="2:44">
      <c r="B15" s="5" t="s">
        <v>435</v>
      </c>
      <c r="C15" s="516"/>
      <c r="D15" s="495">
        <v>0</v>
      </c>
      <c r="E15" s="495">
        <v>0</v>
      </c>
      <c r="F15" s="495">
        <v>0</v>
      </c>
      <c r="G15" s="495">
        <v>0</v>
      </c>
      <c r="H15" s="513"/>
      <c r="I15" s="513"/>
      <c r="J15" s="5" t="s">
        <v>390</v>
      </c>
      <c r="L15" s="512">
        <f>'W.EUR OTHER'!D43</f>
        <v>20.498601842638831</v>
      </c>
      <c r="M15" s="512">
        <f>'W.EUR OTHER'!E43</f>
        <v>17.62770791050724</v>
      </c>
      <c r="N15" s="512">
        <f>'W.EUR OTHER'!F43</f>
        <v>16.39657294332843</v>
      </c>
      <c r="O15" s="512">
        <f>'W.EUR OTHER'!G43</f>
        <v>14.266559056525995</v>
      </c>
      <c r="P15" s="233">
        <f>'W.EUR OTHER'!H43</f>
        <v>0.12188256435252187</v>
      </c>
    </row>
    <row r="16" spans="2:44">
      <c r="B16" s="5" t="s">
        <v>438</v>
      </c>
      <c r="C16" s="515"/>
      <c r="D16" s="493">
        <v>0</v>
      </c>
      <c r="E16" s="493">
        <v>207.48007959999998</v>
      </c>
      <c r="F16" s="493">
        <v>414.96015919999996</v>
      </c>
      <c r="G16" s="493">
        <v>622.44023879999997</v>
      </c>
      <c r="H16" s="513"/>
      <c r="I16" s="513"/>
      <c r="J16" s="5" t="s">
        <v>437</v>
      </c>
      <c r="L16" s="512">
        <f>'W.EUR OTHER'!D44</f>
        <v>23.590784984926813</v>
      </c>
      <c r="M16" s="512">
        <f>'W.EUR OTHER'!E44</f>
        <v>17.037998851982447</v>
      </c>
      <c r="N16" s="512">
        <f>'W.EUR OTHER'!F44</f>
        <v>14.773708489368085</v>
      </c>
      <c r="O16" s="512">
        <f>'W.EUR OTHER'!G44</f>
        <v>12.780294126208146</v>
      </c>
      <c r="P16" s="233">
        <f>'W.EUR OTHER'!H44</f>
        <v>0.22673250703923764</v>
      </c>
    </row>
    <row r="17" spans="2:24">
      <c r="B17" s="5" t="s">
        <v>4</v>
      </c>
      <c r="C17" s="515"/>
      <c r="D17" s="493">
        <v>0</v>
      </c>
      <c r="E17" s="493">
        <v>0</v>
      </c>
      <c r="F17" s="493">
        <v>0</v>
      </c>
      <c r="G17" s="493">
        <v>0</v>
      </c>
      <c r="H17" s="513"/>
      <c r="I17" s="513"/>
      <c r="J17" s="5" t="s">
        <v>481</v>
      </c>
      <c r="L17" s="517">
        <f>'W.EUR OTHER'!D45</f>
        <v>3.8590223701861853E-2</v>
      </c>
      <c r="M17" s="517">
        <f>'W.EUR OTHER'!E45</f>
        <v>3.991085519827961E-2</v>
      </c>
      <c r="N17" s="517">
        <f>'W.EUR OTHER'!F45</f>
        <v>4.0904800170073315E-2</v>
      </c>
      <c r="O17" s="517">
        <f>'W.EUR OTHER'!G45</f>
        <v>4.3230152986554353E-2</v>
      </c>
      <c r="P17" s="233">
        <f>'W.EUR OTHER'!H45</f>
        <v>3.8610043639548675E-2</v>
      </c>
      <c r="S17" s="72"/>
      <c r="T17" s="26"/>
      <c r="U17" s="26"/>
      <c r="V17" s="26"/>
      <c r="W17" s="26"/>
      <c r="X17" s="26"/>
    </row>
    <row r="18" spans="2:24" ht="12.6" thickBot="1">
      <c r="B18" s="25" t="s">
        <v>484</v>
      </c>
      <c r="C18" s="511"/>
      <c r="D18" s="518">
        <f>D11+D12+D13-D14+D15-D16-D17</f>
        <v>7323.488262860662</v>
      </c>
      <c r="E18" s="518">
        <f>E11+E12+E13-E14+E15-E16-E17</f>
        <v>6906.5121410274905</v>
      </c>
      <c r="F18" s="518">
        <f>F11+F12+F13-F14+F15-F16-F17</f>
        <v>6237.2640726449781</v>
      </c>
      <c r="G18" s="518">
        <f>G11+G12+G13-G14+G15-G16-G17</f>
        <v>6330.293862272606</v>
      </c>
      <c r="H18" s="230">
        <f>IF(D18=0,"nm",IF(G18=0,"nm",(G18/D18)^(1/3)-1))</f>
        <v>-4.7418900172074618E-2</v>
      </c>
      <c r="I18" s="519"/>
      <c r="J18" s="5" t="s">
        <v>33</v>
      </c>
      <c r="L18" s="517">
        <f>'W.EUR OTHER'!D46</f>
        <v>3.8590223701861853E-2</v>
      </c>
      <c r="M18" s="517">
        <f>'W.EUR OTHER'!E46</f>
        <v>3.991085519827961E-2</v>
      </c>
      <c r="N18" s="517">
        <f>'W.EUR OTHER'!F46</f>
        <v>4.0904800170073315E-2</v>
      </c>
      <c r="O18" s="517">
        <f>'W.EUR OTHER'!G46</f>
        <v>4.3230152986554353E-2</v>
      </c>
      <c r="P18" s="233">
        <f>'W.EUR OTHER'!H46</f>
        <v>3.8610043639548675E-2</v>
      </c>
      <c r="S18" s="72"/>
      <c r="T18" s="26"/>
      <c r="U18" s="26"/>
      <c r="V18" s="26"/>
      <c r="W18" s="26"/>
      <c r="X18" s="26"/>
    </row>
    <row r="19" spans="2:24" ht="12.6" thickTop="1">
      <c r="B19" s="25"/>
      <c r="C19" s="511"/>
      <c r="D19" s="520"/>
      <c r="E19" s="520"/>
      <c r="F19" s="520"/>
      <c r="G19" s="520"/>
      <c r="H19" s="230"/>
      <c r="I19" s="519"/>
      <c r="J19" s="5" t="s">
        <v>482</v>
      </c>
      <c r="L19" s="517">
        <f>'W.EUR OTHER'!D47</f>
        <v>4.8783814997563159E-2</v>
      </c>
      <c r="M19" s="517">
        <f>'W.EUR OTHER'!E47</f>
        <v>5.6728872810737699E-2</v>
      </c>
      <c r="N19" s="517">
        <f>'W.EUR OTHER'!F47</f>
        <v>6.0988354301615699E-2</v>
      </c>
      <c r="O19" s="517">
        <f>'W.EUR OTHER'!G47</f>
        <v>7.0093986646525455E-2</v>
      </c>
      <c r="P19" s="233">
        <f>'W.EUR OTHER'!H47</f>
        <v>0.12188256435252187</v>
      </c>
      <c r="S19" s="72"/>
      <c r="T19" s="26"/>
      <c r="U19" s="26"/>
      <c r="V19" s="26"/>
      <c r="W19" s="26"/>
      <c r="X19" s="26"/>
    </row>
    <row r="20" spans="2:24">
      <c r="H20" s="521"/>
      <c r="I20" s="522"/>
      <c r="J20" s="5" t="s">
        <v>504</v>
      </c>
      <c r="L20" s="247">
        <f>'W.EUR OTHER'!D48</f>
        <v>0.87902307367406518</v>
      </c>
      <c r="M20" s="247">
        <f>'W.EUR OTHER'!E48</f>
        <v>0.79495173962574728</v>
      </c>
      <c r="N20" s="247">
        <f>'W.EUR OTHER'!F48</f>
        <v>0.75813237303844561</v>
      </c>
      <c r="O20" s="247">
        <f>'W.EUR OTHER'!G48</f>
        <v>0.69745410320818402</v>
      </c>
      <c r="P20" s="233" t="str">
        <f>'W.EUR OTHER'!H48</f>
        <v>nm</v>
      </c>
      <c r="S20" s="72"/>
      <c r="T20" s="26"/>
      <c r="U20" s="26"/>
      <c r="V20" s="26"/>
      <c r="W20" s="26"/>
      <c r="X20" s="26"/>
    </row>
    <row r="21" spans="2:24" ht="12.6" thickBot="1">
      <c r="B21" s="249" t="s">
        <v>765</v>
      </c>
      <c r="C21" s="219"/>
      <c r="D21" s="219" t="str">
        <f>D5</f>
        <v>2025E</v>
      </c>
      <c r="E21" s="219" t="str">
        <f>E5</f>
        <v>2026E</v>
      </c>
      <c r="F21" s="219" t="str">
        <f>F5</f>
        <v>2027E</v>
      </c>
      <c r="G21" s="219" t="str">
        <f>G5</f>
        <v>2028E</v>
      </c>
      <c r="H21" s="219" t="str">
        <f>H5</f>
        <v>2025-28</v>
      </c>
      <c r="I21" s="33"/>
      <c r="J21" s="25"/>
      <c r="L21" s="230"/>
      <c r="M21" s="230"/>
      <c r="N21" s="230"/>
      <c r="O21" s="230"/>
      <c r="P21" s="233"/>
      <c r="S21" s="72"/>
      <c r="T21" s="26"/>
      <c r="U21" s="26"/>
      <c r="V21" s="26"/>
      <c r="W21" s="26"/>
      <c r="X21" s="26"/>
    </row>
    <row r="22" spans="2:24" ht="12.6" thickTop="1">
      <c r="B22" s="5"/>
      <c r="C22" s="515"/>
      <c r="D22" s="522"/>
      <c r="E22" s="522"/>
      <c r="F22" s="522"/>
      <c r="G22" s="522"/>
      <c r="H22" s="522"/>
      <c r="I22" s="522"/>
      <c r="P22" s="521"/>
      <c r="S22" s="72"/>
      <c r="T22" s="26"/>
      <c r="U22" s="26"/>
      <c r="V22" s="26"/>
      <c r="W22" s="26"/>
      <c r="X22" s="26"/>
    </row>
    <row r="23" spans="2:24" ht="12.6" thickBot="1">
      <c r="B23" s="5" t="s">
        <v>485</v>
      </c>
      <c r="C23" s="523">
        <v>2001</v>
      </c>
      <c r="D23" s="493">
        <v>2628</v>
      </c>
      <c r="E23" s="493">
        <v>3370</v>
      </c>
      <c r="F23" s="493">
        <v>3258.9593928168229</v>
      </c>
      <c r="G23" s="493">
        <v>3119.0244409219299</v>
      </c>
      <c r="H23" s="233">
        <f>IF(D23=0,"nm",IF(G23=0,"nm",(G23/D23)^(1/3)-1))</f>
        <v>5.8760683603923392E-2</v>
      </c>
      <c r="I23" s="513"/>
      <c r="J23" s="249" t="s">
        <v>7</v>
      </c>
      <c r="K23" s="249"/>
      <c r="L23" s="219" t="str">
        <f>D21</f>
        <v>2025E</v>
      </c>
      <c r="M23" s="219" t="str">
        <f>E21</f>
        <v>2026E</v>
      </c>
      <c r="N23" s="219" t="str">
        <f>F21</f>
        <v>2027E</v>
      </c>
      <c r="O23" s="219" t="str">
        <f>G21</f>
        <v>2028E</v>
      </c>
      <c r="P23" s="219" t="str">
        <f>H21</f>
        <v>2025-28</v>
      </c>
      <c r="S23" s="72"/>
      <c r="T23" s="26"/>
      <c r="U23" s="26"/>
      <c r="V23" s="26"/>
      <c r="W23" s="26"/>
      <c r="X23" s="26"/>
    </row>
    <row r="24" spans="2:24" ht="12.6" thickTop="1">
      <c r="B24" s="5" t="s">
        <v>397</v>
      </c>
      <c r="C24" s="524">
        <v>1001</v>
      </c>
      <c r="D24" s="493">
        <v>1115</v>
      </c>
      <c r="E24" s="493">
        <v>1345.95</v>
      </c>
      <c r="F24" s="493">
        <v>1313.9421328394021</v>
      </c>
      <c r="G24" s="493">
        <v>1299.1561206194781</v>
      </c>
      <c r="H24" s="233">
        <f>IF(D24=0,"nm",IF(G24=0,"nm",(G24/D24)^(1/3)-1))</f>
        <v>5.2273965190706928E-2</v>
      </c>
      <c r="I24" s="511"/>
      <c r="J24" s="522"/>
      <c r="K24" s="522"/>
      <c r="L24" s="522"/>
      <c r="M24" s="522"/>
      <c r="N24" s="522"/>
      <c r="O24" s="517"/>
      <c r="S24" s="72"/>
      <c r="T24" s="26"/>
      <c r="U24" s="26"/>
      <c r="V24" s="26"/>
      <c r="W24" s="26" t="s">
        <v>1283</v>
      </c>
      <c r="X24" s="26" t="s">
        <v>745</v>
      </c>
    </row>
    <row r="25" spans="2:24">
      <c r="B25" s="5" t="s">
        <v>157</v>
      </c>
      <c r="C25" s="523">
        <v>526</v>
      </c>
      <c r="D25" s="493">
        <v>691</v>
      </c>
      <c r="E25" s="493">
        <v>805.95</v>
      </c>
      <c r="F25" s="493">
        <v>653.94213283940212</v>
      </c>
      <c r="G25" s="493">
        <v>199.15612061947809</v>
      </c>
      <c r="H25" s="233">
        <f>IF(D25=0,"nm",IF(G25=0,"nm",(G25/D25)^(1/3)-1))</f>
        <v>-0.33945075036748218</v>
      </c>
      <c r="I25" s="517"/>
      <c r="J25" s="513" t="s">
        <v>8</v>
      </c>
      <c r="K25" s="513"/>
      <c r="L25" s="252">
        <v>0</v>
      </c>
      <c r="M25" s="252">
        <v>0</v>
      </c>
      <c r="N25" s="252">
        <v>0</v>
      </c>
      <c r="O25" s="252">
        <v>0</v>
      </c>
      <c r="P25" s="233" t="str">
        <f>IF(L25=0,"nm",IF(O25=0,"nm",(O25/L25)^(1/3)-1))</f>
        <v>nm</v>
      </c>
      <c r="S25" s="72"/>
      <c r="T25" s="26"/>
      <c r="U25" s="26"/>
      <c r="V25" s="113" t="s">
        <v>225</v>
      </c>
      <c r="W25" s="242">
        <f t="shared" ref="W25:W33" si="0">D37/L9</f>
        <v>2.0695399466403015</v>
      </c>
      <c r="X25" s="242">
        <v>1</v>
      </c>
    </row>
    <row r="26" spans="2:24">
      <c r="B26" s="5" t="s">
        <v>487</v>
      </c>
      <c r="C26" s="523">
        <v>382.98059999999998</v>
      </c>
      <c r="D26" s="493">
        <v>510.51080000000002</v>
      </c>
      <c r="E26" s="493">
        <v>595.43586000000005</v>
      </c>
      <c r="F26" s="493">
        <v>483.1324477417503</v>
      </c>
      <c r="G26" s="493">
        <v>147.13654191367041</v>
      </c>
      <c r="H26" s="233">
        <f>IF(D26=0,"nm",IF(G26=0,"nm",(G26/D26)^(1/3)-1))</f>
        <v>-0.33945075036748218</v>
      </c>
      <c r="I26" s="511"/>
      <c r="J26" s="511" t="s">
        <v>9</v>
      </c>
      <c r="K26" s="511"/>
      <c r="L26" s="525">
        <f>D11+L25</f>
        <v>2744.9614531079997</v>
      </c>
      <c r="M26" s="525">
        <f>E11+M25</f>
        <v>2744.9614531079997</v>
      </c>
      <c r="N26" s="525">
        <f>F11+N25</f>
        <v>2744.9614531079997</v>
      </c>
      <c r="O26" s="525">
        <f>G11+O25</f>
        <v>2744.9614531079997</v>
      </c>
      <c r="P26" s="233">
        <f>IF(L26=0,"nm",IF(O26=0,"nm",(O26/L26)^(1/3)-1))</f>
        <v>0</v>
      </c>
      <c r="Q26" s="5"/>
      <c r="S26" s="72"/>
      <c r="T26" s="26"/>
      <c r="U26" s="26"/>
      <c r="V26" s="113" t="s">
        <v>158</v>
      </c>
      <c r="W26" s="242">
        <f t="shared" si="0"/>
        <v>0.98511909704633083</v>
      </c>
      <c r="X26" s="242">
        <v>1</v>
      </c>
    </row>
    <row r="27" spans="2:24">
      <c r="B27" s="5" t="s">
        <v>488</v>
      </c>
      <c r="C27" s="524">
        <v>5332</v>
      </c>
      <c r="D27" s="493">
        <v>8697</v>
      </c>
      <c r="E27" s="493">
        <v>8446.2999999999993</v>
      </c>
      <c r="F27" s="493">
        <v>8349.3700000000008</v>
      </c>
      <c r="G27" s="493">
        <v>8664.3830000000016</v>
      </c>
      <c r="H27" s="233">
        <f>IF(ISERROR((G27/D27)^(1/3)-1),"na",(G27/D27)^(1/3)-1)</f>
        <v>-1.2516906397966876E-3</v>
      </c>
      <c r="I27" s="511"/>
      <c r="J27" s="517"/>
      <c r="K27" s="517"/>
      <c r="L27" s="517"/>
      <c r="M27" s="517"/>
      <c r="N27" s="517"/>
      <c r="O27" s="517"/>
      <c r="Q27" s="25"/>
      <c r="S27" s="72"/>
      <c r="T27" s="26"/>
      <c r="U27" s="26"/>
      <c r="V27" s="113" t="s">
        <v>159</v>
      </c>
      <c r="W27" s="242">
        <f t="shared" si="0"/>
        <v>0.67423855003628796</v>
      </c>
      <c r="X27" s="242">
        <v>1</v>
      </c>
    </row>
    <row r="28" spans="2:24" ht="12.6" thickBot="1">
      <c r="B28" s="5" t="s">
        <v>492</v>
      </c>
      <c r="C28" s="523">
        <v>0</v>
      </c>
      <c r="D28" s="493">
        <v>0</v>
      </c>
      <c r="E28" s="493">
        <v>0</v>
      </c>
      <c r="F28" s="493">
        <v>0</v>
      </c>
      <c r="G28" s="493">
        <v>0</v>
      </c>
      <c r="H28" s="233" t="str">
        <f>IF(ISERROR((G28/D28)^(1/3)-1),"na",(G28/D28)^(1/3)-1)</f>
        <v>na</v>
      </c>
      <c r="I28" s="517"/>
      <c r="J28" s="249" t="s">
        <v>1073</v>
      </c>
      <c r="K28" s="249"/>
      <c r="L28" s="249"/>
      <c r="M28" s="249"/>
      <c r="N28" s="220"/>
      <c r="O28" s="220"/>
      <c r="P28" s="220"/>
      <c r="Q28" s="5"/>
      <c r="S28" s="72"/>
      <c r="T28" s="26"/>
      <c r="U28" s="26"/>
      <c r="V28" s="113" t="s">
        <v>381</v>
      </c>
      <c r="W28" s="242">
        <f t="shared" si="0"/>
        <v>0.67891522014471894</v>
      </c>
      <c r="X28" s="242">
        <v>1</v>
      </c>
    </row>
    <row r="29" spans="2:24" ht="12.6" thickTop="1">
      <c r="B29" s="5" t="s">
        <v>489</v>
      </c>
      <c r="C29" s="523">
        <v>504.46054974651457</v>
      </c>
      <c r="D29" s="493">
        <v>348.43350724160632</v>
      </c>
      <c r="E29" s="493">
        <v>275.60258687437408</v>
      </c>
      <c r="F29" s="493">
        <v>192.33141573774691</v>
      </c>
      <c r="G29" s="493">
        <v>-182.05348008747711</v>
      </c>
      <c r="H29" s="233">
        <f>IF(D29=0,"nm",IF(G29=0,"nm",(G29/D29)^(1/3)-1))</f>
        <v>-1.8054273215793524</v>
      </c>
      <c r="I29" s="212"/>
      <c r="J29" s="511"/>
      <c r="K29" s="511"/>
      <c r="L29" s="511"/>
      <c r="M29" s="511"/>
      <c r="N29" s="511"/>
      <c r="O29" s="230"/>
      <c r="Q29" s="5"/>
      <c r="S29" s="72"/>
      <c r="T29" s="26"/>
      <c r="U29" s="26"/>
      <c r="V29" s="113" t="s">
        <v>434</v>
      </c>
      <c r="W29" s="242">
        <f t="shared" si="0"/>
        <v>0.69473388026687699</v>
      </c>
      <c r="X29" s="242">
        <v>1</v>
      </c>
    </row>
    <row r="30" spans="2:24">
      <c r="B30" s="5" t="s">
        <v>490</v>
      </c>
      <c r="C30" s="524">
        <v>135.47412627043727</v>
      </c>
      <c r="D30" s="493">
        <v>6.6490751500987528</v>
      </c>
      <c r="E30" s="493">
        <v>152.25225883199258</v>
      </c>
      <c r="F30" s="493">
        <v>156.78589773774704</v>
      </c>
      <c r="G30" s="493">
        <v>147.844001912523</v>
      </c>
      <c r="H30" s="233">
        <f>IF(D30=0,"nm",IF(G30=0,"nm",(G30/D30)^(1/3)-1))</f>
        <v>1.8119924873512825</v>
      </c>
      <c r="I30" s="519"/>
      <c r="J30" s="517"/>
      <c r="K30" s="517"/>
      <c r="L30" s="517"/>
      <c r="M30" s="517"/>
      <c r="N30" s="517"/>
      <c r="O30" s="5"/>
      <c r="Q30" s="5"/>
      <c r="S30" s="72"/>
      <c r="T30" s="26"/>
      <c r="U30" s="26"/>
      <c r="V30" s="113" t="s">
        <v>493</v>
      </c>
      <c r="W30" s="242" t="e">
        <f t="shared" si="0"/>
        <v>#VALUE!</v>
      </c>
      <c r="X30" s="242">
        <v>1</v>
      </c>
    </row>
    <row r="31" spans="2:24">
      <c r="B31" s="5" t="s">
        <v>491</v>
      </c>
      <c r="C31" s="524">
        <v>206.94387040000001</v>
      </c>
      <c r="D31" s="493">
        <v>207.48007959999998</v>
      </c>
      <c r="E31" s="493">
        <v>207.48007959999998</v>
      </c>
      <c r="F31" s="493">
        <v>207.48007959999998</v>
      </c>
      <c r="G31" s="493">
        <v>207.48007959999998</v>
      </c>
      <c r="H31" s="233">
        <f>IF(D31=0,"nm",IF(G31=0,"nm",(G31/D31)^(1/3)-1))</f>
        <v>0</v>
      </c>
      <c r="I31" s="519"/>
      <c r="J31" s="212"/>
      <c r="K31" s="212"/>
      <c r="L31" s="212"/>
      <c r="M31" s="212"/>
      <c r="N31" s="212"/>
      <c r="O31" s="5"/>
      <c r="Q31" s="5"/>
      <c r="S31" s="72"/>
      <c r="T31" s="26"/>
      <c r="U31" s="26"/>
      <c r="V31" s="113" t="s">
        <v>743</v>
      </c>
      <c r="W31" s="242">
        <f t="shared" si="0"/>
        <v>0.38431921419947951</v>
      </c>
      <c r="X31" s="242">
        <v>1</v>
      </c>
    </row>
    <row r="32" spans="2:24">
      <c r="B32" s="5" t="s">
        <v>506</v>
      </c>
      <c r="C32" s="424">
        <v>0</v>
      </c>
      <c r="D32" s="493">
        <v>0</v>
      </c>
      <c r="E32" s="493">
        <v>0</v>
      </c>
      <c r="F32" s="493">
        <v>0</v>
      </c>
      <c r="G32" s="493">
        <v>0</v>
      </c>
      <c r="H32" s="233" t="str">
        <f>IF(D32=0,"nm",IF(G32=0,"nm",(G32/D32)^(1/3)-1))</f>
        <v>nm</v>
      </c>
      <c r="I32" s="519"/>
      <c r="J32" s="519"/>
      <c r="K32" s="519"/>
      <c r="L32" s="519"/>
      <c r="M32" s="519"/>
      <c r="N32" s="519"/>
      <c r="O32" s="230"/>
      <c r="Q32" s="5"/>
      <c r="S32" s="72"/>
      <c r="T32" s="26"/>
      <c r="U32" s="26"/>
      <c r="V32" s="113" t="s">
        <v>437</v>
      </c>
      <c r="W32" s="242">
        <f t="shared" si="0"/>
        <v>17.499781102093632</v>
      </c>
      <c r="X32" s="242">
        <v>1</v>
      </c>
    </row>
    <row r="33" spans="2:24">
      <c r="B33" s="5" t="s">
        <v>3</v>
      </c>
      <c r="C33" s="524">
        <v>287.52929232269548</v>
      </c>
      <c r="D33" s="493">
        <v>281.23506497564068</v>
      </c>
      <c r="E33" s="493">
        <v>254.05542014232202</v>
      </c>
      <c r="F33" s="493">
        <v>244.17375913450894</v>
      </c>
      <c r="G33" s="493">
        <v>197.01463502182168</v>
      </c>
      <c r="H33" s="233">
        <f>IF(ISERROR((G33/D33)^(1/3)-1),"na",(G33/D33)^(1/3)-1)</f>
        <v>-0.11187040955953098</v>
      </c>
      <c r="I33" s="5"/>
      <c r="J33" s="519"/>
      <c r="K33" s="519"/>
      <c r="L33" s="519"/>
      <c r="M33" s="519"/>
      <c r="N33" s="519"/>
      <c r="O33" s="230"/>
      <c r="Q33" s="5"/>
      <c r="S33" s="72"/>
      <c r="T33" s="26"/>
      <c r="U33" s="26"/>
      <c r="V33" s="113" t="s">
        <v>481</v>
      </c>
      <c r="W33" s="242">
        <f t="shared" si="0"/>
        <v>1.9586771627824846</v>
      </c>
      <c r="X33" s="242">
        <v>1</v>
      </c>
    </row>
    <row r="34" spans="2:24">
      <c r="D34" s="5"/>
      <c r="E34" s="5"/>
      <c r="F34" s="5"/>
      <c r="G34" s="5"/>
      <c r="I34" s="33"/>
      <c r="J34" s="519"/>
      <c r="K34" s="519"/>
      <c r="L34" s="519"/>
      <c r="M34" s="519"/>
      <c r="N34" s="519"/>
      <c r="O34" s="230"/>
      <c r="Q34" s="5"/>
      <c r="S34" s="72"/>
      <c r="T34" s="26"/>
      <c r="U34" s="26"/>
      <c r="V34" s="113" t="s">
        <v>124</v>
      </c>
      <c r="W34" s="242">
        <f>D47/L19</f>
        <v>2.6020036549121213</v>
      </c>
      <c r="X34" s="242">
        <v>1</v>
      </c>
    </row>
    <row r="35" spans="2:24" ht="12.6" thickBot="1">
      <c r="B35" s="249" t="s">
        <v>746</v>
      </c>
      <c r="C35" s="219"/>
      <c r="D35" s="219" t="str">
        <f>D5</f>
        <v>2025E</v>
      </c>
      <c r="E35" s="219" t="str">
        <f>E5</f>
        <v>2026E</v>
      </c>
      <c r="F35" s="219" t="str">
        <f>F5</f>
        <v>2027E</v>
      </c>
      <c r="G35" s="219" t="str">
        <f>G5</f>
        <v>2028E</v>
      </c>
      <c r="H35" s="219" t="str">
        <f>H5</f>
        <v>2025-28</v>
      </c>
      <c r="I35" s="519"/>
      <c r="J35" s="5"/>
      <c r="K35" s="5"/>
      <c r="L35" s="5"/>
      <c r="M35" s="5"/>
      <c r="N35" s="5"/>
      <c r="O35" s="5"/>
      <c r="Q35" s="5"/>
      <c r="S35" s="72"/>
      <c r="T35" s="26"/>
      <c r="U35" s="26"/>
      <c r="V35" s="26"/>
      <c r="W35" s="26"/>
      <c r="X35" s="26"/>
    </row>
    <row r="36" spans="2:24" ht="12.6" thickTop="1">
      <c r="B36" s="25"/>
      <c r="C36" s="511"/>
      <c r="D36" s="519"/>
      <c r="E36" s="519"/>
      <c r="F36" s="519"/>
      <c r="G36" s="519"/>
      <c r="H36" s="519"/>
      <c r="I36" s="522"/>
      <c r="J36" s="33"/>
      <c r="K36" s="33"/>
      <c r="L36" s="33"/>
      <c r="M36" s="33"/>
      <c r="N36" s="33"/>
      <c r="O36" s="33"/>
      <c r="Q36" s="5"/>
      <c r="S36" s="72"/>
      <c r="T36" s="26"/>
      <c r="U36" s="26"/>
      <c r="V36" s="26"/>
      <c r="W36" s="26"/>
      <c r="X36" s="26"/>
    </row>
    <row r="37" spans="2:24">
      <c r="B37" s="5" t="s">
        <v>225</v>
      </c>
      <c r="C37" s="513"/>
      <c r="D37" s="512">
        <f t="shared" ref="D37:G41" si="1">D$18/D23</f>
        <v>2.7867154729302368</v>
      </c>
      <c r="E37" s="512">
        <f t="shared" si="1"/>
        <v>2.0494101308686914</v>
      </c>
      <c r="F37" s="512">
        <f t="shared" si="1"/>
        <v>1.9138821080105302</v>
      </c>
      <c r="G37" s="512">
        <f t="shared" si="1"/>
        <v>2.0295749463256789</v>
      </c>
      <c r="H37" s="522">
        <f t="shared" ref="H37:H45" si="2">H23</f>
        <v>5.8760683603923392E-2</v>
      </c>
      <c r="I37" s="5"/>
      <c r="J37" s="526"/>
      <c r="K37" s="526"/>
      <c r="L37" s="526"/>
      <c r="M37" s="526"/>
      <c r="N37" s="526"/>
      <c r="O37" s="233"/>
      <c r="Q37" s="5"/>
      <c r="R37" s="5"/>
      <c r="S37" s="26"/>
      <c r="T37" s="26"/>
      <c r="U37" s="26"/>
      <c r="V37" s="26"/>
      <c r="W37" s="26"/>
      <c r="X37" s="26"/>
    </row>
    <row r="38" spans="2:24">
      <c r="B38" s="5" t="s">
        <v>158</v>
      </c>
      <c r="C38" s="513"/>
      <c r="D38" s="512">
        <f t="shared" si="1"/>
        <v>6.5681509083952125</v>
      </c>
      <c r="E38" s="512">
        <f t="shared" si="1"/>
        <v>5.1313289059976155</v>
      </c>
      <c r="F38" s="512">
        <f t="shared" si="1"/>
        <v>4.7469853631730174</v>
      </c>
      <c r="G38" s="512">
        <f t="shared" si="1"/>
        <v>4.8726198197443162</v>
      </c>
      <c r="H38" s="522">
        <f t="shared" si="2"/>
        <v>5.2273965190706928E-2</v>
      </c>
      <c r="I38" s="526"/>
      <c r="J38" s="522"/>
      <c r="K38" s="522"/>
      <c r="L38" s="522"/>
      <c r="M38" s="522"/>
      <c r="N38" s="522"/>
      <c r="O38" s="5"/>
      <c r="Q38" s="5"/>
      <c r="R38" s="5"/>
      <c r="S38" s="26"/>
      <c r="T38" s="26"/>
      <c r="U38" s="26"/>
      <c r="V38" s="26"/>
      <c r="W38" s="26"/>
      <c r="X38" s="26"/>
    </row>
    <row r="39" spans="2:24">
      <c r="B39" s="5" t="s">
        <v>159</v>
      </c>
      <c r="C39" s="513"/>
      <c r="D39" s="512">
        <f t="shared" si="1"/>
        <v>10.598391118466949</v>
      </c>
      <c r="E39" s="512">
        <f t="shared" si="1"/>
        <v>8.5694052249239903</v>
      </c>
      <c r="F39" s="512">
        <f t="shared" si="1"/>
        <v>9.5379449639724498</v>
      </c>
      <c r="G39" s="512">
        <f t="shared" si="1"/>
        <v>31.785585311574319</v>
      </c>
      <c r="H39" s="522">
        <f t="shared" si="2"/>
        <v>-0.33945075036748218</v>
      </c>
      <c r="I39" s="522"/>
      <c r="J39" s="5"/>
      <c r="K39" s="5"/>
      <c r="L39" s="5"/>
      <c r="M39" s="5"/>
      <c r="N39" s="5"/>
      <c r="O39" s="5"/>
      <c r="Q39" s="5"/>
      <c r="R39" s="5"/>
      <c r="S39" s="26"/>
      <c r="T39" s="26"/>
      <c r="U39" s="26"/>
      <c r="V39" s="26"/>
      <c r="W39" s="26"/>
      <c r="X39" s="26"/>
    </row>
    <row r="40" spans="2:24">
      <c r="B40" s="5" t="s">
        <v>381</v>
      </c>
      <c r="C40" s="513"/>
      <c r="D40" s="512">
        <f t="shared" si="1"/>
        <v>14.34541299196934</v>
      </c>
      <c r="E40" s="512">
        <f t="shared" si="1"/>
        <v>11.599086660698417</v>
      </c>
      <c r="F40" s="512">
        <f t="shared" si="1"/>
        <v>12.91005003244782</v>
      </c>
      <c r="G40" s="512">
        <f t="shared" si="1"/>
        <v>43.023261114745964</v>
      </c>
      <c r="H40" s="522">
        <f t="shared" si="2"/>
        <v>-0.33945075036748218</v>
      </c>
      <c r="I40" s="5"/>
      <c r="J40" s="526"/>
      <c r="K40" s="526"/>
      <c r="L40" s="526"/>
      <c r="M40" s="526"/>
      <c r="N40" s="526"/>
      <c r="O40" s="233"/>
      <c r="Q40" s="5"/>
      <c r="R40" s="5"/>
      <c r="S40" s="26"/>
      <c r="T40" s="26"/>
      <c r="U40" s="26"/>
      <c r="V40" s="26"/>
      <c r="W40" s="242"/>
      <c r="X40" s="242"/>
    </row>
    <row r="41" spans="2:24">
      <c r="B41" s="5" t="s">
        <v>434</v>
      </c>
      <c r="C41" s="513"/>
      <c r="D41" s="512">
        <f t="shared" si="1"/>
        <v>0.8420706292814375</v>
      </c>
      <c r="E41" s="512">
        <f t="shared" si="1"/>
        <v>0.8176967596494904</v>
      </c>
      <c r="F41" s="512">
        <f t="shared" si="1"/>
        <v>0.74703409630247286</v>
      </c>
      <c r="G41" s="512">
        <f t="shared" si="1"/>
        <v>0.73061103857858145</v>
      </c>
      <c r="H41" s="522">
        <f t="shared" si="2"/>
        <v>-1.2516906397966876E-3</v>
      </c>
      <c r="I41" s="513"/>
      <c r="J41" s="522"/>
      <c r="K41" s="522"/>
      <c r="L41" s="522"/>
      <c r="M41" s="522"/>
      <c r="N41" s="522"/>
      <c r="O41" s="5"/>
      <c r="Q41" s="5"/>
      <c r="R41" s="5"/>
      <c r="S41" s="26"/>
      <c r="T41" s="26"/>
      <c r="U41" s="26"/>
      <c r="V41" s="26"/>
      <c r="W41" s="242"/>
      <c r="X41" s="242"/>
    </row>
    <row r="42" spans="2:24">
      <c r="B42" s="5" t="s">
        <v>493</v>
      </c>
      <c r="C42" s="513"/>
      <c r="D42" s="406" t="str">
        <f>IFERROR(D18/D28,"N/A")</f>
        <v>N/A</v>
      </c>
      <c r="E42" s="406" t="str">
        <f t="shared" ref="E42:G42" si="3">IFERROR(E18/E28,"N/A")</f>
        <v>N/A</v>
      </c>
      <c r="F42" s="406" t="str">
        <f t="shared" si="3"/>
        <v>N/A</v>
      </c>
      <c r="G42" s="406" t="str">
        <f t="shared" si="3"/>
        <v>N/A</v>
      </c>
      <c r="H42" s="522" t="str">
        <f t="shared" si="2"/>
        <v>na</v>
      </c>
      <c r="I42" s="517"/>
      <c r="J42" s="5"/>
      <c r="K42" s="5"/>
      <c r="L42" s="5"/>
      <c r="M42" s="5"/>
      <c r="N42" s="5"/>
      <c r="O42" s="5"/>
      <c r="Q42" s="5"/>
      <c r="R42" s="5"/>
      <c r="S42" s="26"/>
      <c r="T42" s="26"/>
      <c r="U42" s="26"/>
      <c r="V42" s="26"/>
      <c r="W42" s="242"/>
      <c r="X42" s="242"/>
    </row>
    <row r="43" spans="2:24">
      <c r="B43" s="5" t="s">
        <v>390</v>
      </c>
      <c r="C43" s="513"/>
      <c r="D43" s="512">
        <f>L26/D29</f>
        <v>7.8780065523509579</v>
      </c>
      <c r="E43" s="512">
        <f>M26/E29</f>
        <v>9.9598537308331405</v>
      </c>
      <c r="F43" s="512">
        <f>N26/F29</f>
        <v>14.272038931231526</v>
      </c>
      <c r="G43" s="512">
        <f>O26/G29</f>
        <v>-15.077775232799942</v>
      </c>
      <c r="H43" s="522">
        <f t="shared" si="2"/>
        <v>-1.8054273215793524</v>
      </c>
      <c r="I43" s="513"/>
      <c r="J43" s="513"/>
      <c r="K43" s="513"/>
      <c r="L43" s="513"/>
      <c r="M43" s="513"/>
      <c r="N43" s="513"/>
      <c r="O43" s="233"/>
      <c r="Q43" s="5"/>
      <c r="R43" s="5"/>
      <c r="S43" s="26"/>
      <c r="T43" s="26"/>
      <c r="U43" s="26"/>
      <c r="V43" s="26"/>
      <c r="W43" s="242"/>
      <c r="X43" s="242"/>
    </row>
    <row r="44" spans="2:24">
      <c r="B44" s="5" t="s">
        <v>437</v>
      </c>
      <c r="C44" s="53"/>
      <c r="D44" s="512">
        <f>D11/D30</f>
        <v>412.83357326277644</v>
      </c>
      <c r="E44" s="512">
        <f>E11/E30</f>
        <v>18.029035983873392</v>
      </c>
      <c r="F44" s="512">
        <f>F11/F30</f>
        <v>17.507706322538315</v>
      </c>
      <c r="G44" s="512">
        <f>G11/G30</f>
        <v>18.56660681257905</v>
      </c>
      <c r="H44" s="522">
        <f t="shared" si="2"/>
        <v>1.8119924873512825</v>
      </c>
      <c r="I44" s="513"/>
      <c r="J44" s="517"/>
      <c r="K44" s="517"/>
      <c r="L44" s="517"/>
      <c r="M44" s="517"/>
      <c r="N44" s="517"/>
      <c r="O44" s="517"/>
      <c r="Q44" s="5"/>
      <c r="R44" s="5"/>
      <c r="S44" s="26"/>
      <c r="T44" s="26"/>
      <c r="U44" s="26"/>
      <c r="V44" s="26"/>
      <c r="W44" s="255"/>
      <c r="X44" s="255"/>
    </row>
    <row r="45" spans="2:24">
      <c r="B45" s="5" t="s">
        <v>481</v>
      </c>
      <c r="C45" s="513"/>
      <c r="D45" s="517">
        <f>D31/D11</f>
        <v>7.5585789871504161E-2</v>
      </c>
      <c r="E45" s="517">
        <f>E31/E11</f>
        <v>7.5585789871504161E-2</v>
      </c>
      <c r="F45" s="517">
        <f>F31/F11</f>
        <v>7.5585789871504161E-2</v>
      </c>
      <c r="G45" s="517">
        <f>G31/G11</f>
        <v>7.5585789871504161E-2</v>
      </c>
      <c r="H45" s="522">
        <f t="shared" si="2"/>
        <v>0</v>
      </c>
      <c r="I45" s="517"/>
      <c r="J45" s="513"/>
      <c r="K45" s="513"/>
      <c r="L45" s="513"/>
      <c r="M45" s="513"/>
      <c r="N45" s="513"/>
      <c r="O45" s="517"/>
      <c r="Q45" s="5"/>
      <c r="R45" s="5"/>
      <c r="S45" s="26"/>
      <c r="T45" s="26"/>
      <c r="U45" s="26"/>
      <c r="V45" s="26"/>
      <c r="W45" s="26"/>
      <c r="X45" s="26"/>
    </row>
    <row r="46" spans="2:24">
      <c r="B46" s="5" t="s">
        <v>505</v>
      </c>
      <c r="C46" s="513"/>
      <c r="D46" s="517">
        <f>(D31+D32)/D11</f>
        <v>7.5585789871504161E-2</v>
      </c>
      <c r="E46" s="517">
        <f>(E31+E32)/E11</f>
        <v>7.5585789871504161E-2</v>
      </c>
      <c r="F46" s="517">
        <f>(F31+F32)/F11</f>
        <v>7.5585789871504161E-2</v>
      </c>
      <c r="G46" s="517">
        <f>(G31+G32)/G11</f>
        <v>7.5585789871504161E-2</v>
      </c>
      <c r="H46" s="233">
        <f>((G31+G32)/(D31+D32))^(1/3)-1</f>
        <v>0</v>
      </c>
      <c r="I46" s="513"/>
      <c r="J46" s="513"/>
      <c r="K46" s="513"/>
      <c r="L46" s="513"/>
      <c r="M46" s="513"/>
      <c r="N46" s="513"/>
      <c r="O46" s="233"/>
      <c r="Q46" s="5"/>
      <c r="R46" s="5"/>
      <c r="S46" s="26"/>
      <c r="T46" s="26"/>
      <c r="U46" s="26"/>
      <c r="V46" s="26"/>
      <c r="W46" s="26"/>
      <c r="X46" s="26"/>
    </row>
    <row r="47" spans="2:24">
      <c r="B47" s="5" t="s">
        <v>482</v>
      </c>
      <c r="C47" s="5"/>
      <c r="D47" s="517">
        <f>1/D43</f>
        <v>0.1269356649242161</v>
      </c>
      <c r="E47" s="517">
        <f>1/E43</f>
        <v>0.10040308091114408</v>
      </c>
      <c r="F47" s="517">
        <f>1/F43</f>
        <v>7.0067073444684796E-2</v>
      </c>
      <c r="G47" s="517">
        <f>1/G43</f>
        <v>-6.6322782012602E-2</v>
      </c>
      <c r="H47" s="522">
        <f>H29</f>
        <v>-1.8054273215793524</v>
      </c>
      <c r="I47" s="522"/>
      <c r="J47" s="517"/>
      <c r="K47" s="517"/>
      <c r="L47" s="517"/>
      <c r="M47" s="517"/>
      <c r="N47" s="517"/>
      <c r="O47" s="517"/>
      <c r="Q47" s="5"/>
      <c r="R47" s="5"/>
      <c r="S47" s="26"/>
      <c r="T47" s="26"/>
      <c r="U47" s="26"/>
      <c r="V47" s="26"/>
      <c r="W47" s="26"/>
      <c r="X47" s="26"/>
    </row>
    <row r="48" spans="2:24">
      <c r="B48" s="5" t="s">
        <v>518</v>
      </c>
      <c r="C48" s="5"/>
      <c r="D48" s="247">
        <f>D31/D29</f>
        <v>0.59546534787233252</v>
      </c>
      <c r="E48" s="247">
        <f>E31/E29</f>
        <v>0.75282341124967056</v>
      </c>
      <c r="F48" s="247">
        <f>F31/F29</f>
        <v>1.078763335693993</v>
      </c>
      <c r="G48" s="247">
        <f>G31/G29</f>
        <v>-1.1396655504761861</v>
      </c>
      <c r="H48" s="233" t="s">
        <v>507</v>
      </c>
      <c r="I48" s="513"/>
      <c r="J48" s="513"/>
      <c r="K48" s="513"/>
      <c r="L48" s="513"/>
      <c r="M48" s="513"/>
      <c r="N48" s="513"/>
      <c r="O48" s="517"/>
      <c r="Q48" s="5"/>
      <c r="R48" s="5"/>
      <c r="S48" s="26"/>
      <c r="T48" s="26"/>
      <c r="U48" s="26"/>
      <c r="V48" s="26"/>
      <c r="W48" s="26"/>
      <c r="X48" s="26"/>
    </row>
    <row r="49" spans="2:18">
      <c r="B49" s="25"/>
      <c r="C49" s="522"/>
      <c r="D49" s="522"/>
      <c r="E49" s="522"/>
      <c r="F49" s="522"/>
      <c r="G49" s="522"/>
      <c r="H49" s="522"/>
      <c r="I49" s="519"/>
      <c r="J49" s="522"/>
      <c r="K49" s="522"/>
      <c r="L49" s="522"/>
      <c r="M49" s="522"/>
      <c r="N49" s="522"/>
      <c r="O49" s="517"/>
      <c r="Q49" s="5"/>
      <c r="R49" s="5"/>
    </row>
    <row r="50" spans="2:18">
      <c r="B50" s="5"/>
      <c r="C50" s="515"/>
      <c r="D50" s="515"/>
      <c r="E50" s="515"/>
      <c r="F50" s="5"/>
      <c r="G50" s="25"/>
      <c r="H50" s="511"/>
      <c r="I50" s="522"/>
      <c r="J50" s="511"/>
      <c r="K50" s="511"/>
      <c r="L50" s="511"/>
      <c r="M50" s="511"/>
      <c r="N50" s="511"/>
      <c r="O50" s="527"/>
      <c r="Q50" s="5"/>
      <c r="R50" s="5"/>
    </row>
  </sheetData>
  <pageMargins left="0.75" right="0.75" top="1" bottom="1" header="0.5" footer="0.5"/>
  <pageSetup scale="63"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2">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456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64</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174</v>
      </c>
      <c r="C9" s="221">
        <f>Prices!C61</f>
        <v>4.63</v>
      </c>
      <c r="D9" s="410">
        <v>0</v>
      </c>
      <c r="E9" s="410">
        <v>0</v>
      </c>
      <c r="F9" s="410">
        <v>0</v>
      </c>
      <c r="G9" s="410">
        <v>0</v>
      </c>
      <c r="H9" s="209"/>
      <c r="I9" s="209"/>
      <c r="J9" s="5" t="s">
        <v>225</v>
      </c>
      <c r="L9" s="406">
        <f>'AGG ASIA INCUMB'!D37</f>
        <v>1.1353891943134662</v>
      </c>
      <c r="M9" s="406">
        <f>'AGG ASIA INCUMB'!E37</f>
        <v>1.0420024027378185</v>
      </c>
      <c r="N9" s="406">
        <f>'AGG ASIA INCUMB'!F37</f>
        <v>0.97362964111173989</v>
      </c>
      <c r="O9" s="406">
        <f>'AGG ASIA INCUMB'!G37</f>
        <v>0.87129606684247685</v>
      </c>
      <c r="P9" s="240">
        <f>'AGG ASIA INCUMB'!H37</f>
        <v>3.1397168133001196E-2</v>
      </c>
    </row>
    <row r="10" spans="2:44">
      <c r="B10" s="5" t="s">
        <v>226</v>
      </c>
      <c r="C10" s="5"/>
      <c r="D10" s="408">
        <v>16390.513524999998</v>
      </c>
      <c r="E10" s="408">
        <v>16227.130384749998</v>
      </c>
      <c r="F10" s="408">
        <v>16065.381075902498</v>
      </c>
      <c r="G10" s="408">
        <v>15905.249260143473</v>
      </c>
      <c r="H10" s="209"/>
      <c r="I10" s="207"/>
      <c r="J10" s="5" t="s">
        <v>158</v>
      </c>
      <c r="L10" s="406">
        <f>'AGG ASIA INCUMB'!D38</f>
        <v>4.3103578846804975</v>
      </c>
      <c r="M10" s="406">
        <f>'AGG ASIA INCUMB'!E38</f>
        <v>3.9128368380348117</v>
      </c>
      <c r="N10" s="406">
        <f>'AGG ASIA INCUMB'!F38</f>
        <v>3.6397486062260676</v>
      </c>
      <c r="O10" s="406">
        <f>'AGG ASIA INCUMB'!G38</f>
        <v>3.2391229175829546</v>
      </c>
      <c r="P10" s="240">
        <f>'AGG ASIA INCUMB'!H38</f>
        <v>3.8631685739933808E-2</v>
      </c>
    </row>
    <row r="11" spans="2:44">
      <c r="B11" s="25" t="s">
        <v>260</v>
      </c>
      <c r="C11" s="5"/>
      <c r="D11" s="409">
        <f>($C$9*D10)</f>
        <v>75888.077620749988</v>
      </c>
      <c r="E11" s="409">
        <f>($C$9*E10)</f>
        <v>75131.613681392497</v>
      </c>
      <c r="F11" s="409">
        <f>($C$9*F10)</f>
        <v>74382.714381428566</v>
      </c>
      <c r="G11" s="409">
        <f>($C$9*G10)</f>
        <v>73641.304074464279</v>
      </c>
      <c r="H11" s="209"/>
      <c r="I11" s="209"/>
      <c r="J11" s="5" t="s">
        <v>159</v>
      </c>
      <c r="L11" s="406">
        <f>'AGG ASIA INCUMB'!D39</f>
        <v>10.190705463747499</v>
      </c>
      <c r="M11" s="406">
        <f>'AGG ASIA INCUMB'!E39</f>
        <v>8.5583839118103686</v>
      </c>
      <c r="N11" s="406">
        <f>'AGG ASIA INCUMB'!F39</f>
        <v>7.5238379752898625</v>
      </c>
      <c r="O11" s="406">
        <f>'AGG ASIA INCUMB'!G39</f>
        <v>6.4065644587599344</v>
      </c>
      <c r="P11" s="240">
        <f>'AGG ASIA INCUMB'!H39</f>
        <v>0.10228174933351819</v>
      </c>
    </row>
    <row r="12" spans="2:44">
      <c r="B12" s="5" t="s">
        <v>22</v>
      </c>
      <c r="C12" s="209"/>
      <c r="D12" s="410">
        <v>10814.531562674954</v>
      </c>
      <c r="E12" s="410">
        <v>12345.12211724679</v>
      </c>
      <c r="F12" s="410">
        <v>13785.056754771458</v>
      </c>
      <c r="G12" s="410">
        <v>15053.064733513456</v>
      </c>
      <c r="H12" s="207"/>
      <c r="I12" s="207"/>
      <c r="J12" s="5" t="s">
        <v>381</v>
      </c>
      <c r="L12" s="406">
        <f>'AGG ASIA INCUMB'!D40</f>
        <v>13.344931401968319</v>
      </c>
      <c r="M12" s="406">
        <f>'AGG ASIA INCUMB'!E40</f>
        <v>11.238034837553611</v>
      </c>
      <c r="N12" s="406">
        <f>'AGG ASIA INCUMB'!F40</f>
        <v>9.8913843223038338</v>
      </c>
      <c r="O12" s="406">
        <f>'AGG ASIA INCUMB'!G40</f>
        <v>8.4309901634846316</v>
      </c>
      <c r="P12" s="240">
        <f>'AGG ASIA INCUMB'!H40</f>
        <v>0.10047163927760949</v>
      </c>
    </row>
    <row r="13" spans="2:44">
      <c r="B13" s="5" t="s">
        <v>433</v>
      </c>
      <c r="C13" s="216"/>
      <c r="D13" s="410">
        <v>457.55785379158652</v>
      </c>
      <c r="E13" s="410">
        <v>457.55785379158652</v>
      </c>
      <c r="F13" s="410">
        <v>457.55785379158652</v>
      </c>
      <c r="G13" s="410">
        <v>457.55785379158652</v>
      </c>
      <c r="H13" s="207"/>
      <c r="I13" s="207"/>
      <c r="J13" s="5" t="s">
        <v>434</v>
      </c>
      <c r="L13" s="406">
        <f>'AGG ASIA INCUMB'!D41</f>
        <v>1.0508968001720602</v>
      </c>
      <c r="M13" s="406">
        <f>'AGG ASIA INCUMB'!E41</f>
        <v>0.99070013170896654</v>
      </c>
      <c r="N13" s="406">
        <f>'AGG ASIA INCUMB'!F41</f>
        <v>0.92777684089070633</v>
      </c>
      <c r="O13" s="406">
        <f>'AGG ASIA INCUMB'!G41</f>
        <v>0.85951313303026078</v>
      </c>
      <c r="P13" s="240">
        <f>'AGG ASIA INCUMB'!H41</f>
        <v>9.7226952143947276E-3</v>
      </c>
    </row>
    <row r="14" spans="2:44">
      <c r="B14" s="5" t="s">
        <v>436</v>
      </c>
      <c r="C14" s="246"/>
      <c r="D14" s="414">
        <v>2767</v>
      </c>
      <c r="E14" s="407">
        <f>D14</f>
        <v>2767</v>
      </c>
      <c r="F14" s="407">
        <f t="shared" ref="F14:G14" si="2">E14</f>
        <v>2767</v>
      </c>
      <c r="G14" s="407">
        <f t="shared" si="2"/>
        <v>2767</v>
      </c>
      <c r="H14" s="209"/>
      <c r="I14" s="207"/>
      <c r="J14" s="5" t="s">
        <v>493</v>
      </c>
      <c r="L14" s="406">
        <f>'AGG ASIA INCUMB'!D42</f>
        <v>1.4291550262030754</v>
      </c>
      <c r="M14" s="406">
        <f>'AGG ASIA INCUMB'!E42</f>
        <v>1.3849407655473556</v>
      </c>
      <c r="N14" s="406">
        <f>'AGG ASIA INCUMB'!F42</f>
        <v>1.3767574546734138</v>
      </c>
      <c r="O14" s="406">
        <f>'AGG ASIA INCUMB'!G42</f>
        <v>1.3160442661234328</v>
      </c>
      <c r="P14" s="240">
        <f>'AGG ASIA INCUMB'!H42</f>
        <v>-2.9409845683782243E-2</v>
      </c>
    </row>
    <row r="15" spans="2:44">
      <c r="B15" s="5" t="s">
        <v>435</v>
      </c>
      <c r="C15" s="228"/>
      <c r="D15" s="414">
        <v>0</v>
      </c>
      <c r="E15" s="407">
        <f>D15</f>
        <v>0</v>
      </c>
      <c r="F15" s="407">
        <f>E15</f>
        <v>0</v>
      </c>
      <c r="G15" s="407">
        <f>F15</f>
        <v>0</v>
      </c>
      <c r="H15" s="207"/>
      <c r="I15" s="207"/>
      <c r="J15" s="5" t="s">
        <v>390</v>
      </c>
      <c r="L15" s="406">
        <f>'AGG ASIA INCUMB'!D43</f>
        <v>32.210485313716404</v>
      </c>
      <c r="M15" s="406">
        <f>'AGG ASIA INCUMB'!E43</f>
        <v>25.503088693758627</v>
      </c>
      <c r="N15" s="406">
        <f>'AGG ASIA INCUMB'!F43</f>
        <v>21.809224253297693</v>
      </c>
      <c r="O15" s="406">
        <f>'AGG ASIA INCUMB'!G43</f>
        <v>18.855968911926709</v>
      </c>
      <c r="P15" s="240">
        <f>'AGG ASIA INCUMB'!H43</f>
        <v>0.16659624694751662</v>
      </c>
    </row>
    <row r="16" spans="2:44">
      <c r="B16" s="5" t="s">
        <v>438</v>
      </c>
      <c r="C16" s="216"/>
      <c r="D16" s="410">
        <v>0</v>
      </c>
      <c r="E16" s="410">
        <v>3652.8306223928639</v>
      </c>
      <c r="F16" s="410">
        <v>7827.7157582378395</v>
      </c>
      <c r="G16" s="410">
        <v>12157.378657321908</v>
      </c>
      <c r="H16" s="207"/>
      <c r="I16" s="207"/>
      <c r="J16" s="5" t="s">
        <v>437</v>
      </c>
      <c r="L16" s="406">
        <f>'AGG ASIA INCUMB'!D44</f>
        <v>12.339496878071898</v>
      </c>
      <c r="M16" s="406">
        <f>'AGG ASIA INCUMB'!E44</f>
        <v>11.047105057261978</v>
      </c>
      <c r="N16" s="406">
        <f>'AGG ASIA INCUMB'!F44</f>
        <v>10.00172451501094</v>
      </c>
      <c r="O16" s="406">
        <f>'AGG ASIA INCUMB'!G44</f>
        <v>9.0964327955584316</v>
      </c>
      <c r="P16" s="240">
        <f>'AGG ASIA INCUMB'!H44</f>
        <v>9.6923248619408264E-2</v>
      </c>
    </row>
    <row r="17" spans="2:24">
      <c r="B17" s="5" t="s">
        <v>4</v>
      </c>
      <c r="C17" s="216"/>
      <c r="D17" s="410">
        <v>0</v>
      </c>
      <c r="E17" s="410">
        <v>0</v>
      </c>
      <c r="F17" s="410">
        <v>0</v>
      </c>
      <c r="G17" s="410">
        <v>0</v>
      </c>
      <c r="H17" s="207"/>
      <c r="I17" s="207"/>
      <c r="J17" s="5" t="s">
        <v>481</v>
      </c>
      <c r="L17" s="208">
        <f>'AGG ASIA INCUMB'!D45</f>
        <v>5.1414904280051979E-2</v>
      </c>
      <c r="M17" s="208">
        <f>'AGG ASIA INCUMB'!E45</f>
        <v>5.6854140225317415E-2</v>
      </c>
      <c r="N17" s="208">
        <f>'AGG ASIA INCUMB'!F45</f>
        <v>6.1823755137670577E-2</v>
      </c>
      <c r="O17" s="208">
        <f>'AGG ASIA INCUMB'!G45</f>
        <v>6.6884920782751739E-2</v>
      </c>
      <c r="P17" s="240">
        <f>'AGG ASIA INCUMB'!H45</f>
        <v>8.1717503762207988E-2</v>
      </c>
      <c r="S17" s="72"/>
      <c r="T17" s="26"/>
      <c r="U17" s="26"/>
      <c r="V17" s="26"/>
      <c r="W17" s="26"/>
      <c r="X17" s="26"/>
    </row>
    <row r="18" spans="2:24" ht="12.6" thickBot="1">
      <c r="B18" s="25" t="s">
        <v>175</v>
      </c>
      <c r="C18" s="209"/>
      <c r="D18" s="411">
        <f>D11+D12+D13-D14+D15-D16-D17</f>
        <v>84393.167037216524</v>
      </c>
      <c r="E18" s="411">
        <f>E11+E12+E13-E14+E15-E16-E17</f>
        <v>81514.463030038009</v>
      </c>
      <c r="F18" s="411">
        <f>F11+F12+F13-F14+F15-F16-F17</f>
        <v>78030.61323175377</v>
      </c>
      <c r="G18" s="411">
        <f>G11+G12+G13-G14+G15-G16-G17</f>
        <v>74227.54800444741</v>
      </c>
      <c r="H18" s="230">
        <f>IF(D18=0,"nm",IF(G18=0,"nm",(G18/D18)^(1/3)-1))</f>
        <v>-4.1881388374402806E-2</v>
      </c>
      <c r="I18" s="214"/>
      <c r="J18" s="5" t="s">
        <v>33</v>
      </c>
      <c r="L18" s="208">
        <f>'AGG ASIA INCUMB'!D46</f>
        <v>5.8529095772616578E-2</v>
      </c>
      <c r="M18" s="208">
        <f>'AGG ASIA INCUMB'!E46</f>
        <v>7.0436799652068588E-2</v>
      </c>
      <c r="N18" s="208">
        <f>'AGG ASIA INCUMB'!F46</f>
        <v>-5.36316297625479E-2</v>
      </c>
      <c r="O18" s="208">
        <f>'AGG ASIA INCUMB'!G46</f>
        <v>7.4325003833795672E-2</v>
      </c>
      <c r="P18" s="240">
        <f>'AGG ASIA INCUMB'!H46</f>
        <v>7.305464127290251E-2</v>
      </c>
      <c r="S18" s="72"/>
      <c r="T18" s="26"/>
      <c r="U18" s="26"/>
      <c r="V18" s="26"/>
      <c r="W18" s="26"/>
      <c r="X18" s="26"/>
    </row>
    <row r="19" spans="2:24" ht="12.6" thickTop="1">
      <c r="B19" s="25"/>
      <c r="C19" s="209"/>
      <c r="D19" s="189"/>
      <c r="E19" s="189"/>
      <c r="F19" s="189"/>
      <c r="G19" s="189"/>
      <c r="H19" s="230"/>
      <c r="I19" s="214"/>
      <c r="J19" s="5" t="s">
        <v>482</v>
      </c>
      <c r="L19" s="208">
        <f>'AGG ASIA INCUMB'!D47</f>
        <v>3.1045791153421813E-2</v>
      </c>
      <c r="M19" s="208">
        <f>'AGG ASIA INCUMB'!E47</f>
        <v>3.9210936840161248E-2</v>
      </c>
      <c r="N19" s="208">
        <f>'AGG ASIA INCUMB'!F47</f>
        <v>4.5852158168752551E-2</v>
      </c>
      <c r="O19" s="208">
        <f>'AGG ASIA INCUMB'!G47</f>
        <v>5.3033604619886897E-2</v>
      </c>
      <c r="P19" s="240">
        <f>'AGG ASIA INCUMB'!H47</f>
        <v>0.16659624694751662</v>
      </c>
      <c r="S19" s="72"/>
      <c r="T19" s="26"/>
      <c r="U19" s="26"/>
      <c r="V19" s="26"/>
      <c r="W19" s="26"/>
      <c r="X19" s="26"/>
    </row>
    <row r="20" spans="2:24">
      <c r="H20" s="231"/>
      <c r="I20" s="13"/>
      <c r="J20" s="5" t="s">
        <v>504</v>
      </c>
      <c r="L20" s="248">
        <f>'AGG ASIA INCUMB'!D48</f>
        <v>0.84851530587757729</v>
      </c>
      <c r="M20" s="248">
        <f>'AGG ASIA INCUMB'!E48</f>
        <v>0.74595605814417199</v>
      </c>
      <c r="N20" s="248">
        <f>'AGG ASIA INCUMB'!F48</f>
        <v>0.70506562361833436</v>
      </c>
      <c r="O20" s="248">
        <f>'AGG ASIA INCUMB'!G48</f>
        <v>0.67645596035498334</v>
      </c>
      <c r="P20" s="240" t="str">
        <f>'AGG ASIA INCUMB'!H48</f>
        <v>nm</v>
      </c>
      <c r="S20" s="72"/>
      <c r="T20" s="26"/>
      <c r="U20" s="26"/>
      <c r="V20" s="26"/>
      <c r="W20" s="26"/>
      <c r="X20" s="26"/>
    </row>
    <row r="21" spans="2:24" ht="12.6" thickBot="1">
      <c r="B21" s="249" t="s">
        <v>774</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14146</v>
      </c>
      <c r="D23" s="416">
        <v>14482.00691973557</v>
      </c>
      <c r="E23" s="416">
        <v>14991.791053842038</v>
      </c>
      <c r="F23" s="416">
        <v>15449.049848506776</v>
      </c>
      <c r="G23" s="416">
        <v>15797.739165665216</v>
      </c>
      <c r="H23" s="233">
        <f t="shared" ref="H23:H32" si="4">IF(D23=0,"nm",IF(G23=0,"nm",(G23/D23)^(1/3)-1))</f>
        <v>2.94108216317297E-2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3792</v>
      </c>
      <c r="D24" s="416">
        <v>3995.528116437898</v>
      </c>
      <c r="E24" s="416">
        <v>4238.3092766617619</v>
      </c>
      <c r="F24" s="416">
        <v>4449.7040818344631</v>
      </c>
      <c r="G24" s="416">
        <v>4593.4872561209322</v>
      </c>
      <c r="H24" s="233">
        <f>IF(D24=0,"nm",IF(G24=0,"nm",(G24/D24)^(1/3)-1))</f>
        <v>4.7585410738177014E-2</v>
      </c>
      <c r="I24" s="209"/>
      <c r="J24" s="13"/>
      <c r="K24" s="13"/>
      <c r="L24" s="13"/>
      <c r="M24" s="13"/>
      <c r="N24" s="13"/>
      <c r="O24" s="208"/>
      <c r="S24" s="72"/>
      <c r="T24" s="26"/>
      <c r="U24" s="26"/>
      <c r="V24" s="26"/>
      <c r="W24" s="26" t="s">
        <v>213</v>
      </c>
      <c r="X24" s="26" t="s">
        <v>212</v>
      </c>
    </row>
    <row r="25" spans="2:24">
      <c r="B25" s="5" t="s">
        <v>157</v>
      </c>
      <c r="C25" s="422">
        <v>1659</v>
      </c>
      <c r="D25" s="416">
        <v>1820.7834301587818</v>
      </c>
      <c r="E25" s="416">
        <v>2102.4579343710548</v>
      </c>
      <c r="F25" s="416">
        <v>2513.0753026843818</v>
      </c>
      <c r="G25" s="416">
        <v>2614.7219123933869</v>
      </c>
      <c r="H25" s="233">
        <f t="shared" si="4"/>
        <v>0.12820773084308579</v>
      </c>
      <c r="I25" s="208"/>
      <c r="J25" s="207" t="s">
        <v>8</v>
      </c>
      <c r="K25" s="207"/>
      <c r="L25" s="252">
        <v>304263.77888830361</v>
      </c>
      <c r="M25" s="252">
        <v>298768.54374650109</v>
      </c>
      <c r="N25" s="252">
        <v>286233.31144721538</v>
      </c>
      <c r="O25" s="252">
        <v>268758.00446926075</v>
      </c>
      <c r="P25" s="233">
        <f>IF(L25=0,"nm",IF(O25=0,"nm",(O25/L25)^(1/3)-1))</f>
        <v>-4.0517515581717567E-2</v>
      </c>
      <c r="S25" s="72"/>
      <c r="T25" s="26"/>
      <c r="U25" s="26"/>
      <c r="V25" s="113" t="s">
        <v>225</v>
      </c>
      <c r="W25" s="242">
        <f>D37/L9</f>
        <v>5.1325569593717306</v>
      </c>
      <c r="X25" s="242">
        <v>1</v>
      </c>
    </row>
    <row r="26" spans="2:24">
      <c r="B26" s="5" t="s">
        <v>487</v>
      </c>
      <c r="C26" s="422">
        <v>1327.2</v>
      </c>
      <c r="D26" s="416">
        <v>1456.6267441270256</v>
      </c>
      <c r="E26" s="416">
        <v>1681.9663474968438</v>
      </c>
      <c r="F26" s="416">
        <v>2010.4602421475056</v>
      </c>
      <c r="G26" s="416">
        <v>2091.7775299147097</v>
      </c>
      <c r="H26" s="233">
        <f t="shared" si="4"/>
        <v>0.12820773084308579</v>
      </c>
      <c r="I26" s="209"/>
      <c r="J26" s="209" t="s">
        <v>9</v>
      </c>
      <c r="K26" s="209"/>
      <c r="L26" s="235">
        <f>D11+L25</f>
        <v>380151.85650905361</v>
      </c>
      <c r="M26" s="235">
        <f>E11+M25</f>
        <v>373900.1574278936</v>
      </c>
      <c r="N26" s="235">
        <f>F11+N25</f>
        <v>360616.02582864393</v>
      </c>
      <c r="O26" s="235">
        <f>G11+O25</f>
        <v>342399.30854372506</v>
      </c>
      <c r="P26" s="233">
        <f>IF(L26=0,"nm",IF(O26=0,"nm",(O26/L26)^(1/3)-1))</f>
        <v>-3.4263629260650852E-2</v>
      </c>
      <c r="Q26" s="5"/>
      <c r="S26" s="72"/>
      <c r="T26" s="26"/>
      <c r="U26" s="26"/>
      <c r="V26" s="113" t="s">
        <v>158</v>
      </c>
      <c r="W26" s="242">
        <f t="shared" ref="W26:W33" si="6">D38/L10</f>
        <v>1.9921090733974449</v>
      </c>
      <c r="X26" s="242">
        <v>1</v>
      </c>
    </row>
    <row r="27" spans="2:24">
      <c r="B27" s="5" t="s">
        <v>488</v>
      </c>
      <c r="C27" s="423">
        <v>34386</v>
      </c>
      <c r="D27" s="416">
        <v>34984.091315639773</v>
      </c>
      <c r="E27" s="416">
        <v>35782.133975337667</v>
      </c>
      <c r="F27" s="416">
        <v>36576.691395669062</v>
      </c>
      <c r="G27" s="416">
        <v>37596.851036432519</v>
      </c>
      <c r="H27" s="233">
        <f t="shared" si="4"/>
        <v>2.4299493366959357E-2</v>
      </c>
      <c r="I27" s="209"/>
      <c r="J27" s="208"/>
      <c r="K27" s="208"/>
      <c r="L27" s="208"/>
      <c r="M27" s="208"/>
      <c r="N27" s="208"/>
      <c r="O27" s="208"/>
      <c r="Q27" s="25"/>
      <c r="S27" s="72"/>
      <c r="T27" s="26"/>
      <c r="U27" s="26"/>
      <c r="V27" s="113" t="s">
        <v>159</v>
      </c>
      <c r="W27" s="242">
        <f t="shared" si="6"/>
        <v>1.5961072639531824</v>
      </c>
      <c r="X27" s="242">
        <v>1</v>
      </c>
    </row>
    <row r="28" spans="2:24" ht="12.6" thickBot="1">
      <c r="B28" s="5" t="s">
        <v>492</v>
      </c>
      <c r="C28" s="422">
        <v>17524</v>
      </c>
      <c r="D28" s="416">
        <v>17527.41650848282</v>
      </c>
      <c r="E28" s="416">
        <v>17327.413382834682</v>
      </c>
      <c r="F28" s="416">
        <v>16752.710001378615</v>
      </c>
      <c r="G28" s="416">
        <v>16443.906384176291</v>
      </c>
      <c r="H28" s="233">
        <f t="shared" si="4"/>
        <v>-2.1045825024283649E-2</v>
      </c>
      <c r="I28" s="208"/>
      <c r="J28" s="249" t="s">
        <v>1073</v>
      </c>
      <c r="K28" s="249"/>
      <c r="L28" s="249"/>
      <c r="M28" s="249"/>
      <c r="N28" s="220"/>
      <c r="O28" s="220"/>
      <c r="P28" s="220"/>
      <c r="Q28" s="5"/>
      <c r="S28" s="72"/>
      <c r="T28" s="26"/>
      <c r="U28" s="26"/>
      <c r="V28" s="113" t="s">
        <v>381</v>
      </c>
      <c r="W28" s="242">
        <f t="shared" si="6"/>
        <v>1.5202362667864966</v>
      </c>
      <c r="X28" s="242">
        <v>1</v>
      </c>
    </row>
    <row r="29" spans="2:24" ht="12.6" thickTop="1">
      <c r="B29" s="5" t="s">
        <v>489</v>
      </c>
      <c r="C29" s="422">
        <v>1844</v>
      </c>
      <c r="D29" s="416">
        <v>2289.3072140184022</v>
      </c>
      <c r="E29" s="416">
        <v>2748.1707392859357</v>
      </c>
      <c r="F29" s="416">
        <v>3349.0915047714889</v>
      </c>
      <c r="G29" s="416">
        <v>3667.758639638686</v>
      </c>
      <c r="H29" s="233">
        <f t="shared" si="4"/>
        <v>0.17012490768043387</v>
      </c>
      <c r="I29" s="212"/>
      <c r="J29" s="209"/>
      <c r="K29" s="209"/>
      <c r="L29" s="209"/>
      <c r="M29" s="209"/>
      <c r="N29" s="209"/>
      <c r="O29" s="211"/>
      <c r="Q29" s="5"/>
      <c r="S29" s="72"/>
      <c r="T29" s="26"/>
      <c r="U29" s="26"/>
      <c r="V29" s="113" t="s">
        <v>434</v>
      </c>
      <c r="W29" s="242">
        <f t="shared" si="6"/>
        <v>2.2954964075097553</v>
      </c>
      <c r="X29" s="242">
        <v>1</v>
      </c>
    </row>
    <row r="30" spans="2:24">
      <c r="B30" s="5" t="s">
        <v>490</v>
      </c>
      <c r="C30" s="423">
        <v>4017</v>
      </c>
      <c r="D30" s="416">
        <v>3340.2785296581837</v>
      </c>
      <c r="E30" s="416">
        <v>4008.1509989838264</v>
      </c>
      <c r="F30" s="416">
        <v>4614.8252771028865</v>
      </c>
      <c r="G30" s="416">
        <v>5168.518159442142</v>
      </c>
      <c r="H30" s="233">
        <f t="shared" si="4"/>
        <v>0.15663000592939103</v>
      </c>
      <c r="I30" s="214"/>
      <c r="J30" s="208"/>
      <c r="K30" s="208"/>
      <c r="L30" s="208"/>
      <c r="M30" s="208"/>
      <c r="N30" s="208"/>
      <c r="O30" s="5"/>
      <c r="Q30" s="5"/>
      <c r="S30" s="72"/>
      <c r="T30" s="26"/>
      <c r="U30" s="26"/>
      <c r="V30" s="113" t="s">
        <v>493</v>
      </c>
      <c r="W30" s="242">
        <f t="shared" si="6"/>
        <v>3.3690700191134937</v>
      </c>
      <c r="X30" s="242">
        <v>1</v>
      </c>
    </row>
    <row r="31" spans="2:24">
      <c r="B31" s="5" t="s">
        <v>491</v>
      </c>
      <c r="C31" s="423">
        <v>2814.44299</v>
      </c>
      <c r="D31" s="416">
        <v>3664.1911559936029</v>
      </c>
      <c r="E31" s="416">
        <v>4190.4966592219425</v>
      </c>
      <c r="F31" s="416">
        <v>4667.817750099367</v>
      </c>
      <c r="G31" s="416">
        <v>4784.6392442825017</v>
      </c>
      <c r="H31" s="233">
        <f t="shared" si="4"/>
        <v>9.3008884154504257E-2</v>
      </c>
      <c r="I31" s="214"/>
      <c r="J31" s="212"/>
      <c r="K31" s="212"/>
      <c r="L31" s="212"/>
      <c r="M31" s="212"/>
      <c r="N31" s="212"/>
      <c r="O31" s="5"/>
      <c r="Q31" s="5"/>
      <c r="S31" s="72"/>
      <c r="T31" s="26"/>
      <c r="U31" s="26"/>
      <c r="V31" s="113" t="s">
        <v>390</v>
      </c>
      <c r="W31" s="242">
        <f t="shared" si="6"/>
        <v>5.1553216936094381</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1.8411679953741098</v>
      </c>
      <c r="X32" s="242">
        <v>1</v>
      </c>
    </row>
    <row r="33" spans="2:24">
      <c r="B33" s="5" t="s">
        <v>3</v>
      </c>
      <c r="C33" s="423">
        <v>-343</v>
      </c>
      <c r="D33" s="416">
        <v>-318.93654837369763</v>
      </c>
      <c r="E33" s="416">
        <v>-359.75998598451946</v>
      </c>
      <c r="F33" s="416">
        <v>-406.12281543384108</v>
      </c>
      <c r="G33" s="416">
        <v>-449.49324029656333</v>
      </c>
      <c r="H33" s="233">
        <f>IF(D33=0,"nm",IF(G33=0,"nm",(G33/D33)^(1/3)-1))</f>
        <v>0.12117384626703243</v>
      </c>
      <c r="I33" s="5"/>
      <c r="J33" s="214"/>
      <c r="K33" s="214"/>
      <c r="L33" s="214"/>
      <c r="M33" s="214"/>
      <c r="N33" s="214"/>
      <c r="O33" s="211"/>
      <c r="Q33" s="5"/>
      <c r="S33" s="72"/>
      <c r="T33" s="26"/>
      <c r="U33" s="26"/>
      <c r="V33" s="113" t="s">
        <v>481</v>
      </c>
      <c r="W33" s="242">
        <f t="shared" si="6"/>
        <v>0.9391079974713773</v>
      </c>
      <c r="X33" s="242">
        <v>1</v>
      </c>
    </row>
    <row r="34" spans="2:24">
      <c r="B34" s="5"/>
      <c r="H34" s="231"/>
      <c r="I34" s="33"/>
      <c r="J34" s="214"/>
      <c r="K34" s="214"/>
      <c r="L34" s="214"/>
      <c r="M34" s="214"/>
      <c r="N34" s="214"/>
      <c r="O34" s="211"/>
      <c r="Q34" s="5"/>
      <c r="S34" s="72"/>
      <c r="T34" s="26"/>
      <c r="U34" s="26"/>
      <c r="V34" s="113" t="s">
        <v>482</v>
      </c>
      <c r="W34" s="242">
        <f>D47/L19</f>
        <v>0.1939743161400781</v>
      </c>
      <c r="X34" s="242">
        <v>1</v>
      </c>
    </row>
    <row r="35" spans="2:24" ht="12.6" thickBot="1">
      <c r="B35" s="249" t="s">
        <v>457</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5.8274497108690433</v>
      </c>
      <c r="E37" s="406">
        <f>E$18/E23</f>
        <v>5.4372731541737833</v>
      </c>
      <c r="F37" s="406">
        <f>F$18/F23</f>
        <v>5.0508357469825755</v>
      </c>
      <c r="G37" s="406">
        <f>G$18/G23</f>
        <v>4.6986184052065791</v>
      </c>
      <c r="H37" s="13">
        <f t="shared" ref="H37:H45" si="8">H23</f>
        <v>2.94108216317297E-2</v>
      </c>
      <c r="I37" s="5"/>
      <c r="J37" s="217"/>
      <c r="K37" s="217"/>
      <c r="L37" s="217"/>
      <c r="M37" s="217"/>
      <c r="N37" s="217"/>
      <c r="O37" s="14"/>
      <c r="Q37" s="5"/>
      <c r="R37" s="5"/>
      <c r="S37" s="26"/>
      <c r="T37" s="26"/>
      <c r="U37" s="26"/>
      <c r="V37" s="26"/>
      <c r="W37" s="26"/>
      <c r="X37" s="26"/>
    </row>
    <row r="38" spans="2:24">
      <c r="B38" s="5" t="s">
        <v>700</v>
      </c>
      <c r="C38" s="207"/>
      <c r="D38" s="406">
        <f>PROPORTIONATES!G67</f>
        <v>8.5867030516622371</v>
      </c>
      <c r="E38" s="406">
        <f>PROPORTIONATES!H67</f>
        <v>7.6232653627497013</v>
      </c>
      <c r="F38" s="406">
        <f>PROPORTIONATES!I67</f>
        <v>6.7898463208508799</v>
      </c>
      <c r="G38" s="406">
        <f>PROPORTIONATES!J67</f>
        <v>6.0121839447352752</v>
      </c>
      <c r="H38" s="13">
        <f t="shared" si="8"/>
        <v>4.7585410738177014E-2</v>
      </c>
      <c r="I38" s="217"/>
      <c r="J38" s="13"/>
      <c r="K38" s="13"/>
      <c r="L38" s="13"/>
      <c r="M38" s="13"/>
      <c r="N38" s="13"/>
      <c r="O38" s="5"/>
      <c r="Q38" s="5"/>
      <c r="R38" s="5"/>
      <c r="S38" s="26"/>
      <c r="T38" s="26"/>
      <c r="U38" s="26"/>
      <c r="V38" s="26"/>
      <c r="W38" s="26"/>
      <c r="X38" s="26"/>
    </row>
    <row r="39" spans="2:24">
      <c r="B39" s="5" t="s">
        <v>701</v>
      </c>
      <c r="C39" s="207"/>
      <c r="D39" s="406">
        <f>PROPORTIONATES!G68</f>
        <v>16.265459015494766</v>
      </c>
      <c r="E39" s="406">
        <f>PROPORTIONATES!H68</f>
        <v>13.190419448389438</v>
      </c>
      <c r="F39" s="406">
        <f>PROPORTIONATES!I68</f>
        <v>11.096056095047917</v>
      </c>
      <c r="G39" s="406">
        <f>PROPORTIONATES!J68</f>
        <v>9.5401194512504741</v>
      </c>
      <c r="H39" s="13">
        <f t="shared" si="8"/>
        <v>0.12820773084308579</v>
      </c>
      <c r="I39" s="13"/>
      <c r="J39" s="5"/>
      <c r="K39" s="5"/>
      <c r="L39" s="5"/>
      <c r="M39" s="5"/>
      <c r="N39" s="5"/>
      <c r="O39" s="5"/>
      <c r="Q39" s="5"/>
      <c r="R39" s="5"/>
      <c r="S39" s="26"/>
      <c r="T39" s="26"/>
      <c r="U39" s="26"/>
      <c r="V39" s="26"/>
      <c r="W39" s="26"/>
      <c r="X39" s="26"/>
    </row>
    <row r="40" spans="2:24">
      <c r="B40" s="5" t="s">
        <v>702</v>
      </c>
      <c r="C40" s="207"/>
      <c r="D40" s="406">
        <f>PROPORTIONATES!G69</f>
        <v>20.287448695050205</v>
      </c>
      <c r="E40" s="406">
        <f>PROPORTIONATES!H69</f>
        <v>16.715000038324515</v>
      </c>
      <c r="F40" s="406">
        <f>PROPORTIONATES!I69</f>
        <v>14.131107490467882</v>
      </c>
      <c r="G40" s="406">
        <f>PROPORTIONATES!J69</f>
        <v>11.495455998492758</v>
      </c>
      <c r="H40" s="13">
        <f t="shared" si="8"/>
        <v>0.12820773084308579</v>
      </c>
      <c r="I40" s="5"/>
      <c r="J40" s="217"/>
      <c r="K40" s="217"/>
      <c r="L40" s="217"/>
      <c r="M40" s="217"/>
      <c r="N40" s="217"/>
      <c r="O40" s="14"/>
      <c r="Q40" s="5"/>
      <c r="R40" s="5"/>
      <c r="S40" s="26"/>
      <c r="T40" s="26"/>
      <c r="U40" s="26"/>
      <c r="V40" s="26"/>
      <c r="W40" s="242"/>
      <c r="X40" s="242"/>
    </row>
    <row r="41" spans="2:24">
      <c r="B41" s="5" t="s">
        <v>434</v>
      </c>
      <c r="C41" s="207"/>
      <c r="D41" s="406">
        <f>D$18/D27</f>
        <v>2.4123298294584612</v>
      </c>
      <c r="E41" s="406">
        <f>E$18/E27</f>
        <v>2.2780771847263415</v>
      </c>
      <c r="F41" s="406">
        <f>F$18/F27</f>
        <v>2.1333425811442623</v>
      </c>
      <c r="G41" s="406">
        <f>G$18/G27</f>
        <v>1.9743022609132506</v>
      </c>
      <c r="H41" s="13">
        <f t="shared" si="8"/>
        <v>2.4299493366959357E-2</v>
      </c>
      <c r="I41" s="207"/>
      <c r="J41" s="13"/>
      <c r="K41" s="13"/>
      <c r="L41" s="13"/>
      <c r="M41" s="13"/>
      <c r="N41" s="13"/>
      <c r="O41" s="5"/>
      <c r="Q41" s="5"/>
      <c r="R41" s="5"/>
      <c r="S41" s="26"/>
      <c r="T41" s="26"/>
      <c r="U41" s="26"/>
      <c r="V41" s="26"/>
      <c r="W41" s="242"/>
      <c r="X41" s="242"/>
    </row>
    <row r="42" spans="2:24">
      <c r="B42" s="5" t="s">
        <v>493</v>
      </c>
      <c r="C42" s="207"/>
      <c r="D42" s="406">
        <f>D18/D28</f>
        <v>4.8149233514461409</v>
      </c>
      <c r="E42" s="406">
        <f>E18/E28</f>
        <v>4.7043641903753457</v>
      </c>
      <c r="F42" s="406">
        <f>F18/F28</f>
        <v>4.6577904843653632</v>
      </c>
      <c r="G42" s="406">
        <f>G18/G28</f>
        <v>4.5139850757041158</v>
      </c>
      <c r="H42" s="13">
        <f t="shared" si="8"/>
        <v>-2.1045825024283649E-2</v>
      </c>
      <c r="I42" s="208"/>
      <c r="J42" s="5"/>
      <c r="K42" s="5"/>
      <c r="L42" s="5"/>
      <c r="M42" s="5"/>
      <c r="N42" s="5"/>
      <c r="O42" s="5"/>
      <c r="Q42" s="5"/>
      <c r="R42" s="5"/>
      <c r="S42" s="26"/>
      <c r="T42" s="26"/>
      <c r="U42" s="26"/>
      <c r="V42" s="26"/>
      <c r="W42" s="242"/>
      <c r="X42" s="242"/>
    </row>
    <row r="43" spans="2:24">
      <c r="B43" s="5" t="s">
        <v>390</v>
      </c>
      <c r="C43" s="207"/>
      <c r="D43" s="406">
        <f>L26/D29</f>
        <v>166.0554136994904</v>
      </c>
      <c r="E43" s="406">
        <f>M26/E29</f>
        <v>136.05419491695957</v>
      </c>
      <c r="F43" s="406">
        <f>N26/F29</f>
        <v>107.67577574839927</v>
      </c>
      <c r="G43" s="406">
        <f>O26/G29</f>
        <v>93.35382782370192</v>
      </c>
      <c r="H43" s="13">
        <f t="shared" si="8"/>
        <v>0.17012490768043387</v>
      </c>
      <c r="I43" s="207"/>
      <c r="J43" s="207"/>
      <c r="K43" s="207"/>
      <c r="L43" s="207"/>
      <c r="M43" s="207"/>
      <c r="N43" s="207"/>
      <c r="O43" s="14"/>
      <c r="Q43" s="5"/>
      <c r="R43" s="5"/>
      <c r="S43" s="26"/>
      <c r="T43" s="26"/>
      <c r="U43" s="26"/>
      <c r="V43" s="26"/>
      <c r="W43" s="242"/>
      <c r="X43" s="242"/>
    </row>
    <row r="44" spans="2:24">
      <c r="B44" s="5" t="s">
        <v>437</v>
      </c>
      <c r="C44" s="53"/>
      <c r="D44" s="406">
        <f>D11/D30</f>
        <v>22.719086730924722</v>
      </c>
      <c r="E44" s="406">
        <f>E11/E30</f>
        <v>18.744706399644219</v>
      </c>
      <c r="F44" s="406">
        <f>F11/F30</f>
        <v>16.118208147660326</v>
      </c>
      <c r="G44" s="406">
        <f>G11/G30</f>
        <v>14.248049789654345</v>
      </c>
      <c r="H44" s="13">
        <f t="shared" si="8"/>
        <v>0.15663000592939103</v>
      </c>
      <c r="I44" s="207"/>
      <c r="J44" s="208"/>
      <c r="K44" s="208"/>
      <c r="L44" s="208"/>
      <c r="M44" s="208"/>
      <c r="N44" s="208"/>
      <c r="O44" s="208"/>
      <c r="Q44" s="5"/>
      <c r="R44" s="5"/>
      <c r="S44" s="26"/>
      <c r="T44" s="26"/>
      <c r="U44" s="26"/>
      <c r="V44" s="26"/>
      <c r="W44" s="255"/>
      <c r="X44" s="255"/>
    </row>
    <row r="45" spans="2:24">
      <c r="B45" s="5" t="s">
        <v>481</v>
      </c>
      <c r="C45" s="207"/>
      <c r="D45" s="208">
        <f>D31/D11</f>
        <v>4.8284147798622161E-2</v>
      </c>
      <c r="E45" s="208">
        <f>E31/E11</f>
        <v>5.5775411360022252E-2</v>
      </c>
      <c r="F45" s="208">
        <f>F31/F11</f>
        <v>6.275406576537626E-2</v>
      </c>
      <c r="G45" s="208">
        <f>G31/G11</f>
        <v>6.4972223189371986E-2</v>
      </c>
      <c r="H45" s="13">
        <f t="shared" si="8"/>
        <v>9.3008884154504257E-2</v>
      </c>
      <c r="I45" s="208"/>
      <c r="J45" s="207"/>
      <c r="K45" s="207"/>
      <c r="L45" s="207"/>
      <c r="M45" s="207"/>
      <c r="N45" s="207"/>
      <c r="O45" s="208"/>
      <c r="Q45" s="5"/>
      <c r="R45" s="5"/>
      <c r="S45" s="26"/>
      <c r="T45" s="26"/>
      <c r="U45" s="26"/>
      <c r="V45" s="26"/>
      <c r="W45" s="26"/>
      <c r="X45" s="26"/>
    </row>
    <row r="46" spans="2:24">
      <c r="B46" s="5" t="s">
        <v>505</v>
      </c>
      <c r="C46" s="207"/>
      <c r="D46" s="208">
        <f>(D31+D32)/D11</f>
        <v>4.8284147798622161E-2</v>
      </c>
      <c r="E46" s="208">
        <f>(E31+E32)/E11</f>
        <v>5.5775411360022252E-2</v>
      </c>
      <c r="F46" s="208">
        <f>(F31+F32)/F11</f>
        <v>6.275406576537626E-2</v>
      </c>
      <c r="G46" s="208">
        <f>(G31+G32)/G11</f>
        <v>6.4972223189371986E-2</v>
      </c>
      <c r="H46" s="233">
        <f>((G31+G32)/(D31+D32))^(1/3)-1</f>
        <v>9.3008884154504257E-2</v>
      </c>
      <c r="I46" s="207"/>
      <c r="J46" s="207"/>
      <c r="K46" s="207"/>
      <c r="L46" s="207"/>
      <c r="M46" s="207"/>
      <c r="N46" s="207"/>
      <c r="O46" s="14"/>
      <c r="Q46" s="5"/>
      <c r="R46" s="5"/>
      <c r="S46" s="26"/>
      <c r="T46" s="26"/>
      <c r="U46" s="26"/>
      <c r="V46" s="26"/>
      <c r="W46" s="26"/>
      <c r="X46" s="26"/>
    </row>
    <row r="47" spans="2:24">
      <c r="B47" s="5" t="s">
        <v>482</v>
      </c>
      <c r="C47" s="5"/>
      <c r="D47" s="208">
        <f>1/D43</f>
        <v>6.0220861080126824E-3</v>
      </c>
      <c r="E47" s="208">
        <f>1/E43</f>
        <v>7.3500122551189854E-3</v>
      </c>
      <c r="F47" s="208">
        <f>1/F43</f>
        <v>9.2871399630001378E-3</v>
      </c>
      <c r="G47" s="208">
        <f>1/G43</f>
        <v>1.0711933546940285E-2</v>
      </c>
      <c r="H47" s="13">
        <f>H29</f>
        <v>0.17012490768043387</v>
      </c>
      <c r="I47" s="13"/>
      <c r="J47" s="208"/>
      <c r="K47" s="208"/>
      <c r="L47" s="208"/>
      <c r="M47" s="208"/>
      <c r="N47" s="208"/>
      <c r="O47" s="208"/>
      <c r="Q47" s="5"/>
      <c r="R47" s="5"/>
      <c r="S47" s="26"/>
      <c r="T47" s="26"/>
      <c r="U47" s="26"/>
      <c r="V47" s="26"/>
      <c r="W47" s="26"/>
      <c r="X47" s="26"/>
    </row>
    <row r="48" spans="2:24">
      <c r="B48" s="5" t="s">
        <v>518</v>
      </c>
      <c r="C48" s="5"/>
      <c r="D48" s="248">
        <f>D31/D29</f>
        <v>1.6005676885811573</v>
      </c>
      <c r="E48" s="248">
        <f>E31/E29</f>
        <v>1.5248312629624934</v>
      </c>
      <c r="F48" s="248">
        <f>F31/F29</f>
        <v>1.3937564092975883</v>
      </c>
      <c r="G48" s="248">
        <f>G31/G29</f>
        <v>1.3045131139692008</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SINGTELSOP!A1" display="Jump to Singtel SOP" xr:uid="{00000000-0004-0000-4E00-000001000000}"/>
  </hyperlinks>
  <pageMargins left="0.75" right="0.75" top="1" bottom="1" header="0.5" footer="0.5"/>
  <pageSetup scale="71"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9">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731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732</v>
      </c>
      <c r="C7" s="219"/>
      <c r="D7" s="219" t="str">
        <f>D5</f>
        <v>2025E</v>
      </c>
      <c r="E7" s="219" t="str">
        <f t="shared" ref="E7:H7" si="0">E5</f>
        <v>2026E</v>
      </c>
      <c r="F7" s="219" t="str">
        <f t="shared" si="0"/>
        <v>2027E</v>
      </c>
      <c r="G7" s="219" t="str">
        <f t="shared" si="0"/>
        <v>2028E</v>
      </c>
      <c r="H7" s="219" t="str">
        <f t="shared" si="0"/>
        <v>2025-28</v>
      </c>
      <c r="I7" s="33"/>
      <c r="J7" s="249" t="s">
        <v>651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735</v>
      </c>
      <c r="C9" s="239">
        <f>Prices!C121</f>
        <v>16.16</v>
      </c>
      <c r="D9" s="412">
        <v>0</v>
      </c>
      <c r="E9" s="413">
        <v>0</v>
      </c>
      <c r="F9" s="413">
        <v>0</v>
      </c>
      <c r="G9" s="413">
        <v>0</v>
      </c>
      <c r="H9" s="209"/>
      <c r="I9" s="209"/>
      <c r="J9" s="5" t="s">
        <v>225</v>
      </c>
      <c r="L9" s="406">
        <f>'EM TOWERS'!D37</f>
        <v>2.8753856370989439</v>
      </c>
      <c r="M9" s="406">
        <f>'EM TOWERS'!E37</f>
        <v>2.5588631440779301</v>
      </c>
      <c r="N9" s="406">
        <f>'EM TOWERS'!F37</f>
        <v>2.2791060394933726</v>
      </c>
      <c r="O9" s="406">
        <f>'EM TOWERS'!G37</f>
        <v>2.0260816488517763</v>
      </c>
      <c r="P9" s="233">
        <f t="shared" ref="P9:P20" si="2">IF(L9=0,"nm",IF(O9=0,"nm",(O9/L9)^(1/3)-1))</f>
        <v>-0.11014287672377077</v>
      </c>
    </row>
    <row r="10" spans="2:44">
      <c r="B10" s="5" t="s">
        <v>226</v>
      </c>
      <c r="C10" s="5"/>
      <c r="D10" s="408">
        <v>3150</v>
      </c>
      <c r="E10" s="408">
        <v>3100</v>
      </c>
      <c r="F10" s="408">
        <v>3050</v>
      </c>
      <c r="G10" s="408">
        <v>3000</v>
      </c>
      <c r="H10" s="207"/>
      <c r="I10" s="207"/>
      <c r="J10" s="5" t="s">
        <v>158</v>
      </c>
      <c r="L10" s="406">
        <f>'EM TOWERS'!D38</f>
        <v>4.4484146973524972</v>
      </c>
      <c r="M10" s="406">
        <f>'EM TOWERS'!E38</f>
        <v>3.9480925890218517</v>
      </c>
      <c r="N10" s="406">
        <f>'EM TOWERS'!F38</f>
        <v>3.5183466460380162</v>
      </c>
      <c r="O10" s="406">
        <f>'EM TOWERS'!G38</f>
        <v>3.129360275503688</v>
      </c>
      <c r="P10" s="233">
        <f t="shared" si="2"/>
        <v>-0.11062804037283236</v>
      </c>
    </row>
    <row r="11" spans="2:44">
      <c r="B11" s="25" t="s">
        <v>736</v>
      </c>
      <c r="C11" s="5"/>
      <c r="D11" s="409">
        <f>$C$9*D10</f>
        <v>50904</v>
      </c>
      <c r="E11" s="409">
        <f>$C$9*E10</f>
        <v>50096</v>
      </c>
      <c r="F11" s="409">
        <f>$C$9*F10</f>
        <v>49288</v>
      </c>
      <c r="G11" s="409">
        <f>$C$9*G10</f>
        <v>48480</v>
      </c>
      <c r="H11" s="209"/>
      <c r="I11" s="209"/>
      <c r="J11" s="5" t="s">
        <v>159</v>
      </c>
      <c r="L11" s="406">
        <f>'EM TOWERS'!D39</f>
        <v>6.467357750034668</v>
      </c>
      <c r="M11" s="406">
        <f>'EM TOWERS'!E39</f>
        <v>5.6816273495521736</v>
      </c>
      <c r="N11" s="406">
        <f>'EM TOWERS'!F39</f>
        <v>5.0275068119418096</v>
      </c>
      <c r="O11" s="406">
        <f>'EM TOWERS'!G39</f>
        <v>4.4520069956270758</v>
      </c>
      <c r="P11" s="233">
        <f t="shared" si="2"/>
        <v>-0.1170360257715557</v>
      </c>
    </row>
    <row r="12" spans="2:44">
      <c r="B12" s="5" t="s">
        <v>22</v>
      </c>
      <c r="C12" s="209"/>
      <c r="D12" s="410">
        <v>27185.470847643788</v>
      </c>
      <c r="E12" s="410">
        <v>22714.149251013903</v>
      </c>
      <c r="F12" s="410">
        <v>17884.782599317346</v>
      </c>
      <c r="G12" s="410">
        <v>12667.202805657078</v>
      </c>
      <c r="H12" s="207"/>
      <c r="I12" s="207"/>
      <c r="J12" s="5" t="s">
        <v>381</v>
      </c>
      <c r="L12" s="406">
        <f>'EM TOWERS'!D40</f>
        <v>7.1880123213702038</v>
      </c>
      <c r="M12" s="406">
        <f>'EM TOWERS'!E40</f>
        <v>6.2974410157328773</v>
      </c>
      <c r="N12" s="406">
        <f>'EM TOWERS'!F40</f>
        <v>5.5805415685706015</v>
      </c>
      <c r="O12" s="406">
        <f>'EM TOWERS'!G40</f>
        <v>4.9453375933267081</v>
      </c>
      <c r="P12" s="233">
        <f t="shared" si="2"/>
        <v>-0.11719989315289336</v>
      </c>
    </row>
    <row r="13" spans="2:44">
      <c r="B13" s="5" t="s">
        <v>433</v>
      </c>
      <c r="C13" s="216"/>
      <c r="D13" s="410">
        <v>0</v>
      </c>
      <c r="E13" s="410">
        <v>0</v>
      </c>
      <c r="F13" s="410">
        <v>0</v>
      </c>
      <c r="G13" s="410">
        <v>0</v>
      </c>
      <c r="H13" s="207"/>
      <c r="I13" s="207"/>
      <c r="J13" s="5" t="s">
        <v>434</v>
      </c>
      <c r="L13" s="406">
        <f>'EM TOWERS'!D41</f>
        <v>1.1929325059828397</v>
      </c>
      <c r="M13" s="406">
        <f>'EM TOWERS'!E41</f>
        <v>1.1316043698700911</v>
      </c>
      <c r="N13" s="406">
        <f>'EM TOWERS'!F41</f>
        <v>1.053443256852002</v>
      </c>
      <c r="O13" s="406">
        <f>'EM TOWERS'!G41</f>
        <v>0.96594025199218903</v>
      </c>
      <c r="P13" s="233">
        <f t="shared" si="2"/>
        <v>-6.7938010995306719E-2</v>
      </c>
    </row>
    <row r="14" spans="2:44">
      <c r="B14" s="5" t="s">
        <v>435</v>
      </c>
      <c r="C14" s="216"/>
      <c r="D14" s="410">
        <v>0</v>
      </c>
      <c r="E14" s="410">
        <v>0</v>
      </c>
      <c r="F14" s="410">
        <v>0</v>
      </c>
      <c r="G14" s="410">
        <v>0</v>
      </c>
      <c r="H14" s="207"/>
      <c r="I14" s="207"/>
      <c r="J14" s="5" t="s">
        <v>493</v>
      </c>
      <c r="L14" s="406">
        <f>'EM TOWERS'!D42</f>
        <v>1.9987670824600938</v>
      </c>
      <c r="M14" s="406">
        <f>'EM TOWERS'!E42</f>
        <v>2.0417321035179237</v>
      </c>
      <c r="N14" s="406">
        <f>'EM TOWERS'!F42</f>
        <v>2.0361368094741659</v>
      </c>
      <c r="O14" s="406">
        <f>'EM TOWERS'!G42</f>
        <v>1.9939520283492802</v>
      </c>
      <c r="P14" s="233">
        <f t="shared" si="2"/>
        <v>-8.0364971720492395E-4</v>
      </c>
    </row>
    <row r="15" spans="2:44">
      <c r="B15" s="25" t="s">
        <v>436</v>
      </c>
      <c r="C15" s="228"/>
      <c r="D15" s="410">
        <v>0</v>
      </c>
      <c r="E15" s="410">
        <v>0</v>
      </c>
      <c r="F15" s="410">
        <v>0</v>
      </c>
      <c r="G15" s="410">
        <v>0</v>
      </c>
      <c r="H15" s="209"/>
      <c r="I15" s="207"/>
      <c r="J15" s="5" t="s">
        <v>390</v>
      </c>
      <c r="L15" s="406">
        <f>'EM TOWERS'!D43</f>
        <v>8.1064361166140024</v>
      </c>
      <c r="M15" s="406">
        <f>'EM TOWERS'!E43</f>
        <v>7.7090040884711142</v>
      </c>
      <c r="N15" s="406">
        <f>'EM TOWERS'!F43</f>
        <v>7.368419056291093</v>
      </c>
      <c r="O15" s="406">
        <f>'EM TOWERS'!G43</f>
        <v>7.059772948743908</v>
      </c>
      <c r="P15" s="233">
        <f t="shared" si="2"/>
        <v>-4.5036169050440833E-2</v>
      </c>
    </row>
    <row r="16" spans="2:44">
      <c r="B16" s="5" t="s">
        <v>438</v>
      </c>
      <c r="C16" s="216"/>
      <c r="D16" s="410">
        <v>0</v>
      </c>
      <c r="E16" s="410">
        <v>0</v>
      </c>
      <c r="F16" s="410">
        <v>0</v>
      </c>
      <c r="G16" s="410">
        <v>0</v>
      </c>
      <c r="H16" s="207"/>
      <c r="I16" s="207"/>
      <c r="J16" s="5" t="s">
        <v>437</v>
      </c>
      <c r="L16" s="406">
        <f>'EM TOWERS'!D44</f>
        <v>13.436863988366767</v>
      </c>
      <c r="M16" s="406">
        <f>'EM TOWERS'!E44</f>
        <v>9.7165411129508161</v>
      </c>
      <c r="N16" s="406">
        <f>'EM TOWERS'!F44</f>
        <v>7.9288649416051227</v>
      </c>
      <c r="O16" s="406">
        <f>'EM TOWERS'!G44</f>
        <v>7.0017311665269686</v>
      </c>
      <c r="P16" s="233">
        <f>IF(L16=0,"nm",IF(O16=0,"nm",(O16/L16)^(1/3)-1))</f>
        <v>-0.19529659884674122</v>
      </c>
    </row>
    <row r="17" spans="2:24">
      <c r="B17" s="5" t="s">
        <v>4</v>
      </c>
      <c r="C17" s="216"/>
      <c r="D17" s="410">
        <v>0</v>
      </c>
      <c r="E17" s="410">
        <v>0</v>
      </c>
      <c r="F17" s="410">
        <v>0</v>
      </c>
      <c r="G17" s="410">
        <v>0</v>
      </c>
      <c r="H17" s="207"/>
      <c r="I17" s="207"/>
      <c r="J17" s="5" t="s">
        <v>481</v>
      </c>
      <c r="L17" s="406">
        <f>'EM TOWERS'!D45</f>
        <v>4.0111232057438634E-2</v>
      </c>
      <c r="M17" s="406">
        <f>'EM TOWERS'!E45</f>
        <v>5.7479683884391737E-2</v>
      </c>
      <c r="N17" s="406">
        <f>'EM TOWERS'!F45</f>
        <v>7.0370913013770742E-2</v>
      </c>
      <c r="O17" s="406">
        <f>'EM TOWERS'!G45</f>
        <v>7.8768143947675784E-2</v>
      </c>
      <c r="P17" s="233">
        <f t="shared" si="2"/>
        <v>0.25226104258210524</v>
      </c>
      <c r="S17" s="72"/>
      <c r="T17" s="26"/>
      <c r="U17" s="26"/>
      <c r="V17" s="26"/>
      <c r="W17" s="26"/>
      <c r="X17" s="26"/>
    </row>
    <row r="18" spans="2:24" ht="12.6" thickBot="1">
      <c r="B18" s="25" t="s">
        <v>484</v>
      </c>
      <c r="C18" s="209"/>
      <c r="D18" s="411">
        <f>D11+D12+D13-D14+D15-D16-D17</f>
        <v>78089.470847643795</v>
      </c>
      <c r="E18" s="411">
        <f>E11+E12+E13-E14+E15-E16-E17</f>
        <v>72810.149251013907</v>
      </c>
      <c r="F18" s="411">
        <f>F11+F12+F13-F14+F15-F16-F17</f>
        <v>67172.782599317346</v>
      </c>
      <c r="G18" s="411">
        <f>G11+G12+G13-G14+G15-G16-G17</f>
        <v>61147.202805657078</v>
      </c>
      <c r="H18" s="230">
        <f>IF(D18=0,"nm",IF(G18=0,"nm",(G18/D18)^(1/3)-1))</f>
        <v>-7.8289139112642347E-2</v>
      </c>
      <c r="I18" s="214"/>
      <c r="J18" s="5" t="s">
        <v>33</v>
      </c>
      <c r="L18" s="406">
        <f>'EM TOWERS'!D46</f>
        <v>3.4149277793105323E-2</v>
      </c>
      <c r="M18" s="406">
        <f>'EM TOWERS'!E46</f>
        <v>5.0189715809664123E-2</v>
      </c>
      <c r="N18" s="406">
        <f>'EM TOWERS'!F46</f>
        <v>6.1907116223455669E-2</v>
      </c>
      <c r="O18" s="406">
        <f>'EM TOWERS'!G46</f>
        <v>6.9451969034422772E-2</v>
      </c>
      <c r="P18" s="233">
        <f t="shared" si="2"/>
        <v>0.26697393338801212</v>
      </c>
      <c r="S18" s="72"/>
      <c r="T18" s="26"/>
      <c r="U18" s="26"/>
      <c r="V18" s="26"/>
      <c r="W18" s="26"/>
      <c r="X18" s="26"/>
    </row>
    <row r="19" spans="2:24" ht="12.6" thickTop="1">
      <c r="B19" s="25"/>
      <c r="C19" s="209"/>
      <c r="D19" s="189"/>
      <c r="E19" s="189"/>
      <c r="F19" s="189"/>
      <c r="G19" s="189"/>
      <c r="H19" s="230"/>
      <c r="I19" s="214"/>
      <c r="J19" s="5" t="s">
        <v>482</v>
      </c>
      <c r="L19" s="406">
        <f>'EM TOWERS'!D47</f>
        <v>0.12335877142737449</v>
      </c>
      <c r="M19" s="406">
        <f>'EM TOWERS'!E47</f>
        <v>0.12971844203527005</v>
      </c>
      <c r="N19" s="406">
        <f>'EM TOWERS'!F47</f>
        <v>0.13571432248362811</v>
      </c>
      <c r="O19" s="406">
        <f>'EM TOWERS'!G47</f>
        <v>0.14164761491060734</v>
      </c>
      <c r="P19" s="233">
        <f t="shared" si="2"/>
        <v>4.7160078309625098E-2</v>
      </c>
      <c r="S19" s="72"/>
      <c r="T19" s="26"/>
      <c r="U19" s="26"/>
      <c r="V19" s="26"/>
      <c r="W19" s="26"/>
      <c r="X19" s="26"/>
    </row>
    <row r="20" spans="2:24">
      <c r="H20" s="231"/>
      <c r="I20" s="13"/>
      <c r="J20" s="5" t="s">
        <v>504</v>
      </c>
      <c r="L20" s="406">
        <f>'EM TOWERS'!D48</f>
        <v>0.34693313124747588</v>
      </c>
      <c r="M20" s="406">
        <f>'EM TOWERS'!E48</f>
        <v>0.47267097249830853</v>
      </c>
      <c r="N20" s="406">
        <f>'EM TOWERS'!F48</f>
        <v>0.55273011389769977</v>
      </c>
      <c r="O20" s="406">
        <f>'EM TOWERS'!G48</f>
        <v>0.59231716049146255</v>
      </c>
      <c r="P20" s="233">
        <f t="shared" si="2"/>
        <v>0.19518787805241566</v>
      </c>
      <c r="S20" s="72"/>
      <c r="T20" s="26"/>
      <c r="U20" s="26"/>
      <c r="V20" s="26"/>
      <c r="W20" s="26"/>
      <c r="X20" s="26"/>
    </row>
    <row r="21" spans="2:24" ht="12.6" thickBot="1">
      <c r="B21" s="249" t="s">
        <v>778</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12775.529559609582</v>
      </c>
      <c r="D23" s="416">
        <v>13679.783770543532</v>
      </c>
      <c r="E23" s="416">
        <v>14609.823070854309</v>
      </c>
      <c r="F23" s="416">
        <v>15558.456472586211</v>
      </c>
      <c r="G23" s="416">
        <v>16575.524616978324</v>
      </c>
      <c r="H23" s="233">
        <f t="shared" ref="H23:H32" si="4">IF(D23=0,"nm",IF(G23=0,"nm",(G23/D23)^(1/3)-1))</f>
        <v>6.6095270408959017E-2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12242.45307775591</v>
      </c>
      <c r="D24" s="416">
        <v>13089.136373387473</v>
      </c>
      <c r="E24" s="416">
        <v>13957.363555016029</v>
      </c>
      <c r="F24" s="416">
        <v>14840.206273546071</v>
      </c>
      <c r="G24" s="416">
        <v>15784.915919307092</v>
      </c>
      <c r="H24" s="233">
        <f t="shared" si="4"/>
        <v>6.441362913515869E-2</v>
      </c>
      <c r="I24" s="209"/>
      <c r="J24" s="13"/>
      <c r="K24" s="13"/>
      <c r="L24" s="13"/>
      <c r="M24" s="13"/>
      <c r="N24" s="13"/>
      <c r="O24" s="208"/>
      <c r="S24" s="72"/>
      <c r="T24" s="26"/>
      <c r="U24" s="26"/>
      <c r="V24" s="26"/>
      <c r="W24" s="26" t="s">
        <v>731</v>
      </c>
      <c r="X24" s="26" t="s">
        <v>734</v>
      </c>
    </row>
    <row r="25" spans="2:24">
      <c r="B25" s="5" t="s">
        <v>157</v>
      </c>
      <c r="C25" s="422">
        <v>10895.559010562234</v>
      </c>
      <c r="D25" s="416">
        <v>11714.819954513956</v>
      </c>
      <c r="E25" s="416">
        <v>12697.009947228233</v>
      </c>
      <c r="F25" s="416">
        <v>13505.843825563581</v>
      </c>
      <c r="G25" s="416">
        <v>14375.944410125039</v>
      </c>
      <c r="H25" s="233">
        <f t="shared" si="4"/>
        <v>7.061565323121699E-2</v>
      </c>
      <c r="I25" s="208"/>
      <c r="J25" s="207" t="s">
        <v>8</v>
      </c>
      <c r="K25" s="207"/>
      <c r="L25" s="252">
        <v>0</v>
      </c>
      <c r="M25" s="252">
        <v>0</v>
      </c>
      <c r="N25" s="252">
        <v>0</v>
      </c>
      <c r="O25" s="252">
        <v>0</v>
      </c>
      <c r="P25" s="233" t="str">
        <f>IF(L25=0,"nm",IF(O25=0,"nm",(O25/L25)^(1/3)-1))</f>
        <v>nm</v>
      </c>
      <c r="S25" s="72"/>
      <c r="T25" s="26"/>
      <c r="U25" s="26"/>
      <c r="V25" s="113" t="s">
        <v>225</v>
      </c>
      <c r="W25" s="242">
        <f t="shared" ref="W25:W28" si="6">E37/M9</f>
        <v>1.9476006269058723</v>
      </c>
      <c r="X25" s="242">
        <v>1</v>
      </c>
    </row>
    <row r="26" spans="2:24">
      <c r="B26" s="5" t="s">
        <v>487</v>
      </c>
      <c r="C26" s="422">
        <v>7626.8913073935637</v>
      </c>
      <c r="D26" s="416">
        <v>8200.373968159769</v>
      </c>
      <c r="E26" s="416">
        <v>8887.9069630597623</v>
      </c>
      <c r="F26" s="416">
        <v>9454.0906778945064</v>
      </c>
      <c r="G26" s="416">
        <v>10063.161087087527</v>
      </c>
      <c r="H26" s="233">
        <f t="shared" si="4"/>
        <v>7.061565323121699E-2</v>
      </c>
      <c r="I26" s="209"/>
      <c r="J26" s="209" t="s">
        <v>9</v>
      </c>
      <c r="K26" s="209"/>
      <c r="L26" s="235">
        <f>D11+L25</f>
        <v>50904</v>
      </c>
      <c r="M26" s="235">
        <f>E11+M25</f>
        <v>50096</v>
      </c>
      <c r="N26" s="235">
        <f>F11+N25</f>
        <v>49288</v>
      </c>
      <c r="O26" s="235">
        <f>G11+O25</f>
        <v>48480</v>
      </c>
      <c r="P26" s="233">
        <f>IF(L26=0,"nm",IF(O26=0,"nm",(O26/L26)^(1/3)-1))</f>
        <v>-1.6131853193803058E-2</v>
      </c>
      <c r="Q26" s="5"/>
      <c r="S26" s="72"/>
      <c r="T26" s="26"/>
      <c r="U26" s="26"/>
      <c r="V26" s="113" t="s">
        <v>158</v>
      </c>
      <c r="W26" s="242">
        <f t="shared" si="6"/>
        <v>1.321299289139243</v>
      </c>
      <c r="X26" s="242">
        <v>1</v>
      </c>
    </row>
    <row r="27" spans="2:24">
      <c r="B27" s="5" t="s">
        <v>488</v>
      </c>
      <c r="C27" s="423">
        <v>31121.471798437389</v>
      </c>
      <c r="D27" s="416">
        <v>27185.470847643788</v>
      </c>
      <c r="E27" s="416">
        <v>22714.149251013903</v>
      </c>
      <c r="F27" s="416">
        <v>17884.782599317346</v>
      </c>
      <c r="G27" s="416">
        <v>12667.202805657078</v>
      </c>
      <c r="H27" s="233">
        <f t="shared" si="4"/>
        <v>-0.22473896828066642</v>
      </c>
      <c r="I27" s="209"/>
      <c r="J27" s="208"/>
      <c r="K27" s="208"/>
      <c r="L27" s="208"/>
      <c r="M27" s="208"/>
      <c r="N27" s="208"/>
      <c r="O27" s="208"/>
      <c r="Q27" s="25"/>
      <c r="S27" s="72"/>
      <c r="T27" s="26"/>
      <c r="U27" s="26"/>
      <c r="V27" s="113" t="s">
        <v>159</v>
      </c>
      <c r="W27" s="242">
        <f t="shared" si="6"/>
        <v>1.0092940568470001</v>
      </c>
      <c r="X27" s="242">
        <v>1</v>
      </c>
    </row>
    <row r="28" spans="2:24">
      <c r="B28" s="5" t="s">
        <v>492</v>
      </c>
      <c r="C28" s="422">
        <v>31157.97568549815</v>
      </c>
      <c r="D28" s="416">
        <v>29031.395959933674</v>
      </c>
      <c r="E28" s="416">
        <v>27029.794965481735</v>
      </c>
      <c r="F28" s="416">
        <v>25327.101799365155</v>
      </c>
      <c r="G28" s="416">
        <v>23890.331533337641</v>
      </c>
      <c r="H28" s="233">
        <f t="shared" si="4"/>
        <v>-6.2902557777260504E-2</v>
      </c>
      <c r="I28" s="208"/>
      <c r="Q28" s="5"/>
      <c r="S28" s="72"/>
      <c r="T28" s="26"/>
      <c r="U28" s="26"/>
      <c r="V28" s="113" t="s">
        <v>381</v>
      </c>
      <c r="W28" s="242">
        <f t="shared" si="6"/>
        <v>1.3008532701267221</v>
      </c>
      <c r="X28" s="242">
        <v>1</v>
      </c>
    </row>
    <row r="29" spans="2:24" ht="12.6" thickBot="1">
      <c r="B29" s="5" t="s">
        <v>489</v>
      </c>
      <c r="C29" s="422">
        <v>4765.5006417691675</v>
      </c>
      <c r="D29" s="416">
        <v>5317.2768172685992</v>
      </c>
      <c r="E29" s="416">
        <v>6050.1199120108104</v>
      </c>
      <c r="F29" s="416">
        <v>6633.9331261769548</v>
      </c>
      <c r="G29" s="416">
        <v>7280.1992739913612</v>
      </c>
      <c r="H29" s="233">
        <f t="shared" si="4"/>
        <v>0.11041332727731734</v>
      </c>
      <c r="I29" s="212"/>
      <c r="J29" s="249" t="s">
        <v>1074</v>
      </c>
      <c r="K29" s="249"/>
      <c r="L29" s="219" t="str">
        <f>L$5</f>
        <v>2025E</v>
      </c>
      <c r="M29" s="219" t="str">
        <f t="shared" ref="M29:P29" si="7">M$5</f>
        <v>2026E</v>
      </c>
      <c r="N29" s="219" t="str">
        <f t="shared" si="7"/>
        <v>2027E</v>
      </c>
      <c r="O29" s="219" t="str">
        <f t="shared" si="7"/>
        <v>2028E</v>
      </c>
      <c r="P29" s="219" t="str">
        <f t="shared" si="7"/>
        <v>2025-28</v>
      </c>
      <c r="Q29" s="5"/>
      <c r="S29" s="72"/>
      <c r="T29" s="26"/>
      <c r="U29" s="26"/>
      <c r="V29" s="113" t="s">
        <v>390</v>
      </c>
      <c r="W29" s="242">
        <f>E43/M15</f>
        <v>1.0740902935325618</v>
      </c>
      <c r="X29" s="242">
        <v>1</v>
      </c>
    </row>
    <row r="30" spans="2:24" ht="12.6" thickTop="1">
      <c r="B30" s="5" t="s">
        <v>490</v>
      </c>
      <c r="C30" s="423">
        <v>2523.59567373443</v>
      </c>
      <c r="D30" s="416">
        <v>3338.5015717041219</v>
      </c>
      <c r="E30" s="416">
        <v>4166.7625015588692</v>
      </c>
      <c r="F30" s="416">
        <v>5025.8348272603744</v>
      </c>
      <c r="G30" s="416">
        <v>5919.1049017238456</v>
      </c>
      <c r="H30" s="233">
        <f t="shared" si="4"/>
        <v>0.21032355066875708</v>
      </c>
      <c r="I30" s="214"/>
      <c r="J30" s="208"/>
      <c r="K30" s="208"/>
      <c r="L30" s="208"/>
      <c r="M30" s="208"/>
      <c r="N30" s="208"/>
      <c r="O30" s="5"/>
      <c r="Q30" s="5"/>
      <c r="S30" s="72"/>
      <c r="T30" s="26"/>
      <c r="U30" s="26"/>
      <c r="V30" s="113" t="s">
        <v>437</v>
      </c>
      <c r="W30" s="242">
        <f>E44/M16</f>
        <v>1.237350136451066</v>
      </c>
      <c r="X30" s="242">
        <v>1</v>
      </c>
    </row>
    <row r="31" spans="2:24">
      <c r="B31" s="5" t="s">
        <v>491</v>
      </c>
      <c r="C31" s="423">
        <v>0</v>
      </c>
      <c r="D31" s="416">
        <v>0</v>
      </c>
      <c r="E31" s="416">
        <v>0</v>
      </c>
      <c r="F31" s="416">
        <v>0</v>
      </c>
      <c r="G31" s="416">
        <v>0</v>
      </c>
      <c r="H31" s="233" t="str">
        <f t="shared" si="4"/>
        <v>nm</v>
      </c>
      <c r="I31" s="214"/>
      <c r="J31" s="5" t="s">
        <v>613</v>
      </c>
      <c r="K31" s="207"/>
      <c r="L31" s="253">
        <v>24495</v>
      </c>
      <c r="M31" s="253">
        <v>25245</v>
      </c>
      <c r="N31" s="253">
        <v>25995</v>
      </c>
      <c r="O31" s="253">
        <v>26745</v>
      </c>
      <c r="Q31" s="5"/>
      <c r="S31" s="72"/>
      <c r="T31" s="26"/>
      <c r="U31" s="26"/>
      <c r="V31" s="113" t="s">
        <v>481</v>
      </c>
      <c r="W31" s="242">
        <f>E45/M17</f>
        <v>0</v>
      </c>
      <c r="X31" s="242">
        <v>1</v>
      </c>
    </row>
    <row r="32" spans="2:24">
      <c r="B32" s="5" t="s">
        <v>506</v>
      </c>
      <c r="C32" s="424">
        <v>-3557.0353167691683</v>
      </c>
      <c r="D32" s="416">
        <v>-3936.0009507936011</v>
      </c>
      <c r="E32" s="416">
        <v>-4471.3215966298849</v>
      </c>
      <c r="F32" s="416">
        <v>-4829.3666516965568</v>
      </c>
      <c r="G32" s="416">
        <v>-5217.5797936602685</v>
      </c>
      <c r="H32" s="233">
        <f t="shared" si="4"/>
        <v>9.8511568744340527E-2</v>
      </c>
      <c r="I32" s="214"/>
      <c r="J32" s="5" t="s">
        <v>1072</v>
      </c>
      <c r="K32" s="214"/>
      <c r="L32" s="253">
        <v>29321.269999999997</v>
      </c>
      <c r="M32" s="253">
        <v>30306.014999999999</v>
      </c>
      <c r="N32" s="253">
        <v>31292.259999999995</v>
      </c>
      <c r="O32" s="253">
        <v>32330.005000000001</v>
      </c>
      <c r="Q32" s="5"/>
      <c r="S32" s="72"/>
      <c r="T32" s="26"/>
      <c r="U32" s="26"/>
      <c r="V32" s="113" t="s">
        <v>482</v>
      </c>
      <c r="W32" s="242">
        <f>E47/M19</f>
        <v>0.93102042353544845</v>
      </c>
      <c r="X32" s="242">
        <v>1</v>
      </c>
    </row>
    <row r="33" spans="2:17">
      <c r="B33" s="5" t="s">
        <v>3</v>
      </c>
      <c r="C33" s="423">
        <v>1317.7832703778492</v>
      </c>
      <c r="D33" s="416">
        <v>1182.6159283406207</v>
      </c>
      <c r="E33" s="416">
        <v>1033.0478922104639</v>
      </c>
      <c r="F33" s="416">
        <v>863.13767153852825</v>
      </c>
      <c r="G33" s="416">
        <v>679.62173877405917</v>
      </c>
      <c r="H33" s="233">
        <f>IF(D33=0,"nm",IF(G33=0,"nm",(G33/D33)^(1/3)-1))</f>
        <v>-0.16860416220908159</v>
      </c>
      <c r="I33" s="5"/>
      <c r="Q33" s="5"/>
    </row>
    <row r="34" spans="2:17">
      <c r="I34" s="33"/>
      <c r="Q34" s="5"/>
    </row>
    <row r="35" spans="2:17" ht="12.6" thickBot="1">
      <c r="B35" s="249" t="s">
        <v>733</v>
      </c>
      <c r="C35" s="219"/>
      <c r="D35" s="219" t="str">
        <f>D5</f>
        <v>2025E</v>
      </c>
      <c r="E35" s="219" t="str">
        <f t="shared" ref="E35:H35" si="8">E5</f>
        <v>2026E</v>
      </c>
      <c r="F35" s="219" t="str">
        <f t="shared" si="8"/>
        <v>2027E</v>
      </c>
      <c r="G35" s="219" t="str">
        <f t="shared" si="8"/>
        <v>2028E</v>
      </c>
      <c r="H35" s="219" t="str">
        <f t="shared" si="8"/>
        <v>2025-28</v>
      </c>
      <c r="I35" s="214"/>
      <c r="J35" s="249" t="s">
        <v>1073</v>
      </c>
      <c r="K35" s="249"/>
      <c r="L35" s="249"/>
      <c r="M35" s="249"/>
      <c r="N35" s="220"/>
      <c r="O35" s="220"/>
      <c r="P35" s="220"/>
      <c r="Q35" s="5"/>
    </row>
    <row r="36" spans="2:17" ht="12.6" thickTop="1">
      <c r="B36" s="25"/>
      <c r="C36" s="209"/>
      <c r="D36" s="214"/>
      <c r="E36" s="214"/>
      <c r="F36" s="214"/>
      <c r="G36" s="214"/>
      <c r="H36" s="214"/>
      <c r="I36" s="13"/>
      <c r="J36" s="209"/>
      <c r="K36" s="209"/>
      <c r="L36" s="209"/>
      <c r="M36" s="209"/>
      <c r="N36" s="209"/>
      <c r="O36" s="211"/>
      <c r="Q36" s="5"/>
    </row>
    <row r="37" spans="2:17">
      <c r="B37" s="5" t="s">
        <v>225</v>
      </c>
      <c r="C37" s="207"/>
      <c r="D37" s="406">
        <f>D$18/D23</f>
        <v>5.7083848807458963</v>
      </c>
      <c r="E37" s="406">
        <f t="shared" ref="E37:G40" si="9">E$18/E23</f>
        <v>4.9836434635725082</v>
      </c>
      <c r="F37" s="406">
        <f t="shared" si="9"/>
        <v>4.3174451603007586</v>
      </c>
      <c r="G37" s="406">
        <f t="shared" si="9"/>
        <v>3.6890055801325254</v>
      </c>
      <c r="H37" s="13">
        <f t="shared" ref="H37:H40" si="10">H23</f>
        <v>6.6095270408959017E-2</v>
      </c>
      <c r="I37" s="5"/>
      <c r="J37" s="208"/>
      <c r="K37" s="208"/>
      <c r="L37" s="208"/>
      <c r="M37" s="208"/>
      <c r="N37" s="208"/>
      <c r="O37" s="5"/>
      <c r="Q37" s="5"/>
    </row>
    <row r="38" spans="2:17">
      <c r="B38" s="5" t="s">
        <v>158</v>
      </c>
      <c r="C38" s="207"/>
      <c r="D38" s="406">
        <f>D$18/D24</f>
        <v>5.9659758000851371</v>
      </c>
      <c r="E38" s="406">
        <f>E$18/E24</f>
        <v>5.216611931330486</v>
      </c>
      <c r="F38" s="406">
        <f t="shared" si="9"/>
        <v>4.5264049138628577</v>
      </c>
      <c r="G38" s="406">
        <f t="shared" si="9"/>
        <v>3.8737743753747691</v>
      </c>
      <c r="H38" s="13">
        <f t="shared" si="10"/>
        <v>6.441362913515869E-2</v>
      </c>
      <c r="I38" s="217"/>
      <c r="J38" s="212"/>
      <c r="K38" s="212"/>
      <c r="L38" s="212"/>
      <c r="M38" s="212"/>
      <c r="N38" s="212"/>
      <c r="O38" s="5"/>
      <c r="Q38" s="5"/>
    </row>
    <row r="39" spans="2:17">
      <c r="B39" s="5" t="s">
        <v>159</v>
      </c>
      <c r="C39" s="207"/>
      <c r="D39" s="406">
        <f>D$18/D25</f>
        <v>6.665870337815508</v>
      </c>
      <c r="E39" s="406">
        <f t="shared" si="9"/>
        <v>5.7344327171223819</v>
      </c>
      <c r="F39" s="406">
        <f t="shared" si="9"/>
        <v>4.9736087183367319</v>
      </c>
      <c r="G39" s="406">
        <f t="shared" si="9"/>
        <v>4.2534390132025583</v>
      </c>
      <c r="H39" s="13">
        <f t="shared" si="10"/>
        <v>7.061565323121699E-2</v>
      </c>
      <c r="I39" s="13"/>
      <c r="J39" s="217"/>
      <c r="K39" s="217"/>
      <c r="L39" s="217"/>
      <c r="M39" s="217"/>
      <c r="N39" s="217"/>
      <c r="O39" s="14"/>
      <c r="Q39" s="5"/>
    </row>
    <row r="40" spans="2:17">
      <c r="B40" s="5" t="s">
        <v>381</v>
      </c>
      <c r="C40" s="207"/>
      <c r="D40" s="406">
        <f>D$18/D26</f>
        <v>9.5226719111650109</v>
      </c>
      <c r="E40" s="406">
        <f t="shared" si="9"/>
        <v>8.1920467387462601</v>
      </c>
      <c r="F40" s="406">
        <f t="shared" si="9"/>
        <v>7.1051553119096171</v>
      </c>
      <c r="G40" s="406">
        <f t="shared" si="9"/>
        <v>6.0763414474322266</v>
      </c>
      <c r="H40" s="13">
        <f t="shared" si="10"/>
        <v>7.061565323121699E-2</v>
      </c>
      <c r="I40" s="5"/>
      <c r="J40" s="217"/>
      <c r="K40" s="217"/>
      <c r="L40" s="217"/>
      <c r="M40" s="217"/>
      <c r="N40" s="217"/>
      <c r="O40" s="14"/>
      <c r="Q40" s="5"/>
    </row>
    <row r="41" spans="2:17">
      <c r="B41" s="5" t="s">
        <v>723</v>
      </c>
      <c r="D41" s="406">
        <f>D18/D27</f>
        <v>2.8724707872555366</v>
      </c>
      <c r="E41" s="406">
        <f>E18/E27</f>
        <v>3.2054975269550914</v>
      </c>
      <c r="F41" s="406">
        <f>F18/F27</f>
        <v>3.755862405723696</v>
      </c>
      <c r="G41" s="406">
        <f>G18/G27</f>
        <v>4.8272064277955034</v>
      </c>
      <c r="H41" s="13">
        <f>H27</f>
        <v>-0.22473896828066642</v>
      </c>
      <c r="I41" s="207"/>
      <c r="J41" s="217"/>
      <c r="K41" s="217"/>
      <c r="L41" s="217"/>
      <c r="M41" s="217"/>
      <c r="N41" s="217"/>
      <c r="O41" s="14"/>
      <c r="Q41" s="5"/>
    </row>
    <row r="42" spans="2:17">
      <c r="B42" s="5" t="s">
        <v>493</v>
      </c>
      <c r="D42" s="406">
        <f>IFERROR(D18/D28,"na")</f>
        <v>2.6898283139885981</v>
      </c>
      <c r="E42" s="406">
        <f>IFERROR(E18/E28,"na")</f>
        <v>2.693699650478139</v>
      </c>
      <c r="F42" s="406">
        <f>IFERROR(F18/F28,"na")</f>
        <v>2.6522096026400104</v>
      </c>
      <c r="G42" s="406">
        <f>IFERROR(G18/G28,"na")</f>
        <v>2.5594957826487055</v>
      </c>
      <c r="H42" s="13">
        <f>H28</f>
        <v>-6.2902557777260504E-2</v>
      </c>
      <c r="I42" s="208"/>
      <c r="J42" s="5"/>
      <c r="K42" s="5"/>
      <c r="L42" s="5"/>
      <c r="M42" s="5"/>
      <c r="N42" s="5"/>
      <c r="O42" s="5"/>
      <c r="Q42" s="5"/>
    </row>
    <row r="43" spans="2:17">
      <c r="B43" s="5" t="s">
        <v>390</v>
      </c>
      <c r="C43" s="207"/>
      <c r="D43" s="406">
        <f>L26/D29</f>
        <v>9.5733214104411779</v>
      </c>
      <c r="E43" s="406">
        <f>M26/E29</f>
        <v>8.2801664642296586</v>
      </c>
      <c r="F43" s="406">
        <f>N26/F29</f>
        <v>7.4296799594668208</v>
      </c>
      <c r="G43" s="406">
        <f>O26/G29</f>
        <v>6.6591583795234346</v>
      </c>
      <c r="H43" s="13">
        <f>H29</f>
        <v>0.11041332727731734</v>
      </c>
      <c r="I43" s="207"/>
      <c r="J43" s="53"/>
      <c r="K43" s="53"/>
      <c r="L43" s="53"/>
      <c r="M43" s="53"/>
      <c r="N43" s="53"/>
      <c r="O43" s="53"/>
      <c r="Q43" s="5"/>
    </row>
    <row r="44" spans="2:17">
      <c r="B44" s="5" t="s">
        <v>437</v>
      </c>
      <c r="C44" s="53"/>
      <c r="D44" s="406">
        <f>D11/D30</f>
        <v>15.247559094008842</v>
      </c>
      <c r="E44" s="406">
        <f>E11/E30</f>
        <v>12.022763471942085</v>
      </c>
      <c r="F44" s="406">
        <f>F11/F30</f>
        <v>9.8069279421320168</v>
      </c>
      <c r="G44" s="406">
        <f>G11/G30</f>
        <v>8.1904275739193206</v>
      </c>
      <c r="H44" s="13">
        <f>H30</f>
        <v>0.21032355066875708</v>
      </c>
      <c r="I44" s="207"/>
      <c r="J44" s="217"/>
      <c r="K44" s="217"/>
      <c r="L44" s="217"/>
      <c r="M44" s="217"/>
      <c r="N44" s="217"/>
      <c r="O44" s="14"/>
      <c r="Q44" s="5"/>
    </row>
    <row r="45" spans="2:17">
      <c r="B45" s="5" t="s">
        <v>481</v>
      </c>
      <c r="C45" s="207"/>
      <c r="D45" s="208">
        <f>D31/D11</f>
        <v>0</v>
      </c>
      <c r="E45" s="208">
        <f>E31/E11</f>
        <v>0</v>
      </c>
      <c r="F45" s="208">
        <f>F31/F11</f>
        <v>0</v>
      </c>
      <c r="G45" s="208">
        <f>G31/G11</f>
        <v>0</v>
      </c>
      <c r="H45" s="13" t="str">
        <f>H31</f>
        <v>nm</v>
      </c>
      <c r="I45" s="208"/>
      <c r="J45" s="13"/>
      <c r="K45" s="13"/>
      <c r="L45" s="13"/>
      <c r="M45" s="13"/>
      <c r="N45" s="13"/>
      <c r="O45" s="5"/>
      <c r="Q45" s="5"/>
    </row>
    <row r="46" spans="2:17">
      <c r="B46" s="5" t="s">
        <v>505</v>
      </c>
      <c r="C46" s="207"/>
      <c r="D46" s="208">
        <f>(D31+D32)/D11</f>
        <v>-7.7322036594248023E-2</v>
      </c>
      <c r="E46" s="208">
        <f>(E31+E32)/E11</f>
        <v>-8.9255062213148453E-2</v>
      </c>
      <c r="F46" s="208">
        <f>(F31+F32)/F11</f>
        <v>-9.798260533388567E-2</v>
      </c>
      <c r="G46" s="208">
        <f>(G31+G32)/G11</f>
        <v>-0.10762334557880092</v>
      </c>
      <c r="H46" s="233">
        <f>((G31+G32)/(D31+D32))^(1/3)-1</f>
        <v>9.8511568744340527E-2</v>
      </c>
      <c r="I46" s="207"/>
      <c r="J46" s="5"/>
      <c r="K46" s="5"/>
      <c r="L46" s="5"/>
      <c r="M46" s="5"/>
      <c r="N46" s="5"/>
      <c r="O46" s="5"/>
      <c r="Q46" s="5"/>
    </row>
    <row r="47" spans="2:17">
      <c r="B47" s="5" t="s">
        <v>482</v>
      </c>
      <c r="C47" s="5"/>
      <c r="D47" s="208">
        <f>1/D43</f>
        <v>0.1044569546060938</v>
      </c>
      <c r="E47" s="208">
        <f>1/E43</f>
        <v>0.12077051884403564</v>
      </c>
      <c r="F47" s="208">
        <f>1/F43</f>
        <v>0.13459529958969638</v>
      </c>
      <c r="G47" s="208">
        <f>1/G43</f>
        <v>0.15016912693876572</v>
      </c>
      <c r="H47" s="13">
        <f>H29</f>
        <v>0.11041332727731734</v>
      </c>
      <c r="I47" s="13"/>
      <c r="J47" s="217"/>
      <c r="K47" s="217"/>
      <c r="L47" s="217"/>
      <c r="M47" s="217"/>
      <c r="N47" s="217"/>
      <c r="O47" s="14"/>
      <c r="Q47" s="5"/>
    </row>
    <row r="48" spans="2:17">
      <c r="B48" s="5" t="s">
        <v>518</v>
      </c>
      <c r="C48" s="5"/>
      <c r="D48" s="248">
        <f>D31/D29</f>
        <v>0</v>
      </c>
      <c r="E48" s="248">
        <f>E31/E29</f>
        <v>0</v>
      </c>
      <c r="F48" s="248">
        <f>F31/F29</f>
        <v>0</v>
      </c>
      <c r="G48" s="248">
        <f>G31/G29</f>
        <v>0</v>
      </c>
      <c r="H48" s="233" t="s">
        <v>507</v>
      </c>
      <c r="I48" s="207"/>
      <c r="J48" s="13"/>
      <c r="K48" s="13"/>
      <c r="L48" s="13"/>
      <c r="M48" s="13"/>
      <c r="N48" s="13"/>
      <c r="O48" s="5"/>
      <c r="Q48" s="5"/>
    </row>
  </sheetData>
  <pageMargins left="0.75" right="0.75" top="1" bottom="1" header="0.5" footer="0.5"/>
  <pageSetup scale="71"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200</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199</v>
      </c>
      <c r="C9" s="239">
        <f>Prices!C84</f>
        <v>100000</v>
      </c>
      <c r="D9" s="412">
        <v>214.790053</v>
      </c>
      <c r="E9" s="413">
        <v>212.92438135820896</v>
      </c>
      <c r="F9" s="413">
        <v>211.05870971641792</v>
      </c>
      <c r="G9" s="413">
        <v>209.19303807462688</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212.88634200000001</v>
      </c>
      <c r="E10" s="408">
        <v>211.95350617910449</v>
      </c>
      <c r="F10" s="408">
        <v>210.08783453731346</v>
      </c>
      <c r="G10" s="408">
        <v>208.22216289552242</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728</v>
      </c>
      <c r="C11" s="5"/>
      <c r="D11" s="409">
        <f>$C$9*D10/1000</f>
        <v>21288.634200000004</v>
      </c>
      <c r="E11" s="409">
        <f>$C$9*E10/1000</f>
        <v>21195.350617910448</v>
      </c>
      <c r="F11" s="409">
        <f>$C$9*F10/1000</f>
        <v>21008.783453731347</v>
      </c>
      <c r="G11" s="409">
        <f>$C$9*G10/1000</f>
        <v>20822.216289552242</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8847.4053007575167</v>
      </c>
      <c r="E12" s="410">
        <v>7743.9443633037399</v>
      </c>
      <c r="F12" s="410">
        <v>6520.4359941713838</v>
      </c>
      <c r="G12" s="410">
        <v>5170.2487759371534</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1968.9887878323632</v>
      </c>
      <c r="E13" s="410">
        <v>1469.6091176470586</v>
      </c>
      <c r="F13" s="410">
        <v>1255.2141176470586</v>
      </c>
      <c r="G13" s="410">
        <v>1072.0962888846686</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v>0</v>
      </c>
      <c r="F14" s="410">
        <v>0</v>
      </c>
      <c r="G14" s="410">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4">
        <v>0</v>
      </c>
      <c r="E15" s="407">
        <f t="shared" ref="E15:G15" si="2">D15</f>
        <v>0</v>
      </c>
      <c r="F15" s="407">
        <f t="shared" si="2"/>
        <v>0</v>
      </c>
      <c r="G15" s="407">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0</v>
      </c>
      <c r="F16" s="410">
        <v>0</v>
      </c>
      <c r="G16" s="410">
        <v>0</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26"/>
      <c r="T17" s="26"/>
      <c r="U17" s="26"/>
      <c r="V17" s="26"/>
      <c r="W17" s="26"/>
      <c r="X17" s="26"/>
    </row>
    <row r="18" spans="2:24" ht="12.6" thickBot="1">
      <c r="B18" s="25" t="s">
        <v>484</v>
      </c>
      <c r="C18" s="209"/>
      <c r="D18" s="411">
        <f>D11+D12+D13-D14+D15-D16-D17</f>
        <v>32105.028288589885</v>
      </c>
      <c r="E18" s="411">
        <f>E11+E12+E13-E14+E15-E16-E17</f>
        <v>30408.904098861247</v>
      </c>
      <c r="F18" s="411">
        <f>F11+F12+F13-F14+F15-F16-F17</f>
        <v>28784.433565549789</v>
      </c>
      <c r="G18" s="411">
        <f>G11+G12+G13-G14+G15-G16-G17</f>
        <v>27064.561354374066</v>
      </c>
      <c r="H18" s="230">
        <f>IF(D18=0,"nm",IF(G18=0,"nm",(G18/D18)^(1/3)-1))</f>
        <v>-5.5339016170667277E-2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26"/>
      <c r="T20" s="26"/>
      <c r="U20" s="26"/>
      <c r="V20" s="26"/>
      <c r="W20" s="26"/>
      <c r="X20" s="26"/>
    </row>
    <row r="21" spans="2:24" ht="12.6" thickBot="1">
      <c r="B21" s="249" t="s">
        <v>771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17940.608890313997</v>
      </c>
      <c r="D23" s="416">
        <v>17424.908587120764</v>
      </c>
      <c r="E23" s="416">
        <v>17757.915812867497</v>
      </c>
      <c r="F23" s="416">
        <v>18145.091604247238</v>
      </c>
      <c r="G23" s="416">
        <v>18546.265510812242</v>
      </c>
      <c r="H23" s="233">
        <f t="shared" ref="H23:H32" si="4">IF(D23=0,"nm",IF(G23=0,"nm",(G23/D23)^(1/3)-1))</f>
        <v>2.1006847703146203E-2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5518.1122103239995</v>
      </c>
      <c r="D24" s="416">
        <v>4990.8717888225983</v>
      </c>
      <c r="E24" s="416">
        <v>5288.7401627582231</v>
      </c>
      <c r="F24" s="416">
        <v>5379.3082150998944</v>
      </c>
      <c r="G24" s="416">
        <v>5471.2566022720421</v>
      </c>
      <c r="H24" s="233">
        <f t="shared" si="4"/>
        <v>3.1106576354476889E-2</v>
      </c>
      <c r="I24" s="209"/>
      <c r="J24" s="13"/>
      <c r="K24" s="13"/>
      <c r="L24" s="13"/>
      <c r="M24" s="13"/>
      <c r="N24" s="13"/>
      <c r="O24" s="208"/>
      <c r="S24" s="26"/>
      <c r="T24" s="26"/>
      <c r="U24" s="26"/>
      <c r="V24" s="26"/>
      <c r="W24" s="26" t="s">
        <v>479</v>
      </c>
      <c r="X24" s="26" t="s">
        <v>209</v>
      </c>
    </row>
    <row r="25" spans="2:24">
      <c r="B25" s="5" t="s">
        <v>157</v>
      </c>
      <c r="C25" s="422">
        <v>3125.1122103239995</v>
      </c>
      <c r="D25" s="416">
        <v>2674.5654223772635</v>
      </c>
      <c r="E25" s="416">
        <v>2959.0167051985482</v>
      </c>
      <c r="F25" s="416">
        <v>3049.0987012658507</v>
      </c>
      <c r="G25" s="416">
        <v>3140.8320383527798</v>
      </c>
      <c r="H25" s="233">
        <f t="shared" si="4"/>
        <v>5.5027618916880128E-2</v>
      </c>
      <c r="I25" s="208"/>
      <c r="J25" s="207" t="s">
        <v>8</v>
      </c>
      <c r="K25" s="207"/>
      <c r="L25" s="252">
        <v>0</v>
      </c>
      <c r="M25" s="252">
        <v>0</v>
      </c>
      <c r="N25" s="252">
        <v>0</v>
      </c>
      <c r="O25" s="252">
        <v>0</v>
      </c>
      <c r="P25" s="233" t="str">
        <f>IF(L25=0,"nm",IF(O25=0,"nm",(O25/L25)^(1/3)-1))</f>
        <v>nm</v>
      </c>
      <c r="S25" s="26"/>
      <c r="T25" s="26"/>
      <c r="U25" s="26"/>
      <c r="V25" s="113" t="s">
        <v>225</v>
      </c>
      <c r="W25" s="242">
        <f>D37/L9</f>
        <v>0.88824339945277575</v>
      </c>
      <c r="X25" s="242">
        <v>1</v>
      </c>
    </row>
    <row r="26" spans="2:24">
      <c r="B26" s="5" t="s">
        <v>487</v>
      </c>
      <c r="C26" s="422">
        <v>2265.7063524848995</v>
      </c>
      <c r="D26" s="416">
        <v>1939.0599312235161</v>
      </c>
      <c r="E26" s="416">
        <v>2145.2871112689472</v>
      </c>
      <c r="F26" s="416">
        <v>2210.5965584177416</v>
      </c>
      <c r="G26" s="416">
        <v>2277.1032278057651</v>
      </c>
      <c r="H26" s="233">
        <f t="shared" si="4"/>
        <v>5.5027618916880128E-2</v>
      </c>
      <c r="I26" s="209"/>
      <c r="J26" s="209" t="s">
        <v>9</v>
      </c>
      <c r="K26" s="209"/>
      <c r="L26" s="235">
        <f>D11+L25</f>
        <v>21288.634200000004</v>
      </c>
      <c r="M26" s="235">
        <f>E11+M25</f>
        <v>21195.350617910448</v>
      </c>
      <c r="N26" s="235">
        <f>F11+N25</f>
        <v>21008.783453731347</v>
      </c>
      <c r="O26" s="235">
        <f>G11+O25</f>
        <v>20822.216289552242</v>
      </c>
      <c r="P26" s="233">
        <f>IF(L26=0,"nm",IF(O26=0,"nm",(O26/L26)^(1/3)-1))</f>
        <v>-7.3570756165187712E-3</v>
      </c>
      <c r="Q26" s="5"/>
      <c r="S26" s="26"/>
      <c r="T26" s="26"/>
      <c r="U26" s="26"/>
      <c r="V26" s="113" t="s">
        <v>158</v>
      </c>
      <c r="W26" s="242">
        <f t="shared" ref="W26:W33" si="6">D38/L10</f>
        <v>1.0355953525072388</v>
      </c>
      <c r="X26" s="242">
        <v>1</v>
      </c>
    </row>
    <row r="27" spans="2:24">
      <c r="B27" s="5" t="s">
        <v>488</v>
      </c>
      <c r="C27" s="423">
        <v>8620.3441657260009</v>
      </c>
      <c r="D27" s="416">
        <v>8847.4053007575185</v>
      </c>
      <c r="E27" s="416">
        <v>7743.9443633037408</v>
      </c>
      <c r="F27" s="416">
        <v>6520.4359941713847</v>
      </c>
      <c r="G27" s="416">
        <v>5170.2487759371543</v>
      </c>
      <c r="H27" s="233">
        <f t="shared" si="4"/>
        <v>-0.16395079312052607</v>
      </c>
      <c r="I27" s="209"/>
      <c r="J27" s="208"/>
      <c r="K27" s="208"/>
      <c r="L27" s="208"/>
      <c r="M27" s="208"/>
      <c r="N27" s="208"/>
      <c r="O27" s="208"/>
      <c r="Q27" s="25"/>
      <c r="S27" s="26"/>
      <c r="T27" s="26"/>
      <c r="U27" s="26"/>
      <c r="V27" s="113" t="s">
        <v>159</v>
      </c>
      <c r="W27" s="242">
        <f t="shared" si="6"/>
        <v>1.1604643631149041</v>
      </c>
      <c r="X27" s="242">
        <v>1</v>
      </c>
    </row>
    <row r="28" spans="2:24" ht="12.6" thickBot="1">
      <c r="B28" s="5" t="s">
        <v>492</v>
      </c>
      <c r="C28" s="422">
        <v>16911.369261993997</v>
      </c>
      <c r="D28" s="416">
        <v>15632.152405740198</v>
      </c>
      <c r="E28" s="416">
        <v>14345.319440837324</v>
      </c>
      <c r="F28" s="416">
        <v>13060.810759652595</v>
      </c>
      <c r="G28" s="416">
        <v>11778.819782885064</v>
      </c>
      <c r="H28" s="233">
        <f t="shared" si="4"/>
        <v>-9.0028762050303635E-2</v>
      </c>
      <c r="I28" s="208"/>
      <c r="J28" s="249" t="s">
        <v>1073</v>
      </c>
      <c r="K28" s="249"/>
      <c r="L28" s="249"/>
      <c r="M28" s="249"/>
      <c r="N28" s="220"/>
      <c r="O28" s="220"/>
      <c r="P28" s="220"/>
      <c r="Q28" s="5"/>
      <c r="S28" s="26"/>
      <c r="T28" s="26"/>
      <c r="U28" s="26"/>
      <c r="V28" s="113" t="s">
        <v>381</v>
      </c>
      <c r="W28" s="242">
        <f t="shared" si="6"/>
        <v>1.2219166342034327</v>
      </c>
      <c r="X28" s="242">
        <v>1</v>
      </c>
    </row>
    <row r="29" spans="2:24" ht="12.6" thickTop="1">
      <c r="B29" s="5" t="s">
        <v>489</v>
      </c>
      <c r="C29" s="422">
        <v>1450.8584350970009</v>
      </c>
      <c r="D29" s="416">
        <v>1259.2157934343631</v>
      </c>
      <c r="E29" s="416">
        <v>1740.0834644181123</v>
      </c>
      <c r="F29" s="416">
        <v>1860.0152291629445</v>
      </c>
      <c r="G29" s="416">
        <v>1985.2664571533289</v>
      </c>
      <c r="H29" s="233">
        <f t="shared" si="4"/>
        <v>0.16387466393305861</v>
      </c>
      <c r="I29" s="212"/>
      <c r="J29" s="209"/>
      <c r="K29" s="209"/>
      <c r="L29" s="209"/>
      <c r="M29" s="209"/>
      <c r="N29" s="209"/>
      <c r="O29" s="211"/>
      <c r="Q29" s="5"/>
      <c r="S29" s="26"/>
      <c r="T29" s="26"/>
      <c r="U29" s="26"/>
      <c r="V29" s="113" t="s">
        <v>434</v>
      </c>
      <c r="W29" s="242">
        <f t="shared" si="6"/>
        <v>2.1006351944171513</v>
      </c>
      <c r="X29" s="242">
        <v>1</v>
      </c>
    </row>
    <row r="30" spans="2:24">
      <c r="B30" s="5" t="s">
        <v>490</v>
      </c>
      <c r="C30" s="423">
        <v>733.25054334099877</v>
      </c>
      <c r="D30" s="416">
        <v>624.80830998216163</v>
      </c>
      <c r="E30" s="416">
        <v>853.10566853032981</v>
      </c>
      <c r="F30" s="416">
        <v>941.52329792998898</v>
      </c>
      <c r="G30" s="416">
        <v>1033.7097256611742</v>
      </c>
      <c r="H30" s="233">
        <f t="shared" si="4"/>
        <v>0.1827254309381432</v>
      </c>
      <c r="I30" s="214"/>
      <c r="J30" s="208"/>
      <c r="K30" s="208"/>
      <c r="L30" s="208"/>
      <c r="M30" s="208"/>
      <c r="N30" s="208"/>
      <c r="O30" s="5"/>
      <c r="Q30" s="5"/>
      <c r="S30" s="26"/>
      <c r="T30" s="26"/>
      <c r="U30" s="26"/>
      <c r="V30" s="113" t="s">
        <v>493</v>
      </c>
      <c r="W30" s="242">
        <f t="shared" si="6"/>
        <v>0.62975521664536682</v>
      </c>
      <c r="X30" s="242">
        <v>1</v>
      </c>
    </row>
    <row r="31" spans="2:24">
      <c r="B31" s="5" t="s">
        <v>491</v>
      </c>
      <c r="C31" s="423">
        <v>753.28734744000019</v>
      </c>
      <c r="D31" s="416">
        <v>530.08699158000002</v>
      </c>
      <c r="E31" s="416">
        <v>750.31541187402991</v>
      </c>
      <c r="F31" s="416">
        <v>764.71971771582105</v>
      </c>
      <c r="G31" s="416">
        <v>778.75088922925386</v>
      </c>
      <c r="H31" s="233">
        <f t="shared" si="4"/>
        <v>0.13679931429460424</v>
      </c>
      <c r="I31" s="214"/>
      <c r="J31" s="212"/>
      <c r="K31" s="212"/>
      <c r="L31" s="212"/>
      <c r="M31" s="212"/>
      <c r="N31" s="212"/>
      <c r="O31" s="5"/>
      <c r="Q31" s="5"/>
      <c r="S31" s="26"/>
      <c r="T31" s="26"/>
      <c r="U31" s="26"/>
      <c r="V31" s="113" t="s">
        <v>390</v>
      </c>
      <c r="W31" s="242">
        <f t="shared" si="6"/>
        <v>1.0507735836782142</v>
      </c>
      <c r="X31" s="242">
        <v>1</v>
      </c>
    </row>
    <row r="32" spans="2:24">
      <c r="B32" s="5" t="s">
        <v>506</v>
      </c>
      <c r="C32" s="424">
        <v>0</v>
      </c>
      <c r="D32" s="416">
        <v>0</v>
      </c>
      <c r="E32" s="416">
        <v>0</v>
      </c>
      <c r="F32" s="416">
        <v>426.66399999999999</v>
      </c>
      <c r="G32" s="416">
        <v>76.111000000000004</v>
      </c>
      <c r="H32" s="233" t="str">
        <f t="shared" si="4"/>
        <v>nm</v>
      </c>
      <c r="I32" s="214"/>
      <c r="J32" s="214"/>
      <c r="K32" s="214"/>
      <c r="L32" s="214"/>
      <c r="M32" s="214"/>
      <c r="N32" s="214"/>
      <c r="O32" s="211"/>
      <c r="Q32" s="5"/>
      <c r="S32" s="26"/>
      <c r="T32" s="26"/>
      <c r="U32" s="26"/>
      <c r="V32" s="113" t="s">
        <v>437</v>
      </c>
      <c r="W32" s="242">
        <f t="shared" si="6"/>
        <v>1.9745842185252975</v>
      </c>
      <c r="X32" s="242">
        <v>1</v>
      </c>
    </row>
    <row r="33" spans="2:24">
      <c r="B33" s="5" t="s">
        <v>3</v>
      </c>
      <c r="C33" s="423">
        <v>605.91899999999998</v>
      </c>
      <c r="D33" s="416">
        <v>401.63490440864678</v>
      </c>
      <c r="E33" s="416">
        <v>351.39625299238844</v>
      </c>
      <c r="F33" s="416">
        <v>295.65621163470519</v>
      </c>
      <c r="G33" s="416">
        <v>234.13024753990632</v>
      </c>
      <c r="H33" s="233">
        <f>IF(D33=0,"nm",IF(G33=0,"nm",(G33/D33)^(1/3)-1))</f>
        <v>-0.1646367632758281</v>
      </c>
      <c r="I33" s="5"/>
      <c r="J33" s="214"/>
      <c r="K33" s="214"/>
      <c r="L33" s="214"/>
      <c r="M33" s="214"/>
      <c r="N33" s="214"/>
      <c r="O33" s="211"/>
      <c r="Q33" s="5"/>
      <c r="S33" s="26"/>
      <c r="T33" s="26"/>
      <c r="U33" s="26"/>
      <c r="V33" s="113" t="s">
        <v>481</v>
      </c>
      <c r="W33" s="242">
        <f t="shared" si="6"/>
        <v>0.58362693614747874</v>
      </c>
      <c r="X33" s="242">
        <v>1</v>
      </c>
    </row>
    <row r="34" spans="2:24">
      <c r="I34" s="33"/>
      <c r="J34" s="214"/>
      <c r="K34" s="214"/>
      <c r="L34" s="214"/>
      <c r="M34" s="214"/>
      <c r="N34" s="214"/>
      <c r="O34" s="211"/>
      <c r="Q34" s="5"/>
      <c r="S34" s="26"/>
      <c r="T34" s="26"/>
      <c r="U34" s="26"/>
      <c r="V34" s="113" t="s">
        <v>482</v>
      </c>
      <c r="W34" s="242">
        <f>D47/L19</f>
        <v>0.95167980574798783</v>
      </c>
      <c r="X34" s="242">
        <v>1</v>
      </c>
    </row>
    <row r="35" spans="2:24" ht="12.6" thickBot="1">
      <c r="B35" s="249" t="s">
        <v>309</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1.8424790080287483</v>
      </c>
      <c r="E37" s="406">
        <f t="shared" ref="E37:G41" si="8">E$18/E23</f>
        <v>1.7124140253456301</v>
      </c>
      <c r="F37" s="406">
        <f t="shared" si="8"/>
        <v>1.5863482088352858</v>
      </c>
      <c r="G37" s="406">
        <f t="shared" si="8"/>
        <v>1.4592997894155977</v>
      </c>
      <c r="H37" s="13">
        <f t="shared" ref="H37:H45" si="9">H23</f>
        <v>2.1006847703146203E-2</v>
      </c>
      <c r="I37" s="5"/>
      <c r="J37" s="217"/>
      <c r="K37" s="217"/>
      <c r="L37" s="217"/>
      <c r="M37" s="217"/>
      <c r="N37" s="217"/>
      <c r="O37" s="14"/>
      <c r="Q37" s="5"/>
      <c r="R37" s="5"/>
      <c r="S37" s="26"/>
      <c r="T37" s="26"/>
      <c r="U37" s="26"/>
      <c r="V37" s="26"/>
      <c r="W37" s="26"/>
      <c r="X37" s="26"/>
    </row>
    <row r="38" spans="2:24">
      <c r="B38" s="5" t="s">
        <v>158</v>
      </c>
      <c r="C38" s="207"/>
      <c r="D38" s="406">
        <f>D$18/D24</f>
        <v>6.4327495569995028</v>
      </c>
      <c r="E38" s="406">
        <f t="shared" si="8"/>
        <v>5.7497443933797214</v>
      </c>
      <c r="F38" s="406">
        <f t="shared" si="8"/>
        <v>5.3509545120971023</v>
      </c>
      <c r="G38" s="406">
        <f t="shared" si="8"/>
        <v>4.946681050041593</v>
      </c>
      <c r="H38" s="13">
        <f t="shared" si="9"/>
        <v>3.1106576354476889E-2</v>
      </c>
      <c r="I38" s="217"/>
      <c r="J38" s="13"/>
      <c r="K38" s="13"/>
      <c r="L38" s="13"/>
      <c r="M38" s="13"/>
      <c r="N38" s="13"/>
      <c r="O38" s="5"/>
      <c r="Q38" s="5"/>
      <c r="R38" s="5"/>
      <c r="S38" s="26"/>
      <c r="T38" s="26"/>
      <c r="U38" s="26"/>
      <c r="V38" s="26"/>
      <c r="W38" s="26"/>
      <c r="X38" s="26"/>
    </row>
    <row r="39" spans="2:24">
      <c r="B39" s="5" t="s">
        <v>159</v>
      </c>
      <c r="C39" s="207"/>
      <c r="D39" s="406">
        <f>D$18/D25</f>
        <v>12.003829863340421</v>
      </c>
      <c r="E39" s="406">
        <f t="shared" si="8"/>
        <v>10.276692269238415</v>
      </c>
      <c r="F39" s="406">
        <f t="shared" si="8"/>
        <v>9.4403088865571227</v>
      </c>
      <c r="G39" s="406">
        <f t="shared" si="8"/>
        <v>8.6170037187242166</v>
      </c>
      <c r="H39" s="13">
        <f t="shared" si="9"/>
        <v>5.5027618916880128E-2</v>
      </c>
      <c r="I39" s="13"/>
      <c r="J39" s="5"/>
      <c r="K39" s="5"/>
      <c r="L39" s="5"/>
      <c r="M39" s="5"/>
      <c r="N39" s="5"/>
      <c r="O39" s="5"/>
      <c r="Q39" s="5"/>
      <c r="R39" s="5"/>
      <c r="S39" s="26"/>
      <c r="T39" s="26"/>
      <c r="U39" s="26"/>
      <c r="V39" s="26"/>
      <c r="W39" s="26"/>
      <c r="X39" s="26"/>
    </row>
    <row r="40" spans="2:24">
      <c r="B40" s="5" t="s">
        <v>381</v>
      </c>
      <c r="C40" s="207"/>
      <c r="D40" s="406">
        <f>D$18/D26</f>
        <v>16.557006708055756</v>
      </c>
      <c r="E40" s="406">
        <f t="shared" si="8"/>
        <v>14.174747957570229</v>
      </c>
      <c r="F40" s="406">
        <f t="shared" si="8"/>
        <v>13.021115705596031</v>
      </c>
      <c r="G40" s="406">
        <f t="shared" si="8"/>
        <v>11.885522370654094</v>
      </c>
      <c r="H40" s="13">
        <f t="shared" si="9"/>
        <v>5.5027618916880128E-2</v>
      </c>
      <c r="I40" s="5"/>
      <c r="J40" s="217"/>
      <c r="K40" s="217"/>
      <c r="L40" s="217"/>
      <c r="M40" s="217"/>
      <c r="N40" s="217"/>
      <c r="O40" s="14"/>
      <c r="Q40" s="5"/>
      <c r="R40" s="5"/>
      <c r="S40" s="26"/>
      <c r="T40" s="26"/>
      <c r="U40" s="26"/>
      <c r="V40" s="26"/>
      <c r="W40" s="242"/>
      <c r="X40" s="242"/>
    </row>
    <row r="41" spans="2:24">
      <c r="B41" s="5" t="s">
        <v>434</v>
      </c>
      <c r="C41" s="207"/>
      <c r="D41" s="406">
        <f>D$18/D27</f>
        <v>3.6287507124649347</v>
      </c>
      <c r="E41" s="406">
        <f t="shared" si="8"/>
        <v>3.9267978529081433</v>
      </c>
      <c r="F41" s="406">
        <f t="shared" si="8"/>
        <v>4.4144952256689862</v>
      </c>
      <c r="G41" s="406">
        <f t="shared" si="8"/>
        <v>5.2346729388216664</v>
      </c>
      <c r="H41" s="13">
        <f t="shared" si="9"/>
        <v>-0.16395079312052607</v>
      </c>
      <c r="I41" s="207"/>
      <c r="J41" s="13"/>
      <c r="K41" s="13"/>
      <c r="L41" s="13"/>
      <c r="M41" s="13"/>
      <c r="N41" s="13"/>
      <c r="O41" s="5"/>
      <c r="Q41" s="5"/>
      <c r="R41" s="5"/>
      <c r="S41" s="26"/>
      <c r="T41" s="26"/>
      <c r="U41" s="26"/>
      <c r="V41" s="26"/>
      <c r="W41" s="242"/>
      <c r="X41" s="242"/>
    </row>
    <row r="42" spans="2:24">
      <c r="B42" s="5" t="s">
        <v>493</v>
      </c>
      <c r="C42" s="207"/>
      <c r="D42" s="406">
        <f>D18/D28</f>
        <v>2.0537816837558962</v>
      </c>
      <c r="E42" s="406">
        <f>E18/E28</f>
        <v>2.119778804806197</v>
      </c>
      <c r="F42" s="406">
        <f>F18/F28</f>
        <v>2.2038780053739502</v>
      </c>
      <c r="G42" s="406">
        <f>G18/G28</f>
        <v>2.2977311694419154</v>
      </c>
      <c r="H42" s="13">
        <f t="shared" si="9"/>
        <v>-9.0028762050303635E-2</v>
      </c>
      <c r="I42" s="208"/>
      <c r="J42" s="5"/>
      <c r="K42" s="5"/>
      <c r="L42" s="5"/>
      <c r="M42" s="5"/>
      <c r="N42" s="5"/>
      <c r="O42" s="5"/>
      <c r="Q42" s="5"/>
      <c r="R42" s="5"/>
      <c r="S42" s="26"/>
      <c r="T42" s="26"/>
      <c r="U42" s="26"/>
      <c r="V42" s="26"/>
      <c r="W42" s="242"/>
      <c r="X42" s="242"/>
    </row>
    <row r="43" spans="2:24">
      <c r="B43" s="5" t="s">
        <v>390</v>
      </c>
      <c r="C43" s="207"/>
      <c r="D43" s="406">
        <f>L26/D29</f>
        <v>16.906263653140623</v>
      </c>
      <c r="E43" s="406">
        <f>M26/E29</f>
        <v>12.180651705117041</v>
      </c>
      <c r="F43" s="406">
        <f>N26/F29</f>
        <v>11.294952387667196</v>
      </c>
      <c r="G43" s="406">
        <f>O26/G29</f>
        <v>10.48837359565788</v>
      </c>
      <c r="H43" s="13">
        <f t="shared" si="9"/>
        <v>0.16387466393305861</v>
      </c>
      <c r="I43" s="207"/>
      <c r="J43" s="207"/>
      <c r="K43" s="207"/>
      <c r="L43" s="207"/>
      <c r="M43" s="207"/>
      <c r="N43" s="207"/>
      <c r="O43" s="14"/>
      <c r="Q43" s="5"/>
      <c r="R43" s="5"/>
      <c r="S43" s="26"/>
      <c r="T43" s="26"/>
      <c r="U43" s="26"/>
      <c r="V43" s="26"/>
      <c r="W43" s="242"/>
      <c r="X43" s="242"/>
    </row>
    <row r="44" spans="2:24">
      <c r="B44" s="5" t="s">
        <v>437</v>
      </c>
      <c r="C44" s="53"/>
      <c r="D44" s="406">
        <f>D11/D30</f>
        <v>34.072264820882097</v>
      </c>
      <c r="E44" s="406">
        <f>E11/E30</f>
        <v>24.844930000786775</v>
      </c>
      <c r="F44" s="406">
        <f>F11/F30</f>
        <v>22.313609764007715</v>
      </c>
      <c r="G44" s="406">
        <f>G11/G30</f>
        <v>20.143194721549207</v>
      </c>
      <c r="H44" s="13">
        <f t="shared" si="9"/>
        <v>0.1827254309381432</v>
      </c>
      <c r="I44" s="207"/>
      <c r="J44" s="208"/>
      <c r="K44" s="208"/>
      <c r="L44" s="208"/>
      <c r="M44" s="208"/>
      <c r="N44" s="208"/>
      <c r="O44" s="208"/>
      <c r="Q44" s="5"/>
      <c r="R44" s="5"/>
      <c r="S44" s="26"/>
      <c r="T44" s="26"/>
      <c r="U44" s="26"/>
      <c r="V44" s="26"/>
      <c r="W44" s="255"/>
      <c r="X44" s="255"/>
    </row>
    <row r="45" spans="2:24">
      <c r="B45" s="5" t="s">
        <v>481</v>
      </c>
      <c r="C45" s="207"/>
      <c r="D45" s="208">
        <f>D31/D11</f>
        <v>2.4899999999999995E-2</v>
      </c>
      <c r="E45" s="208">
        <f>E31/E11</f>
        <v>3.5400000000000001E-2</v>
      </c>
      <c r="F45" s="208">
        <f>F31/F11</f>
        <v>3.6400000000000002E-2</v>
      </c>
      <c r="G45" s="208">
        <f>G31/G11</f>
        <v>3.7400000000000003E-2</v>
      </c>
      <c r="H45" s="13">
        <f t="shared" si="9"/>
        <v>0.13679931429460424</v>
      </c>
      <c r="I45" s="208"/>
      <c r="J45" s="207"/>
      <c r="K45" s="207"/>
      <c r="L45" s="207"/>
      <c r="M45" s="207"/>
      <c r="N45" s="207"/>
      <c r="O45" s="208"/>
      <c r="Q45" s="5"/>
      <c r="R45" s="5"/>
      <c r="S45" s="26"/>
      <c r="T45" s="26"/>
      <c r="U45" s="26"/>
      <c r="V45" s="26"/>
      <c r="W45" s="26"/>
      <c r="X45" s="26"/>
    </row>
    <row r="46" spans="2:24">
      <c r="B46" s="5" t="s">
        <v>505</v>
      </c>
      <c r="C46" s="207"/>
      <c r="D46" s="208">
        <f>(D31+D32)/D11</f>
        <v>2.4899999999999995E-2</v>
      </c>
      <c r="E46" s="208">
        <f>(E31+E32)/E11</f>
        <v>3.5400000000000001E-2</v>
      </c>
      <c r="F46" s="208">
        <f>(F31+F32)/F11</f>
        <v>5.6708838964410424E-2</v>
      </c>
      <c r="G46" s="208">
        <f>(G31+G32)/G11</f>
        <v>4.1055278522785753E-2</v>
      </c>
      <c r="H46" s="233">
        <f>((G31+G32)/(D31+D32))^(1/3)-1</f>
        <v>0.17268922967360356</v>
      </c>
      <c r="I46" s="207"/>
      <c r="J46" s="207"/>
      <c r="K46" s="207"/>
      <c r="L46" s="207"/>
      <c r="M46" s="207"/>
      <c r="N46" s="207"/>
      <c r="O46" s="14"/>
      <c r="Q46" s="5"/>
      <c r="R46" s="5"/>
      <c r="S46" s="26"/>
      <c r="T46" s="26"/>
      <c r="U46" s="26"/>
      <c r="V46" s="26"/>
      <c r="W46" s="26"/>
      <c r="X46" s="26"/>
    </row>
    <row r="47" spans="2:24">
      <c r="B47" s="5" t="s">
        <v>482</v>
      </c>
      <c r="C47" s="5"/>
      <c r="D47" s="208">
        <f>1/D43</f>
        <v>5.9149674967610782E-2</v>
      </c>
      <c r="E47" s="208">
        <f>1/E43</f>
        <v>8.2097413521799015E-2</v>
      </c>
      <c r="F47" s="208">
        <f>1/F43</f>
        <v>8.8535123095506471E-2</v>
      </c>
      <c r="G47" s="208">
        <f>1/G43</f>
        <v>9.5343667049960321E-2</v>
      </c>
      <c r="H47" s="13">
        <f>H29</f>
        <v>0.16387466393305861</v>
      </c>
      <c r="I47" s="13"/>
      <c r="J47" s="208"/>
      <c r="K47" s="208"/>
      <c r="L47" s="208"/>
      <c r="M47" s="208"/>
      <c r="N47" s="208"/>
      <c r="O47" s="208"/>
      <c r="Q47" s="5"/>
      <c r="R47" s="5"/>
      <c r="S47" s="26"/>
      <c r="T47" s="26"/>
      <c r="U47" s="26"/>
      <c r="V47" s="26"/>
      <c r="W47" s="26"/>
      <c r="X47" s="26"/>
    </row>
    <row r="48" spans="2:24">
      <c r="B48" s="5" t="s">
        <v>518</v>
      </c>
      <c r="C48" s="5"/>
      <c r="D48" s="248">
        <f>D31/D29</f>
        <v>0.42096596496320143</v>
      </c>
      <c r="E48" s="248">
        <f>E31/E29</f>
        <v>0.4311950703611433</v>
      </c>
      <c r="F48" s="248">
        <f>F31/F29</f>
        <v>0.41113626691108596</v>
      </c>
      <c r="G48" s="248">
        <f>G31/G29</f>
        <v>0.39226517247760473</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SKTSOP!A1" display="Jump to SKT SOP" xr:uid="{00000000-0004-0000-5600-000001000000}"/>
  </hyperlinks>
  <pageMargins left="0.75" right="0.75" top="1" bottom="1" header="0.5" footer="0.5"/>
  <pageSetup scale="71"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155AA-7D01-46C5-9EAC-521B62A2CBCE}">
  <sheetPr codeName="Sheet14">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1293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137</v>
      </c>
      <c r="C9" s="241">
        <f>Prices!C32</f>
        <v>46.1</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72.680499999999995</v>
      </c>
      <c r="E10" s="408">
        <v>73.111845980126461</v>
      </c>
      <c r="F10" s="408">
        <v>73.525625502858318</v>
      </c>
      <c r="G10" s="408">
        <v>73.919756151502682</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3350.57105</v>
      </c>
      <c r="E11" s="409">
        <f>$C$9*E10</f>
        <v>3370.45609968383</v>
      </c>
      <c r="F11" s="409">
        <f>$C$9*F10</f>
        <v>3389.5313356817687</v>
      </c>
      <c r="G11" s="409">
        <f>$C$9*G10</f>
        <v>3407.7007585842739</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4561</v>
      </c>
      <c r="E12" s="410">
        <v>4456.7082777887481</v>
      </c>
      <c r="F12" s="410">
        <v>4318.8837283773682</v>
      </c>
      <c r="G12" s="410">
        <v>4600.0119517063849</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737.21147829666756</v>
      </c>
      <c r="E13" s="410">
        <v>737.21147829666756</v>
      </c>
      <c r="F13" s="410">
        <v>737.21147829666756</v>
      </c>
      <c r="G13" s="410">
        <v>737.21147829666756</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0</v>
      </c>
      <c r="E14" s="410">
        <v>0</v>
      </c>
      <c r="F14" s="410">
        <v>0</v>
      </c>
      <c r="G14" s="410">
        <v>0</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0</v>
      </c>
      <c r="E15" s="410">
        <v>0</v>
      </c>
      <c r="F15" s="410">
        <v>0</v>
      </c>
      <c r="G15" s="410">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250.56</v>
      </c>
      <c r="F16" s="410">
        <v>507.13344000000001</v>
      </c>
      <c r="G16" s="410">
        <v>768.83834879999995</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132.88483593708384</v>
      </c>
      <c r="E17" s="410">
        <v>78.318902989270256</v>
      </c>
      <c r="F17" s="410">
        <v>41.686004023907408</v>
      </c>
      <c r="G17" s="410">
        <v>0</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8515.8976923595837</v>
      </c>
      <c r="E18" s="411">
        <f t="shared" ref="E18:G18" si="2">E11+E12+E13-E14+E15-E16-E17</f>
        <v>8235.4969527799749</v>
      </c>
      <c r="F18" s="411">
        <f t="shared" si="2"/>
        <v>7896.8070983318985</v>
      </c>
      <c r="G18" s="411">
        <f t="shared" si="2"/>
        <v>7976.0858397873271</v>
      </c>
      <c r="H18" s="230">
        <f>IF(D18=0,"nm",IF(G18=0,"nm",(G18/D18)^(1/3)-1))</f>
        <v>-2.1592451513953281E-2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779</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3017.9999999999995</v>
      </c>
      <c r="D23" s="416">
        <v>2983.3999999999996</v>
      </c>
      <c r="E23" s="416">
        <v>2966.2980412781085</v>
      </c>
      <c r="F23" s="416">
        <v>2968.3224414969791</v>
      </c>
      <c r="G23" s="416">
        <v>2968.7780906602939</v>
      </c>
      <c r="H23" s="233">
        <f>IF(D23=0,"nm",IF(G23=0,"nm",(G23/D23)^(1/3)-1))</f>
        <v>-1.6363726347560226E-3</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1012.5999999999997</v>
      </c>
      <c r="D24" s="416">
        <v>1006.9000000000001</v>
      </c>
      <c r="E24" s="416">
        <v>1000.7290425871009</v>
      </c>
      <c r="F24" s="416">
        <v>1007.9733321715391</v>
      </c>
      <c r="G24" s="416">
        <v>1008.1137887931836</v>
      </c>
      <c r="H24" s="233">
        <f t="shared" ref="H24:H32" si="5">IF(D24=0,"nm",IF(G24=0,"nm",(G24/D24)^(1/3)-1))</f>
        <v>4.0166232677041336E-4</v>
      </c>
      <c r="I24" s="209"/>
      <c r="J24" s="13"/>
      <c r="K24" s="13"/>
      <c r="L24" s="13"/>
      <c r="M24" s="13"/>
      <c r="N24" s="13"/>
      <c r="O24" s="208"/>
      <c r="S24" s="72"/>
      <c r="T24" s="26"/>
      <c r="U24" s="26"/>
      <c r="V24" s="26"/>
      <c r="W24" s="26" t="s">
        <v>1318</v>
      </c>
      <c r="X24" s="26" t="s">
        <v>210</v>
      </c>
    </row>
    <row r="25" spans="2:24">
      <c r="B25" s="5" t="s">
        <v>157</v>
      </c>
      <c r="C25" s="422">
        <v>512.29999999999995</v>
      </c>
      <c r="D25" s="416">
        <v>528.30000000000007</v>
      </c>
      <c r="E25" s="416">
        <v>558.75063443666272</v>
      </c>
      <c r="F25" s="416">
        <v>568.66161082998633</v>
      </c>
      <c r="G25" s="416">
        <v>571.70340946612043</v>
      </c>
      <c r="H25" s="233">
        <f t="shared" si="5"/>
        <v>2.6668074180640877E-2</v>
      </c>
      <c r="I25" s="208"/>
      <c r="J25" s="207" t="s">
        <v>8</v>
      </c>
      <c r="K25" s="207"/>
      <c r="L25" s="252">
        <v>132.88483593708384</v>
      </c>
      <c r="M25" s="252">
        <v>78.318902989270256</v>
      </c>
      <c r="N25" s="252">
        <v>41.686004023907408</v>
      </c>
      <c r="O25" s="252">
        <v>0</v>
      </c>
      <c r="P25" s="233" t="str">
        <f>IF(L25=0,"nm",IF(O25=0,"nm",(O25/L25)^(1/3)-1))</f>
        <v>nm</v>
      </c>
      <c r="S25" s="72"/>
      <c r="T25" s="26"/>
      <c r="U25" s="26"/>
      <c r="V25" s="113" t="s">
        <v>225</v>
      </c>
      <c r="W25" s="242">
        <f>D37/L9</f>
        <v>2.119825609719864</v>
      </c>
      <c r="X25" s="242">
        <v>1</v>
      </c>
    </row>
    <row r="26" spans="2:24">
      <c r="B26" s="5" t="s">
        <v>487</v>
      </c>
      <c r="C26" s="422">
        <v>425.20899999999995</v>
      </c>
      <c r="D26" s="416">
        <v>438.48900000000003</v>
      </c>
      <c r="E26" s="416">
        <v>463.76302658243003</v>
      </c>
      <c r="F26" s="416">
        <v>471.98913698888862</v>
      </c>
      <c r="G26" s="416">
        <v>474.51382985687991</v>
      </c>
      <c r="H26" s="233">
        <f t="shared" si="5"/>
        <v>2.6668074180640877E-2</v>
      </c>
      <c r="I26" s="209"/>
      <c r="J26" s="209" t="s">
        <v>9</v>
      </c>
      <c r="K26" s="209"/>
      <c r="L26" s="235">
        <f>D11+L25</f>
        <v>3483.4558859370836</v>
      </c>
      <c r="M26" s="235">
        <f>E11+M25</f>
        <v>3448.7750026731001</v>
      </c>
      <c r="N26" s="235">
        <f>F11+N25</f>
        <v>3431.2173397056763</v>
      </c>
      <c r="O26" s="235">
        <f>G11+O25</f>
        <v>3407.7007585842739</v>
      </c>
      <c r="P26" s="233">
        <f>IF(L26=0,"nm",IF(O26=0,"nm",(O26/L26)^(1/3)-1))</f>
        <v>-7.302232248196594E-3</v>
      </c>
      <c r="Q26" s="5"/>
      <c r="S26" s="72"/>
      <c r="T26" s="26"/>
      <c r="U26" s="26"/>
      <c r="V26" s="113" t="s">
        <v>158</v>
      </c>
      <c r="W26" s="242">
        <f t="shared" ref="W26:W33" si="6">D38/L10</f>
        <v>1.268497776037552</v>
      </c>
      <c r="X26" s="242">
        <v>1</v>
      </c>
    </row>
    <row r="27" spans="2:24">
      <c r="B27" s="5" t="s">
        <v>488</v>
      </c>
      <c r="C27" s="423">
        <v>4382.3999999999996</v>
      </c>
      <c r="D27" s="416">
        <v>4561</v>
      </c>
      <c r="E27" s="416">
        <v>4456.7082777887481</v>
      </c>
      <c r="F27" s="416">
        <v>4318.8837283773682</v>
      </c>
      <c r="G27" s="416">
        <v>4600.0119517063849</v>
      </c>
      <c r="H27" s="233">
        <f t="shared" si="5"/>
        <v>2.8430351003632115E-3</v>
      </c>
      <c r="I27" s="209"/>
      <c r="J27" s="208"/>
      <c r="K27" s="208"/>
      <c r="L27" s="208"/>
      <c r="M27" s="208"/>
      <c r="N27" s="208"/>
      <c r="O27" s="208"/>
      <c r="Q27" s="25"/>
      <c r="S27" s="72"/>
      <c r="T27" s="26"/>
      <c r="U27" s="26"/>
      <c r="V27" s="113" t="s">
        <v>159</v>
      </c>
      <c r="W27" s="242">
        <f t="shared" si="6"/>
        <v>1.0254711863731534</v>
      </c>
      <c r="X27" s="242">
        <v>1</v>
      </c>
    </row>
    <row r="28" spans="2:24" ht="12.6" thickBot="1">
      <c r="B28" s="5" t="s">
        <v>492</v>
      </c>
      <c r="C28" s="422">
        <v>0</v>
      </c>
      <c r="D28" s="416">
        <v>0</v>
      </c>
      <c r="E28" s="416">
        <v>0</v>
      </c>
      <c r="F28" s="416">
        <v>0</v>
      </c>
      <c r="G28" s="416">
        <v>0</v>
      </c>
      <c r="H28" s="233" t="str">
        <f t="shared" si="5"/>
        <v>nm</v>
      </c>
      <c r="I28" s="208"/>
      <c r="J28" s="249" t="s">
        <v>1073</v>
      </c>
      <c r="K28" s="249"/>
      <c r="L28" s="249"/>
      <c r="M28" s="249"/>
      <c r="N28" s="220"/>
      <c r="O28" s="220"/>
      <c r="P28" s="220"/>
      <c r="Q28" s="5"/>
      <c r="S28" s="72"/>
      <c r="T28" s="26"/>
      <c r="U28" s="26"/>
      <c r="V28" s="113" t="s">
        <v>381</v>
      </c>
      <c r="W28" s="242">
        <f t="shared" si="6"/>
        <v>0.91912424335477805</v>
      </c>
      <c r="X28" s="242">
        <v>1</v>
      </c>
    </row>
    <row r="29" spans="2:24" ht="12.6" thickTop="1">
      <c r="B29" s="5" t="s">
        <v>489</v>
      </c>
      <c r="C29" s="422">
        <v>266.05256811355508</v>
      </c>
      <c r="D29" s="416">
        <v>313.25256811355547</v>
      </c>
      <c r="E29" s="416">
        <v>344.70429032480723</v>
      </c>
      <c r="F29" s="416">
        <v>330.25055752493569</v>
      </c>
      <c r="G29" s="416">
        <v>315.81912866257858</v>
      </c>
      <c r="H29" s="233">
        <f t="shared" si="5"/>
        <v>2.7236624593636183E-3</v>
      </c>
      <c r="I29" s="212"/>
      <c r="J29" s="209"/>
      <c r="K29" s="209"/>
      <c r="L29" s="209"/>
      <c r="M29" s="209"/>
      <c r="N29" s="209"/>
      <c r="O29" s="211"/>
      <c r="Q29" s="5"/>
      <c r="S29" s="72"/>
      <c r="T29" s="26"/>
      <c r="U29" s="26"/>
      <c r="V29" s="113" t="s">
        <v>434</v>
      </c>
      <c r="W29" s="242">
        <f t="shared" si="6"/>
        <v>1.5404241619134014</v>
      </c>
      <c r="X29" s="242">
        <v>1</v>
      </c>
    </row>
    <row r="30" spans="2:24">
      <c r="B30" s="5" t="s">
        <v>490</v>
      </c>
      <c r="C30" s="423">
        <v>315.19999999999959</v>
      </c>
      <c r="D30" s="416">
        <v>362.4</v>
      </c>
      <c r="E30" s="416">
        <v>393.85172221125174</v>
      </c>
      <c r="F30" s="416">
        <v>379.39798941138019</v>
      </c>
      <c r="G30" s="416">
        <v>364.96656054902309</v>
      </c>
      <c r="H30" s="233">
        <f t="shared" si="5"/>
        <v>2.3551557934491374E-3</v>
      </c>
      <c r="I30" s="214"/>
      <c r="J30" s="208"/>
      <c r="K30" s="208"/>
      <c r="L30" s="208"/>
      <c r="M30" s="208"/>
      <c r="N30" s="208"/>
      <c r="O30" s="5"/>
      <c r="Q30" s="5"/>
      <c r="S30" s="72"/>
      <c r="T30" s="26"/>
      <c r="U30" s="26"/>
      <c r="V30" s="113" t="s">
        <v>493</v>
      </c>
      <c r="W30" s="242" t="e">
        <f t="shared" si="6"/>
        <v>#VALUE!</v>
      </c>
      <c r="X30" s="242">
        <v>1</v>
      </c>
    </row>
    <row r="31" spans="2:24">
      <c r="B31" s="5" t="s">
        <v>491</v>
      </c>
      <c r="C31" s="423">
        <v>0</v>
      </c>
      <c r="D31" s="416">
        <v>240</v>
      </c>
      <c r="E31" s="416">
        <v>250.56</v>
      </c>
      <c r="F31" s="416">
        <v>256.57344000000001</v>
      </c>
      <c r="G31" s="416">
        <v>261.7049088</v>
      </c>
      <c r="H31" s="233">
        <f t="shared" si="5"/>
        <v>2.9280019670324453E-2</v>
      </c>
      <c r="I31" s="214"/>
      <c r="J31" s="212"/>
      <c r="K31" s="212"/>
      <c r="L31" s="212"/>
      <c r="M31" s="212"/>
      <c r="N31" s="212"/>
      <c r="O31" s="5"/>
      <c r="Q31" s="5"/>
      <c r="S31" s="72"/>
      <c r="T31" s="26"/>
      <c r="U31" s="26"/>
      <c r="V31" s="113" t="s">
        <v>390</v>
      </c>
      <c r="W31" s="242">
        <f t="shared" si="6"/>
        <v>0.5424896227191488</v>
      </c>
      <c r="X31" s="242">
        <v>1</v>
      </c>
    </row>
    <row r="32" spans="2:24">
      <c r="B32" s="5" t="s">
        <v>506</v>
      </c>
      <c r="C32" s="424">
        <v>0</v>
      </c>
      <c r="D32" s="416">
        <v>0</v>
      </c>
      <c r="E32" s="416">
        <v>0</v>
      </c>
      <c r="F32" s="416">
        <v>0</v>
      </c>
      <c r="G32" s="416">
        <v>0</v>
      </c>
      <c r="H32" s="233" t="str">
        <f t="shared" si="5"/>
        <v>nm</v>
      </c>
      <c r="I32" s="214"/>
      <c r="J32" s="214"/>
      <c r="K32" s="214"/>
      <c r="L32" s="214"/>
      <c r="M32" s="214"/>
      <c r="N32" s="214"/>
      <c r="O32" s="211"/>
      <c r="Q32" s="5"/>
      <c r="S32" s="72"/>
      <c r="T32" s="26"/>
      <c r="U32" s="26"/>
      <c r="V32" s="113" t="s">
        <v>437</v>
      </c>
      <c r="W32" s="242">
        <f t="shared" si="6"/>
        <v>0.39191171937533537</v>
      </c>
      <c r="X32" s="242">
        <v>1</v>
      </c>
    </row>
    <row r="33" spans="2:24">
      <c r="B33" s="5" t="s">
        <v>3</v>
      </c>
      <c r="C33" s="423">
        <v>186.5</v>
      </c>
      <c r="D33" s="416">
        <v>158.1</v>
      </c>
      <c r="E33" s="416">
        <v>159.89891222541098</v>
      </c>
      <c r="F33" s="416">
        <v>159.26362141860614</v>
      </c>
      <c r="G33" s="416">
        <v>185.32265732680304</v>
      </c>
      <c r="H33" s="233">
        <f>IF(D33=0,"nm",IF(G33=0,"nm",(G33/D33)^(1/3)-1))</f>
        <v>5.438418449037874E-2</v>
      </c>
      <c r="I33" s="5"/>
      <c r="J33" s="214"/>
      <c r="K33" s="214"/>
      <c r="L33" s="214"/>
      <c r="M33" s="214"/>
      <c r="N33" s="214"/>
      <c r="O33" s="211"/>
      <c r="Q33" s="5"/>
      <c r="S33" s="72"/>
      <c r="T33" s="26"/>
      <c r="U33" s="26"/>
      <c r="V33" s="113" t="s">
        <v>481</v>
      </c>
      <c r="W33" s="242">
        <f t="shared" si="6"/>
        <v>1.8561587366627981</v>
      </c>
      <c r="X33" s="242">
        <v>1</v>
      </c>
    </row>
    <row r="34" spans="2:24">
      <c r="H34" s="231"/>
      <c r="I34" s="33"/>
      <c r="J34" s="214"/>
      <c r="K34" s="214"/>
      <c r="L34" s="214"/>
      <c r="M34" s="214"/>
      <c r="N34" s="214"/>
      <c r="O34" s="211"/>
      <c r="Q34" s="5"/>
      <c r="S34" s="72"/>
      <c r="T34" s="26"/>
      <c r="U34" s="26"/>
      <c r="V34" s="113" t="s">
        <v>482</v>
      </c>
      <c r="W34" s="242">
        <f>D47/L19</f>
        <v>1.8433532331690481</v>
      </c>
      <c r="X34" s="242">
        <v>1</v>
      </c>
    </row>
    <row r="35" spans="2:24" ht="12.6" thickBot="1">
      <c r="B35" s="249" t="s">
        <v>354</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2.8544270605214135</v>
      </c>
      <c r="E37" s="406">
        <f t="shared" ref="E37:G41" si="8">E$18/E23</f>
        <v>2.7763551868953438</v>
      </c>
      <c r="F37" s="406">
        <f t="shared" si="8"/>
        <v>2.6603602721641639</v>
      </c>
      <c r="G37" s="406">
        <f t="shared" si="8"/>
        <v>2.6866561245786289</v>
      </c>
      <c r="H37" s="13">
        <f t="shared" ref="H37:H45" si="9">H23</f>
        <v>-1.6363726347560226E-3</v>
      </c>
      <c r="I37" s="5"/>
      <c r="J37" s="217"/>
      <c r="K37" s="217"/>
      <c r="L37" s="217"/>
      <c r="M37" s="217"/>
      <c r="N37" s="217"/>
      <c r="O37" s="14"/>
      <c r="Q37" s="5"/>
      <c r="R37" s="5"/>
      <c r="S37" s="26"/>
      <c r="T37" s="26"/>
      <c r="U37" s="26"/>
      <c r="V37" s="26"/>
      <c r="W37" s="26"/>
      <c r="X37" s="26"/>
    </row>
    <row r="38" spans="2:24">
      <c r="B38" s="5" t="s">
        <v>158</v>
      </c>
      <c r="C38" s="207"/>
      <c r="D38" s="406">
        <f>D$18/D24</f>
        <v>8.4575406617932103</v>
      </c>
      <c r="E38" s="406">
        <f t="shared" si="8"/>
        <v>8.2294972987787336</v>
      </c>
      <c r="F38" s="406">
        <f t="shared" si="8"/>
        <v>7.8343412928587304</v>
      </c>
      <c r="G38" s="406">
        <f t="shared" si="8"/>
        <v>7.9118904318683372</v>
      </c>
      <c r="H38" s="13">
        <f t="shared" si="9"/>
        <v>4.0166232677041336E-4</v>
      </c>
      <c r="I38" s="217"/>
      <c r="J38" s="13"/>
      <c r="K38" s="13"/>
      <c r="L38" s="13"/>
      <c r="M38" s="13"/>
      <c r="N38" s="13"/>
      <c r="O38" s="5"/>
      <c r="Q38" s="5"/>
      <c r="R38" s="5"/>
      <c r="S38" s="26"/>
      <c r="T38" s="26"/>
      <c r="U38" s="26"/>
      <c r="V38" s="26"/>
      <c r="W38" s="26"/>
      <c r="X38" s="26"/>
    </row>
    <row r="39" spans="2:24">
      <c r="B39" s="5" t="s">
        <v>159</v>
      </c>
      <c r="C39" s="207"/>
      <c r="D39" s="406">
        <f>D$18/D25</f>
        <v>16.119435344235438</v>
      </c>
      <c r="E39" s="406">
        <f t="shared" si="8"/>
        <v>14.739127698858141</v>
      </c>
      <c r="F39" s="406">
        <f t="shared" si="8"/>
        <v>13.886654115452185</v>
      </c>
      <c r="G39" s="406">
        <f t="shared" si="8"/>
        <v>13.951440043423418</v>
      </c>
      <c r="H39" s="13">
        <f t="shared" si="9"/>
        <v>2.6668074180640877E-2</v>
      </c>
      <c r="I39" s="13"/>
      <c r="J39" s="5"/>
      <c r="K39" s="5"/>
      <c r="L39" s="5"/>
      <c r="M39" s="5"/>
      <c r="N39" s="5"/>
      <c r="O39" s="5"/>
      <c r="Q39" s="5"/>
      <c r="R39" s="5"/>
      <c r="S39" s="26"/>
      <c r="T39" s="26"/>
      <c r="U39" s="26"/>
      <c r="V39" s="26"/>
      <c r="W39" s="26"/>
      <c r="X39" s="26"/>
    </row>
    <row r="40" spans="2:24">
      <c r="B40" s="5" t="s">
        <v>381</v>
      </c>
      <c r="C40" s="207"/>
      <c r="D40" s="406">
        <f>D$18/D26</f>
        <v>19.421006438837878</v>
      </c>
      <c r="E40" s="406">
        <f t="shared" si="8"/>
        <v>17.757985179347159</v>
      </c>
      <c r="F40" s="406">
        <f t="shared" si="8"/>
        <v>16.730908572833957</v>
      </c>
      <c r="G40" s="406">
        <f t="shared" si="8"/>
        <v>16.808963907739059</v>
      </c>
      <c r="H40" s="13">
        <f t="shared" si="9"/>
        <v>2.6668074180640877E-2</v>
      </c>
      <c r="I40" s="5"/>
      <c r="J40" s="217"/>
      <c r="K40" s="217"/>
      <c r="L40" s="217"/>
      <c r="M40" s="217"/>
      <c r="N40" s="217"/>
      <c r="O40" s="14"/>
      <c r="Q40" s="5"/>
      <c r="R40" s="5"/>
      <c r="S40" s="26"/>
      <c r="T40" s="26"/>
      <c r="U40" s="26"/>
      <c r="V40" s="26"/>
      <c r="W40" s="242"/>
      <c r="X40" s="242"/>
    </row>
    <row r="41" spans="2:24">
      <c r="B41" s="5" t="s">
        <v>434</v>
      </c>
      <c r="C41" s="207"/>
      <c r="D41" s="406">
        <f>D$18/D27</f>
        <v>1.8671119693838159</v>
      </c>
      <c r="E41" s="406">
        <f t="shared" si="8"/>
        <v>1.8478878220106703</v>
      </c>
      <c r="F41" s="406">
        <f t="shared" si="8"/>
        <v>1.8284370673018278</v>
      </c>
      <c r="G41" s="406">
        <f t="shared" si="8"/>
        <v>1.7339271992170759</v>
      </c>
      <c r="H41" s="13">
        <f t="shared" si="9"/>
        <v>2.8430351003632115E-3</v>
      </c>
      <c r="I41" s="207"/>
      <c r="J41" s="13"/>
      <c r="K41" s="13"/>
      <c r="L41" s="13"/>
      <c r="M41" s="13"/>
      <c r="N41" s="13"/>
      <c r="O41" s="5"/>
      <c r="Q41" s="5"/>
      <c r="R41" s="5"/>
      <c r="S41" s="26"/>
      <c r="T41" s="26"/>
      <c r="U41" s="26"/>
      <c r="V41" s="26"/>
      <c r="W41" s="242"/>
      <c r="X41" s="242"/>
    </row>
    <row r="42" spans="2:24">
      <c r="B42" s="5" t="s">
        <v>493</v>
      </c>
      <c r="C42" s="207"/>
      <c r="D42" s="406" t="str">
        <f>IFERROR(D18/D28,"N/A")</f>
        <v>N/A</v>
      </c>
      <c r="E42" s="406" t="str">
        <f t="shared" ref="E42:G42" si="10">IFERROR(E18/E28,"N/A")</f>
        <v>N/A</v>
      </c>
      <c r="F42" s="406" t="str">
        <f t="shared" si="10"/>
        <v>N/A</v>
      </c>
      <c r="G42" s="406" t="str">
        <f t="shared" si="10"/>
        <v>N/A</v>
      </c>
      <c r="H42" s="13" t="str">
        <f t="shared" si="9"/>
        <v>nm</v>
      </c>
      <c r="I42" s="208"/>
      <c r="J42" s="5"/>
      <c r="K42" s="5"/>
      <c r="L42" s="5"/>
      <c r="M42" s="5"/>
      <c r="N42" s="5"/>
      <c r="O42" s="5"/>
      <c r="Q42" s="5"/>
      <c r="R42" s="5"/>
      <c r="S42" s="26"/>
      <c r="T42" s="26"/>
      <c r="U42" s="26"/>
      <c r="V42" s="26"/>
      <c r="W42" s="242"/>
      <c r="X42" s="242"/>
    </row>
    <row r="43" spans="2:24">
      <c r="B43" s="5" t="s">
        <v>390</v>
      </c>
      <c r="C43" s="207"/>
      <c r="D43" s="406">
        <f>L26/D29</f>
        <v>11.120278779883188</v>
      </c>
      <c r="E43" s="406">
        <f>M26/E29</f>
        <v>10.00502488502071</v>
      </c>
      <c r="F43" s="406">
        <f>N26/F29</f>
        <v>10.389739734039967</v>
      </c>
      <c r="G43" s="406">
        <f>O26/G29</f>
        <v>10.790039137322376</v>
      </c>
      <c r="H43" s="13">
        <f t="shared" si="9"/>
        <v>2.7236624593636183E-3</v>
      </c>
      <c r="I43" s="207"/>
      <c r="J43" s="207"/>
      <c r="K43" s="207"/>
      <c r="L43" s="207"/>
      <c r="M43" s="207"/>
      <c r="N43" s="207"/>
      <c r="O43" s="14"/>
      <c r="Q43" s="5"/>
      <c r="R43" s="5"/>
      <c r="S43" s="26"/>
      <c r="T43" s="26"/>
      <c r="U43" s="26"/>
      <c r="V43" s="26"/>
      <c r="W43" s="242"/>
      <c r="X43" s="242"/>
    </row>
    <row r="44" spans="2:24">
      <c r="B44" s="5" t="s">
        <v>437</v>
      </c>
      <c r="C44" s="53"/>
      <c r="D44" s="406">
        <f>D11/D30</f>
        <v>9.2455051048565124</v>
      </c>
      <c r="E44" s="406">
        <f>E11/E30</f>
        <v>8.5576776985019904</v>
      </c>
      <c r="F44" s="406">
        <f>F11/F30</f>
        <v>8.9339728471953208</v>
      </c>
      <c r="G44" s="406">
        <f>G11/G30</f>
        <v>9.3370218725190419</v>
      </c>
      <c r="H44" s="13">
        <f t="shared" si="9"/>
        <v>2.3551557934491374E-3</v>
      </c>
      <c r="I44" s="207"/>
      <c r="J44" s="208"/>
      <c r="K44" s="208"/>
      <c r="L44" s="208"/>
      <c r="M44" s="208"/>
      <c r="N44" s="208"/>
      <c r="O44" s="208"/>
      <c r="Q44" s="5"/>
      <c r="R44" s="5"/>
      <c r="S44" s="26"/>
      <c r="T44" s="26"/>
      <c r="U44" s="26"/>
      <c r="V44" s="26"/>
      <c r="W44" s="255"/>
      <c r="X44" s="255"/>
    </row>
    <row r="45" spans="2:24">
      <c r="B45" s="5" t="s">
        <v>481</v>
      </c>
      <c r="C45" s="207"/>
      <c r="D45" s="208">
        <f>D31/D11</f>
        <v>7.1629580873982662E-2</v>
      </c>
      <c r="E45" s="208">
        <f>E31/E11</f>
        <v>7.4340087094890248E-2</v>
      </c>
      <c r="F45" s="208">
        <f>F31/F11</f>
        <v>7.569584541055524E-2</v>
      </c>
      <c r="G45" s="208">
        <f>G31/G11</f>
        <v>7.6798089779668635E-2</v>
      </c>
      <c r="H45" s="13">
        <f t="shared" si="9"/>
        <v>2.9280019670324453E-2</v>
      </c>
      <c r="I45" s="208"/>
      <c r="J45" s="207"/>
      <c r="K45" s="207"/>
      <c r="L45" s="207"/>
      <c r="M45" s="207"/>
      <c r="N45" s="207"/>
      <c r="O45" s="208"/>
      <c r="Q45" s="5"/>
      <c r="R45" s="5"/>
      <c r="S45" s="26"/>
      <c r="T45" s="26"/>
      <c r="U45" s="26"/>
      <c r="V45" s="26"/>
      <c r="W45" s="26"/>
      <c r="X45" s="26"/>
    </row>
    <row r="46" spans="2:24">
      <c r="B46" s="5" t="s">
        <v>505</v>
      </c>
      <c r="C46" s="207"/>
      <c r="D46" s="208">
        <f>(D31+D32)/D11</f>
        <v>7.1629580873982662E-2</v>
      </c>
      <c r="E46" s="208">
        <f>(E31+E32)/E11</f>
        <v>7.4340087094890248E-2</v>
      </c>
      <c r="F46" s="208">
        <f>(F31+F32)/F11</f>
        <v>7.569584541055524E-2</v>
      </c>
      <c r="G46" s="208">
        <f>(G31+G32)/G11</f>
        <v>7.6798089779668635E-2</v>
      </c>
      <c r="H46" s="233">
        <f>((G31+G32)/(D31+D32))^(1/3)-1</f>
        <v>2.9280019670324453E-2</v>
      </c>
      <c r="I46" s="207"/>
      <c r="J46" s="207"/>
      <c r="K46" s="207"/>
      <c r="L46" s="207"/>
      <c r="M46" s="207"/>
      <c r="N46" s="207"/>
      <c r="O46" s="14"/>
      <c r="Q46" s="5"/>
      <c r="R46" s="5"/>
      <c r="S46" s="26"/>
      <c r="T46" s="26"/>
      <c r="U46" s="26"/>
      <c r="V46" s="26"/>
      <c r="W46" s="26"/>
      <c r="X46" s="26"/>
    </row>
    <row r="47" spans="2:24">
      <c r="B47" s="5" t="s">
        <v>482</v>
      </c>
      <c r="C47" s="5"/>
      <c r="D47" s="208">
        <f>1/D43</f>
        <v>8.9925803102078747E-2</v>
      </c>
      <c r="E47" s="208">
        <f>1/E43</f>
        <v>9.9949776386581174E-2</v>
      </c>
      <c r="F47" s="208">
        <f>1/F43</f>
        <v>9.6248801760037736E-2</v>
      </c>
      <c r="G47" s="208">
        <f>1/G43</f>
        <v>9.2678069770945892E-2</v>
      </c>
      <c r="H47" s="13">
        <f>H29</f>
        <v>2.7236624593636183E-3</v>
      </c>
      <c r="I47" s="13"/>
      <c r="J47" s="208"/>
      <c r="K47" s="208"/>
      <c r="L47" s="208"/>
      <c r="M47" s="208"/>
      <c r="N47" s="208"/>
      <c r="O47" s="208"/>
      <c r="Q47" s="5"/>
      <c r="R47" s="5"/>
      <c r="S47" s="26"/>
      <c r="T47" s="26"/>
      <c r="U47" s="26"/>
      <c r="V47" s="26"/>
      <c r="W47" s="26"/>
      <c r="X47" s="26"/>
    </row>
    <row r="48" spans="2:24">
      <c r="B48" s="5" t="s">
        <v>518</v>
      </c>
      <c r="C48" s="5"/>
      <c r="D48" s="248">
        <f>D31/D29</f>
        <v>0.76615493193019546</v>
      </c>
      <c r="E48" s="248">
        <f>E31/E29</f>
        <v>0.72688390319686147</v>
      </c>
      <c r="F48" s="248">
        <f>F31/F29</f>
        <v>0.77690539547575888</v>
      </c>
      <c r="G48" s="248">
        <f>G31/G29</f>
        <v>0.82865439439422217</v>
      </c>
      <c r="H48" s="233" t="s">
        <v>507</v>
      </c>
      <c r="I48" s="207"/>
      <c r="J48" s="207"/>
      <c r="K48" s="207"/>
      <c r="L48" s="207"/>
      <c r="M48" s="207"/>
      <c r="N48" s="207"/>
      <c r="O48" s="208"/>
      <c r="Q48" s="5"/>
      <c r="R48" s="5"/>
      <c r="S48" s="26"/>
      <c r="T48" s="26"/>
      <c r="U48" s="26"/>
      <c r="V48" s="26"/>
      <c r="W48" s="26"/>
      <c r="X48" s="26"/>
    </row>
  </sheetData>
  <hyperlinks>
    <hyperlink ref="C2" location="SWISSSOP!A1" display="Jump to Swisscom SOP" xr:uid="{D70DF10E-B8EF-45A8-97A6-FE6556F37AFA}"/>
  </hyperlinks>
  <pageMargins left="0.75" right="0.75" top="1" bottom="1" header="0.5" footer="0.5"/>
  <pageSetup scale="71"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3">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496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137</v>
      </c>
      <c r="C9" s="241">
        <f>Prices!C14</f>
        <v>672.5</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51.801000000000002</v>
      </c>
      <c r="E10" s="408">
        <v>51.801000000000002</v>
      </c>
      <c r="F10" s="408">
        <v>51.801000000000002</v>
      </c>
      <c r="G10" s="408">
        <v>51.801000000000002</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34836.172500000001</v>
      </c>
      <c r="E11" s="409">
        <f>$C$9*E10</f>
        <v>34836.172500000001</v>
      </c>
      <c r="F11" s="409">
        <f>$C$9*F10</f>
        <v>34836.172500000001</v>
      </c>
      <c r="G11" s="409">
        <f>$C$9*G10</f>
        <v>34836.172500000001</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11904</v>
      </c>
      <c r="E12" s="410">
        <v>11803.81296054343</v>
      </c>
      <c r="F12" s="410">
        <v>11608.533802734108</v>
      </c>
      <c r="G12" s="410">
        <v>11692.364094294318</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3339.7783907646435</v>
      </c>
      <c r="E13" s="410">
        <v>3339.7783907646435</v>
      </c>
      <c r="F13" s="410">
        <v>3339.7783907646435</v>
      </c>
      <c r="G13" s="410">
        <v>2913.0259363181826</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SWISSSOP!R16</f>
        <v>0</v>
      </c>
      <c r="E14" s="410">
        <f t="shared" ref="E14:G15" si="2">D14</f>
        <v>0</v>
      </c>
      <c r="F14" s="410">
        <f t="shared" si="2"/>
        <v>0</v>
      </c>
      <c r="G14" s="410">
        <f t="shared" si="2"/>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SWISSSOP!T14</f>
        <v>0</v>
      </c>
      <c r="E15" s="410">
        <f t="shared" si="2"/>
        <v>0</v>
      </c>
      <c r="F15" s="410">
        <f t="shared" si="2"/>
        <v>0</v>
      </c>
      <c r="G15" s="410">
        <f t="shared" si="2"/>
        <v>0</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0</v>
      </c>
      <c r="F16" s="410">
        <v>1400.69904</v>
      </c>
      <c r="G16" s="410">
        <v>2843.4190512</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137.19999999999999</v>
      </c>
      <c r="E17" s="410">
        <v>137.19999999999999</v>
      </c>
      <c r="F17" s="410">
        <v>137.19999999999999</v>
      </c>
      <c r="G17" s="410">
        <v>137.19999999999999</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49942.750890764648</v>
      </c>
      <c r="E18" s="411">
        <f>E11+E12+E13-E14+E15-E16-E17</f>
        <v>49842.563851308078</v>
      </c>
      <c r="F18" s="411">
        <f>F11+F12+F13-F14+F15-F16-F17</f>
        <v>48246.585653498754</v>
      </c>
      <c r="G18" s="411">
        <f>G11+G12+G13-G14+G15-G16-G17</f>
        <v>46460.943479412505</v>
      </c>
      <c r="H18" s="230">
        <f>IF(D18=0,"nm",IF(G18=0,"nm",(G18/D18)^(1/3)-1))</f>
        <v>-2.3800633286339967E-2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779</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15352.349501634924</v>
      </c>
      <c r="D23" s="416">
        <v>15046.856779</v>
      </c>
      <c r="E23" s="416">
        <v>14669.701384021053</v>
      </c>
      <c r="F23" s="416">
        <v>14606.185136515543</v>
      </c>
      <c r="G23" s="416">
        <v>14626.014358541504</v>
      </c>
      <c r="H23" s="233">
        <f t="shared" ref="H23:H32" si="4">IF(D23=0,"nm",IF(G23=0,"nm",(G23/D23)^(1/3)-1))</f>
        <v>-9.411224241034577E-3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5043.5353325762262</v>
      </c>
      <c r="D24" s="416">
        <v>4984.2415789999995</v>
      </c>
      <c r="E24" s="416">
        <v>5048.4869134468063</v>
      </c>
      <c r="F24" s="416">
        <v>5126.2613529845712</v>
      </c>
      <c r="G24" s="416">
        <v>5274.0975219451375</v>
      </c>
      <c r="H24" s="233">
        <f t="shared" si="4"/>
        <v>1.9020741921777162E-2</v>
      </c>
      <c r="I24" s="209"/>
      <c r="J24" s="13"/>
      <c r="K24" s="13"/>
      <c r="L24" s="13"/>
      <c r="M24" s="13"/>
      <c r="N24" s="13"/>
      <c r="O24" s="208"/>
      <c r="S24" s="72"/>
      <c r="T24" s="26"/>
      <c r="U24" s="26"/>
      <c r="V24" s="26"/>
      <c r="W24" s="26" t="s">
        <v>378</v>
      </c>
      <c r="X24" s="26" t="s">
        <v>204</v>
      </c>
    </row>
    <row r="25" spans="2:24">
      <c r="B25" s="5" t="s">
        <v>157</v>
      </c>
      <c r="C25" s="422">
        <v>1930.4060267920004</v>
      </c>
      <c r="D25" s="416">
        <v>1919.7738529999997</v>
      </c>
      <c r="E25" s="416">
        <v>2009.8450013136171</v>
      </c>
      <c r="F25" s="416">
        <v>2196.4766026482384</v>
      </c>
      <c r="G25" s="416">
        <v>2435.0696341340895</v>
      </c>
      <c r="H25" s="233">
        <f t="shared" si="4"/>
        <v>8.2481387083385149E-2</v>
      </c>
      <c r="I25" s="208"/>
      <c r="J25" s="207" t="s">
        <v>8</v>
      </c>
      <c r="K25" s="207"/>
      <c r="L25" s="252">
        <v>921</v>
      </c>
      <c r="M25" s="252">
        <v>921</v>
      </c>
      <c r="N25" s="252">
        <v>921</v>
      </c>
      <c r="O25" s="252">
        <v>921</v>
      </c>
      <c r="P25" s="233">
        <f>IF(L25=0,"nm",IF(O25=0,"nm",(O25/L25)^(1/3)-1))</f>
        <v>0</v>
      </c>
      <c r="S25" s="72"/>
      <c r="T25" s="26"/>
      <c r="U25" s="26"/>
      <c r="V25" s="113" t="s">
        <v>225</v>
      </c>
      <c r="W25" s="242">
        <f>D37/L9</f>
        <v>1.2709597574039104</v>
      </c>
      <c r="X25" s="242">
        <v>1</v>
      </c>
    </row>
    <row r="26" spans="2:24">
      <c r="B26" s="5" t="s">
        <v>487</v>
      </c>
      <c r="C26" s="422">
        <v>1532.7423852728484</v>
      </c>
      <c r="D26" s="416">
        <v>1524.3004392819998</v>
      </c>
      <c r="E26" s="416">
        <v>1595.8169310430121</v>
      </c>
      <c r="F26" s="416">
        <v>1744.0024225027014</v>
      </c>
      <c r="G26" s="416">
        <v>1933.4452895024672</v>
      </c>
      <c r="H26" s="233">
        <f t="shared" si="4"/>
        <v>8.2481387083385149E-2</v>
      </c>
      <c r="I26" s="209"/>
      <c r="J26" s="209" t="s">
        <v>9</v>
      </c>
      <c r="K26" s="209"/>
      <c r="L26" s="235">
        <f>D11+L25</f>
        <v>35757.172500000001</v>
      </c>
      <c r="M26" s="235">
        <f>E11+M25</f>
        <v>35757.172500000001</v>
      </c>
      <c r="N26" s="235">
        <f>F11+N25</f>
        <v>35757.172500000001</v>
      </c>
      <c r="O26" s="235">
        <f>G11+O25</f>
        <v>35757.172500000001</v>
      </c>
      <c r="P26" s="233">
        <f>IF(L26=0,"nm",IF(O26=0,"nm",(O26/L26)^(1/3)-1))</f>
        <v>0</v>
      </c>
      <c r="Q26" s="5"/>
      <c r="S26" s="72"/>
      <c r="T26" s="26"/>
      <c r="U26" s="26"/>
      <c r="V26" s="113" t="s">
        <v>158</v>
      </c>
      <c r="W26" s="242">
        <f t="shared" ref="W26:W33" si="6">D38/L10</f>
        <v>1.301767480847551</v>
      </c>
      <c r="X26" s="242">
        <v>1</v>
      </c>
    </row>
    <row r="27" spans="2:24">
      <c r="B27" s="5" t="s">
        <v>488</v>
      </c>
      <c r="C27" s="423">
        <v>26856.756000000001</v>
      </c>
      <c r="D27" s="416">
        <v>29475.737894434784</v>
      </c>
      <c r="E27" s="416">
        <v>30393.474935498532</v>
      </c>
      <c r="F27" s="416">
        <v>31107.257502431938</v>
      </c>
      <c r="G27" s="416">
        <v>32072.355891428095</v>
      </c>
      <c r="H27" s="233">
        <f t="shared" si="4"/>
        <v>2.8542066815116396E-2</v>
      </c>
      <c r="I27" s="209"/>
      <c r="J27" s="208"/>
      <c r="K27" s="208"/>
      <c r="L27" s="208"/>
      <c r="M27" s="208"/>
      <c r="N27" s="208"/>
      <c r="O27" s="208"/>
      <c r="Q27" s="25"/>
      <c r="S27" s="72"/>
      <c r="T27" s="26"/>
      <c r="U27" s="26"/>
      <c r="V27" s="113" t="s">
        <v>159</v>
      </c>
      <c r="W27" s="242">
        <f t="shared" si="6"/>
        <v>1.7712857467758962</v>
      </c>
      <c r="X27" s="242">
        <v>1</v>
      </c>
    </row>
    <row r="28" spans="2:24" ht="12.6" thickBot="1">
      <c r="B28" s="5" t="s">
        <v>492</v>
      </c>
      <c r="C28" s="422">
        <v>13501</v>
      </c>
      <c r="D28" s="416">
        <v>13663</v>
      </c>
      <c r="E28" s="416">
        <v>14444.949449061838</v>
      </c>
      <c r="F28" s="416">
        <v>15093.719161838009</v>
      </c>
      <c r="G28" s="416">
        <v>15628.676526296811</v>
      </c>
      <c r="H28" s="233">
        <f t="shared" si="4"/>
        <v>4.5824258642558569E-2</v>
      </c>
      <c r="I28" s="208"/>
      <c r="J28" s="249" t="s">
        <v>1073</v>
      </c>
      <c r="K28" s="249"/>
      <c r="L28" s="249"/>
      <c r="M28" s="249"/>
      <c r="N28" s="220"/>
      <c r="O28" s="220"/>
      <c r="P28" s="220"/>
      <c r="Q28" s="5"/>
      <c r="S28" s="72"/>
      <c r="T28" s="26"/>
      <c r="U28" s="26"/>
      <c r="V28" s="113" t="s">
        <v>381</v>
      </c>
      <c r="W28" s="242">
        <f t="shared" si="6"/>
        <v>1.6522380447626306</v>
      </c>
      <c r="X28" s="242">
        <v>1</v>
      </c>
    </row>
    <row r="29" spans="2:24" ht="12.6" thickTop="1">
      <c r="B29" s="5" t="s">
        <v>489</v>
      </c>
      <c r="C29" s="422">
        <v>1395.7541340743574</v>
      </c>
      <c r="D29" s="416">
        <v>1210.1219602823567</v>
      </c>
      <c r="E29" s="416">
        <v>1234.3611467389278</v>
      </c>
      <c r="F29" s="416">
        <v>1383.3263050916785</v>
      </c>
      <c r="G29" s="416">
        <v>1572.9902813686081</v>
      </c>
      <c r="H29" s="233">
        <f t="shared" si="4"/>
        <v>9.135396942611429E-2</v>
      </c>
      <c r="I29" s="212"/>
      <c r="J29" s="209"/>
      <c r="K29" s="209"/>
      <c r="L29" s="209"/>
      <c r="M29" s="209"/>
      <c r="N29" s="209"/>
      <c r="O29" s="211"/>
      <c r="Q29" s="5"/>
      <c r="S29" s="72"/>
      <c r="T29" s="26"/>
      <c r="U29" s="26"/>
      <c r="V29" s="113" t="s">
        <v>434</v>
      </c>
      <c r="W29" s="242">
        <f t="shared" si="6"/>
        <v>1.0267695664771705</v>
      </c>
      <c r="X29" s="242">
        <v>1</v>
      </c>
    </row>
    <row r="30" spans="2:24">
      <c r="B30" s="5" t="s">
        <v>490</v>
      </c>
      <c r="C30" s="423">
        <v>3816.1589290304346</v>
      </c>
      <c r="D30" s="416">
        <v>4007.5048944347818</v>
      </c>
      <c r="E30" s="416">
        <v>3969.1765277533086</v>
      </c>
      <c r="F30" s="416">
        <v>3940.1088702729376</v>
      </c>
      <c r="G30" s="416">
        <v>3982.0368731107087</v>
      </c>
      <c r="H30" s="233">
        <f t="shared" si="4"/>
        <v>-2.1228639546226891E-3</v>
      </c>
      <c r="I30" s="214"/>
      <c r="J30" s="208"/>
      <c r="K30" s="208"/>
      <c r="L30" s="208"/>
      <c r="M30" s="208"/>
      <c r="N30" s="208"/>
      <c r="O30" s="5"/>
      <c r="Q30" s="5"/>
      <c r="S30" s="72"/>
      <c r="T30" s="26"/>
      <c r="U30" s="26"/>
      <c r="V30" s="113" t="s">
        <v>493</v>
      </c>
      <c r="W30" s="242">
        <f t="shared" si="6"/>
        <v>0.96520385611745629</v>
      </c>
      <c r="X30" s="242">
        <v>1</v>
      </c>
    </row>
    <row r="31" spans="2:24">
      <c r="B31" s="5" t="s">
        <v>491</v>
      </c>
      <c r="C31" s="423">
        <v>1139.6220000000001</v>
      </c>
      <c r="D31" s="416">
        <v>1346.826</v>
      </c>
      <c r="E31" s="416">
        <v>1400.69904</v>
      </c>
      <c r="F31" s="416">
        <v>1442.7200112</v>
      </c>
      <c r="G31" s="416">
        <v>1486.0016115360002</v>
      </c>
      <c r="H31" s="233">
        <f t="shared" si="4"/>
        <v>3.3322603657810035E-2</v>
      </c>
      <c r="I31" s="214"/>
      <c r="J31" s="212"/>
      <c r="K31" s="212"/>
      <c r="L31" s="212"/>
      <c r="M31" s="212"/>
      <c r="N31" s="212"/>
      <c r="O31" s="5"/>
      <c r="Q31" s="5"/>
      <c r="S31" s="72"/>
      <c r="T31" s="26"/>
      <c r="U31" s="26"/>
      <c r="V31" s="113" t="s">
        <v>390</v>
      </c>
      <c r="W31" s="242">
        <f t="shared" si="6"/>
        <v>1.6669348332581573</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0.61457649353198673</v>
      </c>
      <c r="X32" s="242">
        <v>1</v>
      </c>
    </row>
    <row r="33" spans="2:24">
      <c r="B33" s="5" t="s">
        <v>3</v>
      </c>
      <c r="C33" s="423">
        <v>10</v>
      </c>
      <c r="D33" s="416">
        <v>224</v>
      </c>
      <c r="E33" s="416">
        <v>256.43558968794838</v>
      </c>
      <c r="F33" s="416">
        <v>258.53639582902497</v>
      </c>
      <c r="G33" s="416">
        <v>256.81077946135645</v>
      </c>
      <c r="H33" s="233">
        <f>IF(D33=0,"nm",IF(G33=0,"nm",(G33/D33)^(1/3)-1))</f>
        <v>4.6618507647584906E-2</v>
      </c>
      <c r="I33" s="5"/>
      <c r="J33" s="214"/>
      <c r="K33" s="214"/>
      <c r="L33" s="214"/>
      <c r="M33" s="214"/>
      <c r="N33" s="214"/>
      <c r="O33" s="211"/>
      <c r="Q33" s="5"/>
      <c r="S33" s="72"/>
      <c r="T33" s="26"/>
      <c r="U33" s="26"/>
      <c r="V33" s="113" t="s">
        <v>481</v>
      </c>
      <c r="W33" s="242">
        <f t="shared" si="6"/>
        <v>1.0059289642268305</v>
      </c>
      <c r="X33" s="242">
        <v>1</v>
      </c>
    </row>
    <row r="34" spans="2:24">
      <c r="H34" s="231"/>
      <c r="I34" s="33"/>
      <c r="J34" s="214"/>
      <c r="K34" s="214"/>
      <c r="L34" s="214"/>
      <c r="M34" s="214"/>
      <c r="N34" s="214"/>
      <c r="O34" s="211"/>
      <c r="Q34" s="5"/>
      <c r="S34" s="72"/>
      <c r="T34" s="26"/>
      <c r="U34" s="26"/>
      <c r="V34" s="113" t="s">
        <v>482</v>
      </c>
      <c r="W34" s="242">
        <f>D47/L19</f>
        <v>0.59990347555784174</v>
      </c>
      <c r="X34" s="242">
        <v>1</v>
      </c>
    </row>
    <row r="35" spans="2:24" ht="12.6" thickBot="1">
      <c r="B35" s="249" t="s">
        <v>354</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3.3191484191214449</v>
      </c>
      <c r="E37" s="406">
        <f t="shared" ref="E37:G41" si="8">E$18/E23</f>
        <v>3.3976536090638496</v>
      </c>
      <c r="F37" s="406">
        <f t="shared" si="8"/>
        <v>3.3031613116337972</v>
      </c>
      <c r="G37" s="406">
        <f t="shared" si="8"/>
        <v>3.1765963262766519</v>
      </c>
      <c r="H37" s="13">
        <f t="shared" ref="H37:H45" si="9">H23</f>
        <v>-9.411224241034577E-3</v>
      </c>
      <c r="I37" s="5"/>
      <c r="J37" s="217"/>
      <c r="K37" s="217"/>
      <c r="L37" s="217"/>
      <c r="M37" s="217"/>
      <c r="N37" s="217"/>
      <c r="O37" s="14"/>
      <c r="Q37" s="5"/>
      <c r="R37" s="5"/>
      <c r="S37" s="26"/>
      <c r="T37" s="26"/>
      <c r="U37" s="26"/>
      <c r="V37" s="26"/>
      <c r="W37" s="26"/>
      <c r="X37" s="26"/>
    </row>
    <row r="38" spans="2:24">
      <c r="B38" s="5" t="s">
        <v>158</v>
      </c>
      <c r="C38" s="207"/>
      <c r="D38" s="406">
        <f>D$18/D24</f>
        <v>10.020130465021477</v>
      </c>
      <c r="E38" s="406">
        <f t="shared" si="8"/>
        <v>9.8727727150388009</v>
      </c>
      <c r="F38" s="406">
        <f t="shared" si="8"/>
        <v>9.4116515587737268</v>
      </c>
      <c r="G38" s="406">
        <f t="shared" si="8"/>
        <v>8.8092689386367784</v>
      </c>
      <c r="H38" s="13">
        <f t="shared" si="9"/>
        <v>1.9020741921777162E-2</v>
      </c>
      <c r="I38" s="217"/>
      <c r="J38" s="13"/>
      <c r="K38" s="13"/>
      <c r="L38" s="13"/>
      <c r="M38" s="13"/>
      <c r="N38" s="13"/>
      <c r="O38" s="5"/>
      <c r="Q38" s="5"/>
      <c r="R38" s="5"/>
      <c r="S38" s="26"/>
      <c r="T38" s="26"/>
      <c r="U38" s="26"/>
      <c r="V38" s="26"/>
      <c r="W38" s="26"/>
      <c r="X38" s="26"/>
    </row>
    <row r="39" spans="2:24">
      <c r="B39" s="5" t="s">
        <v>159</v>
      </c>
      <c r="C39" s="207"/>
      <c r="D39" s="406">
        <f>D$18/D25</f>
        <v>26.014913586160116</v>
      </c>
      <c r="E39" s="406">
        <f t="shared" si="8"/>
        <v>24.799207808926269</v>
      </c>
      <c r="F39" s="406">
        <f t="shared" si="8"/>
        <v>21.965444838032429</v>
      </c>
      <c r="G39" s="406">
        <f t="shared" si="8"/>
        <v>19.079923969375116</v>
      </c>
      <c r="H39" s="13">
        <f t="shared" si="9"/>
        <v>8.2481387083385149E-2</v>
      </c>
      <c r="I39" s="13"/>
      <c r="J39" s="5"/>
      <c r="K39" s="5"/>
      <c r="L39" s="5"/>
      <c r="M39" s="5"/>
      <c r="N39" s="5"/>
      <c r="O39" s="5"/>
      <c r="Q39" s="5"/>
      <c r="R39" s="5"/>
      <c r="S39" s="26"/>
      <c r="T39" s="26"/>
      <c r="U39" s="26"/>
      <c r="V39" s="26"/>
      <c r="W39" s="26"/>
      <c r="X39" s="26"/>
    </row>
    <row r="40" spans="2:24">
      <c r="B40" s="5" t="s">
        <v>381</v>
      </c>
      <c r="C40" s="207"/>
      <c r="D40" s="406">
        <f>D$18/D26</f>
        <v>32.764374793652536</v>
      </c>
      <c r="E40" s="406">
        <f t="shared" si="8"/>
        <v>31.233259205196809</v>
      </c>
      <c r="F40" s="406">
        <f t="shared" si="8"/>
        <v>27.66428820910885</v>
      </c>
      <c r="G40" s="406">
        <f t="shared" si="8"/>
        <v>24.030130943797371</v>
      </c>
      <c r="H40" s="13">
        <f t="shared" si="9"/>
        <v>8.2481387083385149E-2</v>
      </c>
      <c r="I40" s="5"/>
      <c r="J40" s="217"/>
      <c r="K40" s="217"/>
      <c r="L40" s="217"/>
      <c r="M40" s="217"/>
      <c r="N40" s="217"/>
      <c r="O40" s="14"/>
      <c r="Q40" s="5"/>
      <c r="R40" s="5"/>
      <c r="S40" s="26"/>
      <c r="T40" s="26"/>
      <c r="U40" s="26"/>
      <c r="V40" s="26"/>
      <c r="W40" s="242"/>
      <c r="X40" s="242"/>
    </row>
    <row r="41" spans="2:24">
      <c r="B41" s="5" t="s">
        <v>434</v>
      </c>
      <c r="C41" s="207"/>
      <c r="D41" s="406">
        <f>D$18/D27</f>
        <v>1.6943681298032636</v>
      </c>
      <c r="E41" s="406">
        <f t="shared" si="8"/>
        <v>1.6399100121682262</v>
      </c>
      <c r="F41" s="406">
        <f t="shared" si="8"/>
        <v>1.5509752233775953</v>
      </c>
      <c r="G41" s="406">
        <f t="shared" si="8"/>
        <v>1.4486289574951372</v>
      </c>
      <c r="H41" s="13">
        <f t="shared" si="9"/>
        <v>2.8542066815116396E-2</v>
      </c>
      <c r="I41" s="207"/>
      <c r="J41" s="13"/>
      <c r="K41" s="13"/>
      <c r="L41" s="13"/>
      <c r="M41" s="13"/>
      <c r="N41" s="13"/>
      <c r="O41" s="5"/>
      <c r="Q41" s="5"/>
      <c r="R41" s="5"/>
      <c r="S41" s="26"/>
      <c r="T41" s="26"/>
      <c r="U41" s="26"/>
      <c r="V41" s="26"/>
      <c r="W41" s="242"/>
      <c r="X41" s="242"/>
    </row>
    <row r="42" spans="2:24">
      <c r="B42" s="5" t="s">
        <v>493</v>
      </c>
      <c r="C42" s="207"/>
      <c r="D42" s="406">
        <f>D18/D28</f>
        <v>3.6553283239965344</v>
      </c>
      <c r="E42" s="406">
        <f>E18/E28</f>
        <v>3.4505183993250474</v>
      </c>
      <c r="F42" s="406">
        <f>F18/F28</f>
        <v>3.1964676920372499</v>
      </c>
      <c r="G42" s="406">
        <f>G18/G28</f>
        <v>2.9728008895210878</v>
      </c>
      <c r="H42" s="13">
        <f t="shared" si="9"/>
        <v>4.5824258642558569E-2</v>
      </c>
      <c r="I42" s="208"/>
      <c r="J42" s="5"/>
      <c r="K42" s="5"/>
      <c r="L42" s="5"/>
      <c r="M42" s="5"/>
      <c r="N42" s="5"/>
      <c r="O42" s="5"/>
      <c r="Q42" s="5"/>
      <c r="R42" s="5"/>
      <c r="S42" s="26"/>
      <c r="T42" s="26"/>
      <c r="U42" s="26"/>
      <c r="V42" s="26"/>
      <c r="W42" s="242"/>
      <c r="X42" s="242"/>
    </row>
    <row r="43" spans="2:24">
      <c r="B43" s="5" t="s">
        <v>390</v>
      </c>
      <c r="C43" s="207"/>
      <c r="D43" s="406">
        <f>L26/D29</f>
        <v>29.548403940753882</v>
      </c>
      <c r="E43" s="406">
        <f>M26/E29</f>
        <v>28.968161055998291</v>
      </c>
      <c r="F43" s="406">
        <f>N26/F29</f>
        <v>25.848689762051645</v>
      </c>
      <c r="G43" s="406">
        <f>O26/G29</f>
        <v>22.731972933036076</v>
      </c>
      <c r="H43" s="13">
        <f t="shared" si="9"/>
        <v>9.135396942611429E-2</v>
      </c>
      <c r="I43" s="207"/>
      <c r="J43" s="207"/>
      <c r="K43" s="207"/>
      <c r="L43" s="207"/>
      <c r="M43" s="207"/>
      <c r="N43" s="207"/>
      <c r="O43" s="14"/>
      <c r="Q43" s="5"/>
      <c r="R43" s="5"/>
      <c r="S43" s="26"/>
      <c r="T43" s="26"/>
      <c r="U43" s="26"/>
      <c r="V43" s="26"/>
      <c r="W43" s="242"/>
      <c r="X43" s="242"/>
    </row>
    <row r="44" spans="2:24">
      <c r="B44" s="5" t="s">
        <v>437</v>
      </c>
      <c r="C44" s="53"/>
      <c r="D44" s="406">
        <f>D11/D30</f>
        <v>8.6927336129712423</v>
      </c>
      <c r="E44" s="406">
        <f>E11/E30</f>
        <v>8.776675024760987</v>
      </c>
      <c r="F44" s="406">
        <f>F11/F30</f>
        <v>8.8414238405516041</v>
      </c>
      <c r="G44" s="406">
        <f>G11/G30</f>
        <v>8.7483299653090594</v>
      </c>
      <c r="H44" s="13">
        <f t="shared" si="9"/>
        <v>-2.1228639546226891E-3</v>
      </c>
      <c r="I44" s="207"/>
      <c r="J44" s="208"/>
      <c r="K44" s="208"/>
      <c r="L44" s="208"/>
      <c r="M44" s="208"/>
      <c r="N44" s="208"/>
      <c r="O44" s="208"/>
      <c r="Q44" s="5"/>
      <c r="R44" s="5"/>
      <c r="S44" s="26"/>
      <c r="T44" s="26"/>
      <c r="U44" s="26"/>
      <c r="V44" s="26"/>
      <c r="W44" s="255"/>
      <c r="X44" s="255"/>
    </row>
    <row r="45" spans="2:24">
      <c r="B45" s="5" t="s">
        <v>481</v>
      </c>
      <c r="C45" s="207"/>
      <c r="D45" s="208">
        <f>D31/D11</f>
        <v>3.8661710037174724E-2</v>
      </c>
      <c r="E45" s="208">
        <f>E31/E11</f>
        <v>4.0208178438661708E-2</v>
      </c>
      <c r="F45" s="208">
        <f>F31/F11</f>
        <v>4.1414423791821559E-2</v>
      </c>
      <c r="G45" s="208">
        <f>G31/G11</f>
        <v>4.2656856505576213E-2</v>
      </c>
      <c r="H45" s="13">
        <f t="shared" si="9"/>
        <v>3.3322603657810035E-2</v>
      </c>
      <c r="I45" s="208"/>
      <c r="J45" s="207"/>
      <c r="K45" s="207"/>
      <c r="L45" s="207"/>
      <c r="M45" s="207"/>
      <c r="N45" s="207"/>
      <c r="O45" s="208"/>
      <c r="Q45" s="5"/>
      <c r="R45" s="5"/>
      <c r="S45" s="26"/>
      <c r="T45" s="26"/>
      <c r="U45" s="26"/>
      <c r="V45" s="26"/>
      <c r="W45" s="26"/>
      <c r="X45" s="26"/>
    </row>
    <row r="46" spans="2:24">
      <c r="B46" s="5" t="s">
        <v>505</v>
      </c>
      <c r="C46" s="207"/>
      <c r="D46" s="208">
        <f>(D31+D32)/D11</f>
        <v>3.8661710037174724E-2</v>
      </c>
      <c r="E46" s="208">
        <f>(E31+E32)/E11</f>
        <v>4.0208178438661708E-2</v>
      </c>
      <c r="F46" s="208">
        <f>(F31+F32)/F11</f>
        <v>4.1414423791821559E-2</v>
      </c>
      <c r="G46" s="208">
        <f>(G31+G32)/G11</f>
        <v>4.2656856505576213E-2</v>
      </c>
      <c r="H46" s="233">
        <f>((G31+G32)/(D31+D32))^(1/3)-1</f>
        <v>3.3322603657810035E-2</v>
      </c>
      <c r="I46" s="207"/>
      <c r="J46" s="207"/>
      <c r="K46" s="207"/>
      <c r="L46" s="207"/>
      <c r="M46" s="207"/>
      <c r="N46" s="207"/>
      <c r="O46" s="14"/>
      <c r="Q46" s="5"/>
      <c r="R46" s="5"/>
      <c r="S46" s="26"/>
      <c r="T46" s="26"/>
      <c r="U46" s="26"/>
      <c r="V46" s="26"/>
      <c r="W46" s="26"/>
      <c r="X46" s="26"/>
    </row>
    <row r="47" spans="2:24">
      <c r="B47" s="5" t="s">
        <v>482</v>
      </c>
      <c r="C47" s="5"/>
      <c r="D47" s="208">
        <f>1/D43</f>
        <v>3.3842775467840938E-2</v>
      </c>
      <c r="E47" s="208">
        <f>1/E43</f>
        <v>3.4520658666143914E-2</v>
      </c>
      <c r="F47" s="208">
        <f>1/F43</f>
        <v>3.8686680416122901E-2</v>
      </c>
      <c r="G47" s="208">
        <f>1/G43</f>
        <v>4.399090228313237E-2</v>
      </c>
      <c r="H47" s="13">
        <f>H29</f>
        <v>9.135396942611429E-2</v>
      </c>
      <c r="I47" s="13"/>
      <c r="J47" s="208"/>
      <c r="K47" s="208"/>
      <c r="L47" s="208"/>
      <c r="M47" s="208"/>
      <c r="N47" s="208"/>
      <c r="O47" s="208"/>
      <c r="Q47" s="5"/>
      <c r="R47" s="5"/>
      <c r="S47" s="26"/>
      <c r="T47" s="26"/>
      <c r="U47" s="26"/>
      <c r="V47" s="26"/>
      <c r="W47" s="26"/>
      <c r="X47" s="26"/>
    </row>
    <row r="48" spans="2:24">
      <c r="B48" s="5" t="s">
        <v>518</v>
      </c>
      <c r="C48" s="5"/>
      <c r="D48" s="248">
        <f>D31/D29</f>
        <v>1.1129671588521097</v>
      </c>
      <c r="E48" s="248">
        <f>E31/E29</f>
        <v>1.1347562613263729</v>
      </c>
      <c r="F48" s="248">
        <f>F31/F29</f>
        <v>1.0429354273750946</v>
      </c>
      <c r="G48" s="248">
        <f>G31/G29</f>
        <v>0.94469853319314734</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SWISSSOP!A1" display="Jump to Swisscom SOP" xr:uid="{00000000-0004-0000-5A00-000001000000}"/>
  </hyperlinks>
  <pageMargins left="0.75" right="0.75" top="1" bottom="1" header="0.5" footer="0.5"/>
  <pageSetup scale="71"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2">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649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651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729</v>
      </c>
      <c r="C9" s="244">
        <f>Prices!$C$92</f>
        <v>1875</v>
      </c>
      <c r="D9" s="412">
        <v>0</v>
      </c>
      <c r="E9" s="413">
        <v>0</v>
      </c>
      <c r="F9" s="413">
        <v>0</v>
      </c>
      <c r="G9" s="413">
        <v>0</v>
      </c>
      <c r="H9" s="209"/>
      <c r="I9" s="209"/>
      <c r="J9" s="5" t="s">
        <v>225</v>
      </c>
      <c r="L9" s="406">
        <f>'EM TOWERS'!D37</f>
        <v>2.8753856370989439</v>
      </c>
      <c r="M9" s="406">
        <f>'EM TOWERS'!E37</f>
        <v>2.5588631440779301</v>
      </c>
      <c r="N9" s="406">
        <f>'EM TOWERS'!F37</f>
        <v>2.2791060394933726</v>
      </c>
      <c r="O9" s="406">
        <f>'EM TOWERS'!G37</f>
        <v>2.0260816488517763</v>
      </c>
      <c r="P9" s="233">
        <f>'EM TOWERS'!H37</f>
        <v>4.4299853446136295E-2</v>
      </c>
    </row>
    <row r="10" spans="2:44">
      <c r="B10" s="5" t="s">
        <v>226</v>
      </c>
      <c r="C10" s="5"/>
      <c r="D10" s="408">
        <v>22506.245676155781</v>
      </c>
      <c r="E10" s="408">
        <v>22355.49190731156</v>
      </c>
      <c r="F10" s="408">
        <v>22204.738138467339</v>
      </c>
      <c r="G10" s="408">
        <v>22053.984369623118</v>
      </c>
      <c r="H10" s="207"/>
      <c r="I10" s="207"/>
      <c r="J10" s="5" t="s">
        <v>158</v>
      </c>
      <c r="L10" s="406">
        <f>'EM TOWERS'!D38</f>
        <v>4.4484146973524972</v>
      </c>
      <c r="M10" s="406">
        <f>'EM TOWERS'!E38</f>
        <v>3.9480925890218517</v>
      </c>
      <c r="N10" s="406">
        <f>'EM TOWERS'!F38</f>
        <v>3.5183466460380162</v>
      </c>
      <c r="O10" s="406">
        <f>'EM TOWERS'!G38</f>
        <v>3.129360275503688</v>
      </c>
      <c r="P10" s="233">
        <f>'EM TOWERS'!H38</f>
        <v>4.4869532220161101E-2</v>
      </c>
    </row>
    <row r="11" spans="2:44">
      <c r="B11" s="25" t="s">
        <v>227</v>
      </c>
      <c r="C11" s="5"/>
      <c r="D11" s="409">
        <f>$C$9*D10/1000</f>
        <v>42199.210642792088</v>
      </c>
      <c r="E11" s="409">
        <f>$C$9*E10/1000</f>
        <v>41916.547326209169</v>
      </c>
      <c r="F11" s="409">
        <f>$C$9*F10/1000</f>
        <v>41633.884009626265</v>
      </c>
      <c r="G11" s="409">
        <f>$C$9*G10/1000</f>
        <v>41351.220693043346</v>
      </c>
      <c r="H11" s="209"/>
      <c r="I11" s="209"/>
      <c r="J11" s="5" t="s">
        <v>159</v>
      </c>
      <c r="L11" s="406">
        <f>'EM TOWERS'!D39</f>
        <v>6.467357750034668</v>
      </c>
      <c r="M11" s="406">
        <f>'EM TOWERS'!E39</f>
        <v>5.6816273495521736</v>
      </c>
      <c r="N11" s="406">
        <f>'EM TOWERS'!F39</f>
        <v>5.0275068119418096</v>
      </c>
      <c r="O11" s="406">
        <f>'EM TOWERS'!G39</f>
        <v>4.4520069956270758</v>
      </c>
      <c r="P11" s="233">
        <f>'EM TOWERS'!H39</f>
        <v>5.2452524167129866E-2</v>
      </c>
    </row>
    <row r="12" spans="2:44">
      <c r="B12" s="5" t="s">
        <v>22</v>
      </c>
      <c r="C12" s="209"/>
      <c r="D12" s="410">
        <v>28953.065978728315</v>
      </c>
      <c r="E12" s="410">
        <v>29119.242869136928</v>
      </c>
      <c r="F12" s="410">
        <v>29199.902380893956</v>
      </c>
      <c r="G12" s="410">
        <v>29115.676447421476</v>
      </c>
      <c r="H12" s="207"/>
      <c r="I12" s="207"/>
      <c r="J12" s="5" t="s">
        <v>381</v>
      </c>
      <c r="L12" s="406">
        <f>'EM TOWERS'!D40</f>
        <v>7.1880123213702038</v>
      </c>
      <c r="M12" s="406">
        <f>'EM TOWERS'!E40</f>
        <v>6.2974410157328773</v>
      </c>
      <c r="N12" s="406">
        <f>'EM TOWERS'!F40</f>
        <v>5.5805415685706015</v>
      </c>
      <c r="O12" s="406">
        <f>'EM TOWERS'!G40</f>
        <v>4.9453375933267081</v>
      </c>
      <c r="P12" s="233">
        <f>'EM TOWERS'!H40</f>
        <v>5.2647882819422342E-2</v>
      </c>
    </row>
    <row r="13" spans="2:44">
      <c r="B13" s="5" t="s">
        <v>433</v>
      </c>
      <c r="C13" s="216"/>
      <c r="D13" s="410">
        <v>0</v>
      </c>
      <c r="E13" s="410">
        <v>0</v>
      </c>
      <c r="F13" s="410">
        <v>0</v>
      </c>
      <c r="G13" s="410">
        <v>0</v>
      </c>
      <c r="H13" s="207"/>
      <c r="I13" s="207"/>
      <c r="J13" s="5" t="s">
        <v>434</v>
      </c>
      <c r="L13" s="406">
        <f>'EM TOWERS'!D41</f>
        <v>1.1929325059828397</v>
      </c>
      <c r="M13" s="406">
        <f>'EM TOWERS'!E41</f>
        <v>1.1316043698700911</v>
      </c>
      <c r="N13" s="406">
        <f>'EM TOWERS'!F41</f>
        <v>1.053443256852002</v>
      </c>
      <c r="O13" s="406">
        <f>'EM TOWERS'!G41</f>
        <v>0.96594025199218903</v>
      </c>
      <c r="P13" s="233">
        <f>'EM TOWERS'!H41</f>
        <v>-2.9872751084933924E-3</v>
      </c>
    </row>
    <row r="14" spans="2:44">
      <c r="B14" s="5" t="s">
        <v>436</v>
      </c>
      <c r="C14" s="216"/>
      <c r="D14" s="410">
        <v>0</v>
      </c>
      <c r="E14" s="410">
        <v>0</v>
      </c>
      <c r="F14" s="410">
        <v>0</v>
      </c>
      <c r="G14" s="410">
        <v>0</v>
      </c>
      <c r="H14" s="207"/>
      <c r="I14" s="207"/>
      <c r="J14" s="5" t="s">
        <v>493</v>
      </c>
      <c r="L14" s="406">
        <f>'EM TOWERS'!D42</f>
        <v>1.9987670824600938</v>
      </c>
      <c r="M14" s="406">
        <f>'EM TOWERS'!E42</f>
        <v>2.0417321035179237</v>
      </c>
      <c r="N14" s="406">
        <f>'EM TOWERS'!F42</f>
        <v>2.0361368094741659</v>
      </c>
      <c r="O14" s="406">
        <f>'EM TOWERS'!G42</f>
        <v>1.9939520283492802</v>
      </c>
      <c r="P14" s="233">
        <f>'EM TOWERS'!H42</f>
        <v>-6.9974922183852928E-2</v>
      </c>
    </row>
    <row r="15" spans="2:44">
      <c r="B15" s="5" t="s">
        <v>435</v>
      </c>
      <c r="C15" s="228"/>
      <c r="D15" s="410">
        <v>0</v>
      </c>
      <c r="E15" s="410">
        <v>0</v>
      </c>
      <c r="F15" s="410">
        <v>0</v>
      </c>
      <c r="G15" s="410">
        <v>0</v>
      </c>
      <c r="H15" s="207"/>
      <c r="I15" s="207"/>
      <c r="J15" s="5" t="s">
        <v>390</v>
      </c>
      <c r="L15" s="406">
        <f>'EM TOWERS'!D43</f>
        <v>8.1064361166140024</v>
      </c>
      <c r="M15" s="406">
        <f>'EM TOWERS'!E43</f>
        <v>7.7090040884711142</v>
      </c>
      <c r="N15" s="406">
        <f>'EM TOWERS'!F43</f>
        <v>7.368419056291093</v>
      </c>
      <c r="O15" s="406">
        <f>'EM TOWERS'!G43</f>
        <v>7.059772948743908</v>
      </c>
      <c r="P15" s="233">
        <f>'EM TOWERS'!H43</f>
        <v>4.3996397047496583E-2</v>
      </c>
    </row>
    <row r="16" spans="2:44">
      <c r="B16" s="5" t="s">
        <v>438</v>
      </c>
      <c r="C16" s="216"/>
      <c r="D16" s="410">
        <v>0</v>
      </c>
      <c r="E16" s="410">
        <v>1300.9630099698434</v>
      </c>
      <c r="F16" s="410">
        <v>2624.2097762934927</v>
      </c>
      <c r="G16" s="410">
        <v>4009.7959483100676</v>
      </c>
      <c r="H16" s="207"/>
      <c r="I16" s="207"/>
      <c r="J16" s="5" t="s">
        <v>437</v>
      </c>
      <c r="L16" s="406">
        <f>'EM TOWERS'!D44</f>
        <v>13.436863988366767</v>
      </c>
      <c r="M16" s="406">
        <f>'EM TOWERS'!E44</f>
        <v>9.7165411129508161</v>
      </c>
      <c r="N16" s="406">
        <f>'EM TOWERS'!F44</f>
        <v>7.9288649416051227</v>
      </c>
      <c r="O16" s="406">
        <f>'EM TOWERS'!G44</f>
        <v>7.0017311665269686</v>
      </c>
      <c r="P16" s="233">
        <f>'EM TOWERS'!H44</f>
        <v>0.23823898313652681</v>
      </c>
    </row>
    <row r="17" spans="2:24">
      <c r="B17" s="5" t="s">
        <v>4</v>
      </c>
      <c r="C17" s="216"/>
      <c r="D17" s="410">
        <v>0</v>
      </c>
      <c r="E17" s="410">
        <v>0</v>
      </c>
      <c r="F17" s="410">
        <v>0</v>
      </c>
      <c r="G17" s="410">
        <v>0</v>
      </c>
      <c r="H17" s="207"/>
      <c r="I17" s="207"/>
      <c r="J17" s="5" t="s">
        <v>481</v>
      </c>
      <c r="L17" s="406">
        <f>'EM TOWERS'!D45</f>
        <v>4.0111232057438634E-2</v>
      </c>
      <c r="M17" s="406">
        <f>'EM TOWERS'!E45</f>
        <v>5.7479683884391737E-2</v>
      </c>
      <c r="N17" s="406">
        <f>'EM TOWERS'!F45</f>
        <v>7.0370913013770742E-2</v>
      </c>
      <c r="O17" s="406">
        <f>'EM TOWERS'!G45</f>
        <v>7.8768143947675784E-2</v>
      </c>
      <c r="P17" s="233">
        <f>'EM TOWERS'!H45</f>
        <v>0.24777183848156481</v>
      </c>
      <c r="S17" s="72"/>
      <c r="T17" s="26"/>
      <c r="U17" s="26"/>
      <c r="V17" s="26"/>
      <c r="W17" s="26"/>
      <c r="X17" s="26"/>
    </row>
    <row r="18" spans="2:24" ht="12.6" thickBot="1">
      <c r="B18" s="25" t="s">
        <v>484</v>
      </c>
      <c r="C18" s="209"/>
      <c r="D18" s="411">
        <f>D11+D12+D13-D14+D15-D16-D17</f>
        <v>71152.276621520403</v>
      </c>
      <c r="E18" s="411">
        <f>E11+E12+E13-E14+E15-E16-E17</f>
        <v>69734.827185376256</v>
      </c>
      <c r="F18" s="411">
        <f>F11+F12+F13-F14+F15-F16-F17</f>
        <v>68209.576614226738</v>
      </c>
      <c r="G18" s="411">
        <f>G11+G12+G13-G14+G15-G16-G17</f>
        <v>66457.101192154747</v>
      </c>
      <c r="H18" s="230">
        <f>IF(D18=0,"nm",IF(G18=0,"nm",(G18/D18)^(1/3)-1))</f>
        <v>-2.2498278133480709E-2</v>
      </c>
      <c r="I18" s="214"/>
      <c r="J18" s="5" t="s">
        <v>33</v>
      </c>
      <c r="L18" s="406">
        <f>'EM TOWERS'!D46</f>
        <v>3.4149277793105323E-2</v>
      </c>
      <c r="M18" s="406">
        <f>'EM TOWERS'!E46</f>
        <v>5.0189715809664123E-2</v>
      </c>
      <c r="N18" s="406">
        <f>'EM TOWERS'!F46</f>
        <v>6.1907116223455669E-2</v>
      </c>
      <c r="O18" s="406">
        <f>'EM TOWERS'!G46</f>
        <v>6.9451969034422772E-2</v>
      </c>
      <c r="P18" s="233">
        <f>'EM TOWERS'!H46</f>
        <v>0.2624319853567012</v>
      </c>
      <c r="S18" s="72"/>
      <c r="T18" s="26"/>
      <c r="U18" s="26"/>
      <c r="V18" s="26"/>
      <c r="W18" s="26"/>
      <c r="X18" s="26"/>
    </row>
    <row r="19" spans="2:24" ht="12.6" thickTop="1">
      <c r="B19" s="25"/>
      <c r="C19" s="209"/>
      <c r="D19" s="189"/>
      <c r="E19" s="189"/>
      <c r="F19" s="189"/>
      <c r="G19" s="189"/>
      <c r="H19" s="230"/>
      <c r="I19" s="214"/>
      <c r="J19" s="5" t="s">
        <v>482</v>
      </c>
      <c r="L19" s="406">
        <f>'EM TOWERS'!D47</f>
        <v>0.12335877142737449</v>
      </c>
      <c r="M19" s="406">
        <f>'EM TOWERS'!E47</f>
        <v>0.12971844203527005</v>
      </c>
      <c r="N19" s="406">
        <f>'EM TOWERS'!F47</f>
        <v>0.13571432248362811</v>
      </c>
      <c r="O19" s="406">
        <f>'EM TOWERS'!G47</f>
        <v>0.14164761491060734</v>
      </c>
      <c r="P19" s="233">
        <f>'EM TOWERS'!H47</f>
        <v>4.3996397047496583E-2</v>
      </c>
      <c r="S19" s="72"/>
      <c r="T19" s="26"/>
      <c r="U19" s="26"/>
      <c r="V19" s="26"/>
      <c r="W19" s="26"/>
      <c r="X19" s="26"/>
    </row>
    <row r="20" spans="2:24">
      <c r="H20" s="231"/>
      <c r="I20" s="13"/>
      <c r="J20" s="5" t="s">
        <v>504</v>
      </c>
      <c r="L20" s="406">
        <f>'EM TOWERS'!D48</f>
        <v>0.34693313124747588</v>
      </c>
      <c r="M20" s="406">
        <f>'EM TOWERS'!E48</f>
        <v>0.47267097249830853</v>
      </c>
      <c r="N20" s="406">
        <f>'EM TOWERS'!F48</f>
        <v>0.55273011389769977</v>
      </c>
      <c r="O20" s="406">
        <f>'EM TOWERS'!G48</f>
        <v>0.59231716049146255</v>
      </c>
      <c r="P20" s="233" t="str">
        <f>'EM TOWERS'!H48</f>
        <v>nm</v>
      </c>
      <c r="S20" s="72"/>
      <c r="T20" s="26"/>
      <c r="U20" s="26"/>
      <c r="V20" s="26"/>
      <c r="W20" s="26"/>
      <c r="X20" s="26"/>
    </row>
    <row r="21" spans="2:24" ht="12.6" thickBot="1">
      <c r="B21" s="249" t="s">
        <v>780</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6867.3990000000003</v>
      </c>
      <c r="D23" s="416">
        <v>6890.2135123428588</v>
      </c>
      <c r="E23" s="416">
        <v>6903.1054433411582</v>
      </c>
      <c r="F23" s="416">
        <v>7034.7726466987733</v>
      </c>
      <c r="G23" s="416">
        <v>7237.3411943700503</v>
      </c>
      <c r="H23" s="233">
        <f>IF(D23=0,"nm",IF(G23=0,"nm",(G23/D23)^(1/3)-1))</f>
        <v>1.651889523989758E-2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5869</v>
      </c>
      <c r="D24" s="416">
        <v>5793.82880901709</v>
      </c>
      <c r="E24" s="416">
        <v>5811.5724553359805</v>
      </c>
      <c r="F24" s="416">
        <v>5929.4549469672338</v>
      </c>
      <c r="G24" s="416">
        <v>6107.4328561106022</v>
      </c>
      <c r="H24" s="233">
        <f>IF(D24=0,"nm",IF(G24=0,"nm",(G24/D24)^(1/3)-1))</f>
        <v>1.7726338452455748E-2</v>
      </c>
      <c r="I24" s="209"/>
      <c r="J24" s="13"/>
      <c r="K24" s="13"/>
      <c r="L24" s="13"/>
      <c r="M24" s="13"/>
      <c r="N24" s="13"/>
      <c r="O24" s="208"/>
      <c r="S24" s="72"/>
      <c r="T24" s="26"/>
      <c r="U24" s="26"/>
      <c r="V24" s="26"/>
      <c r="W24" s="26" t="s">
        <v>654</v>
      </c>
      <c r="X24" s="26" t="s">
        <v>653</v>
      </c>
    </row>
    <row r="25" spans="2:24">
      <c r="B25" s="5" t="s">
        <v>157</v>
      </c>
      <c r="C25" s="422">
        <v>3361.5230000000001</v>
      </c>
      <c r="D25" s="416">
        <v>3841.3350389868037</v>
      </c>
      <c r="E25" s="416">
        <v>3814.7535296388878</v>
      </c>
      <c r="F25" s="416">
        <v>3907.3342030917147</v>
      </c>
      <c r="G25" s="416">
        <v>4144.291301035897</v>
      </c>
      <c r="H25" s="233">
        <f>IF(D25=0,"nm",IF(G25=0,"nm",(G25/D25)^(1/3)-1))</f>
        <v>2.5626803724173142E-2</v>
      </c>
      <c r="I25" s="208"/>
      <c r="J25" s="207" t="s">
        <v>8</v>
      </c>
      <c r="K25" s="207"/>
      <c r="L25" s="252">
        <v>0</v>
      </c>
      <c r="M25" s="252">
        <v>0</v>
      </c>
      <c r="N25" s="252">
        <v>0</v>
      </c>
      <c r="O25" s="252">
        <v>0</v>
      </c>
      <c r="P25" s="233" t="str">
        <f>IF(L25=0,"nm",IF(O25=0,"nm",(O25/L25)^(1/3)-1))</f>
        <v>nm</v>
      </c>
      <c r="S25" s="72"/>
      <c r="T25" s="26"/>
      <c r="U25" s="26"/>
      <c r="V25" s="113" t="s">
        <v>225</v>
      </c>
      <c r="W25" s="242">
        <f t="shared" ref="W25:W30" si="4">E37/M9</f>
        <v>3.9478274523055479</v>
      </c>
      <c r="X25" s="242">
        <v>1</v>
      </c>
    </row>
    <row r="26" spans="2:24">
      <c r="B26" s="5" t="s">
        <v>487</v>
      </c>
      <c r="C26" s="422">
        <v>2689.2184000000002</v>
      </c>
      <c r="D26" s="416">
        <v>3073.068031189443</v>
      </c>
      <c r="E26" s="416">
        <v>3051.8028237111102</v>
      </c>
      <c r="F26" s="416">
        <v>3125.8673624733719</v>
      </c>
      <c r="G26" s="416">
        <v>3315.4330408287178</v>
      </c>
      <c r="H26" s="233">
        <f>IF(D26=0,"nm",IF(G26=0,"nm",(G26/D26)^(1/3)-1))</f>
        <v>2.5626803724173142E-2</v>
      </c>
      <c r="I26" s="209"/>
      <c r="J26" s="209" t="s">
        <v>9</v>
      </c>
      <c r="K26" s="209"/>
      <c r="L26" s="235">
        <f>D11+L25</f>
        <v>42199.210642792088</v>
      </c>
      <c r="M26" s="235">
        <f>E11+M25</f>
        <v>41916.547326209169</v>
      </c>
      <c r="N26" s="235">
        <f>F11+N25</f>
        <v>41633.884009626265</v>
      </c>
      <c r="O26" s="235">
        <f>G11+O25</f>
        <v>41351.220693043346</v>
      </c>
      <c r="P26" s="233">
        <f>IF(L26=0,"nm",IF(O26=0,"nm",(O26/L26)^(1/3)-1))</f>
        <v>-6.7436831850705703E-3</v>
      </c>
      <c r="Q26" s="5"/>
      <c r="S26" s="72"/>
      <c r="T26" s="26"/>
      <c r="U26" s="26"/>
      <c r="V26" s="113" t="s">
        <v>158</v>
      </c>
      <c r="W26" s="242">
        <f t="shared" si="4"/>
        <v>3.0392662210050632</v>
      </c>
      <c r="X26" s="242">
        <v>1</v>
      </c>
    </row>
    <row r="27" spans="2:24">
      <c r="B27" s="5" t="s">
        <v>488</v>
      </c>
      <c r="C27" s="423">
        <v>39949.425000000003</v>
      </c>
      <c r="D27" s="416">
        <v>40304.487122746643</v>
      </c>
      <c r="E27" s="416">
        <v>40642.592543267048</v>
      </c>
      <c r="F27" s="416">
        <v>40903.264089663542</v>
      </c>
      <c r="G27" s="416">
        <v>41021.664011416695</v>
      </c>
      <c r="H27" s="233">
        <f>IF(ISERROR((G27/D27)^(1/3)-1),"na",(G27/D27)^(1/3)-1)</f>
        <v>5.8964868844320062E-3</v>
      </c>
      <c r="I27" s="209"/>
      <c r="J27" s="208"/>
      <c r="K27" s="208"/>
      <c r="L27" s="208"/>
      <c r="M27" s="208"/>
      <c r="N27" s="208"/>
      <c r="O27" s="208"/>
      <c r="Q27" s="25"/>
      <c r="S27" s="72"/>
      <c r="T27" s="26"/>
      <c r="U27" s="26"/>
      <c r="V27" s="113" t="s">
        <v>159</v>
      </c>
      <c r="W27" s="242">
        <f t="shared" si="4"/>
        <v>3.2174403198094965</v>
      </c>
      <c r="X27" s="242">
        <v>1</v>
      </c>
    </row>
    <row r="28" spans="2:24">
      <c r="B28" s="5" t="s">
        <v>492</v>
      </c>
      <c r="C28" s="422">
        <v>36441.911</v>
      </c>
      <c r="D28" s="416">
        <v>36673.241449515859</v>
      </c>
      <c r="E28" s="416">
        <v>36877.723839378545</v>
      </c>
      <c r="F28" s="416">
        <v>37035.432991812573</v>
      </c>
      <c r="G28" s="416">
        <v>37064.190112738397</v>
      </c>
      <c r="H28" s="233">
        <f>IF(ISERROR((G28/D28)^(1/3)-1),"na",(G28/D28)^(1/3)-1)</f>
        <v>3.5408888883796674E-3</v>
      </c>
      <c r="I28" s="208"/>
      <c r="Q28" s="5"/>
      <c r="S28" s="72"/>
      <c r="T28" s="26"/>
      <c r="U28" s="26"/>
      <c r="V28" s="113" t="s">
        <v>381</v>
      </c>
      <c r="W28" s="242">
        <f t="shared" si="4"/>
        <v>3.6285168989498904</v>
      </c>
      <c r="X28" s="242">
        <v>1</v>
      </c>
    </row>
    <row r="29" spans="2:24" ht="12.6" thickBot="1">
      <c r="B29" s="5" t="s">
        <v>489</v>
      </c>
      <c r="C29" s="422">
        <v>1475.2380000000005</v>
      </c>
      <c r="D29" s="416">
        <v>1074.4674565773219</v>
      </c>
      <c r="E29" s="416">
        <v>1285.5080708748121</v>
      </c>
      <c r="F29" s="416">
        <v>1390.6045839236601</v>
      </c>
      <c r="G29" s="416">
        <v>1612.0866962402397</v>
      </c>
      <c r="H29" s="233">
        <f>IF(D29=0,"nm",IF(G29=0,"nm",(G29/D29)^(1/3)-1))</f>
        <v>0.14480550537217551</v>
      </c>
      <c r="I29" s="212"/>
      <c r="J29" s="249" t="s">
        <v>1074</v>
      </c>
      <c r="K29" s="249"/>
      <c r="L29" s="219" t="str">
        <f>L$5</f>
        <v>2025E</v>
      </c>
      <c r="M29" s="219" t="str">
        <f t="shared" ref="M29:P29" si="5">M$5</f>
        <v>2026E</v>
      </c>
      <c r="N29" s="219" t="str">
        <f t="shared" si="5"/>
        <v>2027E</v>
      </c>
      <c r="O29" s="219" t="str">
        <f t="shared" si="5"/>
        <v>2028E</v>
      </c>
      <c r="P29" s="219" t="str">
        <f t="shared" si="5"/>
        <v>2025-28</v>
      </c>
      <c r="Q29" s="5"/>
      <c r="S29" s="72"/>
      <c r="T29" s="26"/>
      <c r="U29" s="26"/>
      <c r="V29" s="113" t="s">
        <v>434</v>
      </c>
      <c r="W29" s="242">
        <f t="shared" si="4"/>
        <v>1.5162601105812421</v>
      </c>
      <c r="X29" s="242">
        <v>1</v>
      </c>
    </row>
    <row r="30" spans="2:24" ht="12.6" thickTop="1">
      <c r="B30" s="5" t="s">
        <v>490</v>
      </c>
      <c r="C30" s="423">
        <v>1621.5859999999998</v>
      </c>
      <c r="D30" s="416">
        <v>1371.4577048216479</v>
      </c>
      <c r="E30" s="416">
        <v>1557.1727080288927</v>
      </c>
      <c r="F30" s="416">
        <v>1583.7107314375735</v>
      </c>
      <c r="G30" s="416">
        <v>1659.6093030770178</v>
      </c>
      <c r="H30" s="233">
        <f>IF(D30=0,"nm",IF(G30=0,"nm",(G30/D30)^(1/3)-1))</f>
        <v>6.5633375246417769E-2</v>
      </c>
      <c r="I30" s="214"/>
      <c r="J30" s="208"/>
      <c r="K30" s="208"/>
      <c r="L30" s="208"/>
      <c r="M30" s="208"/>
      <c r="N30" s="208"/>
      <c r="O30" s="5"/>
      <c r="Q30" s="5"/>
      <c r="S30" s="72"/>
      <c r="T30" s="26"/>
      <c r="U30" s="26"/>
      <c r="V30" s="113" t="s">
        <v>493</v>
      </c>
      <c r="W30" s="242">
        <f t="shared" si="4"/>
        <v>0.92616179861929027</v>
      </c>
      <c r="X30" s="242">
        <v>1</v>
      </c>
    </row>
    <row r="31" spans="2:24">
      <c r="B31" s="5" t="s">
        <v>491</v>
      </c>
      <c r="C31" s="423">
        <v>1089.397125063</v>
      </c>
      <c r="D31" s="416">
        <v>1152.2878719560617</v>
      </c>
      <c r="E31" s="416">
        <v>1300.9630099698434</v>
      </c>
      <c r="F31" s="416">
        <v>1323.2467663236491</v>
      </c>
      <c r="G31" s="416">
        <v>1385.5861720165749</v>
      </c>
      <c r="H31" s="233">
        <f>IF(D31=0,"nm",IF(G31=0,"nm",(G31/D31)^(1/3)-1))</f>
        <v>6.3385783438157706E-2</v>
      </c>
      <c r="I31" s="214"/>
      <c r="J31" s="5" t="s">
        <v>613</v>
      </c>
      <c r="K31" s="207"/>
      <c r="L31" s="253">
        <v>22475</v>
      </c>
      <c r="M31" s="253">
        <v>23892</v>
      </c>
      <c r="N31" s="253">
        <v>24492</v>
      </c>
      <c r="O31" s="253">
        <v>25092</v>
      </c>
      <c r="Q31" s="5"/>
      <c r="S31" s="72"/>
      <c r="T31" s="26"/>
      <c r="U31" s="26"/>
      <c r="V31" s="113" t="s">
        <v>123</v>
      </c>
      <c r="W31" s="242">
        <f>F43/N15</f>
        <v>4.0632070583182909</v>
      </c>
      <c r="X31" s="242">
        <v>1</v>
      </c>
    </row>
    <row r="32" spans="2:24">
      <c r="B32" s="5" t="s">
        <v>506</v>
      </c>
      <c r="C32" s="424">
        <v>0</v>
      </c>
      <c r="D32" s="416">
        <v>0</v>
      </c>
      <c r="E32" s="416">
        <v>0</v>
      </c>
      <c r="F32" s="416">
        <v>0</v>
      </c>
      <c r="G32" s="416">
        <v>0</v>
      </c>
      <c r="H32" s="233" t="str">
        <f>IF(D32=0,"nm",IF(G32=0,"nm",(G32/D32)^(1/3)-1))</f>
        <v>nm</v>
      </c>
      <c r="I32" s="214"/>
      <c r="J32" s="5" t="s">
        <v>1072</v>
      </c>
      <c r="K32" s="214"/>
      <c r="L32" s="253">
        <v>41227</v>
      </c>
      <c r="M32" s="253">
        <v>42722</v>
      </c>
      <c r="N32" s="253">
        <v>42918.980391762932</v>
      </c>
      <c r="O32" s="253">
        <v>43750.548779608238</v>
      </c>
      <c r="Q32" s="5"/>
      <c r="S32" s="72"/>
      <c r="T32" s="26"/>
      <c r="U32" s="26"/>
      <c r="V32" s="113" t="s">
        <v>437</v>
      </c>
      <c r="W32" s="242">
        <f>E44/M16</f>
        <v>2.7703652213331882</v>
      </c>
      <c r="X32" s="242">
        <v>1</v>
      </c>
    </row>
    <row r="33" spans="2:24">
      <c r="B33" s="5" t="s">
        <v>3</v>
      </c>
      <c r="C33" s="423">
        <v>-1840.1850000000002</v>
      </c>
      <c r="D33" s="416">
        <v>-1894.8184774175402</v>
      </c>
      <c r="E33" s="416">
        <v>-1909.3597287145046</v>
      </c>
      <c r="F33" s="416">
        <v>-1919.162069898076</v>
      </c>
      <c r="G33" s="416">
        <v>-1924.7841786086751</v>
      </c>
      <c r="H33" s="233">
        <f>IF(ISERROR((G33/D33)^(1/3)-1),"na",(G33/D33)^(1/3)-1)</f>
        <v>5.2439693205956761E-3</v>
      </c>
      <c r="I33" s="5"/>
      <c r="Q33" s="5"/>
      <c r="S33" s="72"/>
      <c r="T33" s="26"/>
      <c r="U33" s="26"/>
      <c r="V33" s="113" t="s">
        <v>481</v>
      </c>
      <c r="W33" s="26">
        <f>E45/M17</f>
        <v>0.53996433455274828</v>
      </c>
      <c r="X33" s="242">
        <v>1</v>
      </c>
    </row>
    <row r="34" spans="2:24">
      <c r="D34" s="5"/>
      <c r="E34" s="5"/>
      <c r="F34" s="5"/>
      <c r="G34" s="5"/>
      <c r="I34" s="33"/>
      <c r="Q34" s="5"/>
      <c r="S34" s="72"/>
      <c r="T34" s="26"/>
      <c r="U34" s="26"/>
      <c r="V34" s="113" t="s">
        <v>124</v>
      </c>
      <c r="W34" s="242">
        <f>E47/M19</f>
        <v>0.23642183353064775</v>
      </c>
      <c r="X34" s="242">
        <v>1</v>
      </c>
    </row>
    <row r="35" spans="2:24" ht="12.6" thickBot="1">
      <c r="B35" s="249" t="s">
        <v>655</v>
      </c>
      <c r="C35" s="219"/>
      <c r="D35" s="219" t="str">
        <f>D5</f>
        <v>2025E</v>
      </c>
      <c r="E35" s="219" t="str">
        <f t="shared" ref="E35:H35" si="6">E5</f>
        <v>2026E</v>
      </c>
      <c r="F35" s="219" t="str">
        <f t="shared" si="6"/>
        <v>2027E</v>
      </c>
      <c r="G35" s="219" t="str">
        <f t="shared" si="6"/>
        <v>2028E</v>
      </c>
      <c r="H35" s="219" t="str">
        <f t="shared" si="6"/>
        <v>2025-28</v>
      </c>
      <c r="I35" s="214"/>
      <c r="J35" s="249" t="s">
        <v>1073</v>
      </c>
      <c r="K35" s="249"/>
      <c r="L35" s="249"/>
      <c r="M35" s="249"/>
      <c r="N35" s="220"/>
      <c r="O35" s="220"/>
      <c r="P35" s="220"/>
      <c r="Q35" s="5"/>
      <c r="S35" s="72"/>
      <c r="T35" s="26"/>
      <c r="U35" s="26"/>
      <c r="V35" s="26"/>
      <c r="W35" s="26"/>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10.326570648944477</v>
      </c>
      <c r="E37" s="406">
        <f t="shared" ref="E37:G41" si="7">E$18/E23</f>
        <v>10.101950166883739</v>
      </c>
      <c r="F37" s="406">
        <f t="shared" si="7"/>
        <v>9.6960598500984432</v>
      </c>
      <c r="G37" s="406">
        <f t="shared" si="7"/>
        <v>9.1825298002879734</v>
      </c>
      <c r="H37" s="13">
        <f t="shared" ref="H37:H45" si="8">H23</f>
        <v>1.651889523989758E-2</v>
      </c>
      <c r="I37" s="5"/>
      <c r="J37" s="208"/>
      <c r="K37" s="208"/>
      <c r="L37" s="208"/>
      <c r="M37" s="208"/>
      <c r="N37" s="208"/>
      <c r="O37" s="5"/>
      <c r="Q37" s="5"/>
      <c r="R37" s="5"/>
      <c r="S37" s="26"/>
      <c r="T37" s="26"/>
      <c r="U37" s="26"/>
      <c r="V37" s="26"/>
      <c r="W37" s="26"/>
      <c r="X37" s="26"/>
    </row>
    <row r="38" spans="2:24">
      <c r="B38" s="5" t="s">
        <v>158</v>
      </c>
      <c r="C38" s="207"/>
      <c r="D38" s="406">
        <f>D$18/D24</f>
        <v>12.280700546551223</v>
      </c>
      <c r="E38" s="406">
        <f t="shared" si="7"/>
        <v>11.999304443214539</v>
      </c>
      <c r="F38" s="406">
        <f t="shared" si="7"/>
        <v>11.503515453661421</v>
      </c>
      <c r="G38" s="406">
        <f t="shared" si="7"/>
        <v>10.881347819593818</v>
      </c>
      <c r="H38" s="13">
        <f t="shared" si="8"/>
        <v>1.7726338452455748E-2</v>
      </c>
      <c r="I38" s="217"/>
      <c r="J38" s="212"/>
      <c r="K38" s="212"/>
      <c r="L38" s="212"/>
      <c r="M38" s="212"/>
      <c r="N38" s="212"/>
      <c r="O38" s="5"/>
      <c r="Q38" s="5"/>
      <c r="R38" s="5"/>
      <c r="S38" s="26"/>
      <c r="T38" s="26"/>
      <c r="U38" s="26"/>
      <c r="V38" s="26"/>
      <c r="W38" s="26"/>
      <c r="X38" s="26"/>
    </row>
    <row r="39" spans="2:24">
      <c r="B39" s="5" t="s">
        <v>159</v>
      </c>
      <c r="C39" s="207"/>
      <c r="D39" s="406">
        <f>D$18/D25</f>
        <v>18.522798948640428</v>
      </c>
      <c r="E39" s="406">
        <f t="shared" si="7"/>
        <v>18.280296916581527</v>
      </c>
      <c r="F39" s="406">
        <f t="shared" si="7"/>
        <v>17.456806372041395</v>
      </c>
      <c r="G39" s="406">
        <f t="shared" si="7"/>
        <v>16.03581803613643</v>
      </c>
      <c r="H39" s="13">
        <f t="shared" si="8"/>
        <v>2.5626803724173142E-2</v>
      </c>
      <c r="I39" s="13"/>
      <c r="J39" s="217"/>
      <c r="K39" s="217"/>
      <c r="L39" s="217"/>
      <c r="M39" s="217"/>
      <c r="N39" s="217"/>
      <c r="O39" s="14"/>
      <c r="Q39" s="5"/>
      <c r="R39" s="5"/>
      <c r="S39" s="26"/>
      <c r="T39" s="26"/>
      <c r="U39" s="26"/>
      <c r="V39" s="26"/>
      <c r="W39" s="26"/>
      <c r="X39" s="26"/>
    </row>
    <row r="40" spans="2:24">
      <c r="B40" s="5" t="s">
        <v>381</v>
      </c>
      <c r="C40" s="207"/>
      <c r="D40" s="406">
        <f>D$18/D26</f>
        <v>23.153498685800535</v>
      </c>
      <c r="E40" s="406">
        <f t="shared" si="7"/>
        <v>22.850371145726907</v>
      </c>
      <c r="F40" s="406">
        <f t="shared" si="7"/>
        <v>21.821007965051745</v>
      </c>
      <c r="G40" s="406">
        <f t="shared" si="7"/>
        <v>20.044772545170535</v>
      </c>
      <c r="H40" s="13">
        <f t="shared" si="8"/>
        <v>2.5626803724173142E-2</v>
      </c>
      <c r="I40" s="5"/>
      <c r="J40" s="217"/>
      <c r="K40" s="217"/>
      <c r="L40" s="217"/>
      <c r="M40" s="217"/>
      <c r="N40" s="217"/>
      <c r="O40" s="14"/>
      <c r="Q40" s="5"/>
      <c r="R40" s="5"/>
      <c r="S40" s="26"/>
      <c r="T40" s="26"/>
      <c r="U40" s="26"/>
      <c r="V40" s="26"/>
      <c r="W40" s="242"/>
      <c r="X40" s="242"/>
    </row>
    <row r="41" spans="2:24">
      <c r="B41" s="5" t="s">
        <v>434</v>
      </c>
      <c r="C41" s="207"/>
      <c r="D41" s="406">
        <f>D$18/D27</f>
        <v>1.7653686152816517</v>
      </c>
      <c r="E41" s="406">
        <f t="shared" si="7"/>
        <v>1.715806566993441</v>
      </c>
      <c r="F41" s="406">
        <f t="shared" si="7"/>
        <v>1.6675827255425231</v>
      </c>
      <c r="G41" s="406">
        <f t="shared" si="7"/>
        <v>1.6200488886472071</v>
      </c>
      <c r="H41" s="13">
        <f t="shared" si="8"/>
        <v>5.8964868844320062E-3</v>
      </c>
      <c r="I41" s="207"/>
      <c r="J41" s="217"/>
      <c r="K41" s="217"/>
      <c r="L41" s="217"/>
      <c r="M41" s="217"/>
      <c r="N41" s="217"/>
      <c r="O41" s="14"/>
      <c r="Q41" s="5"/>
      <c r="R41" s="5"/>
      <c r="S41" s="26"/>
      <c r="T41" s="26"/>
      <c r="U41" s="26"/>
      <c r="V41" s="26"/>
      <c r="W41" s="242"/>
      <c r="X41" s="242"/>
    </row>
    <row r="42" spans="2:24">
      <c r="B42" s="5" t="s">
        <v>493</v>
      </c>
      <c r="C42" s="207"/>
      <c r="D42" s="406">
        <f>D18/D28</f>
        <v>1.9401687390919113</v>
      </c>
      <c r="E42" s="406">
        <f>E18/E28</f>
        <v>1.8909742772929072</v>
      </c>
      <c r="F42" s="406">
        <f>F18/F28</f>
        <v>1.8417383328367145</v>
      </c>
      <c r="G42" s="406">
        <f>G18/G28</f>
        <v>1.7930272046957383</v>
      </c>
      <c r="H42" s="13">
        <f t="shared" si="8"/>
        <v>3.5408888883796674E-3</v>
      </c>
      <c r="I42" s="208"/>
      <c r="J42" s="5"/>
      <c r="K42" s="5"/>
      <c r="L42" s="5"/>
      <c r="M42" s="5"/>
      <c r="N42" s="5"/>
      <c r="O42" s="5"/>
      <c r="Q42" s="5"/>
      <c r="R42" s="5"/>
      <c r="S42" s="26"/>
      <c r="T42" s="26"/>
      <c r="U42" s="26"/>
      <c r="V42" s="26"/>
      <c r="W42" s="242"/>
      <c r="X42" s="242"/>
    </row>
    <row r="43" spans="2:24">
      <c r="B43" s="5" t="s">
        <v>390</v>
      </c>
      <c r="C43" s="207"/>
      <c r="D43" s="406">
        <f>L26/D29</f>
        <v>39.274535849802454</v>
      </c>
      <c r="E43" s="406">
        <f>M26/E29</f>
        <v>32.606988844250644</v>
      </c>
      <c r="F43" s="406">
        <f>N26/F29</f>
        <v>29.939412318168969</v>
      </c>
      <c r="G43" s="406">
        <f>O26/G29</f>
        <v>25.6507424752552</v>
      </c>
      <c r="H43" s="13">
        <f t="shared" si="8"/>
        <v>0.14480550537217551</v>
      </c>
      <c r="I43" s="207"/>
      <c r="J43" s="53"/>
      <c r="K43" s="53"/>
      <c r="L43" s="53"/>
      <c r="M43" s="53"/>
      <c r="N43" s="53"/>
      <c r="O43" s="53"/>
      <c r="Q43" s="5"/>
      <c r="R43" s="5"/>
      <c r="S43" s="26"/>
      <c r="T43" s="26"/>
      <c r="U43" s="26"/>
      <c r="V43" s="26"/>
      <c r="W43" s="242"/>
      <c r="X43" s="242"/>
    </row>
    <row r="44" spans="2:24">
      <c r="B44" s="5" t="s">
        <v>437</v>
      </c>
      <c r="C44" s="53"/>
      <c r="D44" s="406">
        <f>D11/D30</f>
        <v>30.76960411861911</v>
      </c>
      <c r="E44" s="406">
        <f>E11/E30</f>
        <v>26.918367570973011</v>
      </c>
      <c r="F44" s="406">
        <f>F11/F30</f>
        <v>26.288818521696925</v>
      </c>
      <c r="G44" s="406">
        <f>G11/G30</f>
        <v>24.916238187129728</v>
      </c>
      <c r="H44" s="13">
        <f t="shared" si="8"/>
        <v>6.5633375246417769E-2</v>
      </c>
      <c r="I44" s="207"/>
      <c r="J44" s="217"/>
      <c r="K44" s="217"/>
      <c r="L44" s="217"/>
      <c r="M44" s="217"/>
      <c r="N44" s="217"/>
      <c r="O44" s="14"/>
      <c r="Q44" s="5"/>
      <c r="R44" s="5"/>
      <c r="S44" s="26"/>
      <c r="T44" s="26"/>
      <c r="U44" s="26"/>
      <c r="V44" s="26"/>
      <c r="W44" s="255"/>
      <c r="X44" s="255"/>
    </row>
    <row r="45" spans="2:24">
      <c r="B45" s="5" t="s">
        <v>481</v>
      </c>
      <c r="C45" s="207"/>
      <c r="D45" s="208">
        <f>D31/D11</f>
        <v>2.7305910570459457E-2</v>
      </c>
      <c r="E45" s="208">
        <f>E31/E11</f>
        <v>3.1036979258937912E-2</v>
      </c>
      <c r="F45" s="208">
        <f>F31/F11</f>
        <v>3.1782928684186619E-2</v>
      </c>
      <c r="G45" s="208">
        <f>G31/G11</f>
        <v>3.3507745328777601E-2</v>
      </c>
      <c r="H45" s="13">
        <f t="shared" si="8"/>
        <v>6.3385783438157706E-2</v>
      </c>
      <c r="I45" s="208"/>
      <c r="J45" s="13"/>
      <c r="K45" s="13"/>
      <c r="L45" s="13"/>
      <c r="M45" s="13"/>
      <c r="N45" s="13"/>
      <c r="O45" s="5"/>
      <c r="Q45" s="5"/>
      <c r="R45" s="5"/>
      <c r="S45" s="26"/>
      <c r="T45" s="26"/>
      <c r="U45" s="26"/>
      <c r="V45" s="26"/>
      <c r="W45" s="26"/>
      <c r="X45" s="26"/>
    </row>
    <row r="46" spans="2:24">
      <c r="B46" s="5" t="s">
        <v>505</v>
      </c>
      <c r="C46" s="207"/>
      <c r="D46" s="208">
        <f>(D31+D32)/D11</f>
        <v>2.7305910570459457E-2</v>
      </c>
      <c r="E46" s="208">
        <f>(E31+E32)/E11</f>
        <v>3.1036979258937912E-2</v>
      </c>
      <c r="F46" s="208">
        <f>(F31+F32)/F11</f>
        <v>3.1782928684186619E-2</v>
      </c>
      <c r="G46" s="208">
        <f>(G31+G32)/G11</f>
        <v>3.3507745328777601E-2</v>
      </c>
      <c r="H46" s="233">
        <f>((G31+G32)/(D31+D32))^(1/3)-1</f>
        <v>6.3385783438157706E-2</v>
      </c>
      <c r="I46" s="207"/>
      <c r="J46" s="5"/>
      <c r="K46" s="5"/>
      <c r="L46" s="5"/>
      <c r="M46" s="5"/>
      <c r="N46" s="5"/>
      <c r="O46" s="5"/>
      <c r="Q46" s="5"/>
      <c r="R46" s="5"/>
      <c r="S46" s="26"/>
      <c r="T46" s="26"/>
      <c r="U46" s="26"/>
      <c r="V46" s="26"/>
      <c r="W46" s="26"/>
      <c r="X46" s="26"/>
    </row>
    <row r="47" spans="2:24">
      <c r="B47" s="5" t="s">
        <v>482</v>
      </c>
      <c r="C47" s="5"/>
      <c r="D47" s="208">
        <f>1/D43</f>
        <v>2.5461790403438461E-2</v>
      </c>
      <c r="E47" s="208">
        <f>1/E43</f>
        <v>3.0668271908717595E-2</v>
      </c>
      <c r="F47" s="208">
        <f>1/F43</f>
        <v>3.3400789212991402E-2</v>
      </c>
      <c r="G47" s="208">
        <f>1/G43</f>
        <v>3.8985226293729379E-2</v>
      </c>
      <c r="H47" s="13">
        <f>H29</f>
        <v>0.14480550537217551</v>
      </c>
      <c r="I47" s="13"/>
      <c r="J47" s="217"/>
      <c r="K47" s="217"/>
      <c r="L47" s="217"/>
      <c r="M47" s="217"/>
      <c r="N47" s="217"/>
      <c r="O47" s="14"/>
      <c r="Q47" s="5"/>
      <c r="R47" s="5"/>
      <c r="S47" s="26"/>
      <c r="T47" s="26"/>
      <c r="U47" s="26"/>
      <c r="V47" s="26"/>
      <c r="W47" s="26"/>
      <c r="X47" s="26"/>
    </row>
    <row r="48" spans="2:24">
      <c r="B48" s="5" t="s">
        <v>518</v>
      </c>
      <c r="C48" s="5"/>
      <c r="D48" s="248">
        <f>D31/D29</f>
        <v>1.0724269636110098</v>
      </c>
      <c r="E48" s="248">
        <f>E31/E29</f>
        <v>1.0120224364554271</v>
      </c>
      <c r="F48" s="248">
        <f>F31/F29</f>
        <v>0.95156220655482271</v>
      </c>
      <c r="G48" s="248">
        <f>G31/G29</f>
        <v>0.85949854635490974</v>
      </c>
      <c r="H48" s="233" t="s">
        <v>507</v>
      </c>
      <c r="I48" s="207"/>
      <c r="J48" s="13"/>
      <c r="K48" s="13"/>
      <c r="L48" s="13"/>
      <c r="M48" s="13"/>
      <c r="N48" s="13"/>
      <c r="O48" s="5"/>
      <c r="Q48" s="5"/>
      <c r="R48" s="5"/>
      <c r="S48" s="26"/>
      <c r="T48" s="26"/>
      <c r="U48" s="26"/>
      <c r="V48" s="26"/>
      <c r="W48" s="26"/>
      <c r="X48" s="26"/>
    </row>
  </sheetData>
  <pageMargins left="0.75" right="0.75" top="1" bottom="1" header="0.5" footer="0.5"/>
  <pageSetup scale="21"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498</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224</v>
      </c>
      <c r="C9" s="241">
        <f>Prices!C17</f>
        <v>3.8820000000000001</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5697.0363050000005</v>
      </c>
      <c r="E10" s="408">
        <v>5697.0363050000005</v>
      </c>
      <c r="F10" s="408">
        <v>5697.0363050000005</v>
      </c>
      <c r="G10" s="408">
        <v>5697.0363050000005</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22115.894936010001</v>
      </c>
      <c r="E11" s="409">
        <f>$C$9*E10</f>
        <v>22115.894936010001</v>
      </c>
      <c r="F11" s="409">
        <f>$C$9*F10</f>
        <v>22115.894936010001</v>
      </c>
      <c r="G11" s="409">
        <f>$C$9*G10</f>
        <v>22115.894936010001</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34160.208720810042</v>
      </c>
      <c r="E12" s="410">
        <v>32727.865755454925</v>
      </c>
      <c r="F12" s="410">
        <v>32160.392939914836</v>
      </c>
      <c r="G12" s="410">
        <v>31310.723556526456</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8690.5413661217644</v>
      </c>
      <c r="E13" s="410">
        <v>8690.5413661217644</v>
      </c>
      <c r="F13" s="410">
        <v>8690.5413661217644</v>
      </c>
      <c r="G13" s="410">
        <v>8690.5413661217644</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TEFSOP!R28</f>
        <v>1587.6195826086955</v>
      </c>
      <c r="E14" s="410">
        <f t="shared" ref="E14:G15" si="2">D14</f>
        <v>1587.6195826086955</v>
      </c>
      <c r="F14" s="410">
        <f t="shared" si="2"/>
        <v>1587.6195826086955</v>
      </c>
      <c r="G14" s="410">
        <f t="shared" si="2"/>
        <v>1587.6195826086955</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TEFSOP!T30</f>
        <v>6699.6248685507089</v>
      </c>
      <c r="E15" s="410">
        <f t="shared" si="2"/>
        <v>6699.6248685507089</v>
      </c>
      <c r="F15" s="410">
        <f t="shared" si="2"/>
        <v>6699.6248685507089</v>
      </c>
      <c r="G15" s="410">
        <f t="shared" si="2"/>
        <v>6699.6248685507089</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854.5554457500001</v>
      </c>
      <c r="F16" s="410">
        <v>1726.2020004150002</v>
      </c>
      <c r="G16" s="410">
        <v>2615.2814861733004</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412.91347588264546</v>
      </c>
      <c r="E17" s="410">
        <v>412.91347588264546</v>
      </c>
      <c r="F17" s="410">
        <v>412.91347588264546</v>
      </c>
      <c r="G17" s="410">
        <v>412.91347588264546</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69665.736833001181</v>
      </c>
      <c r="E18" s="411">
        <f>E11+E12+E13-E14+E15-E16-E17</f>
        <v>67378.838421896056</v>
      </c>
      <c r="F18" s="411">
        <f>F11+F12+F13-F14+F15-F16-F17</f>
        <v>65939.719051690976</v>
      </c>
      <c r="G18" s="411">
        <f>G11+G12+G13-G14+G15-G16-G17</f>
        <v>64200.97018254429</v>
      </c>
      <c r="H18" s="230">
        <f>IF(D18=0,"nm",IF(G18=0,"nm",(G18/D18)^(1/3)-1))</f>
        <v>-2.686270113773459E-2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41314.864401699997</v>
      </c>
      <c r="D23" s="416">
        <v>36452.062316612835</v>
      </c>
      <c r="E23" s="416">
        <v>35976.636481257658</v>
      </c>
      <c r="F23" s="416">
        <v>36519.652830987929</v>
      </c>
      <c r="G23" s="416">
        <v>37101.947442582306</v>
      </c>
      <c r="H23" s="233">
        <f t="shared" ref="H23:H32" si="4">IF(D23=0,"nm",IF(G23=0,"nm",(G23/D23)^(1/3)-1))</f>
        <v>5.907857548136608E-3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10529.923837099997</v>
      </c>
      <c r="D24" s="416">
        <v>9642.8448978430733</v>
      </c>
      <c r="E24" s="416">
        <v>9671.6225924346272</v>
      </c>
      <c r="F24" s="416">
        <v>9826.8827687177964</v>
      </c>
      <c r="G24" s="416">
        <v>9878.5589219680842</v>
      </c>
      <c r="H24" s="233">
        <f t="shared" si="4"/>
        <v>8.0826443028532147E-3</v>
      </c>
      <c r="I24" s="209"/>
      <c r="J24" s="13"/>
      <c r="K24" s="13"/>
      <c r="L24" s="13"/>
      <c r="M24" s="13"/>
      <c r="N24" s="13"/>
      <c r="O24" s="208"/>
      <c r="S24" s="72"/>
      <c r="T24" s="26"/>
      <c r="U24" s="26"/>
      <c r="V24" s="26"/>
      <c r="W24" s="26" t="s">
        <v>376</v>
      </c>
      <c r="X24" s="26" t="s">
        <v>204</v>
      </c>
    </row>
    <row r="25" spans="2:24">
      <c r="B25" s="5" t="s">
        <v>157</v>
      </c>
      <c r="C25" s="422">
        <v>5212.0735472999977</v>
      </c>
      <c r="D25" s="416">
        <v>5196.8943303892956</v>
      </c>
      <c r="E25" s="416">
        <v>5339.9080474157072</v>
      </c>
      <c r="F25" s="416">
        <v>5490.3155945041117</v>
      </c>
      <c r="G25" s="416">
        <v>5565.0524559028572</v>
      </c>
      <c r="H25" s="233">
        <f t="shared" si="4"/>
        <v>2.3077323581837339E-2</v>
      </c>
      <c r="I25" s="208"/>
      <c r="J25" s="207" t="s">
        <v>8</v>
      </c>
      <c r="K25" s="207"/>
      <c r="L25" s="252">
        <v>6369.2575640878113</v>
      </c>
      <c r="M25" s="252">
        <v>6369.2575640878113</v>
      </c>
      <c r="N25" s="252">
        <v>6369.2575640878113</v>
      </c>
      <c r="O25" s="252">
        <v>6369.2575640878113</v>
      </c>
      <c r="P25" s="233">
        <f>IF(L25=0,"nm",IF(O25=0,"nm",(O25/L25)^(1/3)-1))</f>
        <v>0</v>
      </c>
      <c r="S25" s="72"/>
      <c r="T25" s="26"/>
      <c r="U25" s="26"/>
      <c r="V25" s="113" t="s">
        <v>225</v>
      </c>
      <c r="W25" s="242">
        <f>D37/L9</f>
        <v>0.73181660203457521</v>
      </c>
      <c r="X25" s="242">
        <v>1</v>
      </c>
    </row>
    <row r="26" spans="2:24">
      <c r="B26" s="5" t="s">
        <v>487</v>
      </c>
      <c r="C26" s="422">
        <v>3909.055160474998</v>
      </c>
      <c r="D26" s="416">
        <v>3897.6707477919717</v>
      </c>
      <c r="E26" s="416">
        <v>4004.9310355617804</v>
      </c>
      <c r="F26" s="416">
        <v>4227.5430077681658</v>
      </c>
      <c r="G26" s="416">
        <v>4285.0903910451998</v>
      </c>
      <c r="H26" s="233">
        <f t="shared" si="4"/>
        <v>3.2091685181071972E-2</v>
      </c>
      <c r="I26" s="209"/>
      <c r="J26" s="209" t="s">
        <v>9</v>
      </c>
      <c r="K26" s="209"/>
      <c r="L26" s="235">
        <f>D11+L25</f>
        <v>28485.152500097814</v>
      </c>
      <c r="M26" s="235">
        <f>E11+M25</f>
        <v>28485.152500097814</v>
      </c>
      <c r="N26" s="235">
        <f>F11+N25</f>
        <v>28485.152500097814</v>
      </c>
      <c r="O26" s="235">
        <f>G11+O25</f>
        <v>28485.152500097814</v>
      </c>
      <c r="P26" s="233">
        <f>IF(L26=0,"nm",IF(O26=0,"nm",(O26/L26)^(1/3)-1))</f>
        <v>0</v>
      </c>
      <c r="Q26" s="5"/>
      <c r="S26" s="72"/>
      <c r="T26" s="26"/>
      <c r="U26" s="26"/>
      <c r="V26" s="113" t="s">
        <v>158</v>
      </c>
      <c r="W26" s="242">
        <f t="shared" ref="W26:W33" si="6">D38/L10</f>
        <v>0.93858605122353078</v>
      </c>
      <c r="X26" s="242">
        <v>1</v>
      </c>
    </row>
    <row r="27" spans="2:24">
      <c r="B27" s="5" t="s">
        <v>488</v>
      </c>
      <c r="C27" s="423">
        <v>57460</v>
      </c>
      <c r="D27" s="416">
        <v>58804.325502999905</v>
      </c>
      <c r="E27" s="416">
        <v>56479.664565475934</v>
      </c>
      <c r="F27" s="416">
        <v>55086.123578430503</v>
      </c>
      <c r="G27" s="416">
        <v>53409.344238857433</v>
      </c>
      <c r="H27" s="233">
        <f t="shared" si="4"/>
        <v>-3.1567570005805234E-2</v>
      </c>
      <c r="I27" s="209"/>
      <c r="J27" s="208"/>
      <c r="K27" s="208"/>
      <c r="L27" s="208"/>
      <c r="M27" s="208"/>
      <c r="N27" s="208"/>
      <c r="O27" s="208"/>
      <c r="Q27" s="25"/>
      <c r="S27" s="72"/>
      <c r="T27" s="26"/>
      <c r="U27" s="26"/>
      <c r="V27" s="113" t="s">
        <v>159</v>
      </c>
      <c r="W27" s="242">
        <f t="shared" si="6"/>
        <v>0.91272845222611576</v>
      </c>
      <c r="X27" s="242">
        <v>1</v>
      </c>
    </row>
    <row r="28" spans="2:24" ht="12.6" thickBot="1">
      <c r="B28" s="5" t="s">
        <v>492</v>
      </c>
      <c r="C28" s="422">
        <v>21439</v>
      </c>
      <c r="D28" s="416">
        <v>18965.502526867669</v>
      </c>
      <c r="E28" s="416">
        <v>17048.767175422065</v>
      </c>
      <c r="F28" s="416">
        <v>16363.742766692216</v>
      </c>
      <c r="G28" s="416">
        <v>15270.761920388264</v>
      </c>
      <c r="H28" s="233">
        <f t="shared" si="4"/>
        <v>-6.9680514730813714E-2</v>
      </c>
      <c r="I28" s="208"/>
      <c r="J28" s="249" t="s">
        <v>1073</v>
      </c>
      <c r="K28" s="249"/>
      <c r="L28" s="249"/>
      <c r="M28" s="249"/>
      <c r="N28" s="220"/>
      <c r="O28" s="220"/>
      <c r="P28" s="220"/>
      <c r="Q28" s="5"/>
      <c r="S28" s="72"/>
      <c r="T28" s="26"/>
      <c r="U28" s="26"/>
      <c r="V28" s="113" t="s">
        <v>381</v>
      </c>
      <c r="W28" s="242">
        <f t="shared" si="6"/>
        <v>0.90133205801409066</v>
      </c>
      <c r="X28" s="242">
        <v>1</v>
      </c>
    </row>
    <row r="29" spans="2:24" ht="12.6" thickTop="1">
      <c r="B29" s="5" t="s">
        <v>489</v>
      </c>
      <c r="C29" s="422">
        <v>2341.4639965209444</v>
      </c>
      <c r="D29" s="416">
        <v>1924.7460918073725</v>
      </c>
      <c r="E29" s="416">
        <v>2087.2015682969172</v>
      </c>
      <c r="F29" s="416">
        <v>2035.0252837253092</v>
      </c>
      <c r="G29" s="416">
        <v>2100.9688958158686</v>
      </c>
      <c r="H29" s="233">
        <f t="shared" si="4"/>
        <v>2.9632064545156878E-2</v>
      </c>
      <c r="I29" s="212"/>
      <c r="J29" s="209"/>
      <c r="K29" s="209"/>
      <c r="L29" s="209"/>
      <c r="M29" s="209"/>
      <c r="N29" s="209"/>
      <c r="O29" s="211"/>
      <c r="Q29" s="5"/>
      <c r="S29" s="72"/>
      <c r="T29" s="26"/>
      <c r="U29" s="26"/>
      <c r="V29" s="113" t="s">
        <v>434</v>
      </c>
      <c r="W29" s="242">
        <f t="shared" si="6"/>
        <v>0.71791855103881463</v>
      </c>
      <c r="X29" s="242">
        <v>1</v>
      </c>
    </row>
    <row r="30" spans="2:24">
      <c r="B30" s="5" t="s">
        <v>490</v>
      </c>
      <c r="C30" s="423">
        <v>1242.8232057709613</v>
      </c>
      <c r="D30" s="416">
        <v>2138.3030508331249</v>
      </c>
      <c r="E30" s="416">
        <v>2146.3814384983934</v>
      </c>
      <c r="F30" s="416">
        <v>2611.6335385468906</v>
      </c>
      <c r="G30" s="416">
        <v>2719.1387624020063</v>
      </c>
      <c r="H30" s="233">
        <f t="shared" si="4"/>
        <v>8.3396359206452386E-2</v>
      </c>
      <c r="I30" s="214"/>
      <c r="J30" s="208"/>
      <c r="K30" s="208"/>
      <c r="L30" s="208"/>
      <c r="M30" s="208"/>
      <c r="N30" s="208"/>
      <c r="O30" s="5"/>
      <c r="Q30" s="5"/>
      <c r="S30" s="72"/>
      <c r="T30" s="26"/>
      <c r="U30" s="26"/>
      <c r="V30" s="113" t="s">
        <v>493</v>
      </c>
      <c r="W30" s="242">
        <f t="shared" si="6"/>
        <v>0.96994595643182957</v>
      </c>
      <c r="X30" s="242">
        <v>1</v>
      </c>
    </row>
    <row r="31" spans="2:24">
      <c r="B31" s="5" t="s">
        <v>491</v>
      </c>
      <c r="C31" s="423">
        <v>1709.1108915000002</v>
      </c>
      <c r="D31" s="416">
        <v>854.5554457500001</v>
      </c>
      <c r="E31" s="416">
        <v>854.5554457500001</v>
      </c>
      <c r="F31" s="416">
        <v>871.64655466500005</v>
      </c>
      <c r="G31" s="416">
        <v>889.07948575830005</v>
      </c>
      <c r="H31" s="233">
        <f t="shared" si="4"/>
        <v>1.3289279402143528E-2</v>
      </c>
      <c r="I31" s="214"/>
      <c r="J31" s="212"/>
      <c r="K31" s="212"/>
      <c r="L31" s="212"/>
      <c r="M31" s="212"/>
      <c r="N31" s="212"/>
      <c r="O31" s="5"/>
      <c r="Q31" s="5"/>
      <c r="S31" s="72"/>
      <c r="T31" s="26"/>
      <c r="U31" s="26"/>
      <c r="V31" s="113" t="s">
        <v>390</v>
      </c>
      <c r="W31" s="242">
        <f t="shared" si="6"/>
        <v>0.83489084141426939</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0.73123140760495553</v>
      </c>
      <c r="X32" s="242">
        <v>1</v>
      </c>
    </row>
    <row r="33" spans="2:24">
      <c r="B33" s="5" t="s">
        <v>3</v>
      </c>
      <c r="C33" s="423">
        <v>1620</v>
      </c>
      <c r="D33" s="416">
        <v>1770.2850012738461</v>
      </c>
      <c r="E33" s="416">
        <v>1724.5679589560041</v>
      </c>
      <c r="F33" s="416">
        <v>1708.0125834497969</v>
      </c>
      <c r="G33" s="416">
        <v>1716.8268702030218</v>
      </c>
      <c r="H33" s="233">
        <f>IF(D33=0,"nm",IF(G33=0,"nm",(G33/D33)^(1/3)-1))</f>
        <v>-1.0168879472243875E-2</v>
      </c>
      <c r="I33" s="5"/>
      <c r="J33" s="214"/>
      <c r="K33" s="214"/>
      <c r="L33" s="214"/>
      <c r="M33" s="214"/>
      <c r="N33" s="214"/>
      <c r="O33" s="211"/>
      <c r="Q33" s="5"/>
      <c r="S33" s="72"/>
      <c r="T33" s="26"/>
      <c r="U33" s="26"/>
      <c r="V33" s="113" t="s">
        <v>481</v>
      </c>
      <c r="W33" s="242">
        <f t="shared" si="6"/>
        <v>1.0053608792690281</v>
      </c>
      <c r="X33" s="242">
        <v>1</v>
      </c>
    </row>
    <row r="34" spans="2:24">
      <c r="H34" s="231"/>
      <c r="I34" s="33"/>
      <c r="J34" s="214"/>
      <c r="K34" s="214"/>
      <c r="L34" s="214"/>
      <c r="M34" s="214"/>
      <c r="N34" s="214"/>
      <c r="O34" s="211"/>
      <c r="Q34" s="5"/>
      <c r="S34" s="72"/>
      <c r="T34" s="26"/>
      <c r="U34" s="26"/>
      <c r="V34" s="113" t="s">
        <v>482</v>
      </c>
      <c r="W34" s="242">
        <f>D47/L19</f>
        <v>1.1977613723801817</v>
      </c>
      <c r="X34" s="242">
        <v>1</v>
      </c>
    </row>
    <row r="35" spans="2:24" ht="12.6" thickBot="1">
      <c r="B35" s="249" t="s">
        <v>426</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1.9111603680445644</v>
      </c>
      <c r="E37" s="406">
        <f t="shared" ref="E37:G41" si="8">E$18/E23</f>
        <v>1.8728498551274422</v>
      </c>
      <c r="F37" s="406">
        <f t="shared" si="8"/>
        <v>1.8055954517656125</v>
      </c>
      <c r="G37" s="406">
        <f t="shared" si="8"/>
        <v>1.7303935401746633</v>
      </c>
      <c r="H37" s="13">
        <f t="shared" ref="H37:H45" si="9">H23</f>
        <v>5.907857548136608E-3</v>
      </c>
      <c r="I37" s="5"/>
      <c r="J37" s="217"/>
      <c r="K37" s="217"/>
      <c r="L37" s="217"/>
      <c r="M37" s="217"/>
      <c r="N37" s="217"/>
      <c r="O37" s="14"/>
      <c r="Q37" s="5"/>
      <c r="R37" s="5"/>
      <c r="S37" s="26"/>
      <c r="T37" s="26"/>
      <c r="U37" s="26"/>
      <c r="V37" s="26"/>
      <c r="W37" s="26"/>
      <c r="X37" s="26"/>
    </row>
    <row r="38" spans="2:24">
      <c r="B38" s="5" t="s">
        <v>158</v>
      </c>
      <c r="C38" s="207"/>
      <c r="D38" s="406">
        <f>D$18/D24</f>
        <v>7.2246041050171952</v>
      </c>
      <c r="E38" s="406">
        <f t="shared" si="8"/>
        <v>6.9666529869146654</v>
      </c>
      <c r="F38" s="406">
        <f t="shared" si="8"/>
        <v>6.7101359203753619</v>
      </c>
      <c r="G38" s="406">
        <f t="shared" si="8"/>
        <v>6.4990218400958497</v>
      </c>
      <c r="H38" s="13">
        <f t="shared" si="9"/>
        <v>8.0826443028532147E-3</v>
      </c>
      <c r="I38" s="217"/>
      <c r="J38" s="13"/>
      <c r="K38" s="13"/>
      <c r="L38" s="13"/>
      <c r="M38" s="13"/>
      <c r="N38" s="13"/>
      <c r="O38" s="5"/>
      <c r="Q38" s="5"/>
      <c r="R38" s="5"/>
      <c r="S38" s="26"/>
      <c r="T38" s="26"/>
      <c r="U38" s="26"/>
      <c r="V38" s="26"/>
      <c r="W38" s="26"/>
      <c r="X38" s="26"/>
    </row>
    <row r="39" spans="2:24">
      <c r="B39" s="5" t="s">
        <v>159</v>
      </c>
      <c r="C39" s="207"/>
      <c r="D39" s="406">
        <f>D$18/D25</f>
        <v>13.405263298432811</v>
      </c>
      <c r="E39" s="406">
        <f t="shared" si="8"/>
        <v>12.617977280433621</v>
      </c>
      <c r="F39" s="406">
        <f t="shared" si="8"/>
        <v>12.010187377515717</v>
      </c>
      <c r="G39" s="406">
        <f t="shared" si="8"/>
        <v>11.536453733593516</v>
      </c>
      <c r="H39" s="13">
        <f t="shared" si="9"/>
        <v>2.3077323581837339E-2</v>
      </c>
      <c r="I39" s="13"/>
      <c r="J39" s="5"/>
      <c r="K39" s="5"/>
      <c r="L39" s="5"/>
      <c r="M39" s="5"/>
      <c r="N39" s="5"/>
      <c r="O39" s="5"/>
      <c r="Q39" s="5"/>
      <c r="R39" s="5"/>
      <c r="S39" s="26"/>
      <c r="T39" s="26"/>
      <c r="U39" s="26"/>
      <c r="V39" s="26"/>
      <c r="W39" s="26"/>
      <c r="X39" s="26"/>
    </row>
    <row r="40" spans="2:24">
      <c r="B40" s="5" t="s">
        <v>381</v>
      </c>
      <c r="C40" s="207"/>
      <c r="D40" s="406">
        <f>D$18/D26</f>
        <v>17.873684397910413</v>
      </c>
      <c r="E40" s="406">
        <f t="shared" si="8"/>
        <v>16.823969707244828</v>
      </c>
      <c r="F40" s="406">
        <f t="shared" si="8"/>
        <v>15.597645944825606</v>
      </c>
      <c r="G40" s="406">
        <f t="shared" si="8"/>
        <v>14.982407446225348</v>
      </c>
      <c r="H40" s="13">
        <f t="shared" si="9"/>
        <v>3.2091685181071972E-2</v>
      </c>
      <c r="I40" s="5"/>
      <c r="J40" s="217"/>
      <c r="K40" s="217"/>
      <c r="L40" s="217"/>
      <c r="M40" s="217"/>
      <c r="N40" s="217"/>
      <c r="O40" s="14"/>
      <c r="Q40" s="5"/>
      <c r="R40" s="5"/>
      <c r="S40" s="26"/>
      <c r="T40" s="26"/>
      <c r="U40" s="26"/>
      <c r="V40" s="26"/>
      <c r="W40" s="242"/>
      <c r="X40" s="242"/>
    </row>
    <row r="41" spans="2:24">
      <c r="B41" s="5" t="s">
        <v>434</v>
      </c>
      <c r="C41" s="207"/>
      <c r="D41" s="406">
        <f>D$18/D27</f>
        <v>1.1847042923644653</v>
      </c>
      <c r="E41" s="406">
        <f t="shared" si="8"/>
        <v>1.1929751874461807</v>
      </c>
      <c r="F41" s="406">
        <f t="shared" si="8"/>
        <v>1.1970295742049692</v>
      </c>
      <c r="G41" s="406">
        <f t="shared" si="8"/>
        <v>1.2020550167293669</v>
      </c>
      <c r="H41" s="13">
        <f t="shared" si="9"/>
        <v>-3.1567570005805234E-2</v>
      </c>
      <c r="I41" s="207"/>
      <c r="J41" s="13"/>
      <c r="K41" s="13"/>
      <c r="L41" s="13"/>
      <c r="M41" s="13"/>
      <c r="N41" s="13"/>
      <c r="O41" s="5"/>
      <c r="Q41" s="5"/>
      <c r="R41" s="5"/>
      <c r="S41" s="26"/>
      <c r="T41" s="26"/>
      <c r="U41" s="26"/>
      <c r="V41" s="26"/>
      <c r="W41" s="242"/>
      <c r="X41" s="242"/>
    </row>
    <row r="42" spans="2:24">
      <c r="B42" s="5" t="s">
        <v>493</v>
      </c>
      <c r="C42" s="207"/>
      <c r="D42" s="406">
        <f>D18/D28</f>
        <v>3.6732871556821927</v>
      </c>
      <c r="E42" s="406">
        <f>E18/E28</f>
        <v>3.9521237945598258</v>
      </c>
      <c r="F42" s="406">
        <f>F18/F28</f>
        <v>4.0296232953446811</v>
      </c>
      <c r="G42" s="406">
        <f>G18/G28</f>
        <v>4.2041759617002761</v>
      </c>
      <c r="H42" s="13">
        <f t="shared" si="9"/>
        <v>-6.9680514730813714E-2</v>
      </c>
      <c r="I42" s="208"/>
      <c r="J42" s="5"/>
      <c r="K42" s="5"/>
      <c r="L42" s="5"/>
      <c r="M42" s="5"/>
      <c r="N42" s="5"/>
      <c r="O42" s="5"/>
      <c r="Q42" s="5"/>
      <c r="R42" s="5"/>
      <c r="S42" s="26"/>
      <c r="T42" s="26"/>
      <c r="U42" s="26"/>
      <c r="V42" s="26"/>
      <c r="W42" s="242"/>
      <c r="X42" s="242"/>
    </row>
    <row r="43" spans="2:24">
      <c r="B43" s="5" t="s">
        <v>390</v>
      </c>
      <c r="C43" s="207"/>
      <c r="D43" s="406">
        <f>L26/D29</f>
        <v>14.799433868884869</v>
      </c>
      <c r="E43" s="406">
        <f>M26/E29</f>
        <v>13.647533104979741</v>
      </c>
      <c r="F43" s="406">
        <f>N26/F29</f>
        <v>13.997444025831959</v>
      </c>
      <c r="G43" s="406">
        <f>O26/G29</f>
        <v>13.55810290996059</v>
      </c>
      <c r="H43" s="13">
        <f t="shared" si="9"/>
        <v>2.9632064545156878E-2</v>
      </c>
      <c r="I43" s="207"/>
      <c r="J43" s="207"/>
      <c r="K43" s="207"/>
      <c r="L43" s="207"/>
      <c r="M43" s="207"/>
      <c r="N43" s="207"/>
      <c r="O43" s="14"/>
      <c r="Q43" s="5"/>
      <c r="R43" s="5"/>
      <c r="S43" s="26"/>
      <c r="T43" s="26"/>
      <c r="U43" s="26"/>
      <c r="V43" s="26"/>
      <c r="W43" s="242"/>
      <c r="X43" s="242"/>
    </row>
    <row r="44" spans="2:24">
      <c r="B44" s="5" t="s">
        <v>437</v>
      </c>
      <c r="C44" s="53"/>
      <c r="D44" s="406">
        <f>D11/D30</f>
        <v>10.342731787897517</v>
      </c>
      <c r="E44" s="406">
        <f>E11/E30</f>
        <v>10.303804598441861</v>
      </c>
      <c r="F44" s="406">
        <f>F11/F30</f>
        <v>8.4682228994176789</v>
      </c>
      <c r="G44" s="406">
        <f>G11/G30</f>
        <v>8.1334190228943957</v>
      </c>
      <c r="H44" s="13">
        <f t="shared" si="9"/>
        <v>8.3396359206452386E-2</v>
      </c>
      <c r="I44" s="207"/>
      <c r="J44" s="208"/>
      <c r="K44" s="208"/>
      <c r="L44" s="208"/>
      <c r="M44" s="208"/>
      <c r="N44" s="208"/>
      <c r="O44" s="208"/>
      <c r="Q44" s="5"/>
      <c r="R44" s="5"/>
      <c r="S44" s="26"/>
      <c r="T44" s="26"/>
      <c r="U44" s="26"/>
      <c r="V44" s="26"/>
      <c r="W44" s="255"/>
      <c r="X44" s="255"/>
    </row>
    <row r="45" spans="2:24">
      <c r="B45" s="5" t="s">
        <v>481</v>
      </c>
      <c r="C45" s="207"/>
      <c r="D45" s="208">
        <f>D31/D11</f>
        <v>3.8639876352395672E-2</v>
      </c>
      <c r="E45" s="208">
        <f>E31/E11</f>
        <v>3.8639876352395672E-2</v>
      </c>
      <c r="F45" s="208">
        <f>F31/F11</f>
        <v>3.9412673879443583E-2</v>
      </c>
      <c r="G45" s="208">
        <f>G31/G11</f>
        <v>4.0200927357032457E-2</v>
      </c>
      <c r="H45" s="13">
        <f t="shared" si="9"/>
        <v>1.3289279402143528E-2</v>
      </c>
      <c r="I45" s="208"/>
      <c r="J45" s="207"/>
      <c r="K45" s="207"/>
      <c r="L45" s="207"/>
      <c r="M45" s="207"/>
      <c r="N45" s="207"/>
      <c r="O45" s="208"/>
      <c r="Q45" s="5"/>
      <c r="R45" s="5"/>
      <c r="S45" s="26"/>
      <c r="T45" s="26"/>
      <c r="U45" s="26"/>
      <c r="V45" s="26"/>
      <c r="W45" s="26"/>
      <c r="X45" s="26"/>
    </row>
    <row r="46" spans="2:24">
      <c r="B46" s="5" t="s">
        <v>505</v>
      </c>
      <c r="C46" s="207"/>
      <c r="D46" s="208">
        <f>(D31+D32)/D11</f>
        <v>3.8639876352395672E-2</v>
      </c>
      <c r="E46" s="208">
        <f>(E31+E32)/E11</f>
        <v>3.8639876352395672E-2</v>
      </c>
      <c r="F46" s="208">
        <f>(F31+F32)/F11</f>
        <v>3.9412673879443583E-2</v>
      </c>
      <c r="G46" s="208">
        <f>(G31+G32)/G11</f>
        <v>4.0200927357032457E-2</v>
      </c>
      <c r="H46" s="233">
        <f>((G31+G32)/(D31+D32))^(1/3)-1</f>
        <v>1.3289279402143528E-2</v>
      </c>
      <c r="I46" s="207"/>
      <c r="J46" s="207"/>
      <c r="K46" s="207"/>
      <c r="L46" s="207"/>
      <c r="M46" s="207"/>
      <c r="N46" s="207"/>
      <c r="O46" s="14"/>
      <c r="Q46" s="5"/>
      <c r="R46" s="5"/>
      <c r="S46" s="26"/>
      <c r="T46" s="26"/>
      <c r="U46" s="26"/>
      <c r="V46" s="26"/>
      <c r="W46" s="26"/>
      <c r="X46" s="26"/>
    </row>
    <row r="47" spans="2:24">
      <c r="B47" s="5" t="s">
        <v>482</v>
      </c>
      <c r="C47" s="5"/>
      <c r="D47" s="208">
        <f>1/D43</f>
        <v>6.7570152267949532E-2</v>
      </c>
      <c r="E47" s="208">
        <f>1/E43</f>
        <v>7.3273315573429004E-2</v>
      </c>
      <c r="F47" s="208">
        <f>1/F43</f>
        <v>7.1441614494369338E-2</v>
      </c>
      <c r="G47" s="208">
        <f>1/G43</f>
        <v>7.3756631487532115E-2</v>
      </c>
      <c r="H47" s="13">
        <f>H29</f>
        <v>2.9632064545156878E-2</v>
      </c>
      <c r="I47" s="13"/>
      <c r="J47" s="208"/>
      <c r="K47" s="208"/>
      <c r="L47" s="208"/>
      <c r="M47" s="208"/>
      <c r="N47" s="208"/>
      <c r="O47" s="208"/>
      <c r="Q47" s="5"/>
      <c r="R47" s="5"/>
      <c r="S47" s="26"/>
      <c r="T47" s="26"/>
      <c r="U47" s="26"/>
      <c r="V47" s="26"/>
      <c r="W47" s="26"/>
      <c r="X47" s="26"/>
    </row>
    <row r="48" spans="2:24">
      <c r="B48" s="5" t="s">
        <v>518</v>
      </c>
      <c r="C48" s="5"/>
      <c r="D48" s="248">
        <f>D31/D29</f>
        <v>0.44398346846235526</v>
      </c>
      <c r="E48" s="248">
        <f>E31/E29</f>
        <v>0.40942641033337629</v>
      </c>
      <c r="F48" s="248">
        <f>F31/F29</f>
        <v>0.42832222362828204</v>
      </c>
      <c r="G48" s="248">
        <f>G31/G29</f>
        <v>0.42317593921972085</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TEFSOP!A1" display="Jump to TEF SOP" xr:uid="{00000000-0004-0000-6000-000001000000}"/>
  </hyperlinks>
  <pageMargins left="0.75" right="0.75" top="1" bottom="1" header="0.5" footer="0.5"/>
  <pageSetup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79998168889431442"/>
    <pageSetUpPr fitToPage="1"/>
  </sheetPr>
  <dimension ref="A1:BQ41"/>
  <sheetViews>
    <sheetView showGridLines="0" zoomScale="80" zoomScaleNormal="80" zoomScaleSheetLayoutView="80" workbookViewId="0"/>
  </sheetViews>
  <sheetFormatPr defaultColWidth="8.88671875" defaultRowHeight="12"/>
  <cols>
    <col min="1" max="1" width="2.33203125" style="23" customWidth="1"/>
    <col min="2" max="2" width="20.6640625" style="23" customWidth="1"/>
    <col min="3" max="7" width="11.109375" style="141" customWidth="1"/>
    <col min="8" max="8" width="2.33203125" style="141" customWidth="1"/>
    <col min="9" max="11" width="11.109375" style="141" customWidth="1"/>
    <col min="12" max="12" width="2.33203125" style="141" customWidth="1"/>
    <col min="13" max="16" width="11.109375" style="141" customWidth="1"/>
    <col min="17" max="17" width="2.33203125" style="141" customWidth="1"/>
    <col min="18" max="22" width="11.109375" style="141" customWidth="1"/>
    <col min="23" max="23" width="6.44140625" style="23" customWidth="1"/>
    <col min="24" max="24" width="7.44140625" style="23" customWidth="1"/>
    <col min="25" max="25" width="6.5546875" style="23" customWidth="1"/>
    <col min="26" max="26" width="8.88671875" style="23"/>
    <col min="27" max="27" width="16.5546875" style="23" customWidth="1"/>
    <col min="28" max="28" width="11.6640625" style="23" bestFit="1" customWidth="1"/>
    <col min="29" max="16384" width="8.88671875" style="23"/>
  </cols>
  <sheetData>
    <row r="1" spans="1:69" s="102" customFormat="1">
      <c r="C1" s="119"/>
      <c r="D1" s="119"/>
      <c r="E1" s="119"/>
      <c r="F1" s="181"/>
      <c r="G1" s="119"/>
      <c r="H1" s="119"/>
      <c r="I1" s="119"/>
      <c r="J1" s="119"/>
      <c r="K1" s="119"/>
      <c r="L1" s="119"/>
      <c r="M1" s="119"/>
      <c r="N1" s="119"/>
      <c r="O1" s="119"/>
      <c r="P1" s="119"/>
      <c r="Q1" s="119"/>
      <c r="R1" s="119"/>
      <c r="S1" s="119"/>
      <c r="T1" s="119"/>
      <c r="U1" s="119"/>
      <c r="V1" s="119"/>
      <c r="AB1" s="126"/>
      <c r="AC1" s="126"/>
    </row>
    <row r="2" spans="1:69" s="102" customFormat="1">
      <c r="C2" s="119"/>
      <c r="D2" s="119"/>
      <c r="E2" s="119"/>
      <c r="F2" s="119"/>
      <c r="G2" s="119"/>
      <c r="H2" s="119"/>
      <c r="I2" s="119"/>
      <c r="J2" s="119"/>
      <c r="K2" s="119"/>
      <c r="L2" s="119"/>
      <c r="M2" s="119"/>
      <c r="N2" s="119"/>
      <c r="O2" s="119"/>
      <c r="P2" s="119"/>
      <c r="Q2" s="119"/>
      <c r="R2" s="119"/>
      <c r="S2" s="119"/>
      <c r="T2" s="119"/>
      <c r="U2" s="119"/>
      <c r="V2" s="119"/>
      <c r="AB2" s="126"/>
      <c r="AC2" s="126"/>
    </row>
    <row r="3" spans="1:69" s="102" customFormat="1">
      <c r="C3" s="119"/>
      <c r="D3" s="119"/>
      <c r="E3" s="119"/>
      <c r="F3" s="119"/>
      <c r="G3" s="119"/>
      <c r="H3" s="119"/>
      <c r="I3" s="119"/>
      <c r="J3" s="119"/>
      <c r="K3" s="119"/>
      <c r="L3" s="119"/>
      <c r="M3" s="119"/>
      <c r="N3" s="119"/>
      <c r="O3" s="119"/>
      <c r="P3" s="119"/>
      <c r="Q3" s="119"/>
      <c r="R3" s="119"/>
      <c r="S3" s="119"/>
      <c r="T3" s="119"/>
      <c r="U3" s="119"/>
      <c r="V3" s="119"/>
      <c r="AB3" s="126"/>
      <c r="AC3" s="126"/>
    </row>
    <row r="4" spans="1:69" s="99" customFormat="1" ht="21">
      <c r="B4" s="121" t="s">
        <v>623</v>
      </c>
      <c r="C4" s="182"/>
      <c r="D4" s="182"/>
      <c r="E4" s="182"/>
      <c r="F4" s="182"/>
      <c r="G4" s="182"/>
      <c r="H4" s="182"/>
      <c r="I4" s="182"/>
      <c r="J4" s="182"/>
      <c r="K4" s="182"/>
      <c r="L4" s="182"/>
      <c r="M4" s="182"/>
      <c r="N4" s="182"/>
      <c r="O4" s="182"/>
      <c r="P4" s="182"/>
      <c r="Q4" s="182"/>
      <c r="R4" s="182"/>
      <c r="S4" s="182"/>
      <c r="T4" s="182"/>
      <c r="U4" s="182"/>
      <c r="V4" s="182"/>
      <c r="AB4" s="163"/>
      <c r="AC4" s="163"/>
    </row>
    <row r="5" spans="1:69" s="102" customFormat="1">
      <c r="C5" s="119"/>
      <c r="D5" s="119"/>
      <c r="E5" s="119"/>
      <c r="F5" s="119"/>
      <c r="G5" s="119"/>
      <c r="H5" s="119"/>
      <c r="I5" s="119"/>
      <c r="J5" s="119"/>
      <c r="K5" s="119"/>
      <c r="L5" s="119"/>
      <c r="M5" s="125"/>
      <c r="N5" s="119"/>
      <c r="O5" s="119"/>
      <c r="P5" s="119"/>
      <c r="Q5" s="119"/>
      <c r="R5" s="119"/>
      <c r="S5" s="125"/>
      <c r="T5" s="119"/>
      <c r="U5" s="119"/>
      <c r="V5" s="183"/>
      <c r="Z5" s="119"/>
      <c r="AC5" s="127"/>
      <c r="AD5" s="128"/>
      <c r="AE5" s="128"/>
      <c r="AF5" s="128"/>
      <c r="AG5" s="128"/>
      <c r="AH5" s="128"/>
      <c r="AI5" s="128"/>
      <c r="AJ5" s="128"/>
      <c r="AK5" s="128"/>
      <c r="AL5" s="128"/>
      <c r="AM5" s="128"/>
      <c r="AN5" s="128"/>
      <c r="AO5" s="128"/>
      <c r="AP5" s="128"/>
      <c r="AQ5" s="128"/>
      <c r="AR5" s="128"/>
      <c r="AS5" s="128"/>
      <c r="AT5" s="128"/>
      <c r="AU5" s="128"/>
      <c r="AV5" s="128"/>
      <c r="AW5" s="128"/>
      <c r="BC5" s="129"/>
      <c r="BD5" s="129"/>
      <c r="BE5" s="129"/>
      <c r="BG5" s="129"/>
      <c r="BH5" s="129"/>
      <c r="BI5" s="129"/>
      <c r="BK5" s="129"/>
      <c r="BL5" s="129"/>
      <c r="BM5" s="129"/>
      <c r="BO5" s="129"/>
      <c r="BP5" s="129"/>
      <c r="BQ5" s="129"/>
    </row>
    <row r="6" spans="1:69">
      <c r="A6" s="5"/>
      <c r="B6" s="5"/>
      <c r="C6" s="184"/>
      <c r="D6" s="53"/>
      <c r="E6" s="53"/>
      <c r="F6" s="53"/>
      <c r="G6" s="53"/>
      <c r="H6" s="53"/>
      <c r="I6" s="53"/>
      <c r="J6" s="53"/>
      <c r="K6" s="53"/>
      <c r="L6" s="33"/>
      <c r="M6" s="33"/>
      <c r="N6" s="33"/>
      <c r="O6" s="33"/>
      <c r="P6" s="172"/>
      <c r="Q6" s="53"/>
      <c r="R6" s="33"/>
      <c r="S6" s="33"/>
      <c r="T6" s="33"/>
      <c r="U6" s="33"/>
      <c r="V6" s="172"/>
    </row>
    <row r="7" spans="1:69" ht="12" customHeight="1">
      <c r="B7" s="160"/>
      <c r="C7" s="185" t="str">
        <f>INDEX(headings,1,3)</f>
        <v>2027E</v>
      </c>
      <c r="D7" s="185" t="str">
        <f>INDEX(headings,1,3)</f>
        <v>2027E</v>
      </c>
      <c r="E7" s="185" t="str">
        <f>INDEX(headings,1,3)</f>
        <v>2027E</v>
      </c>
      <c r="F7" s="185" t="str">
        <f>INDEX(headings,1,3)</f>
        <v>2027E</v>
      </c>
      <c r="G7" s="185" t="str">
        <f>INDEX(headings,1,3)</f>
        <v>2027E</v>
      </c>
      <c r="I7" s="180" t="str">
        <f>INDEX(headings,1,5)</f>
        <v>2025-28</v>
      </c>
      <c r="J7" s="180"/>
      <c r="K7" s="180"/>
      <c r="M7" s="185"/>
      <c r="N7" s="185"/>
      <c r="O7" s="185"/>
      <c r="P7" s="185"/>
      <c r="R7" s="185" t="str">
        <f>INDEX(headings,1,3)</f>
        <v>2027E</v>
      </c>
      <c r="S7" s="185" t="str">
        <f>INDEX(headings,1,3)</f>
        <v>2027E</v>
      </c>
      <c r="T7" s="185" t="str">
        <f>INDEX(headings,1,3)</f>
        <v>2027E</v>
      </c>
      <c r="U7" s="185" t="str">
        <f>INDEX(headings,1,3)</f>
        <v>2027E</v>
      </c>
      <c r="V7" s="185" t="str">
        <f>INDEX(headings,1,3)</f>
        <v>2027E</v>
      </c>
      <c r="AA7" s="465" t="str">
        <f>INDEX(headings,1,5)</f>
        <v>2025-28</v>
      </c>
    </row>
    <row r="8" spans="1:69" ht="21.75" customHeight="1">
      <c r="C8" s="156" t="s">
        <v>609</v>
      </c>
      <c r="D8" s="156" t="s">
        <v>397</v>
      </c>
      <c r="E8" s="156" t="s">
        <v>630</v>
      </c>
      <c r="F8" s="156" t="s">
        <v>487</v>
      </c>
      <c r="G8" s="156" t="s">
        <v>491</v>
      </c>
      <c r="H8" s="156"/>
      <c r="I8" s="156" t="s">
        <v>609</v>
      </c>
      <c r="J8" s="156" t="s">
        <v>397</v>
      </c>
      <c r="K8" s="156" t="s">
        <v>630</v>
      </c>
      <c r="L8" s="156"/>
      <c r="M8" s="156" t="s">
        <v>610</v>
      </c>
      <c r="N8" s="156" t="s">
        <v>73</v>
      </c>
      <c r="O8" s="156" t="s">
        <v>611</v>
      </c>
      <c r="P8" s="191" t="s">
        <v>612</v>
      </c>
      <c r="Q8" s="156"/>
      <c r="R8" s="191" t="s">
        <v>1214</v>
      </c>
      <c r="S8" s="191" t="s">
        <v>313</v>
      </c>
      <c r="T8" s="191" t="s">
        <v>1215</v>
      </c>
      <c r="U8" s="191" t="s">
        <v>1216</v>
      </c>
      <c r="V8" s="191" t="s">
        <v>1217</v>
      </c>
      <c r="AA8" s="465" t="s">
        <v>259</v>
      </c>
    </row>
    <row r="9" spans="1:69">
      <c r="B9" s="179"/>
      <c r="C9" s="192" t="s">
        <v>608</v>
      </c>
      <c r="D9" s="192" t="s">
        <v>608</v>
      </c>
      <c r="E9" s="192" t="s">
        <v>608</v>
      </c>
      <c r="F9" s="192" t="s">
        <v>608</v>
      </c>
      <c r="G9" s="192" t="s">
        <v>608</v>
      </c>
      <c r="H9" s="156"/>
      <c r="I9" s="186"/>
      <c r="J9" s="186"/>
      <c r="K9" s="186"/>
      <c r="L9" s="156"/>
      <c r="M9" s="192" t="s">
        <v>608</v>
      </c>
      <c r="N9" s="192" t="s">
        <v>608</v>
      </c>
      <c r="O9" s="192" t="s">
        <v>608</v>
      </c>
      <c r="P9" s="186"/>
      <c r="Q9" s="23"/>
      <c r="R9" s="186"/>
      <c r="S9" s="186"/>
      <c r="T9" s="186"/>
      <c r="U9" s="192"/>
      <c r="V9" s="192"/>
      <c r="AA9" s="466" t="s">
        <v>622</v>
      </c>
    </row>
    <row r="10" spans="1:69">
      <c r="B10" s="173" t="s">
        <v>138</v>
      </c>
      <c r="C10" s="150">
        <f>'W.EUR INCUMB'!$F$23*Prices!$C$135/1000</f>
        <v>346.74321936423479</v>
      </c>
      <c r="D10" s="150">
        <f>'W.EUR INCUMB'!$F$24*Prices!$C$135/1000</f>
        <v>122.90903285044891</v>
      </c>
      <c r="E10" s="150">
        <f>'W.EUR INCUMB'!$F$30*Prices!$C$135/1000</f>
        <v>31.513057143060312</v>
      </c>
      <c r="F10" s="150">
        <f>'W.EUR INCUMB'!$F$26*Prices!$C$135/1000</f>
        <v>53.292534069823567</v>
      </c>
      <c r="G10" s="150">
        <f>'W.EUR INCUMB'!$F$31*Prices!$C$135/1000</f>
        <v>19.027947079027289</v>
      </c>
      <c r="H10" s="156"/>
      <c r="I10" s="52">
        <f>'W.EUR INCUMB'!$H$23</f>
        <v>2.6739330529638838E-2</v>
      </c>
      <c r="J10" s="52">
        <f>'W.EUR INCUMB'!$H$24</f>
        <v>4.7138939293228432E-2</v>
      </c>
      <c r="K10" s="52">
        <f>'W.EUR INCUMB'!$H$30</f>
        <v>6.3181921560131027E-2</v>
      </c>
      <c r="L10" s="156"/>
      <c r="M10" s="188">
        <f>'W.EUR INCUMB'!$F$11*Prices!$C$135/1000</f>
        <v>399.66302951169109</v>
      </c>
      <c r="N10" s="188">
        <f>'W.EUR INCUMB'!$F$12*Prices!$C$135/1000</f>
        <v>259.4444832980891</v>
      </c>
      <c r="O10" s="188">
        <f>'W.EUR INCUMB'!$F$18*Prices!$C$135/1000</f>
        <v>808.1517211829381</v>
      </c>
      <c r="P10" s="150">
        <f t="shared" ref="P10:P13" si="0">N10/D10</f>
        <v>2.1108658760155681</v>
      </c>
      <c r="Q10" s="156"/>
      <c r="R10" s="150">
        <f t="shared" ref="R10:R13" si="1">O10/D10</f>
        <v>6.5752020208821165</v>
      </c>
      <c r="S10" s="150">
        <f t="shared" ref="S10:S13" si="2">M10/E10</f>
        <v>12.682458185422464</v>
      </c>
      <c r="T10" s="150">
        <f>S10/(AA10*100)</f>
        <v>1.8911634738985292</v>
      </c>
      <c r="U10" s="52">
        <f t="shared" ref="U10:U13" si="3">F10/O10</f>
        <v>6.5943724022286584E-2</v>
      </c>
      <c r="V10" s="52">
        <f t="shared" ref="V10:V13" si="4">G10/M10</f>
        <v>4.7609975589375041E-2</v>
      </c>
      <c r="Z10" s="177"/>
      <c r="AA10" s="467">
        <f>('W.EUR INCUMB'!$G$30/'W.EUR INCUMB'!$E$30)^(1/2)-1</f>
        <v>6.7061670556053388E-2</v>
      </c>
    </row>
    <row r="11" spans="1:69">
      <c r="B11" s="173" t="s">
        <v>120</v>
      </c>
      <c r="C11" s="150">
        <f>'W.EUR OTHER'!$F$23*Prices!$C$135/1000</f>
        <v>159.92591492269611</v>
      </c>
      <c r="D11" s="150">
        <f>'W.EUR OTHER'!$F$24*Prices!$C$135/1000</f>
        <v>34.294220543714324</v>
      </c>
      <c r="E11" s="150">
        <f>'W.EUR OTHER'!$F$30*Prices!$C$135/1000</f>
        <v>7.6944290563906614</v>
      </c>
      <c r="F11" s="150">
        <f>'W.EUR OTHER'!$F$26*Prices!$C$135/1000</f>
        <v>12.044114651588441</v>
      </c>
      <c r="G11" s="150">
        <f>'W.EUR OTHER'!$F$31*Prices!$C$135/1000</f>
        <v>4.6498634620757917</v>
      </c>
      <c r="H11" s="156"/>
      <c r="I11" s="52">
        <f>'W.EUR OTHER'!$H$23</f>
        <v>2.9241923321861041E-2</v>
      </c>
      <c r="J11" s="52">
        <f>'W.EUR OTHER'!$H$24</f>
        <v>5.8382923375347229E-2</v>
      </c>
      <c r="K11" s="52">
        <f>'W.EUR OTHER'!$H$30</f>
        <v>0.22673250703923764</v>
      </c>
      <c r="L11" s="156"/>
      <c r="M11" s="188">
        <f>'W.EUR OTHER'!$F$11*Prices!$C$135/1000</f>
        <v>113.67525187123918</v>
      </c>
      <c r="N11" s="188">
        <f>'W.EUR OTHER'!$F$12*Prices!$C$135/1000</f>
        <v>74.403478409463162</v>
      </c>
      <c r="O11" s="188">
        <f>'W.EUR OTHER'!$F$18*Prices!$C$135/1000</f>
        <v>195.24296066841308</v>
      </c>
      <c r="P11" s="150">
        <f t="shared" si="0"/>
        <v>2.1695631867364407</v>
      </c>
      <c r="Q11" s="156"/>
      <c r="R11" s="150">
        <f t="shared" si="1"/>
        <v>5.693173880990817</v>
      </c>
      <c r="S11" s="150">
        <f t="shared" si="2"/>
        <v>14.773708489368085</v>
      </c>
      <c r="T11" s="150">
        <f>S11/(AA11*100)</f>
        <v>0.95084248512389746</v>
      </c>
      <c r="U11" s="52">
        <f t="shared" si="3"/>
        <v>6.1687830436270213E-2</v>
      </c>
      <c r="V11" s="52">
        <f t="shared" si="4"/>
        <v>4.0904800170073315E-2</v>
      </c>
      <c r="Z11" s="177"/>
      <c r="AA11" s="467">
        <f>('W.EUR OTHER'!$G$30/'W.EUR OTHER'!$E$30)^(1/2)-1</f>
        <v>0.15537493034341043</v>
      </c>
    </row>
    <row r="12" spans="1:69">
      <c r="B12" s="173" t="s">
        <v>613</v>
      </c>
      <c r="C12" s="150">
        <f>'W.EUR TOWERS'!$F$23*Prices!$C$135/1000</f>
        <v>6.3518627799466341</v>
      </c>
      <c r="D12" s="150">
        <f>'W.EUR TOWERS'!$F$24*Prices!$C$135/1000</f>
        <v>3.9220215637942784</v>
      </c>
      <c r="E12" s="150">
        <f>'W.EUR TOWERS'!$F$30*Prices!$C$135/1000</f>
        <v>0.50733196807830028</v>
      </c>
      <c r="F12" s="150">
        <f>'W.EUR TOWERS'!$F$26*Prices!$C$135/1000</f>
        <v>1.9146052087388077</v>
      </c>
      <c r="G12" s="150">
        <f>'W.EUR TOWERS'!$F$31*Prices!$C$135/1000</f>
        <v>1.2266700166463917</v>
      </c>
      <c r="H12" s="156"/>
      <c r="I12" s="52">
        <f>'W.EUR TOWERS'!$H$23</f>
        <v>3.2601099234879305E-2</v>
      </c>
      <c r="J12" s="52">
        <f>'W.EUR TOWERS'!$H$24</f>
        <v>3.9530260874000689E-2</v>
      </c>
      <c r="K12" s="52">
        <f>'W.EUR TOWERS'!$H$30</f>
        <v>6.0126072227694722</v>
      </c>
      <c r="L12" s="156"/>
      <c r="M12" s="188">
        <f>'W.EUR TOWERS'!$F$11*Prices!$C$135/1000</f>
        <v>29.237899607392976</v>
      </c>
      <c r="N12" s="188">
        <f>'W.EUR TOWERS'!$F$12*Prices!$C$135/1000</f>
        <v>26.446370958409705</v>
      </c>
      <c r="O12" s="188">
        <f>'W.EUR TOWERS'!$F$18*Prices!$C$135/1000</f>
        <v>55.063410125057032</v>
      </c>
      <c r="P12" s="150">
        <f t="shared" si="0"/>
        <v>6.7430457809173063</v>
      </c>
      <c r="Q12" s="156"/>
      <c r="R12" s="150">
        <f t="shared" si="1"/>
        <v>14.039548031395086</v>
      </c>
      <c r="S12" s="150">
        <f>M12/E12</f>
        <v>57.630706218143295</v>
      </c>
      <c r="T12" s="150">
        <f>IFERROR(S12/(AA12*100),"")</f>
        <v>1.9950914107555164</v>
      </c>
      <c r="U12" s="52">
        <f t="shared" si="3"/>
        <v>3.4770916011021842E-2</v>
      </c>
      <c r="V12" s="52">
        <f t="shared" si="4"/>
        <v>4.1954792687509637E-2</v>
      </c>
      <c r="AA12" s="467">
        <f>('W.EUR TOWERS'!$G$30/'W.EUR TOWERS'!$E$30)^(1/2)-1</f>
        <v>0.28886248473356546</v>
      </c>
    </row>
    <row r="13" spans="1:69">
      <c r="B13" s="169" t="s">
        <v>90</v>
      </c>
      <c r="C13" s="195">
        <f>'W.EUR AGG'!$F$23*Prices!$C$135/1000</f>
        <v>513.0209970668775</v>
      </c>
      <c r="D13" s="195">
        <f>'W.EUR AGG'!$F$24*Prices!$C$135/1000</f>
        <v>161.12527495795752</v>
      </c>
      <c r="E13" s="195">
        <f>'W.EUR AGG'!$F$30*Prices!$C$135/1000</f>
        <v>39.71481816752928</v>
      </c>
      <c r="F13" s="195">
        <f>'W.EUR AGG'!$F$26*Prices!$C$135/1000</f>
        <v>67.251253930150824</v>
      </c>
      <c r="G13" s="195">
        <f>'W.EUR AGG'!$F$31*Prices!$C$135/1000</f>
        <v>24.904480557749473</v>
      </c>
      <c r="H13" s="156"/>
      <c r="I13" s="194">
        <f>'W.EUR AGG'!$H$23</f>
        <v>2.7587387501004867E-2</v>
      </c>
      <c r="J13" s="194">
        <f>'W.EUR AGG'!$H$24</f>
        <v>4.9312622085556201E-2</v>
      </c>
      <c r="K13" s="194">
        <f>'W.EUR AGG'!$H$30</f>
        <v>9.4693026621945231E-2</v>
      </c>
      <c r="L13" s="156"/>
      <c r="M13" s="193">
        <f>'W.EUR AGG'!$F$11*Prices!$C$135/1000</f>
        <v>542.57618099032322</v>
      </c>
      <c r="N13" s="193">
        <f>'W.EUR AGG'!$F$12*Prices!$C$135/1000</f>
        <v>360.29433266596192</v>
      </c>
      <c r="O13" s="193">
        <f>'W.EUR AGG'!$F$18*Prices!$C$135/1000</f>
        <v>1058.4580919764082</v>
      </c>
      <c r="P13" s="195">
        <f t="shared" si="0"/>
        <v>2.2361130664321514</v>
      </c>
      <c r="Q13" s="156"/>
      <c r="R13" s="195">
        <f t="shared" si="1"/>
        <v>6.5691623629662832</v>
      </c>
      <c r="S13" s="195">
        <f t="shared" si="2"/>
        <v>13.661807003662224</v>
      </c>
      <c r="T13" s="195">
        <f>S13/(AA13*100)</f>
        <v>1.5949277087463911</v>
      </c>
      <c r="U13" s="194">
        <f t="shared" si="3"/>
        <v>6.3537002022041114E-2</v>
      </c>
      <c r="V13" s="194">
        <f t="shared" si="4"/>
        <v>4.5900430999925593E-2</v>
      </c>
      <c r="AA13" s="468">
        <f>('W.EUR AGG'!$G$30/'W.EUR AGG'!$E$30)^(1/2)-1</f>
        <v>8.5657844733291189E-2</v>
      </c>
    </row>
    <row r="14" spans="1:69">
      <c r="B14" s="178"/>
      <c r="C14" s="150"/>
      <c r="D14" s="150"/>
      <c r="E14" s="150"/>
      <c r="F14" s="150"/>
      <c r="G14" s="150"/>
      <c r="H14" s="156"/>
      <c r="I14" s="187"/>
      <c r="J14" s="187"/>
      <c r="K14" s="187"/>
      <c r="L14" s="156"/>
      <c r="M14" s="150"/>
      <c r="N14" s="156"/>
      <c r="O14" s="150"/>
      <c r="P14" s="156"/>
      <c r="Q14" s="156"/>
      <c r="R14" s="150"/>
      <c r="S14" s="150"/>
      <c r="T14" s="150"/>
      <c r="U14" s="52"/>
      <c r="V14" s="52"/>
      <c r="AA14" s="466"/>
    </row>
    <row r="15" spans="1:69">
      <c r="B15" s="173" t="s">
        <v>1273</v>
      </c>
      <c r="C15" s="150">
        <f>'US TELCO'!$F$23/1000</f>
        <v>300.52989406707883</v>
      </c>
      <c r="D15" s="150">
        <f>'US TELCO'!$F$24/1000</f>
        <v>141.24950780153489</v>
      </c>
      <c r="E15" s="150">
        <f>'US TELCO'!$F$30/1000</f>
        <v>53.834234702544897</v>
      </c>
      <c r="F15" s="150">
        <f>'US TELCO'!$F$26/1000</f>
        <v>63.284668369043388</v>
      </c>
      <c r="G15" s="150">
        <f>'US TELCO'!$F$31/1000</f>
        <v>25.142352646638095</v>
      </c>
      <c r="H15" s="187"/>
      <c r="I15" s="52">
        <f>'US TELCO'!$H$23</f>
        <v>2.4384163316372609E-2</v>
      </c>
      <c r="J15" s="52">
        <f>'US TELCO'!$H$24</f>
        <v>4.0541340228376743E-2</v>
      </c>
      <c r="K15" s="52">
        <f>'US TELCO'!$H$30</f>
        <v>8.2526948023635915E-2</v>
      </c>
      <c r="L15" s="156"/>
      <c r="M15" s="188">
        <f>'US TELCO'!$F$11/1000</f>
        <v>575.54093115146873</v>
      </c>
      <c r="N15" s="188">
        <f>'US TELCO'!$F$12/1000</f>
        <v>332.82542644983221</v>
      </c>
      <c r="O15" s="188">
        <f>'US TELCO'!$F$18/1000</f>
        <v>856.60713537069864</v>
      </c>
      <c r="P15" s="150">
        <f>N15/D15</f>
        <v>2.356294415676651</v>
      </c>
      <c r="Q15" s="156"/>
      <c r="R15" s="150">
        <f>O15/D15</f>
        <v>6.0644964269488968</v>
      </c>
      <c r="S15" s="150">
        <f>M15/E15</f>
        <v>10.690983801136143</v>
      </c>
      <c r="T15" s="150">
        <f>S15/(AA15*100)</f>
        <v>1.3000059974643243</v>
      </c>
      <c r="U15" s="52">
        <f>F15/O15</f>
        <v>7.387828767227908E-2</v>
      </c>
      <c r="V15" s="52">
        <f>G15/M15</f>
        <v>4.368473428351393E-2</v>
      </c>
      <c r="AA15" s="467">
        <f>('US TELCO'!$G$30/'US TELCO'!$E$30)^(1/2)-1</f>
        <v>8.2237957532419248E-2</v>
      </c>
    </row>
    <row r="16" spans="1:69">
      <c r="B16" s="173" t="s">
        <v>120</v>
      </c>
      <c r="C16" s="150">
        <f>'US OTHER'!$F$23/1000</f>
        <v>59.583628850715485</v>
      </c>
      <c r="D16" s="150">
        <f>'US OTHER'!$F$24/1000</f>
        <v>18.275255356840468</v>
      </c>
      <c r="E16" s="150">
        <f>'US OTHER'!$F$30/1000</f>
        <v>0.37349283253883053</v>
      </c>
      <c r="F16" s="150">
        <f>'US OTHER'!$F$26/1000</f>
        <v>8.2539594590470173</v>
      </c>
      <c r="G16" s="150">
        <f>'US OTHER'!$F$31/1000</f>
        <v>0</v>
      </c>
      <c r="H16" s="187"/>
      <c r="I16" s="52">
        <f>'US OTHER'!$H$23</f>
        <v>-0.33257921460153206</v>
      </c>
      <c r="J16" s="52">
        <f>'US OTHER'!$H$24</f>
        <v>-0.33342091865491441</v>
      </c>
      <c r="K16" s="52">
        <f>'US OTHER'!$H$30</f>
        <v>-0.66392395881441313</v>
      </c>
      <c r="L16" s="156"/>
      <c r="M16" s="188">
        <f>'US OTHER'!$F$11/1000</f>
        <v>191.96039608604599</v>
      </c>
      <c r="N16" s="188">
        <f>'US OTHER'!$F$12/1000</f>
        <v>194.62505766692959</v>
      </c>
      <c r="O16" s="188">
        <f>'US OTHER'!$F$18/1000</f>
        <v>335.23007092174174</v>
      </c>
      <c r="P16" s="150">
        <f>N16/D16</f>
        <v>10.649649149448464</v>
      </c>
      <c r="Q16" s="156"/>
      <c r="R16" s="150">
        <f>O16/D16</f>
        <v>18.343386419290958</v>
      </c>
      <c r="S16" s="150">
        <f>M16/E16</f>
        <v>513.96005321223572</v>
      </c>
      <c r="T16" s="150">
        <f>S16/(AA16*100)</f>
        <v>-6.3172968604836379</v>
      </c>
      <c r="U16" s="52">
        <f>F16/O16</f>
        <v>2.4621775237382789E-2</v>
      </c>
      <c r="V16" s="52">
        <f>G16/M16</f>
        <v>0</v>
      </c>
      <c r="AA16" s="467">
        <f>('US OTHER'!$G$30/'US OTHER'!$E$30)^(1/2)-1</f>
        <v>-0.81357590843512795</v>
      </c>
    </row>
    <row r="17" spans="2:27">
      <c r="B17" s="173" t="s">
        <v>613</v>
      </c>
      <c r="C17" s="150">
        <f>'US TOWERS'!$F$23/1000</f>
        <v>17.996177438710305</v>
      </c>
      <c r="D17" s="150">
        <f>'US TOWERS'!$F$24/1000</f>
        <v>12.09257908171508</v>
      </c>
      <c r="E17" s="150">
        <f>'US TOWERS'!$F$30/1000</f>
        <v>8.6468048367687196</v>
      </c>
      <c r="F17" s="150">
        <f>'US TOWERS'!$F$26/1000</f>
        <v>6.8358702855484488</v>
      </c>
      <c r="G17" s="150">
        <f>'US TOWERS'!$F$31/1000</f>
        <v>6.3097492174109311</v>
      </c>
      <c r="H17" s="187"/>
      <c r="I17" s="52">
        <f>'US TOWERS'!$H$23</f>
        <v>2.1319402766994067E-2</v>
      </c>
      <c r="J17" s="52">
        <f>'US TOWERS'!$H$24</f>
        <v>2.4614840647188663E-2</v>
      </c>
      <c r="K17" s="52">
        <f>'US TOWERS'!$H$30</f>
        <v>5.8193878007610333E-2</v>
      </c>
      <c r="L17" s="156"/>
      <c r="M17" s="188">
        <f>'US TOWERS'!$F$11/1000</f>
        <v>143.8274671013703</v>
      </c>
      <c r="N17" s="188">
        <f>'US TOWERS'!$F$12/1000</f>
        <v>62.482267835661432</v>
      </c>
      <c r="O17" s="188">
        <f>'US TOWERS'!$F$18/1000</f>
        <v>182.17057191565723</v>
      </c>
      <c r="P17" s="150">
        <f>N17/D17</f>
        <v>5.1669926996912912</v>
      </c>
      <c r="Q17" s="156"/>
      <c r="R17" s="150">
        <f>O17/D17</f>
        <v>15.06465830693746</v>
      </c>
      <c r="S17" s="150">
        <f>M17/E17</f>
        <v>16.633597012595246</v>
      </c>
      <c r="T17" s="150">
        <f>S17/(AA17*100)</f>
        <v>4.1354803564932157</v>
      </c>
      <c r="U17" s="52">
        <f>F17/O17</f>
        <v>3.7524558514936066E-2</v>
      </c>
      <c r="V17" s="52">
        <f>G17/M17</f>
        <v>4.3870265844032343E-2</v>
      </c>
      <c r="AA17" s="467">
        <f>('US TOWERS'!$G$30/'US TOWERS'!$E$30)^(1/2)-1</f>
        <v>4.0221680624062062E-2</v>
      </c>
    </row>
    <row r="18" spans="2:27">
      <c r="B18" s="169" t="s">
        <v>614</v>
      </c>
      <c r="C18" s="195">
        <f>'US AGG'!$F$23/1000</f>
        <v>378.10970035650456</v>
      </c>
      <c r="D18" s="195">
        <f>'US AGG'!$F$24/1000</f>
        <v>171.61734224009047</v>
      </c>
      <c r="E18" s="195">
        <f>'US AGG'!$F$30/1000</f>
        <v>62.854532371852443</v>
      </c>
      <c r="F18" s="195">
        <f>'US AGG'!$F$26/1000</f>
        <v>78.37449811363885</v>
      </c>
      <c r="G18" s="195">
        <f>'US AGG'!$F$31/1000</f>
        <v>31.452101864049027</v>
      </c>
      <c r="H18" s="187"/>
      <c r="I18" s="194">
        <f>'US AGG'!$H$23</f>
        <v>-8.5180568029651904E-2</v>
      </c>
      <c r="J18" s="194">
        <f>'US AGG'!$H$24</f>
        <v>-4.7051122988827743E-2</v>
      </c>
      <c r="K18" s="194">
        <f>'US AGG'!$H$30</f>
        <v>-3.00851088072005E-2</v>
      </c>
      <c r="L18" s="156"/>
      <c r="M18" s="193">
        <f>'US AGG'!$F$11/1000</f>
        <v>911.32879433888513</v>
      </c>
      <c r="N18" s="193">
        <f>'US AGG'!$F$12/1000</f>
        <v>589.93275195242325</v>
      </c>
      <c r="O18" s="193">
        <f>'US AGG'!$F$18/1000</f>
        <v>1374.0077782080978</v>
      </c>
      <c r="P18" s="195">
        <f>N18/D18</f>
        <v>3.4374891502929517</v>
      </c>
      <c r="Q18" s="156"/>
      <c r="R18" s="195">
        <f>O18/D18</f>
        <v>8.0062292089681613</v>
      </c>
      <c r="S18" s="195">
        <f>M18/E18</f>
        <v>14.499014787786361</v>
      </c>
      <c r="T18" s="195">
        <f>S18/(AA18*100)</f>
        <v>-1.7306595359077086</v>
      </c>
      <c r="U18" s="194">
        <f>F18/O18</f>
        <v>5.7040796534536642E-2</v>
      </c>
      <c r="V18" s="194">
        <f>G18/M18</f>
        <v>3.4512353894036299E-2</v>
      </c>
      <c r="AA18" s="468">
        <f>('US AGG'!$G$30/'US AGG'!$E$30)^(1/2)-1</f>
        <v>-8.3777395189295945E-2</v>
      </c>
    </row>
    <row r="19" spans="2:27">
      <c r="B19" s="178"/>
      <c r="C19" s="150"/>
      <c r="D19" s="150"/>
      <c r="E19" s="150"/>
      <c r="F19" s="150"/>
      <c r="G19" s="150"/>
      <c r="H19" s="187"/>
      <c r="I19" s="187"/>
      <c r="J19" s="187"/>
      <c r="K19" s="187"/>
      <c r="L19" s="187"/>
      <c r="M19" s="187"/>
      <c r="N19" s="187"/>
      <c r="O19" s="187"/>
      <c r="P19" s="187"/>
      <c r="Q19" s="156"/>
      <c r="R19" s="150"/>
      <c r="S19" s="150"/>
      <c r="T19" s="150"/>
      <c r="U19" s="52"/>
      <c r="V19" s="52"/>
      <c r="AA19" s="466"/>
    </row>
    <row r="20" spans="2:27">
      <c r="B20" s="173" t="s">
        <v>138</v>
      </c>
      <c r="C20" s="150">
        <f>'DM ASIA INCUMB'!$F$23/1000</f>
        <v>108.81788128882366</v>
      </c>
      <c r="D20" s="150">
        <f>'DM ASIA INCUMB'!$F$24/1000</f>
        <v>28.443087216426264</v>
      </c>
      <c r="E20" s="150">
        <f>'DM ASIA INCUMB'!$F$30/1000</f>
        <v>12.155577272307664</v>
      </c>
      <c r="F20" s="150">
        <f>'DM ASIA INCUMB'!$F$26/1000</f>
        <v>8.7072873264800013</v>
      </c>
      <c r="G20" s="150">
        <f>'DM ASIA INCUMB'!$F$31/1000</f>
        <v>6.3425588901863721</v>
      </c>
      <c r="H20" s="187"/>
      <c r="I20" s="52">
        <f>'DM ASIA INCUMB'!$H$23</f>
        <v>3.9929572223155851E-2</v>
      </c>
      <c r="J20" s="52">
        <f>'DM ASIA INCUMB'!$H$24</f>
        <v>5.9209761744593692E-2</v>
      </c>
      <c r="K20" s="52">
        <f>'DM ASIA INCUMB'!$H$30</f>
        <v>0.11375602173565946</v>
      </c>
      <c r="L20" s="156"/>
      <c r="M20" s="188">
        <f>'DM ASIA INCUMB'!$F$11/1000</f>
        <v>132.30355425117264</v>
      </c>
      <c r="N20" s="188">
        <f>'DM ASIA INCUMB'!$F$12/1000</f>
        <v>44.941443186556128</v>
      </c>
      <c r="O20" s="188">
        <f>'DM ASIA INCUMB'!$F$18/1000</f>
        <v>190.20996501466388</v>
      </c>
      <c r="P20" s="150">
        <f>N20/D20</f>
        <v>1.5800480040929539</v>
      </c>
      <c r="Q20" s="156"/>
      <c r="R20" s="150">
        <f>O20/D20</f>
        <v>6.6873881715911301</v>
      </c>
      <c r="S20" s="150">
        <f>M20/E20</f>
        <v>10.884185200531871</v>
      </c>
      <c r="T20" s="150">
        <f>S20/(AA20*100)</f>
        <v>1.2059757169980343</v>
      </c>
      <c r="U20" s="52">
        <f>F20/O20</f>
        <v>4.5777240565754426E-2</v>
      </c>
      <c r="V20" s="52">
        <f>G20/M20</f>
        <v>4.7939444454721869E-2</v>
      </c>
      <c r="AA20" s="467">
        <f>('DM ASIA INCUMB'!$G$30/'DM ASIA INCUMB'!$E$30)^(1/2)-1</f>
        <v>9.0252109118956758E-2</v>
      </c>
    </row>
    <row r="21" spans="2:27">
      <c r="B21" s="173" t="s">
        <v>120</v>
      </c>
      <c r="C21" s="150">
        <f>'DM ASIA OTHER'!$F$23/1000</f>
        <v>108.56819463150052</v>
      </c>
      <c r="D21" s="150">
        <f>'DM ASIA OTHER'!$F$24/1000</f>
        <v>30.307400214799976</v>
      </c>
      <c r="E21" s="150">
        <f>'DM ASIA OTHER'!$F$30/1000</f>
        <v>9.8510626928847209</v>
      </c>
      <c r="F21" s="150">
        <f>'DM ASIA OTHER'!$F$26/1000</f>
        <v>14.065366802416413</v>
      </c>
      <c r="G21" s="150">
        <f>'DM ASIA OTHER'!$F$31/1000</f>
        <v>4.4823055056970897</v>
      </c>
      <c r="H21" s="187"/>
      <c r="I21" s="52">
        <f>'DM ASIA OTHER'!$H$23</f>
        <v>5.3270587191900365E-2</v>
      </c>
      <c r="J21" s="52">
        <f>'DM ASIA OTHER'!$H$24</f>
        <v>7.7493269443907886E-2</v>
      </c>
      <c r="K21" s="52">
        <f>'DM ASIA OTHER'!$H$30</f>
        <v>0.11346821178207422</v>
      </c>
      <c r="L21" s="156"/>
      <c r="M21" s="188">
        <f>'DM ASIA OTHER'!$F$11/1000</f>
        <v>131.06112151359392</v>
      </c>
      <c r="N21" s="188">
        <f>'DM ASIA OTHER'!$F$12/1000</f>
        <v>32.706407604336583</v>
      </c>
      <c r="O21" s="188">
        <f>'DM ASIA OTHER'!$F$18/1000</f>
        <v>158.60437170720689</v>
      </c>
      <c r="P21" s="150">
        <f>N21/D21</f>
        <v>1.0791558290230747</v>
      </c>
      <c r="Q21" s="156"/>
      <c r="R21" s="150">
        <f>O21/D21</f>
        <v>5.2331896033020939</v>
      </c>
      <c r="S21" s="150">
        <f>M21/E21</f>
        <v>13.30426225063591</v>
      </c>
      <c r="T21" s="150">
        <f>S21/(AA21*100)</f>
        <v>1.2771478699136662</v>
      </c>
      <c r="U21" s="52">
        <f>F21/O21</f>
        <v>8.8682087706774673E-2</v>
      </c>
      <c r="V21" s="52">
        <f>G21/M21</f>
        <v>3.4200115594403613E-2</v>
      </c>
      <c r="AA21" s="467">
        <f>('DM ASIA OTHER'!$G$30/'DM ASIA OTHER'!$E$30)^(1/2)-1</f>
        <v>0.10417166691540003</v>
      </c>
    </row>
    <row r="22" spans="2:27">
      <c r="B22" s="169" t="s">
        <v>448</v>
      </c>
      <c r="C22" s="195">
        <f>'AGG DM ASIA'!$F$23/1000</f>
        <v>217.3860759203242</v>
      </c>
      <c r="D22" s="195">
        <f>'AGG DM ASIA'!$F$24/1000</f>
        <v>58.75048743122624</v>
      </c>
      <c r="E22" s="195">
        <f>'AGG DM ASIA'!$F$30/1000</f>
        <v>22.006639965192385</v>
      </c>
      <c r="F22" s="195">
        <f>'AGG DM ASIA'!$F$26/1000</f>
        <v>22.772654128896413</v>
      </c>
      <c r="G22" s="195">
        <f>'AGG DM ASIA'!$F$31/1000</f>
        <v>10.824864395883463</v>
      </c>
      <c r="H22" s="187"/>
      <c r="I22" s="194">
        <f>'AGG DM ASIA'!$H$23</f>
        <v>4.6542943543566917E-2</v>
      </c>
      <c r="J22" s="194">
        <f>'AGG DM ASIA'!$H$24</f>
        <v>6.8563070672120974E-2</v>
      </c>
      <c r="K22" s="194">
        <f>'AGG DM ASIA'!$H$30</f>
        <v>0.11362604004483812</v>
      </c>
      <c r="L22" s="156"/>
      <c r="M22" s="193">
        <f>'AGG DM ASIA'!$F$11/1000</f>
        <v>263.3646757647665</v>
      </c>
      <c r="N22" s="193">
        <f>'AGG DM ASIA'!$F$12/1000</f>
        <v>77.647850790892718</v>
      </c>
      <c r="O22" s="193">
        <f>'AGG DM ASIA'!$F$18/1000</f>
        <v>348.81433672187075</v>
      </c>
      <c r="P22" s="195">
        <f>N22/D22</f>
        <v>1.3216545800030659</v>
      </c>
      <c r="Q22" s="156"/>
      <c r="R22" s="195">
        <f>O22/D22</f>
        <v>5.9372160465935782</v>
      </c>
      <c r="S22" s="195">
        <f>M22/E22</f>
        <v>11.967509632607566</v>
      </c>
      <c r="T22" s="195">
        <f>S22/(AA22*100)</f>
        <v>1.2405267209220774</v>
      </c>
      <c r="U22" s="194">
        <f>F22/O22</f>
        <v>6.5285889172193995E-2</v>
      </c>
      <c r="V22" s="194">
        <f>G22/M22</f>
        <v>4.11021879242153E-2</v>
      </c>
      <c r="AA22" s="468">
        <f>('AGG DM ASIA'!$G$30/'AGG DM ASIA'!$E$30)^(1/2)-1</f>
        <v>9.6471195910332153E-2</v>
      </c>
    </row>
    <row r="23" spans="2:27">
      <c r="B23" s="178"/>
      <c r="C23" s="150"/>
      <c r="D23" s="150"/>
      <c r="E23" s="150"/>
      <c r="F23" s="150"/>
      <c r="G23" s="150"/>
      <c r="R23" s="150"/>
      <c r="S23" s="150"/>
      <c r="T23" s="150"/>
      <c r="U23" s="52"/>
      <c r="V23" s="52"/>
      <c r="AA23" s="466"/>
    </row>
    <row r="24" spans="2:27">
      <c r="B24" s="169" t="s">
        <v>615</v>
      </c>
      <c r="C24" s="195">
        <f>'AGG DM'!$F$23/1000</f>
        <v>1108.5167733437063</v>
      </c>
      <c r="D24" s="195">
        <f>'AGG DM'!$F$24/1000</f>
        <v>391.49310462927423</v>
      </c>
      <c r="E24" s="195">
        <f>'AGG DM'!$F$30/1000</f>
        <v>124.57599050457412</v>
      </c>
      <c r="F24" s="195">
        <f>'AGG DM'!$F$26/1000</f>
        <v>168.39840617268609</v>
      </c>
      <c r="G24" s="195">
        <f>'AGG DM'!$F$31/1000</f>
        <v>67.181446817681959</v>
      </c>
      <c r="H24" s="187"/>
      <c r="I24" s="194">
        <f>'AGG DM'!$H$23</f>
        <v>-1.3789849312914271E-2</v>
      </c>
      <c r="J24" s="194">
        <f>'AGG DM'!$H$24</f>
        <v>4.8141968520647449E-3</v>
      </c>
      <c r="K24" s="194">
        <f>'AGG DM'!$H$30</f>
        <v>2.7310327344825192E-2</v>
      </c>
      <c r="L24" s="156"/>
      <c r="M24" s="193">
        <f>'AGG DM'!$F$11/1000</f>
        <v>1717.2696510939747</v>
      </c>
      <c r="N24" s="193">
        <f>'AGG DM'!$F$12/1000</f>
        <v>1027.8749354092779</v>
      </c>
      <c r="O24" s="193">
        <f>'AGG DM'!$F$18/1000</f>
        <v>2781.2802069063764</v>
      </c>
      <c r="P24" s="195">
        <f>N24/D24</f>
        <v>2.6255250047957492</v>
      </c>
      <c r="Q24" s="156"/>
      <c r="R24" s="195">
        <f>O24/D24</f>
        <v>7.1042891280042326</v>
      </c>
      <c r="S24" s="195">
        <f>M24/E24</f>
        <v>13.784916693324794</v>
      </c>
      <c r="T24" s="195">
        <f>S24/(AA24*100)</f>
        <v>-16.558111210537405</v>
      </c>
      <c r="U24" s="194">
        <f>F24/O24</f>
        <v>6.0547083948796362E-2</v>
      </c>
      <c r="V24" s="194">
        <f>G24/M24</f>
        <v>3.9121081989007656E-2</v>
      </c>
      <c r="AA24" s="468">
        <f>('AGG DM'!$G$30/'AGG DM'!$E$30)^(1/2)-1</f>
        <v>-8.3251746035817309E-3</v>
      </c>
    </row>
    <row r="25" spans="2:27">
      <c r="B25" s="178"/>
      <c r="C25" s="150"/>
      <c r="D25" s="150"/>
      <c r="E25" s="150"/>
      <c r="F25" s="150"/>
      <c r="G25" s="150"/>
      <c r="R25" s="150"/>
      <c r="S25" s="150"/>
      <c r="T25" s="150"/>
      <c r="U25" s="52"/>
      <c r="V25" s="52"/>
      <c r="AA25" s="466"/>
    </row>
    <row r="26" spans="2:27">
      <c r="B26" s="173" t="s">
        <v>139</v>
      </c>
      <c r="C26" s="150">
        <f>'EMEA CELLULAR'!$F$23/1000</f>
        <v>49.653882626124158</v>
      </c>
      <c r="D26" s="150">
        <f>'EMEA CELLULAR'!$F$24/1000</f>
        <v>19.571725130758999</v>
      </c>
      <c r="E26" s="150">
        <f>'EMEA CELLULAR'!$F$30/1000</f>
        <v>8.5123319779581585</v>
      </c>
      <c r="F26" s="150">
        <f>'EMEA CELLULAR'!$F$26/1000</f>
        <v>8.2285491910810542</v>
      </c>
      <c r="G26" s="150">
        <f>'EMEA CELLULAR'!$F$31/1000</f>
        <v>3.7955346844178064</v>
      </c>
      <c r="H26" s="187"/>
      <c r="I26" s="52">
        <f>'EMEA CELLULAR'!$H$23</f>
        <v>0.13657312279124967</v>
      </c>
      <c r="J26" s="52">
        <f>'EMEA CELLULAR'!$H$24</f>
        <v>0.18738943723674595</v>
      </c>
      <c r="K26" s="52">
        <f>'EMEA CELLULAR'!$H$30</f>
        <v>0.25177251450443627</v>
      </c>
      <c r="L26" s="156"/>
      <c r="M26" s="188">
        <f>'EMEA CELLULAR'!$F$11/1000</f>
        <v>70.454740344642374</v>
      </c>
      <c r="N26" s="188">
        <f>'EMEA CELLULAR'!$F$12/1000</f>
        <v>7.637532045142593</v>
      </c>
      <c r="O26" s="188">
        <f>'EMEA CELLULAR'!$F$18/1000</f>
        <v>87.754093487826935</v>
      </c>
      <c r="P26" s="150">
        <f>N26/D26</f>
        <v>0.39023295055066037</v>
      </c>
      <c r="Q26" s="156"/>
      <c r="R26" s="150">
        <f>O26/D26</f>
        <v>4.4837178583666217</v>
      </c>
      <c r="S26" s="150">
        <f>M26/E26</f>
        <v>8.2767848489788651</v>
      </c>
      <c r="T26" s="150">
        <f>S26/(AA26*100)</f>
        <v>0.38855546590480167</v>
      </c>
      <c r="U26" s="52">
        <f>F26/O26</f>
        <v>9.3768266117665519E-2</v>
      </c>
      <c r="V26" s="52">
        <f>G26/M26</f>
        <v>5.3871956178551617E-2</v>
      </c>
      <c r="AA26" s="467">
        <f>('EMEA CELLULAR'!$G$30/'EMEA CELLULAR'!$E$30)^(1/2)-1</f>
        <v>0.21301424314557771</v>
      </c>
    </row>
    <row r="27" spans="2:27">
      <c r="B27" s="169" t="s">
        <v>617</v>
      </c>
      <c r="C27" s="195">
        <f>'EMEA AGG'!$F$23/1000</f>
        <v>49.653882626124158</v>
      </c>
      <c r="D27" s="195">
        <f>'EMEA AGG'!$F$24/1000</f>
        <v>19.571725130758999</v>
      </c>
      <c r="E27" s="195">
        <f>'EMEA AGG'!$F$30/1000</f>
        <v>8.5123319779581585</v>
      </c>
      <c r="F27" s="195">
        <f>'EMEA AGG'!$F$26/1000</f>
        <v>8.2285491910810542</v>
      </c>
      <c r="G27" s="195">
        <f>'EMEA AGG'!$F$31/1000</f>
        <v>3.7955346844178064</v>
      </c>
      <c r="H27" s="187"/>
      <c r="I27" s="194">
        <f>'EMEA AGG'!$H$23</f>
        <v>0.13657312279124967</v>
      </c>
      <c r="J27" s="194">
        <f>'EMEA AGG'!$H$24</f>
        <v>0.18738943723674595</v>
      </c>
      <c r="K27" s="194">
        <f>'EMEA AGG'!$H$30</f>
        <v>0.25177251450443627</v>
      </c>
      <c r="L27" s="156"/>
      <c r="M27" s="193">
        <f>'EMEA AGG'!$F$11/1000</f>
        <v>70.454740344642374</v>
      </c>
      <c r="N27" s="193">
        <f>'EMEA AGG'!$F$12/1000</f>
        <v>7.637532045142593</v>
      </c>
      <c r="O27" s="193">
        <f>'EMEA AGG'!$F$18/1000</f>
        <v>87.754093487826935</v>
      </c>
      <c r="P27" s="195">
        <f>N27/D27</f>
        <v>0.39023295055066037</v>
      </c>
      <c r="Q27" s="156"/>
      <c r="R27" s="195">
        <f>O27/D27</f>
        <v>4.4837178583666217</v>
      </c>
      <c r="S27" s="195">
        <f>M27/E27</f>
        <v>8.2767848489788651</v>
      </c>
      <c r="T27" s="195">
        <f>S27/(AA27*100)</f>
        <v>0.38855546590480167</v>
      </c>
      <c r="U27" s="194">
        <f>F27/O27</f>
        <v>9.3768266117665519E-2</v>
      </c>
      <c r="V27" s="194">
        <f>G27/M27</f>
        <v>5.3871956178551617E-2</v>
      </c>
      <c r="AA27" s="468">
        <f>('EMEA AGG'!$G$30/'EMEA AGG'!$E$30)^(1/2)-1</f>
        <v>0.21301424314557771</v>
      </c>
    </row>
    <row r="28" spans="2:27">
      <c r="B28" s="178"/>
      <c r="C28" s="150"/>
      <c r="D28" s="150"/>
      <c r="E28" s="150"/>
      <c r="F28" s="150"/>
      <c r="G28" s="150"/>
      <c r="R28" s="150"/>
      <c r="S28" s="150"/>
      <c r="T28" s="150"/>
      <c r="U28" s="52"/>
      <c r="V28" s="52"/>
      <c r="AA28" s="466"/>
    </row>
    <row r="29" spans="2:27">
      <c r="B29" s="173" t="s">
        <v>616</v>
      </c>
      <c r="C29" s="150">
        <f>'LATAM INCUMB'!$F$23/1000</f>
        <v>73.052526122811869</v>
      </c>
      <c r="D29" s="150">
        <f>'LATAM INCUMB'!$F$24/1000</f>
        <v>29.701815057144906</v>
      </c>
      <c r="E29" s="150">
        <f>'LATAM INCUMB'!$F$30/1000</f>
        <v>8.6676670924557691</v>
      </c>
      <c r="F29" s="150">
        <f>'LATAM INCUMB'!$F$26/1000</f>
        <v>13.365285630239923</v>
      </c>
      <c r="G29" s="150">
        <f>'LATAM INCUMB'!$F$31/1000</f>
        <v>3.8982710774345382</v>
      </c>
      <c r="H29" s="187"/>
      <c r="I29" s="52">
        <f>'LATAM INCUMB'!$H$23</f>
        <v>5.0665939566617801E-2</v>
      </c>
      <c r="J29" s="52">
        <f>'LATAM INCUMB'!$H$24</f>
        <v>6.0875991046259958E-2</v>
      </c>
      <c r="K29" s="52">
        <f>'LATAM INCUMB'!$H$30</f>
        <v>0.16071026751292017</v>
      </c>
      <c r="L29" s="156"/>
      <c r="M29" s="188">
        <f>'LATAM INCUMB'!$F$11/1000</f>
        <v>91.978756401830381</v>
      </c>
      <c r="N29" s="188">
        <f>'LATAM INCUMB'!$F$12/1000</f>
        <v>35.719704852120508</v>
      </c>
      <c r="O29" s="188">
        <f>'LATAM INCUMB'!$F$18/1000</f>
        <v>118.67794818599474</v>
      </c>
      <c r="P29" s="150">
        <f>N29/D29</f>
        <v>1.2026101698969394</v>
      </c>
      <c r="Q29" s="156"/>
      <c r="R29" s="150">
        <f>O29/D29</f>
        <v>3.9956463252385048</v>
      </c>
      <c r="S29" s="150">
        <f>M29/E29</f>
        <v>10.611708481730632</v>
      </c>
      <c r="T29" s="150">
        <f>S29/(AA29*100)</f>
        <v>1.0126437031159297</v>
      </c>
      <c r="U29" s="52">
        <f>F29/O29</f>
        <v>0.11261810500206447</v>
      </c>
      <c r="V29" s="52">
        <f>G29/M29</f>
        <v>4.2382298151586686E-2</v>
      </c>
      <c r="AA29" s="467">
        <f>('LATAM INCUMB'!$G$30/'LATAM INCUMB'!$E$30)^(1/2)-1</f>
        <v>0.10479212430866003</v>
      </c>
    </row>
    <row r="30" spans="2:27">
      <c r="B30" s="173" t="s">
        <v>120</v>
      </c>
      <c r="C30" s="150">
        <f>'LATAM OTHER'!$F$23/1000</f>
        <v>24.339727977299855</v>
      </c>
      <c r="D30" s="150">
        <f>'LATAM OTHER'!$F$24/1000</f>
        <v>10.133052986720124</v>
      </c>
      <c r="E30" s="150">
        <f>'LATAM OTHER'!$F$30/1000</f>
        <v>2.861922903204511</v>
      </c>
      <c r="F30" s="150">
        <f>'LATAM OTHER'!$F$26/1000</f>
        <v>4.7201021334365034</v>
      </c>
      <c r="G30" s="150">
        <f>'LATAM OTHER'!$F$31/1000</f>
        <v>1.9808411752737847</v>
      </c>
      <c r="H30" s="187"/>
      <c r="I30" s="52">
        <f>'LATAM OTHER'!$H$23</f>
        <v>6.4432021722839572E-2</v>
      </c>
      <c r="J30" s="52">
        <f>'LATAM OTHER'!$H$24</f>
        <v>7.4295430516063243E-2</v>
      </c>
      <c r="K30" s="52">
        <f>'LATAM OTHER'!$H$30</f>
        <v>0.15515708992416144</v>
      </c>
      <c r="L30" s="156"/>
      <c r="M30" s="188">
        <f>'LATAM OTHER'!$F$11/1000</f>
        <v>25.331117706253512</v>
      </c>
      <c r="N30" s="188">
        <f>'LATAM OTHER'!$F$12/1000</f>
        <v>20.158800345295635</v>
      </c>
      <c r="O30" s="188">
        <f>'LATAM OTHER'!$F$18/1000</f>
        <v>46.497565741025603</v>
      </c>
      <c r="P30" s="150">
        <f>N30/D30</f>
        <v>1.9894103358301549</v>
      </c>
      <c r="Q30" s="156"/>
      <c r="R30" s="150">
        <f>O30/D30</f>
        <v>4.5887025166021536</v>
      </c>
      <c r="S30" s="150">
        <f>M30/E30</f>
        <v>8.851083192314551</v>
      </c>
      <c r="T30" s="150">
        <f>S30/(AA30*100)</f>
        <v>0.6012089302438538</v>
      </c>
      <c r="U30" s="52">
        <f>F30/O30</f>
        <v>0.10151288692672089</v>
      </c>
      <c r="V30" s="52">
        <f>G30/M30</f>
        <v>7.8197938134596134E-2</v>
      </c>
      <c r="AA30" s="467">
        <f>('LATAM OTHER'!$G$30/'LATAM OTHER'!$E$30)^(1/2)-1</f>
        <v>0.1472214191616299</v>
      </c>
    </row>
    <row r="31" spans="2:27">
      <c r="B31" s="169" t="s">
        <v>619</v>
      </c>
      <c r="C31" s="195">
        <f>'LATAM AGG'!$F$23/1000</f>
        <v>97.392254100111728</v>
      </c>
      <c r="D31" s="195">
        <f>'LATAM AGG'!$F$24/1000</f>
        <v>39.834868043865029</v>
      </c>
      <c r="E31" s="195">
        <f>'LATAM AGG'!$F$30/1000</f>
        <v>11.529589995660281</v>
      </c>
      <c r="F31" s="195">
        <f>'LATAM AGG'!$F$26/1000</f>
        <v>18.085387763676426</v>
      </c>
      <c r="G31" s="195">
        <f>'LATAM AGG'!$F$31/1000</f>
        <v>5.8791122527083228</v>
      </c>
      <c r="H31" s="187"/>
      <c r="I31" s="194">
        <f>'LATAM AGG'!$H$23</f>
        <v>5.4055681128372557E-2</v>
      </c>
      <c r="J31" s="194">
        <f>'LATAM AGG'!$H$24</f>
        <v>6.4281047352787501E-2</v>
      </c>
      <c r="K31" s="194">
        <f>'LATAM AGG'!$H$30</f>
        <v>0.15928503889771584</v>
      </c>
      <c r="L31" s="156"/>
      <c r="M31" s="193">
        <f>'LATAM AGG'!$F$11/1000</f>
        <v>117.30987410808389</v>
      </c>
      <c r="N31" s="193">
        <f>'LATAM AGG'!$F$12/1000</f>
        <v>55.878505197416146</v>
      </c>
      <c r="O31" s="193">
        <f>'LATAM AGG'!$F$18/1000</f>
        <v>165.17551392702035</v>
      </c>
      <c r="P31" s="195">
        <f>N31/D31</f>
        <v>1.4027536161506626</v>
      </c>
      <c r="Q31" s="156"/>
      <c r="R31" s="195">
        <f>O31/D31</f>
        <v>4.1465058637858103</v>
      </c>
      <c r="S31" s="195">
        <f>M31/E31</f>
        <v>10.174678731181173</v>
      </c>
      <c r="T31" s="195">
        <f>S31/(AA31*100)</f>
        <v>0.88355795825734995</v>
      </c>
      <c r="U31" s="194">
        <f>F31/O31</f>
        <v>0.10949194183628883</v>
      </c>
      <c r="V31" s="194">
        <f>G31/M31</f>
        <v>5.0116090375236282E-2</v>
      </c>
      <c r="AA31" s="468">
        <f>('LATAM AGG'!$G$30/'LATAM AGG'!$E$30)^(1/2)-1</f>
        <v>0.11515575900927644</v>
      </c>
    </row>
    <row r="32" spans="2:27">
      <c r="B32" s="178"/>
      <c r="C32" s="150"/>
      <c r="D32" s="150"/>
      <c r="E32" s="150"/>
      <c r="F32" s="150"/>
      <c r="G32" s="150"/>
      <c r="R32" s="150"/>
      <c r="S32" s="150"/>
      <c r="T32" s="150"/>
      <c r="U32" s="52"/>
      <c r="V32" s="52"/>
      <c r="AA32" s="466"/>
    </row>
    <row r="33" spans="2:27">
      <c r="B33" s="173" t="s">
        <v>616</v>
      </c>
      <c r="C33" s="150">
        <f>'EM ASIA INCUMB'!$F$23/1000</f>
        <v>172.57716228572849</v>
      </c>
      <c r="D33" s="150">
        <f>'EM ASIA INCUMB'!$F$24/1000</f>
        <v>46.829846419006486</v>
      </c>
      <c r="E33" s="150">
        <f>'EM ASIA INCUMB'!$F$30/1000</f>
        <v>12.319105567267176</v>
      </c>
      <c r="F33" s="150">
        <f>'EM ASIA INCUMB'!$F$26/1000</f>
        <v>18.991015192039608</v>
      </c>
      <c r="G33" s="150">
        <f>'EM ASIA INCUMB'!$F$31/1000</f>
        <v>8.7912184919069425</v>
      </c>
      <c r="H33" s="187"/>
      <c r="I33" s="52">
        <f>'EM ASIA INCUMB'!$H$23</f>
        <v>2.6098477020344735E-2</v>
      </c>
      <c r="J33" s="52">
        <f>'EM ASIA INCUMB'!$H$24</f>
        <v>2.673395649564414E-2</v>
      </c>
      <c r="K33" s="52">
        <f>'EM ASIA INCUMB'!$H$30</f>
        <v>8.1463448437963049E-2</v>
      </c>
      <c r="L33" s="156"/>
      <c r="M33" s="188">
        <f>'EM ASIA INCUMB'!$F$11/1000</f>
        <v>112.48548110252057</v>
      </c>
      <c r="N33" s="188">
        <f>'EM ASIA INCUMB'!$F$12/1000</f>
        <v>-5.4047323171004829</v>
      </c>
      <c r="O33" s="188">
        <f>'EM ASIA INCUMB'!$F$18/1000</f>
        <v>83.764590271449791</v>
      </c>
      <c r="P33" s="150">
        <f>N33/D33</f>
        <v>-0.11541212987849782</v>
      </c>
      <c r="Q33" s="156"/>
      <c r="R33" s="150">
        <f>O33/D33</f>
        <v>1.7887009391825139</v>
      </c>
      <c r="S33" s="150">
        <f>M33/E33</f>
        <v>9.1309779340963892</v>
      </c>
      <c r="T33" s="150">
        <f>S33/(AA33*100)</f>
        <v>0.97503780600662904</v>
      </c>
      <c r="U33" s="52">
        <f>F33/O33</f>
        <v>0.22671889315636609</v>
      </c>
      <c r="V33" s="52">
        <f>G33/M33</f>
        <v>7.8154250715205847E-2</v>
      </c>
      <c r="AA33" s="467">
        <f>('EM ASIA INCUMB'!$G$30/'EM ASIA INCUMB'!$E$30)^(1/2)-1</f>
        <v>9.3647424518781275E-2</v>
      </c>
    </row>
    <row r="34" spans="2:27">
      <c r="B34" s="173" t="s">
        <v>139</v>
      </c>
      <c r="C34" s="150">
        <f>'EM ASIA CELLULAR'!$F$23/1000</f>
        <v>247.01843833502556</v>
      </c>
      <c r="D34" s="150">
        <f>'EM ASIA CELLULAR'!$F$24/1000</f>
        <v>93.45824928779534</v>
      </c>
      <c r="E34" s="150">
        <f>'EM ASIA CELLULAR'!$F$30/1000</f>
        <v>33.395777746848971</v>
      </c>
      <c r="F34" s="150">
        <f>'EM ASIA CELLULAR'!$F$26/1000</f>
        <v>46.271353053455911</v>
      </c>
      <c r="G34" s="150">
        <f>'EM ASIA CELLULAR'!$F$31/1000</f>
        <v>25.555857455181641</v>
      </c>
      <c r="H34" s="187"/>
      <c r="I34" s="52">
        <f>'EM ASIA CELLULAR'!$H$23</f>
        <v>3.7791869196546202E-2</v>
      </c>
      <c r="J34" s="52">
        <f>'EM ASIA CELLULAR'!$H$24</f>
        <v>5.7159296356091849E-2</v>
      </c>
      <c r="K34" s="52">
        <f>'EM ASIA CELLULAR'!$H$30</f>
        <v>0.13124588026653594</v>
      </c>
      <c r="L34" s="156"/>
      <c r="M34" s="188">
        <f>'EM ASIA CELLULAR'!$F$11/1000</f>
        <v>446.69409761245828</v>
      </c>
      <c r="N34" s="188">
        <f>'EM ASIA CELLULAR'!$F$12/1000</f>
        <v>41.289878581763709</v>
      </c>
      <c r="O34" s="188">
        <f>'EM ASIA CELLULAR'!$F$18/1000</f>
        <v>439.10225072491011</v>
      </c>
      <c r="P34" s="150">
        <f>N34/D34</f>
        <v>0.44180025729580763</v>
      </c>
      <c r="Q34" s="156"/>
      <c r="R34" s="150">
        <f>O34/D34</f>
        <v>4.6983787313706102</v>
      </c>
      <c r="S34" s="150">
        <f>M34/E34</f>
        <v>13.375765673090386</v>
      </c>
      <c r="T34" s="150">
        <f>S34/(AA34*100)</f>
        <v>1.0313306359041496</v>
      </c>
      <c r="U34" s="52">
        <f>F34/O34</f>
        <v>0.1053771712102749</v>
      </c>
      <c r="V34" s="52">
        <f>G34/M34</f>
        <v>5.7211092762979213E-2</v>
      </c>
      <c r="AA34" s="467">
        <f>('EM ASIA CELLULAR'!$G$30/'EM ASIA CELLULAR'!$E$30)^(1/2)-1</f>
        <v>0.12969425330184325</v>
      </c>
    </row>
    <row r="35" spans="2:27">
      <c r="B35" s="169" t="s">
        <v>620</v>
      </c>
      <c r="C35" s="195">
        <f>'AGG EM ASIA'!$F$23/1000</f>
        <v>419.59560062075406</v>
      </c>
      <c r="D35" s="195">
        <f>'AGG EM ASIA'!$F$24/1000</f>
        <v>140.28809570680181</v>
      </c>
      <c r="E35" s="195">
        <f>'AGG EM ASIA'!$F$30/1000</f>
        <v>45.714883314116143</v>
      </c>
      <c r="F35" s="195">
        <f>'AGG EM ASIA'!$F$26/1000</f>
        <v>65.262368245495523</v>
      </c>
      <c r="G35" s="195">
        <f>'AGG EM ASIA'!$F$31/1000</f>
        <v>34.347075947088584</v>
      </c>
      <c r="H35" s="187"/>
      <c r="I35" s="194">
        <f>'AGG EM ASIA'!$H$23</f>
        <v>3.2953234769394157E-2</v>
      </c>
      <c r="J35" s="194">
        <f>'AGG EM ASIA'!$H$24</f>
        <v>4.6760508116739707E-2</v>
      </c>
      <c r="K35" s="194">
        <f>'AGG EM ASIA'!$H$30</f>
        <v>0.11718429181945922</v>
      </c>
      <c r="L35" s="156"/>
      <c r="M35" s="193">
        <f>'AGG EM ASIA'!$F$11/1000</f>
        <v>559.1795787149789</v>
      </c>
      <c r="N35" s="193">
        <f>'AGG EM ASIA'!$F$12/1000</f>
        <v>35.885146264663227</v>
      </c>
      <c r="O35" s="193">
        <f>'AGG EM ASIA'!$F$18/1000</f>
        <v>522.86684099636</v>
      </c>
      <c r="P35" s="195">
        <f>N35/D35</f>
        <v>0.25579608935359832</v>
      </c>
      <c r="Q35" s="156"/>
      <c r="R35" s="195">
        <f>O35/D35</f>
        <v>3.7270934384135987</v>
      </c>
      <c r="S35" s="195">
        <f>M35/E35</f>
        <v>12.231893383009286</v>
      </c>
      <c r="T35" s="195">
        <f>S35/(AA35*100)</f>
        <v>1.020910017918939</v>
      </c>
      <c r="U35" s="194">
        <f>F35/O35</f>
        <v>0.12481642194240782</v>
      </c>
      <c r="V35" s="194">
        <f>G35/M35</f>
        <v>6.142405276319244E-2</v>
      </c>
      <c r="AA35" s="468">
        <f>('AGG EM ASIA'!$G$30/'AGG EM ASIA'!$E$30)^(1/2)-1</f>
        <v>0.11981362870689849</v>
      </c>
    </row>
    <row r="36" spans="2:27">
      <c r="B36" s="178"/>
      <c r="C36" s="150"/>
      <c r="D36" s="150"/>
      <c r="E36" s="150"/>
      <c r="F36" s="150"/>
      <c r="G36" s="150"/>
      <c r="H36" s="187"/>
      <c r="L36" s="156"/>
      <c r="Q36" s="156"/>
      <c r="R36" s="150"/>
      <c r="S36" s="150"/>
      <c r="T36" s="150"/>
      <c r="U36" s="52"/>
      <c r="V36" s="52"/>
      <c r="AA36" s="466"/>
    </row>
    <row r="37" spans="2:27">
      <c r="B37" s="169" t="s">
        <v>618</v>
      </c>
      <c r="C37" s="195">
        <f>'AGG EM'!$F$23/1000</f>
        <v>566.64173734698988</v>
      </c>
      <c r="D37" s="195">
        <f>'AGG EM'!$F$24/1000</f>
        <v>199.69468888142583</v>
      </c>
      <c r="E37" s="195">
        <f>'AGG EM'!$F$30/1000</f>
        <v>65.756805287734593</v>
      </c>
      <c r="F37" s="195">
        <f>'AGG EM'!$F$26/1000</f>
        <v>91.576305200253003</v>
      </c>
      <c r="G37" s="195">
        <f>'AGG EM'!$F$31/1000</f>
        <v>44.021722884214718</v>
      </c>
      <c r="H37" s="187"/>
      <c r="I37" s="194">
        <f>'AGG EM'!$H$23</f>
        <v>4.4558890265639972E-2</v>
      </c>
      <c r="J37" s="194">
        <f>'AGG EM'!$H$24</f>
        <v>6.193934493836073E-2</v>
      </c>
      <c r="K37" s="194">
        <f>'AGG EM'!$H$30</f>
        <v>0.13934450175390167</v>
      </c>
      <c r="L37" s="156"/>
      <c r="M37" s="193">
        <f>'AGG EM'!$F$11/1000</f>
        <v>746.94419316770507</v>
      </c>
      <c r="N37" s="193">
        <f>'AGG EM'!$F$12/1000</f>
        <v>99.401183507221958</v>
      </c>
      <c r="O37" s="193">
        <f>'AGG EM'!$F$18/1000</f>
        <v>775.79644841120717</v>
      </c>
      <c r="P37" s="195">
        <f>N37/D37</f>
        <v>0.49776578467865074</v>
      </c>
      <c r="Q37" s="156"/>
      <c r="R37" s="195">
        <f>O37/D37</f>
        <v>3.8849127773841672</v>
      </c>
      <c r="S37" s="195">
        <f>M37/E37</f>
        <v>11.359192252410567</v>
      </c>
      <c r="T37" s="195">
        <f>S37/(AA37*100)</f>
        <v>0.87119632229350918</v>
      </c>
      <c r="U37" s="194">
        <f>F37/O37</f>
        <v>0.11804166593930245</v>
      </c>
      <c r="V37" s="194">
        <f>G37/M37</f>
        <v>5.8935758905258526E-2</v>
      </c>
      <c r="AA37" s="468">
        <f>('AGG EM'!$G$30/'AGG EM'!$E$30)^(1/2)-1</f>
        <v>0.13038613641648977</v>
      </c>
    </row>
    <row r="38" spans="2:27">
      <c r="B38" s="178"/>
      <c r="C38" s="150"/>
      <c r="D38" s="150"/>
      <c r="E38" s="150"/>
      <c r="F38" s="150"/>
      <c r="G38" s="150"/>
      <c r="H38" s="187"/>
      <c r="L38" s="156"/>
      <c r="M38" s="190"/>
      <c r="N38" s="190"/>
      <c r="O38" s="190"/>
      <c r="P38" s="190"/>
      <c r="Q38" s="156"/>
      <c r="R38" s="150"/>
      <c r="S38" s="150"/>
      <c r="T38" s="150"/>
      <c r="U38" s="52"/>
      <c r="V38" s="52"/>
      <c r="AA38" s="466"/>
    </row>
    <row r="39" spans="2:27">
      <c r="B39" s="198" t="s">
        <v>621</v>
      </c>
      <c r="C39" s="197">
        <f>SUM(C24+C37)</f>
        <v>1675.1585106906962</v>
      </c>
      <c r="D39" s="197">
        <f>SUM(D24+D37)</f>
        <v>591.18779351070009</v>
      </c>
      <c r="E39" s="197">
        <f>SUM(E24+E37)</f>
        <v>190.33279579230873</v>
      </c>
      <c r="F39" s="197">
        <f>SUM(F24+F37)</f>
        <v>259.97471137293911</v>
      </c>
      <c r="G39" s="197">
        <f>SUM(G24+G37)</f>
        <v>111.20316970189668</v>
      </c>
      <c r="H39" s="187"/>
      <c r="I39" s="39">
        <f>(('AGG DM'!$G$23+'AGG EM'!$G$23)/('AGG DM'!$D$23+'AGG EM'!$D$23))^(1/3)-1</f>
        <v>4.6479916784676334E-3</v>
      </c>
      <c r="J39" s="39">
        <f>(('AGG DM'!$G$24+'AGG EM'!$G$24)/('AGG DM'!$D$24+'AGG EM'!$D$24))^(1/3)-1</f>
        <v>2.2856299189640605E-2</v>
      </c>
      <c r="K39" s="39">
        <f>(('AGG DM'!$G$30+'AGG EM'!$G$30)/('AGG DM'!$D$30+'AGG EM'!$D$30))^(1/3)-1</f>
        <v>6.1659546198852722E-2</v>
      </c>
      <c r="L39" s="156"/>
      <c r="M39" s="196">
        <f>SUM(M24+M37)</f>
        <v>2464.2138442616797</v>
      </c>
      <c r="N39" s="196">
        <f>SUM(N24+N37)</f>
        <v>1127.2761189164999</v>
      </c>
      <c r="O39" s="196">
        <f>SUM(O24+O37)</f>
        <v>3557.0766553175836</v>
      </c>
      <c r="P39" s="197">
        <f>N39/D39</f>
        <v>1.9067987047268034</v>
      </c>
      <c r="Q39" s="156"/>
      <c r="R39" s="197">
        <f>O39/D39</f>
        <v>6.0168303445412779</v>
      </c>
      <c r="S39" s="197">
        <f>M39/E39</f>
        <v>12.946869371638041</v>
      </c>
      <c r="T39" s="197">
        <f>S39/(AA39*100)</f>
        <v>3.752557065040659</v>
      </c>
      <c r="U39" s="39">
        <f>F39/O39</f>
        <v>7.308662043712072E-2</v>
      </c>
      <c r="V39" s="39">
        <f>G39/M39</f>
        <v>4.5127240057047498E-2</v>
      </c>
      <c r="AA39" s="468">
        <f>(('AGG DM'!$G$30+'AGG EM'!$G$30)/('AGG DM'!$E$30+'AGG EM'!$E$30))^(1/2)-1</f>
        <v>3.4501458997793444E-2</v>
      </c>
    </row>
    <row r="40" spans="2:27">
      <c r="B40" s="23" t="s">
        <v>1282</v>
      </c>
      <c r="H40" s="187"/>
      <c r="L40" s="156"/>
      <c r="Q40" s="156"/>
    </row>
    <row r="41" spans="2:27">
      <c r="H41" s="187"/>
      <c r="L41" s="156"/>
      <c r="Q41" s="156"/>
    </row>
  </sheetData>
  <conditionalFormatting sqref="B10:G39 I10:K39 M10:P39 R10:V39">
    <cfRule type="expression" dxfId="0" priority="1">
      <formula>EVEN(ROW())=ROW()</formula>
    </cfRule>
  </conditionalFormatting>
  <hyperlinks>
    <hyperlink ref="Y1" location="Prices!A1" display="Jump to Prices" xr:uid="{DC71BE00-3BD0-4B0C-B38A-9ADCB54F42B4}"/>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pageSetUpPr fitToPage="1"/>
  </sheetPr>
  <dimension ref="B1:AR50"/>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316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321</v>
      </c>
      <c r="C9" s="241">
        <f>Prices!C34</f>
        <v>189.65</v>
      </c>
      <c r="D9" s="415">
        <v>2.411044</v>
      </c>
      <c r="E9" s="416">
        <v>2.411044</v>
      </c>
      <c r="F9" s="416">
        <v>2.411044</v>
      </c>
      <c r="G9" s="416">
        <v>2.411044</v>
      </c>
      <c r="H9" s="209" t="s">
        <v>319</v>
      </c>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241">
        <f>Prices!C33</f>
        <v>191.5</v>
      </c>
      <c r="D10" s="417">
        <v>687.93055300000003</v>
      </c>
      <c r="E10" s="417">
        <v>687.93055300000003</v>
      </c>
      <c r="F10" s="417">
        <v>687.93055300000003</v>
      </c>
      <c r="G10" s="417">
        <v>687.93055300000003</v>
      </c>
      <c r="H10" s="209" t="s">
        <v>318</v>
      </c>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(D10*$C$10)+(D9*$C$9)</f>
        <v>132195.95539409999</v>
      </c>
      <c r="E11" s="409">
        <f>(E10*$C$10)+(E9*$C$9)</f>
        <v>132195.95539409999</v>
      </c>
      <c r="F11" s="409">
        <f>(F10*$C$10)+(F9*$C$9)</f>
        <v>132195.95539409999</v>
      </c>
      <c r="G11" s="409">
        <f>(G10*$C$10)+(G9*$C$9)</f>
        <v>132195.95539409999</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24283.215785382177</v>
      </c>
      <c r="E12" s="410">
        <v>21008.785642044899</v>
      </c>
      <c r="F12" s="410">
        <v>21644.291894034915</v>
      </c>
      <c r="G12" s="410">
        <v>22246.853671728506</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5865.3267222612658</v>
      </c>
      <c r="E13" s="410">
        <v>5865.3267222612658</v>
      </c>
      <c r="F13" s="410">
        <v>5865.3267222612658</v>
      </c>
      <c r="G13" s="410">
        <v>5865.3267222612658</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f>TELE2SOP!J29</f>
        <v>3102.4210000000003</v>
      </c>
      <c r="E14" s="410">
        <f t="shared" ref="E14:G15" si="2">D14</f>
        <v>3102.4210000000003</v>
      </c>
      <c r="F14" s="410">
        <f t="shared" si="2"/>
        <v>3102.4210000000003</v>
      </c>
      <c r="G14" s="410">
        <f t="shared" si="2"/>
        <v>3102.4210000000003</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f>TELE2SOP!T15</f>
        <v>0</v>
      </c>
      <c r="E15" s="410">
        <f t="shared" si="2"/>
        <v>0</v>
      </c>
      <c r="F15" s="410">
        <f t="shared" si="2"/>
        <v>0</v>
      </c>
      <c r="G15" s="410">
        <f t="shared" si="2"/>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7223.2708065000006</v>
      </c>
      <c r="F16" s="410">
        <v>14591.007029130002</v>
      </c>
      <c r="G16" s="410">
        <v>22106.097976212601</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810.04653891415421</v>
      </c>
      <c r="E17" s="410">
        <v>810.04653891415421</v>
      </c>
      <c r="F17" s="410">
        <v>810.04653891415421</v>
      </c>
      <c r="G17" s="410">
        <v>810.04653891415421</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158432.03036282927</v>
      </c>
      <c r="E18" s="411">
        <f>E11+E12+E13-E14+E15-E16-E17</f>
        <v>147934.32941299203</v>
      </c>
      <c r="F18" s="411">
        <f>F11+F12+F13-F14+F15-F16-F17</f>
        <v>141202.09944235202</v>
      </c>
      <c r="G18" s="411">
        <f>G11+G12+G13-G14+G15-G16-G17</f>
        <v>134289.57027296303</v>
      </c>
      <c r="H18" s="230">
        <f>IF(D18=0,"nm",IF(G18=0,"nm",(G18/D18)^(1/3)-1))</f>
        <v>-5.3618085933654025E-2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781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29582.830470657464</v>
      </c>
      <c r="D23" s="416">
        <v>29890.041321647808</v>
      </c>
      <c r="E23" s="416">
        <v>30343.810123731797</v>
      </c>
      <c r="F23" s="416">
        <v>31029.245366750045</v>
      </c>
      <c r="G23" s="416">
        <v>31565.861396451051</v>
      </c>
      <c r="H23" s="233">
        <f t="shared" ref="H23:H32" si="4">IF(D23=0,"nm",IF(G23=0,"nm",(G23/D23)^(1/3)-1))</f>
        <v>1.8349942633420158E-2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10612.414672600187</v>
      </c>
      <c r="D24" s="416">
        <v>11728.512608959785</v>
      </c>
      <c r="E24" s="416">
        <v>12013.509891035377</v>
      </c>
      <c r="F24" s="416">
        <v>12361.928653198964</v>
      </c>
      <c r="G24" s="416">
        <v>12691.1506745268</v>
      </c>
      <c r="H24" s="233">
        <f>IF(D24=0,"nm",IF(G24=0,"nm",(G24/D24)^(1/3)-1))</f>
        <v>2.664277163225548E-2</v>
      </c>
      <c r="I24" s="209"/>
      <c r="J24" s="13"/>
      <c r="K24" s="13"/>
      <c r="L24" s="13"/>
      <c r="M24" s="13"/>
      <c r="N24" s="13"/>
      <c r="O24" s="208"/>
      <c r="S24" s="72"/>
      <c r="T24" s="26"/>
      <c r="U24" s="26"/>
      <c r="V24" s="26"/>
      <c r="W24" s="26" t="s">
        <v>317</v>
      </c>
      <c r="X24" s="26" t="s">
        <v>208</v>
      </c>
    </row>
    <row r="25" spans="2:24">
      <c r="B25" s="5" t="s">
        <v>157</v>
      </c>
      <c r="C25" s="422">
        <v>6539.8420755464977</v>
      </c>
      <c r="D25" s="416">
        <v>8488.8721141833576</v>
      </c>
      <c r="E25" s="416">
        <v>8765.9755636436203</v>
      </c>
      <c r="F25" s="416">
        <v>9103.3392523458315</v>
      </c>
      <c r="G25" s="416">
        <v>9425.2022179267042</v>
      </c>
      <c r="H25" s="233">
        <f t="shared" si="4"/>
        <v>3.5492351228082031E-2</v>
      </c>
      <c r="I25" s="208"/>
      <c r="J25" s="207" t="s">
        <v>8</v>
      </c>
      <c r="K25" s="207"/>
      <c r="L25" s="252">
        <v>6178.1252357957728</v>
      </c>
      <c r="M25" s="252">
        <v>0</v>
      </c>
      <c r="N25" s="252">
        <v>0</v>
      </c>
      <c r="O25" s="252">
        <v>0</v>
      </c>
      <c r="P25" s="233" t="str">
        <f>IF(L25=0,"nm",IF(O25=0,"nm",(O25/L25)^(1/3)-1))</f>
        <v>nm</v>
      </c>
      <c r="S25" s="72"/>
      <c r="T25" s="26"/>
      <c r="U25" s="26"/>
      <c r="V25" s="113" t="s">
        <v>225</v>
      </c>
      <c r="W25" s="242">
        <f>D37/L9</f>
        <v>3.9363858058477654</v>
      </c>
      <c r="X25" s="242">
        <v>1</v>
      </c>
    </row>
    <row r="26" spans="2:24">
      <c r="B26" s="5" t="s">
        <v>487</v>
      </c>
      <c r="C26" s="422">
        <v>5280.7750414407847</v>
      </c>
      <c r="D26" s="416">
        <v>6856.5075718491325</v>
      </c>
      <c r="E26" s="416">
        <v>7070.599631519839</v>
      </c>
      <c r="F26" s="416">
        <v>7339.5974559897459</v>
      </c>
      <c r="G26" s="416">
        <v>7599.5619700908292</v>
      </c>
      <c r="H26" s="233">
        <f t="shared" si="4"/>
        <v>3.489240636365043E-2</v>
      </c>
      <c r="I26" s="209"/>
      <c r="J26" s="209" t="s">
        <v>9</v>
      </c>
      <c r="K26" s="209"/>
      <c r="L26" s="235">
        <f>D11+L25</f>
        <v>138374.08062989576</v>
      </c>
      <c r="M26" s="235">
        <f>E11+M25</f>
        <v>132195.95539409999</v>
      </c>
      <c r="N26" s="235">
        <f>F11+N25</f>
        <v>132195.95539409999</v>
      </c>
      <c r="O26" s="235">
        <f>G11+O25</f>
        <v>132195.95539409999</v>
      </c>
      <c r="P26" s="233">
        <f>IF(L26=0,"nm",IF(O26=0,"nm",(O26/L26)^(1/3)-1))</f>
        <v>-1.5109821763957143E-2</v>
      </c>
      <c r="Q26" s="5"/>
      <c r="S26" s="72"/>
      <c r="T26" s="26"/>
      <c r="U26" s="26"/>
      <c r="V26" s="113" t="s">
        <v>158</v>
      </c>
      <c r="W26" s="242">
        <f t="shared" ref="W26:W33" si="6">D38/L10</f>
        <v>2.0260290329322559</v>
      </c>
      <c r="X26" s="242">
        <v>1</v>
      </c>
    </row>
    <row r="27" spans="2:24">
      <c r="B27" s="5" t="s">
        <v>488</v>
      </c>
      <c r="C27" s="422">
        <v>48309.316257242157</v>
      </c>
      <c r="D27" s="416">
        <v>46549.719147943004</v>
      </c>
      <c r="E27" s="416">
        <v>40813.753882326739</v>
      </c>
      <c r="F27" s="416">
        <v>39247.325823108768</v>
      </c>
      <c r="G27" s="416">
        <v>37759.377575580533</v>
      </c>
      <c r="H27" s="233">
        <f t="shared" si="4"/>
        <v>-6.7384589930844063E-2</v>
      </c>
      <c r="I27" s="209"/>
      <c r="J27" s="208"/>
      <c r="K27" s="208"/>
      <c r="L27" s="208"/>
      <c r="M27" s="208"/>
      <c r="N27" s="208"/>
      <c r="O27" s="208"/>
      <c r="Q27" s="25"/>
      <c r="S27" s="72"/>
      <c r="T27" s="26"/>
      <c r="U27" s="26"/>
      <c r="V27" s="113" t="s">
        <v>159</v>
      </c>
      <c r="W27" s="242">
        <f t="shared" si="6"/>
        <v>1.1873168587978653</v>
      </c>
      <c r="X27" s="242">
        <v>1</v>
      </c>
    </row>
    <row r="28" spans="2:24" ht="12.6" thickBot="1">
      <c r="B28" s="5" t="s">
        <v>492</v>
      </c>
      <c r="C28" s="422">
        <v>10116.553013927029</v>
      </c>
      <c r="D28" s="416">
        <v>10008.437636135974</v>
      </c>
      <c r="E28" s="416">
        <v>4425.9123816797946</v>
      </c>
      <c r="F28" s="416">
        <v>3669.8544323196475</v>
      </c>
      <c r="G28" s="416">
        <v>2919.3157747697187</v>
      </c>
      <c r="H28" s="233">
        <f t="shared" si="4"/>
        <v>-0.33680955227558829</v>
      </c>
      <c r="I28" s="208"/>
      <c r="J28" s="249" t="s">
        <v>1073</v>
      </c>
      <c r="K28" s="249"/>
      <c r="L28" s="249"/>
      <c r="M28" s="249"/>
      <c r="N28" s="220"/>
      <c r="O28" s="220"/>
      <c r="P28" s="220"/>
      <c r="Q28" s="5"/>
      <c r="S28" s="72"/>
      <c r="T28" s="26"/>
      <c r="U28" s="26"/>
      <c r="V28" s="113" t="s">
        <v>381</v>
      </c>
      <c r="W28" s="242">
        <f t="shared" si="6"/>
        <v>1.0935597502850285</v>
      </c>
      <c r="X28" s="242">
        <v>1</v>
      </c>
    </row>
    <row r="29" spans="2:24" ht="12.6" thickTop="1">
      <c r="B29" s="5" t="s">
        <v>489</v>
      </c>
      <c r="C29" s="422">
        <v>4065.279105406521</v>
      </c>
      <c r="D29" s="416">
        <v>6273.4504602982588</v>
      </c>
      <c r="E29" s="416">
        <v>6379.0859148406525</v>
      </c>
      <c r="F29" s="416">
        <v>6816.2052280069956</v>
      </c>
      <c r="G29" s="416">
        <v>7025.4197297990831</v>
      </c>
      <c r="H29" s="233">
        <f t="shared" si="4"/>
        <v>3.8457198246544477E-2</v>
      </c>
      <c r="I29" s="212"/>
      <c r="J29" s="209"/>
      <c r="K29" s="209"/>
      <c r="L29" s="209"/>
      <c r="M29" s="209"/>
      <c r="N29" s="209"/>
      <c r="O29" s="211"/>
      <c r="Q29" s="5"/>
      <c r="S29" s="72"/>
      <c r="T29" s="26"/>
      <c r="U29" s="26"/>
      <c r="V29" s="113" t="s">
        <v>434</v>
      </c>
      <c r="W29" s="242">
        <f t="shared" si="6"/>
        <v>2.8079921010042797</v>
      </c>
      <c r="X29" s="242">
        <v>1</v>
      </c>
    </row>
    <row r="30" spans="2:24">
      <c r="B30" s="5" t="s">
        <v>490</v>
      </c>
      <c r="C30" s="422">
        <v>4028.0610303871972</v>
      </c>
      <c r="D30" s="416">
        <v>4932.6934277229593</v>
      </c>
      <c r="E30" s="416">
        <v>5310.9482828433584</v>
      </c>
      <c r="F30" s="416">
        <v>5615.0145100443615</v>
      </c>
      <c r="G30" s="416">
        <v>5873.7935204831256</v>
      </c>
      <c r="H30" s="233">
        <f t="shared" si="4"/>
        <v>5.9932438905610175E-2</v>
      </c>
      <c r="I30" s="214"/>
      <c r="J30" s="208"/>
      <c r="K30" s="208"/>
      <c r="L30" s="208"/>
      <c r="M30" s="208"/>
      <c r="N30" s="208"/>
      <c r="O30" s="5"/>
      <c r="Q30" s="5"/>
      <c r="S30" s="72"/>
      <c r="T30" s="26"/>
      <c r="U30" s="26"/>
      <c r="V30" s="113" t="s">
        <v>493</v>
      </c>
      <c r="W30" s="242">
        <f t="shared" si="6"/>
        <v>5.2828433933273446</v>
      </c>
      <c r="X30" s="242">
        <v>1</v>
      </c>
    </row>
    <row r="31" spans="2:24">
      <c r="B31" s="5" t="s">
        <v>491</v>
      </c>
      <c r="C31" s="422">
        <v>4368.3590115500001</v>
      </c>
      <c r="D31" s="416">
        <v>7223.2708065000006</v>
      </c>
      <c r="E31" s="416">
        <v>7367.7362226300011</v>
      </c>
      <c r="F31" s="416">
        <v>7515.0909470826009</v>
      </c>
      <c r="G31" s="416">
        <v>7665.3927660242534</v>
      </c>
      <c r="H31" s="233">
        <f t="shared" si="4"/>
        <v>2.0000000000000018E-2</v>
      </c>
      <c r="I31" s="214"/>
      <c r="J31" s="212"/>
      <c r="K31" s="212"/>
      <c r="L31" s="212"/>
      <c r="M31" s="212"/>
      <c r="N31" s="212"/>
      <c r="O31" s="5"/>
      <c r="Q31" s="5"/>
      <c r="S31" s="72"/>
      <c r="T31" s="26"/>
      <c r="U31" s="26"/>
      <c r="V31" s="113" t="s">
        <v>390</v>
      </c>
      <c r="W31" s="242">
        <f t="shared" si="6"/>
        <v>1.076029147377022</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1.1360348415645054</v>
      </c>
      <c r="X32" s="242">
        <v>1</v>
      </c>
    </row>
    <row r="33" spans="2:24">
      <c r="B33" s="5" t="s">
        <v>3</v>
      </c>
      <c r="C33" s="422">
        <v>1067.8098556553036</v>
      </c>
      <c r="D33" s="416">
        <v>936.78776872125059</v>
      </c>
      <c r="E33" s="416">
        <v>650.37697335976338</v>
      </c>
      <c r="F33" s="416">
        <v>644.75524688580072</v>
      </c>
      <c r="G33" s="416">
        <v>695.66017581118297</v>
      </c>
      <c r="H33" s="233">
        <f>IF(D33=0,"nm",IF(G33=0,"nm",(G33/D33)^(1/3)-1))</f>
        <v>-9.443705434039118E-2</v>
      </c>
      <c r="I33" s="5"/>
      <c r="J33" s="214"/>
      <c r="K33" s="214"/>
      <c r="L33" s="214"/>
      <c r="M33" s="214"/>
      <c r="N33" s="214"/>
      <c r="O33" s="211"/>
      <c r="Q33" s="5"/>
      <c r="S33" s="72"/>
      <c r="T33" s="26"/>
      <c r="U33" s="26"/>
      <c r="V33" s="113" t="s">
        <v>481</v>
      </c>
      <c r="W33" s="242">
        <f t="shared" si="6"/>
        <v>1.4159190772790775</v>
      </c>
      <c r="X33" s="242">
        <v>1</v>
      </c>
    </row>
    <row r="34" spans="2:24">
      <c r="B34" s="5"/>
      <c r="C34" s="207"/>
      <c r="D34" s="13"/>
      <c r="E34" s="13"/>
      <c r="F34" s="13"/>
      <c r="G34" s="13"/>
      <c r="H34" s="231"/>
      <c r="I34" s="33"/>
      <c r="J34" s="214"/>
      <c r="K34" s="214"/>
      <c r="L34" s="214"/>
      <c r="M34" s="214"/>
      <c r="N34" s="214"/>
      <c r="O34" s="211"/>
      <c r="Q34" s="5"/>
      <c r="S34" s="72"/>
      <c r="T34" s="26"/>
      <c r="U34" s="26"/>
      <c r="V34" s="113" t="s">
        <v>482</v>
      </c>
      <c r="W34" s="242">
        <f>D47/L19</f>
        <v>0.92934285510540837</v>
      </c>
      <c r="X34" s="242">
        <v>1</v>
      </c>
    </row>
    <row r="35" spans="2:24" ht="12.6" thickBot="1">
      <c r="B35" s="249" t="s">
        <v>320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5.3004955281906945</v>
      </c>
      <c r="E37" s="406">
        <f t="shared" ref="E37:G41" si="8">E$18/E23</f>
        <v>4.8752720508652621</v>
      </c>
      <c r="F37" s="406">
        <f t="shared" si="8"/>
        <v>4.5506133898331829</v>
      </c>
      <c r="G37" s="406">
        <f t="shared" si="8"/>
        <v>4.2542659801471849</v>
      </c>
      <c r="H37" s="13">
        <f t="shared" ref="H37:H45" si="9">H23</f>
        <v>1.8349942633420158E-2</v>
      </c>
      <c r="I37" s="5"/>
      <c r="J37" s="217"/>
      <c r="K37" s="217"/>
      <c r="L37" s="217"/>
      <c r="M37" s="217"/>
      <c r="N37" s="217"/>
      <c r="O37" s="14"/>
      <c r="Q37" s="5"/>
      <c r="R37" s="5"/>
      <c r="S37" s="26"/>
      <c r="T37" s="26"/>
      <c r="U37" s="26"/>
      <c r="V37" s="26"/>
      <c r="W37" s="26"/>
      <c r="X37" s="26"/>
    </row>
    <row r="38" spans="2:24">
      <c r="B38" s="5" t="s">
        <v>158</v>
      </c>
      <c r="C38" s="207"/>
      <c r="D38" s="406">
        <f>D$18/D24</f>
        <v>13.508279834375417</v>
      </c>
      <c r="E38" s="406">
        <f t="shared" si="8"/>
        <v>12.313997387506408</v>
      </c>
      <c r="F38" s="406">
        <f t="shared" si="8"/>
        <v>11.422335737701607</v>
      </c>
      <c r="G38" s="406">
        <f t="shared" si="8"/>
        <v>10.581354970633514</v>
      </c>
      <c r="H38" s="13">
        <f>H24</f>
        <v>2.664277163225548E-2</v>
      </c>
      <c r="I38" s="217"/>
      <c r="J38" s="13"/>
      <c r="K38" s="13"/>
      <c r="L38" s="13"/>
      <c r="M38" s="13"/>
      <c r="N38" s="13"/>
      <c r="O38" s="5"/>
      <c r="Q38" s="5"/>
      <c r="R38" s="5"/>
      <c r="S38" s="26"/>
      <c r="T38" s="26"/>
      <c r="U38" s="26"/>
      <c r="V38" s="26"/>
      <c r="W38" s="26"/>
      <c r="X38" s="26"/>
    </row>
    <row r="39" spans="2:24">
      <c r="B39" s="5" t="s">
        <v>159</v>
      </c>
      <c r="C39" s="207"/>
      <c r="D39" s="406">
        <f>D$18/D25</f>
        <v>18.66349595467674</v>
      </c>
      <c r="E39" s="406">
        <f t="shared" si="8"/>
        <v>16.875968720075054</v>
      </c>
      <c r="F39" s="406">
        <f t="shared" si="8"/>
        <v>15.511022442228084</v>
      </c>
      <c r="G39" s="406">
        <f t="shared" si="8"/>
        <v>14.247924571585816</v>
      </c>
      <c r="H39" s="13">
        <f t="shared" si="9"/>
        <v>3.5492351228082031E-2</v>
      </c>
      <c r="I39" s="13"/>
      <c r="J39" s="5"/>
      <c r="K39" s="5"/>
      <c r="L39" s="5"/>
      <c r="M39" s="5"/>
      <c r="N39" s="5"/>
      <c r="O39" s="5"/>
      <c r="Q39" s="5"/>
      <c r="R39" s="5"/>
      <c r="S39" s="26"/>
      <c r="T39" s="26"/>
      <c r="U39" s="26"/>
      <c r="V39" s="26"/>
      <c r="W39" s="26"/>
      <c r="X39" s="26"/>
    </row>
    <row r="40" spans="2:24">
      <c r="B40" s="5" t="s">
        <v>381</v>
      </c>
      <c r="C40" s="207"/>
      <c r="D40" s="406">
        <f>D$18/D26</f>
        <v>23.106811843000958</v>
      </c>
      <c r="E40" s="406">
        <f t="shared" si="8"/>
        <v>20.92245879027282</v>
      </c>
      <c r="F40" s="406">
        <f t="shared" si="8"/>
        <v>19.238398330295198</v>
      </c>
      <c r="G40" s="406">
        <f t="shared" si="8"/>
        <v>17.670698758886232</v>
      </c>
      <c r="H40" s="13">
        <f t="shared" si="9"/>
        <v>3.489240636365043E-2</v>
      </c>
      <c r="I40" s="5"/>
      <c r="J40" s="217"/>
      <c r="K40" s="217"/>
      <c r="L40" s="217"/>
      <c r="M40" s="217"/>
      <c r="N40" s="217"/>
      <c r="O40" s="14"/>
      <c r="Q40" s="5"/>
      <c r="R40" s="5"/>
      <c r="S40" s="26"/>
      <c r="T40" s="26"/>
      <c r="U40" s="26"/>
      <c r="V40" s="26"/>
      <c r="W40" s="242"/>
      <c r="X40" s="242"/>
    </row>
    <row r="41" spans="2:24">
      <c r="B41" s="5" t="s">
        <v>434</v>
      </c>
      <c r="C41" s="207"/>
      <c r="D41" s="406">
        <f>D$18/D27</f>
        <v>3.4035013156428522</v>
      </c>
      <c r="E41" s="406">
        <f t="shared" si="8"/>
        <v>3.6246195299631792</v>
      </c>
      <c r="F41" s="406">
        <f t="shared" si="8"/>
        <v>3.5977508398600864</v>
      </c>
      <c r="G41" s="406">
        <f t="shared" si="8"/>
        <v>3.5564561413694964</v>
      </c>
      <c r="H41" s="13">
        <f t="shared" si="9"/>
        <v>-6.7384589930844063E-2</v>
      </c>
      <c r="I41" s="207"/>
      <c r="J41" s="13"/>
      <c r="K41" s="13"/>
      <c r="L41" s="13"/>
      <c r="M41" s="13"/>
      <c r="N41" s="13"/>
      <c r="O41" s="5"/>
      <c r="Q41" s="5"/>
      <c r="R41" s="5"/>
      <c r="S41" s="26"/>
      <c r="T41" s="26"/>
      <c r="U41" s="26"/>
      <c r="V41" s="26"/>
      <c r="W41" s="242"/>
      <c r="X41" s="242"/>
    </row>
    <row r="42" spans="2:24">
      <c r="B42" s="5" t="s">
        <v>493</v>
      </c>
      <c r="C42" s="207"/>
      <c r="D42" s="406">
        <f>D18/D28</f>
        <v>15.829846387891989</v>
      </c>
      <c r="E42" s="406">
        <f>E18/E28</f>
        <v>33.424595124236411</v>
      </c>
      <c r="F42" s="406">
        <f>F18/F28</f>
        <v>38.476212625442137</v>
      </c>
      <c r="G42" s="406">
        <f>G18/G28</f>
        <v>46.000357835067035</v>
      </c>
      <c r="H42" s="13">
        <f t="shared" si="9"/>
        <v>-0.33680955227558829</v>
      </c>
      <c r="I42" s="208"/>
      <c r="J42" s="5"/>
      <c r="K42" s="5"/>
      <c r="L42" s="5"/>
      <c r="M42" s="5"/>
      <c r="N42" s="5"/>
      <c r="O42" s="5"/>
      <c r="Q42" s="5"/>
      <c r="R42" s="5"/>
      <c r="S42" s="26"/>
      <c r="T42" s="26"/>
      <c r="U42" s="26"/>
      <c r="V42" s="26"/>
      <c r="W42" s="242"/>
      <c r="X42" s="242"/>
    </row>
    <row r="43" spans="2:24">
      <c r="B43" s="5" t="s">
        <v>390</v>
      </c>
      <c r="C43" s="207"/>
      <c r="D43" s="406">
        <f>L26/D29</f>
        <v>22.057093063155715</v>
      </c>
      <c r="E43" s="406">
        <f>M26/E29</f>
        <v>20.723338289981662</v>
      </c>
      <c r="F43" s="406">
        <f>N26/F29</f>
        <v>19.394362548082057</v>
      </c>
      <c r="G43" s="406">
        <f>O26/G29</f>
        <v>18.816805326716132</v>
      </c>
      <c r="H43" s="13">
        <f t="shared" si="9"/>
        <v>3.8457198246544477E-2</v>
      </c>
      <c r="I43" s="207"/>
      <c r="J43" s="207"/>
      <c r="K43" s="207"/>
      <c r="L43" s="207"/>
      <c r="M43" s="207"/>
      <c r="N43" s="207"/>
      <c r="O43" s="14"/>
      <c r="Q43" s="5"/>
      <c r="R43" s="5"/>
      <c r="S43" s="26"/>
      <c r="T43" s="26"/>
      <c r="U43" s="26"/>
      <c r="V43" s="26"/>
      <c r="W43" s="242"/>
      <c r="X43" s="242"/>
    </row>
    <row r="44" spans="2:24">
      <c r="B44" s="5" t="s">
        <v>437</v>
      </c>
      <c r="C44" s="53"/>
      <c r="D44" s="406">
        <f>D11/D30</f>
        <v>26.799953682733648</v>
      </c>
      <c r="E44" s="406">
        <f>E11/E30</f>
        <v>24.891214968360668</v>
      </c>
      <c r="F44" s="406">
        <f>F11/F30</f>
        <v>23.543297200322922</v>
      </c>
      <c r="G44" s="406">
        <f>G11/G30</f>
        <v>22.506061020549243</v>
      </c>
      <c r="H44" s="13">
        <f t="shared" si="9"/>
        <v>5.9932438905610175E-2</v>
      </c>
      <c r="I44" s="207"/>
      <c r="J44" s="208"/>
      <c r="K44" s="208"/>
      <c r="L44" s="208"/>
      <c r="M44" s="208"/>
      <c r="N44" s="208"/>
      <c r="O44" s="208"/>
      <c r="Q44" s="5"/>
      <c r="R44" s="5"/>
      <c r="S44" s="26"/>
      <c r="T44" s="26"/>
      <c r="U44" s="26"/>
      <c r="V44" s="26"/>
      <c r="W44" s="255"/>
      <c r="X44" s="255"/>
    </row>
    <row r="45" spans="2:24">
      <c r="B45" s="5" t="s">
        <v>481</v>
      </c>
      <c r="C45" s="207"/>
      <c r="D45" s="208">
        <f>D31/D11</f>
        <v>5.4640633935933422E-2</v>
      </c>
      <c r="E45" s="208">
        <f>E31/E11</f>
        <v>5.5733446614652092E-2</v>
      </c>
      <c r="F45" s="208">
        <f>F31/F11</f>
        <v>5.6848115546945133E-2</v>
      </c>
      <c r="G45" s="208">
        <f>G31/G11</f>
        <v>5.7985077857884038E-2</v>
      </c>
      <c r="H45" s="13">
        <f t="shared" si="9"/>
        <v>2.0000000000000018E-2</v>
      </c>
      <c r="I45" s="208"/>
      <c r="J45" s="207"/>
      <c r="K45" s="207"/>
      <c r="L45" s="207"/>
      <c r="M45" s="207"/>
      <c r="N45" s="207"/>
      <c r="O45" s="208"/>
      <c r="Q45" s="5"/>
      <c r="R45" s="5"/>
      <c r="S45" s="26"/>
      <c r="T45" s="26"/>
      <c r="U45" s="26"/>
      <c r="V45" s="26"/>
      <c r="W45" s="26"/>
      <c r="X45" s="26"/>
    </row>
    <row r="46" spans="2:24">
      <c r="B46" s="5" t="s">
        <v>505</v>
      </c>
      <c r="C46" s="207"/>
      <c r="D46" s="208">
        <f>(D31+D32)/D11</f>
        <v>5.4640633935933422E-2</v>
      </c>
      <c r="E46" s="208">
        <f>(E31+E32)/E11</f>
        <v>5.5733446614652092E-2</v>
      </c>
      <c r="F46" s="208">
        <f>(F31+F32)/F11</f>
        <v>5.6848115546945133E-2</v>
      </c>
      <c r="G46" s="208">
        <f>(G31+G32)/G11</f>
        <v>5.7985077857884038E-2</v>
      </c>
      <c r="H46" s="233">
        <f>((G31+G32)/(D31+D32))^(1/3)-1</f>
        <v>2.0000000000000018E-2</v>
      </c>
      <c r="I46" s="207"/>
      <c r="J46" s="207"/>
      <c r="K46" s="207"/>
      <c r="L46" s="207"/>
      <c r="M46" s="207"/>
      <c r="N46" s="207"/>
      <c r="O46" s="14"/>
      <c r="Q46" s="5"/>
      <c r="R46" s="5"/>
      <c r="S46" s="26"/>
      <c r="T46" s="26"/>
      <c r="U46" s="26"/>
      <c r="V46" s="26"/>
      <c r="W46" s="26"/>
      <c r="X46" s="26"/>
    </row>
    <row r="47" spans="2:24">
      <c r="B47" s="5" t="s">
        <v>482</v>
      </c>
      <c r="C47" s="5"/>
      <c r="D47" s="208">
        <f>1/D43</f>
        <v>4.5336889912769386E-2</v>
      </c>
      <c r="E47" s="208">
        <f>1/E43</f>
        <v>4.8254773724532241E-2</v>
      </c>
      <c r="F47" s="208">
        <f>1/F43</f>
        <v>5.1561374988263887E-2</v>
      </c>
      <c r="G47" s="208">
        <f>1/G43</f>
        <v>5.3143983935476993E-2</v>
      </c>
      <c r="H47" s="13">
        <f>H29</f>
        <v>3.8457198246544477E-2</v>
      </c>
      <c r="I47" s="13"/>
      <c r="J47" s="208"/>
      <c r="K47" s="208"/>
      <c r="L47" s="208"/>
      <c r="M47" s="208"/>
      <c r="N47" s="208"/>
      <c r="O47" s="208"/>
      <c r="Q47" s="5"/>
      <c r="R47" s="5"/>
      <c r="S47" s="26"/>
      <c r="T47" s="26"/>
      <c r="U47" s="26"/>
      <c r="V47" s="26"/>
      <c r="W47" s="26"/>
      <c r="X47" s="26"/>
    </row>
    <row r="48" spans="2:24">
      <c r="B48" s="5" t="s">
        <v>518</v>
      </c>
      <c r="C48" s="5"/>
      <c r="D48" s="248">
        <f>D31/D29</f>
        <v>1.1514031795122495</v>
      </c>
      <c r="E48" s="248">
        <f>E31/E29</f>
        <v>1.1549830682620685</v>
      </c>
      <c r="F48" s="248">
        <f>F31/F29</f>
        <v>1.1025329630927139</v>
      </c>
      <c r="G48" s="248">
        <f>G31/G29</f>
        <v>1.0910939219062821</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row r="50" spans="2:17">
      <c r="B50" s="5"/>
      <c r="C50" s="216"/>
      <c r="D50" s="216"/>
      <c r="E50" s="216"/>
      <c r="F50" s="5"/>
      <c r="G50" s="25"/>
      <c r="H50" s="209"/>
      <c r="I50" s="13"/>
      <c r="J50" s="209"/>
      <c r="K50" s="209"/>
      <c r="L50" s="209"/>
      <c r="M50" s="209"/>
      <c r="N50" s="209"/>
      <c r="O50" s="210"/>
      <c r="Q50" s="5"/>
    </row>
  </sheetData>
  <phoneticPr fontId="7" type="noConversion"/>
  <hyperlinks>
    <hyperlink ref="C2" location="TELE2SOP!A1" display="Jump to Tele2 SOP" xr:uid="{00000000-0004-0000-5F00-000001000000}"/>
  </hyperlinks>
  <pageMargins left="0.75" right="0.75" top="1" bottom="1" header="0.5" footer="0.5"/>
  <pageSetup scale="71"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
    <pageSetUpPr fitToPage="1"/>
  </sheetPr>
  <dimension ref="B1:AR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846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321</v>
      </c>
      <c r="C9" s="241">
        <f>Prices!C19</f>
        <v>48.71</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3932.1092859999999</v>
      </c>
      <c r="E10" s="408">
        <v>3932.1092859999999</v>
      </c>
      <c r="F10" s="408">
        <v>3932.1092859999999</v>
      </c>
      <c r="G10" s="408">
        <v>3932.1092859999999</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191533.04332105999</v>
      </c>
      <c r="E11" s="409">
        <f>$C$9*E10</f>
        <v>191533.04332105999</v>
      </c>
      <c r="F11" s="409">
        <f>$C$9*F10</f>
        <v>191533.04332105999</v>
      </c>
      <c r="G11" s="409">
        <f>$C$9*G10</f>
        <v>191533.04332105999</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53056</v>
      </c>
      <c r="E12" s="410">
        <v>50137.35612998619</v>
      </c>
      <c r="F12" s="410">
        <v>49336.071107436183</v>
      </c>
      <c r="G12" s="410">
        <v>48393.386788183197</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24218.856935838892</v>
      </c>
      <c r="E13" s="410">
        <v>24218.856935838892</v>
      </c>
      <c r="F13" s="410">
        <v>24218.856935838892</v>
      </c>
      <c r="G13" s="410">
        <v>24218.856935838892</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TELIASOP!R43</f>
        <v>0</v>
      </c>
      <c r="E14" s="410">
        <f t="shared" ref="E14:G15" si="2">D14</f>
        <v>0</v>
      </c>
      <c r="F14" s="410">
        <f t="shared" si="2"/>
        <v>0</v>
      </c>
      <c r="G14" s="410">
        <f t="shared" si="2"/>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TELIASOP!T37</f>
        <v>9315.6663484419023</v>
      </c>
      <c r="E15" s="410">
        <f t="shared" si="2"/>
        <v>9315.6663484419023</v>
      </c>
      <c r="F15" s="410">
        <f t="shared" si="2"/>
        <v>9315.6663484419023</v>
      </c>
      <c r="G15" s="410">
        <f t="shared" si="2"/>
        <v>9315.6663484419023</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4010.7514717200006</v>
      </c>
      <c r="F16" s="410">
        <v>12252.206778345624</v>
      </c>
      <c r="G16" s="410">
        <v>20669.470377500766</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1185.3079449403697</v>
      </c>
      <c r="E17" s="410">
        <v>1185.3079449403697</v>
      </c>
      <c r="F17" s="410">
        <v>1185.3079449403697</v>
      </c>
      <c r="G17" s="410">
        <v>1185.3079449403697</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276938.25866040046</v>
      </c>
      <c r="E18" s="411">
        <f>E11+E12+E13-E14+E15-E16-E17</f>
        <v>270008.86331866664</v>
      </c>
      <c r="F18" s="411">
        <f t="shared" ref="F18" si="3">F11+F12+F13-F14+F15-F16-F17</f>
        <v>260966.12298949095</v>
      </c>
      <c r="G18" s="411">
        <f>G11+G12+G13-G14+G15-G16-G17</f>
        <v>251606.17507108286</v>
      </c>
      <c r="H18" s="230">
        <f>IF(D18=0,"nm",IF(G18=0,"nm",(G18/D18)^(1/3)-1))</f>
        <v>-3.1470664427467487E-2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783</v>
      </c>
      <c r="C21" s="219"/>
      <c r="D21" s="219" t="str">
        <f>D5</f>
        <v>2025E</v>
      </c>
      <c r="E21" s="219" t="str">
        <f t="shared" ref="E21:H21" si="4">E5</f>
        <v>2026E</v>
      </c>
      <c r="F21" s="219" t="str">
        <f t="shared" si="4"/>
        <v>2027E</v>
      </c>
      <c r="G21" s="219" t="str">
        <f t="shared" si="4"/>
        <v>2028E</v>
      </c>
      <c r="H21" s="219" t="str">
        <f t="shared" si="4"/>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89127.680999999997</v>
      </c>
      <c r="D23" s="416">
        <v>80982.070545800001</v>
      </c>
      <c r="E23" s="416">
        <v>79153.111771519878</v>
      </c>
      <c r="F23" s="416">
        <v>80700.946745834546</v>
      </c>
      <c r="G23" s="416">
        <v>81876.285050491395</v>
      </c>
      <c r="H23" s="233">
        <f t="shared" ref="H23:H32" si="5">IF(D23=0,"nm",IF(G23=0,"nm",(G23/D23)^(1/3)-1))</f>
        <v>3.6672446874175257E-3</v>
      </c>
      <c r="I23" s="207"/>
      <c r="J23" s="249" t="s">
        <v>7</v>
      </c>
      <c r="K23" s="249"/>
      <c r="L23" s="219" t="str">
        <f>D21</f>
        <v>2025E</v>
      </c>
      <c r="M23" s="219" t="str">
        <f t="shared" ref="M23:P23" si="6">E21</f>
        <v>2026E</v>
      </c>
      <c r="N23" s="219" t="str">
        <f t="shared" si="6"/>
        <v>2027E</v>
      </c>
      <c r="O23" s="219" t="str">
        <f t="shared" si="6"/>
        <v>2028E</v>
      </c>
      <c r="P23" s="219" t="str">
        <f t="shared" si="6"/>
        <v>2025-28</v>
      </c>
      <c r="S23" s="72"/>
      <c r="T23" s="26"/>
      <c r="U23" s="26"/>
      <c r="V23" s="26"/>
      <c r="W23" s="26"/>
      <c r="X23" s="26"/>
    </row>
    <row r="24" spans="2:24" ht="12.6" thickTop="1">
      <c r="B24" s="5" t="s">
        <v>397</v>
      </c>
      <c r="C24" s="423">
        <v>27590.615928129999</v>
      </c>
      <c r="D24" s="416">
        <v>28094.621494939998</v>
      </c>
      <c r="E24" s="416">
        <v>27822.250103412131</v>
      </c>
      <c r="F24" s="416">
        <v>29030.332051448469</v>
      </c>
      <c r="G24" s="416">
        <v>29933.693448859838</v>
      </c>
      <c r="H24" s="233">
        <f t="shared" si="5"/>
        <v>2.1360458733081122E-2</v>
      </c>
      <c r="I24" s="209"/>
      <c r="J24" s="13"/>
      <c r="K24" s="13"/>
      <c r="L24" s="13"/>
      <c r="M24" s="13"/>
      <c r="N24" s="13"/>
      <c r="O24" s="208"/>
      <c r="S24" s="72"/>
      <c r="T24" s="26"/>
      <c r="U24" s="26"/>
      <c r="V24" s="26"/>
      <c r="W24" s="26" t="s">
        <v>846</v>
      </c>
      <c r="X24" s="26" t="s">
        <v>203</v>
      </c>
    </row>
    <row r="25" spans="2:24">
      <c r="B25" s="5" t="s">
        <v>157</v>
      </c>
      <c r="C25" s="422">
        <v>14229.785928129993</v>
      </c>
      <c r="D25" s="416">
        <v>15267.197747009999</v>
      </c>
      <c r="E25" s="416">
        <v>15617.198920309182</v>
      </c>
      <c r="F25" s="416">
        <v>16805.446860612858</v>
      </c>
      <c r="G25" s="416">
        <v>17786.265839543215</v>
      </c>
      <c r="H25" s="233">
        <f t="shared" si="5"/>
        <v>5.2224677085112248E-2</v>
      </c>
      <c r="I25" s="208"/>
      <c r="J25" s="207" t="s">
        <v>8</v>
      </c>
      <c r="K25" s="207"/>
      <c r="L25" s="252">
        <v>36895</v>
      </c>
      <c r="M25" s="252">
        <v>36895</v>
      </c>
      <c r="N25" s="252">
        <v>36895</v>
      </c>
      <c r="O25" s="252">
        <v>36895</v>
      </c>
      <c r="P25" s="233">
        <f>IF(L25=0,"nm",IF(O25=0,"nm",(O25/L25)^(1/3)-1))</f>
        <v>0</v>
      </c>
      <c r="S25" s="72"/>
      <c r="T25" s="26"/>
      <c r="U25" s="26"/>
      <c r="V25" s="113" t="s">
        <v>225</v>
      </c>
      <c r="W25" s="242">
        <f>D37/L9</f>
        <v>1.3094810180994094</v>
      </c>
      <c r="X25" s="242">
        <v>1</v>
      </c>
    </row>
    <row r="26" spans="2:24">
      <c r="B26" s="5" t="s">
        <v>487</v>
      </c>
      <c r="C26" s="422">
        <v>11607.697125360799</v>
      </c>
      <c r="D26" s="416">
        <v>12305.960472600902</v>
      </c>
      <c r="E26" s="416">
        <v>12181.415157841162</v>
      </c>
      <c r="F26" s="416">
        <v>13108.248551278029</v>
      </c>
      <c r="G26" s="416">
        <v>13873.287354843709</v>
      </c>
      <c r="H26" s="233">
        <f t="shared" si="5"/>
        <v>4.0769656685039291E-2</v>
      </c>
      <c r="I26" s="209"/>
      <c r="J26" s="209" t="s">
        <v>9</v>
      </c>
      <c r="K26" s="209"/>
      <c r="L26" s="235">
        <f>D11+L25</f>
        <v>228428.04332105999</v>
      </c>
      <c r="M26" s="235">
        <f>E11+M25</f>
        <v>228428.04332105999</v>
      </c>
      <c r="N26" s="235">
        <f>F11+N25</f>
        <v>228428.04332105999</v>
      </c>
      <c r="O26" s="235">
        <f>G11+O25</f>
        <v>228428.04332105999</v>
      </c>
      <c r="P26" s="233">
        <f>IF(L26=0,"nm",IF(O26=0,"nm",(O26/L26)^(1/3)-1))</f>
        <v>0</v>
      </c>
      <c r="Q26" s="5"/>
      <c r="S26" s="72"/>
      <c r="T26" s="26"/>
      <c r="U26" s="26"/>
      <c r="V26" s="113" t="s">
        <v>158</v>
      </c>
      <c r="W26" s="242">
        <f t="shared" ref="W26:W33" si="7">D38/L10</f>
        <v>1.2806186249752496</v>
      </c>
      <c r="X26" s="242">
        <v>1</v>
      </c>
    </row>
    <row r="27" spans="2:24">
      <c r="B27" s="5" t="s">
        <v>488</v>
      </c>
      <c r="C27" s="423">
        <v>118949.89600000001</v>
      </c>
      <c r="D27" s="416">
        <v>104890.74400501</v>
      </c>
      <c r="E27" s="416">
        <v>109221.05415124589</v>
      </c>
      <c r="F27" s="416">
        <v>108937.91592119247</v>
      </c>
      <c r="G27" s="416">
        <v>109406.32441386371</v>
      </c>
      <c r="H27" s="233">
        <f t="shared" si="5"/>
        <v>1.414897013336236E-2</v>
      </c>
      <c r="I27" s="209"/>
      <c r="J27" s="208"/>
      <c r="K27" s="208"/>
      <c r="L27" s="208"/>
      <c r="M27" s="208"/>
      <c r="N27" s="208"/>
      <c r="O27" s="208"/>
      <c r="Q27" s="25"/>
      <c r="S27" s="72"/>
      <c r="T27" s="26"/>
      <c r="U27" s="26"/>
      <c r="V27" s="113" t="s">
        <v>159</v>
      </c>
      <c r="W27" s="242">
        <f t="shared" si="7"/>
        <v>1.2350651479837294</v>
      </c>
      <c r="X27" s="242">
        <v>1</v>
      </c>
    </row>
    <row r="28" spans="2:24" ht="12.6" thickBot="1">
      <c r="B28" s="5" t="s">
        <v>492</v>
      </c>
      <c r="C28" s="422">
        <v>68883</v>
      </c>
      <c r="D28" s="416">
        <v>67469</v>
      </c>
      <c r="E28" s="416">
        <v>63886.141120794695</v>
      </c>
      <c r="F28" s="416">
        <v>56641.45006795245</v>
      </c>
      <c r="G28" s="416">
        <v>50079.971244821034</v>
      </c>
      <c r="H28" s="233">
        <f t="shared" si="5"/>
        <v>-9.4573365329615577E-2</v>
      </c>
      <c r="I28" s="208"/>
      <c r="J28" s="249" t="s">
        <v>1073</v>
      </c>
      <c r="K28" s="249"/>
      <c r="L28" s="249"/>
      <c r="M28" s="249"/>
      <c r="N28" s="220"/>
      <c r="O28" s="220"/>
      <c r="P28" s="220"/>
      <c r="Q28" s="5"/>
      <c r="S28" s="72"/>
      <c r="T28" s="26"/>
      <c r="U28" s="26"/>
      <c r="V28" s="113" t="s">
        <v>381</v>
      </c>
      <c r="W28" s="242">
        <f t="shared" si="7"/>
        <v>1.1348492480174195</v>
      </c>
      <c r="X28" s="242">
        <v>1</v>
      </c>
    </row>
    <row r="29" spans="2:24" ht="12.6" thickTop="1">
      <c r="B29" s="5" t="s">
        <v>489</v>
      </c>
      <c r="C29" s="422">
        <v>7862.7382776107315</v>
      </c>
      <c r="D29" s="416">
        <v>9087.2717611307398</v>
      </c>
      <c r="E29" s="416">
        <v>9338.7286218588379</v>
      </c>
      <c r="F29" s="416">
        <v>10124.389606786372</v>
      </c>
      <c r="G29" s="416">
        <v>10641.597196018862</v>
      </c>
      <c r="H29" s="233">
        <f t="shared" si="5"/>
        <v>5.4041636579566843E-2</v>
      </c>
      <c r="I29" s="212"/>
      <c r="J29" s="209"/>
      <c r="K29" s="209"/>
      <c r="L29" s="209"/>
      <c r="M29" s="209"/>
      <c r="N29" s="209"/>
      <c r="O29" s="211"/>
      <c r="Q29" s="5"/>
      <c r="S29" s="72"/>
      <c r="T29" s="26"/>
      <c r="U29" s="26"/>
      <c r="V29" s="113" t="s">
        <v>434</v>
      </c>
      <c r="W29" s="242">
        <f t="shared" si="7"/>
        <v>1.5999669249215307</v>
      </c>
      <c r="X29" s="242">
        <v>1</v>
      </c>
    </row>
    <row r="30" spans="2:24">
      <c r="B30" s="5" t="s">
        <v>490</v>
      </c>
      <c r="C30" s="423">
        <v>3069.8619999999946</v>
      </c>
      <c r="D30" s="416">
        <v>5683.7511699600009</v>
      </c>
      <c r="E30" s="416">
        <v>4292.090558517787</v>
      </c>
      <c r="F30" s="416">
        <v>4828.9385923893169</v>
      </c>
      <c r="G30" s="416">
        <v>6016.9997342118295</v>
      </c>
      <c r="H30" s="233">
        <f t="shared" si="5"/>
        <v>1.9173943655455439E-2</v>
      </c>
      <c r="I30" s="214"/>
      <c r="J30" s="208"/>
      <c r="K30" s="208"/>
      <c r="L30" s="208"/>
      <c r="M30" s="208"/>
      <c r="N30" s="208"/>
      <c r="O30" s="5"/>
      <c r="Q30" s="5"/>
      <c r="S30" s="72"/>
      <c r="T30" s="26"/>
      <c r="U30" s="26"/>
      <c r="V30" s="113" t="s">
        <v>493</v>
      </c>
      <c r="W30" s="242">
        <f t="shared" si="7"/>
        <v>1.0838553870180614</v>
      </c>
      <c r="X30" s="242">
        <v>1</v>
      </c>
    </row>
    <row r="31" spans="2:24">
      <c r="B31" s="5" t="s">
        <v>491</v>
      </c>
      <c r="C31" s="423">
        <v>7864.2179999999998</v>
      </c>
      <c r="D31" s="416">
        <v>8060.8240362999986</v>
      </c>
      <c r="E31" s="416">
        <v>8262.3446372074995</v>
      </c>
      <c r="F31" s="416">
        <v>8468.903253137687</v>
      </c>
      <c r="G31" s="416">
        <v>8680.6258344661273</v>
      </c>
      <c r="H31" s="233">
        <f t="shared" si="5"/>
        <v>2.4999999999999911E-2</v>
      </c>
      <c r="I31" s="214"/>
      <c r="J31" s="212"/>
      <c r="K31" s="212"/>
      <c r="L31" s="212"/>
      <c r="M31" s="212"/>
      <c r="N31" s="212"/>
      <c r="O31" s="5"/>
      <c r="Q31" s="5"/>
      <c r="S31" s="72"/>
      <c r="T31" s="26"/>
      <c r="U31" s="26"/>
      <c r="V31" s="113" t="s">
        <v>390</v>
      </c>
      <c r="W31" s="242">
        <f t="shared" si="7"/>
        <v>1.4180792364267836</v>
      </c>
      <c r="X31" s="242">
        <v>1</v>
      </c>
    </row>
    <row r="32" spans="2:24">
      <c r="B32" s="5" t="s">
        <v>506</v>
      </c>
      <c r="C32" s="424">
        <v>0</v>
      </c>
      <c r="D32" s="416">
        <v>0</v>
      </c>
      <c r="E32" s="416">
        <v>0</v>
      </c>
      <c r="F32" s="416">
        <v>0</v>
      </c>
      <c r="G32" s="416">
        <v>0</v>
      </c>
      <c r="H32" s="233" t="str">
        <f t="shared" si="5"/>
        <v>nm</v>
      </c>
      <c r="I32" s="214"/>
      <c r="J32" s="214"/>
      <c r="K32" s="214"/>
      <c r="L32" s="214"/>
      <c r="M32" s="214"/>
      <c r="N32" s="214"/>
      <c r="O32" s="211"/>
      <c r="Q32" s="5"/>
      <c r="S32" s="72"/>
      <c r="T32" s="26"/>
      <c r="U32" s="26"/>
      <c r="V32" s="113" t="s">
        <v>437</v>
      </c>
      <c r="W32" s="242">
        <f t="shared" si="7"/>
        <v>2.3824743134619841</v>
      </c>
      <c r="X32" s="242">
        <v>1</v>
      </c>
    </row>
    <row r="33" spans="2:24">
      <c r="B33" s="5" t="s">
        <v>3</v>
      </c>
      <c r="C33" s="423">
        <v>4750.5229999999992</v>
      </c>
      <c r="D33" s="416">
        <v>3125.7371424500002</v>
      </c>
      <c r="E33" s="416">
        <v>2855.4176832769094</v>
      </c>
      <c r="F33" s="416">
        <v>2676.0507143987211</v>
      </c>
      <c r="G33" s="416">
        <v>2670.2094054311369</v>
      </c>
      <c r="H33" s="233">
        <f>IF(D33=0,"nm",IF(G33=0,"nm",(G33/D33)^(1/3)-1))</f>
        <v>-5.114986737356364E-2</v>
      </c>
      <c r="I33" s="5"/>
      <c r="J33" s="214"/>
      <c r="K33" s="214"/>
      <c r="L33" s="214"/>
      <c r="M33" s="214"/>
      <c r="N33" s="214"/>
      <c r="O33" s="211"/>
      <c r="Q33" s="5"/>
      <c r="S33" s="72"/>
      <c r="T33" s="26"/>
      <c r="U33" s="26"/>
      <c r="V33" s="113" t="s">
        <v>481</v>
      </c>
      <c r="W33" s="242">
        <f t="shared" si="7"/>
        <v>1.0950198334785262</v>
      </c>
      <c r="X33" s="242">
        <v>1</v>
      </c>
    </row>
    <row r="34" spans="2:24">
      <c r="H34" s="231"/>
      <c r="I34" s="33"/>
      <c r="J34" s="214"/>
      <c r="K34" s="214"/>
      <c r="L34" s="214"/>
      <c r="M34" s="214"/>
      <c r="N34" s="214"/>
      <c r="O34" s="211"/>
      <c r="Q34" s="5"/>
      <c r="S34" s="72"/>
      <c r="T34" s="26"/>
      <c r="U34" s="26"/>
      <c r="V34" s="113" t="s">
        <v>482</v>
      </c>
      <c r="W34" s="242">
        <f>D47/L19</f>
        <v>0.70517921305988374</v>
      </c>
      <c r="X34" s="242">
        <v>1</v>
      </c>
    </row>
    <row r="35" spans="2:24" ht="12.6" thickBot="1">
      <c r="B35" s="249" t="s">
        <v>847</v>
      </c>
      <c r="C35" s="219"/>
      <c r="D35" s="219" t="str">
        <f>D5</f>
        <v>2025E</v>
      </c>
      <c r="E35" s="219" t="str">
        <f t="shared" ref="E35:H35" si="8">E5</f>
        <v>2026E</v>
      </c>
      <c r="F35" s="219" t="str">
        <f t="shared" si="8"/>
        <v>2027E</v>
      </c>
      <c r="G35" s="219" t="str">
        <f t="shared" si="8"/>
        <v>2028E</v>
      </c>
      <c r="H35" s="219" t="str">
        <f t="shared" si="8"/>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3.4197478132369561</v>
      </c>
      <c r="E37" s="406">
        <f>E$18/E23</f>
        <v>3.4112223420610821</v>
      </c>
      <c r="F37" s="406">
        <f>F$18/F23</f>
        <v>3.2337430168123888</v>
      </c>
      <c r="G37" s="406">
        <f>G$18/G23</f>
        <v>3.073004288310377</v>
      </c>
      <c r="H37" s="13">
        <f t="shared" ref="H37:H45" si="9">H23</f>
        <v>3.6672446874175257E-3</v>
      </c>
      <c r="I37" s="5"/>
      <c r="J37" s="217"/>
      <c r="K37" s="217"/>
      <c r="L37" s="217"/>
      <c r="M37" s="217"/>
      <c r="N37" s="217"/>
      <c r="O37" s="14"/>
      <c r="Q37" s="5"/>
      <c r="R37" s="5"/>
      <c r="S37" s="26"/>
      <c r="T37" s="26"/>
      <c r="U37" s="26"/>
      <c r="V37" s="26"/>
      <c r="W37" s="26"/>
      <c r="X37" s="26"/>
    </row>
    <row r="38" spans="2:24">
      <c r="B38" s="5" t="s">
        <v>158</v>
      </c>
      <c r="C38" s="207"/>
      <c r="D38" s="406">
        <f>D18/D24</f>
        <v>9.8573407977850351</v>
      </c>
      <c r="E38" s="406">
        <f t="shared" ref="E38:G38" si="10">E18/E24</f>
        <v>9.7047816878604163</v>
      </c>
      <c r="F38" s="406">
        <f t="shared" si="10"/>
        <v>8.9894294879920267</v>
      </c>
      <c r="G38" s="406">
        <f t="shared" si="10"/>
        <v>8.4054503832258103</v>
      </c>
      <c r="H38" s="13">
        <f t="shared" si="9"/>
        <v>2.1360458733081122E-2</v>
      </c>
      <c r="I38" s="217"/>
      <c r="J38" s="13"/>
      <c r="K38" s="13"/>
      <c r="L38" s="13"/>
      <c r="M38" s="13"/>
      <c r="N38" s="13"/>
      <c r="O38" s="5"/>
      <c r="Q38" s="5"/>
      <c r="R38" s="5"/>
      <c r="S38" s="26"/>
      <c r="T38" s="26"/>
      <c r="U38" s="26"/>
      <c r="V38" s="26"/>
      <c r="W38" s="26"/>
      <c r="X38" s="26"/>
    </row>
    <row r="39" spans="2:24">
      <c r="B39" s="5" t="s">
        <v>159</v>
      </c>
      <c r="C39" s="207"/>
      <c r="D39" s="406">
        <f>D18/D25</f>
        <v>18.139429596019831</v>
      </c>
      <c r="E39" s="406">
        <f t="shared" ref="E39:G39" si="11">E18/E25</f>
        <v>17.289199215330296</v>
      </c>
      <c r="F39" s="406">
        <f t="shared" si="11"/>
        <v>15.528663126543847</v>
      </c>
      <c r="G39" s="406">
        <f t="shared" si="11"/>
        <v>14.146093246380072</v>
      </c>
      <c r="H39" s="13">
        <f t="shared" si="9"/>
        <v>5.2224677085112248E-2</v>
      </c>
      <c r="I39" s="13"/>
      <c r="J39" s="5"/>
      <c r="K39" s="5"/>
      <c r="L39" s="5"/>
      <c r="M39" s="5"/>
      <c r="N39" s="5"/>
      <c r="O39" s="5"/>
      <c r="Q39" s="5"/>
      <c r="R39" s="5"/>
      <c r="S39" s="26"/>
      <c r="T39" s="26"/>
      <c r="U39" s="26"/>
      <c r="V39" s="26"/>
      <c r="W39" s="26"/>
      <c r="X39" s="26"/>
    </row>
    <row r="40" spans="2:24">
      <c r="B40" s="5" t="s">
        <v>381</v>
      </c>
      <c r="C40" s="207"/>
      <c r="D40" s="406">
        <f>D18/D26</f>
        <v>22.504400146335652</v>
      </c>
      <c r="E40" s="406">
        <f t="shared" ref="E40:G40" si="12">E18/E26</f>
        <v>22.165640019654223</v>
      </c>
      <c r="F40" s="406">
        <f t="shared" si="12"/>
        <v>19.908542469928008</v>
      </c>
      <c r="G40" s="406">
        <f t="shared" si="12"/>
        <v>18.136016982538553</v>
      </c>
      <c r="H40" s="13">
        <f t="shared" si="9"/>
        <v>4.0769656685039291E-2</v>
      </c>
      <c r="I40" s="5"/>
      <c r="J40" s="217"/>
      <c r="K40" s="217"/>
      <c r="L40" s="217"/>
      <c r="M40" s="217"/>
      <c r="N40" s="217"/>
      <c r="O40" s="14"/>
      <c r="Q40" s="5"/>
      <c r="R40" s="5"/>
      <c r="S40" s="26"/>
      <c r="T40" s="26"/>
      <c r="U40" s="26"/>
      <c r="V40" s="26"/>
      <c r="W40" s="242"/>
      <c r="X40" s="242"/>
    </row>
    <row r="41" spans="2:24">
      <c r="B41" s="5" t="s">
        <v>434</v>
      </c>
      <c r="C41" s="207"/>
      <c r="D41" s="406">
        <f>D$18/D27</f>
        <v>2.6402544980248477</v>
      </c>
      <c r="E41" s="406">
        <f>E$18/E27</f>
        <v>2.4721320025419899</v>
      </c>
      <c r="F41" s="406">
        <f>F$18/F27</f>
        <v>2.3955490683177585</v>
      </c>
      <c r="G41" s="406">
        <f>G$18/G27</f>
        <v>2.2997406815286441</v>
      </c>
      <c r="H41" s="13">
        <f t="shared" si="9"/>
        <v>1.414897013336236E-2</v>
      </c>
      <c r="I41" s="207"/>
      <c r="J41" s="13"/>
      <c r="K41" s="13"/>
      <c r="L41" s="13"/>
      <c r="M41" s="13"/>
      <c r="N41" s="13"/>
      <c r="O41" s="5"/>
      <c r="Q41" s="5"/>
      <c r="R41" s="5"/>
      <c r="S41" s="26"/>
      <c r="T41" s="26"/>
      <c r="U41" s="26"/>
      <c r="V41" s="26"/>
      <c r="W41" s="242"/>
      <c r="X41" s="242"/>
    </row>
    <row r="42" spans="2:24">
      <c r="B42" s="5" t="s">
        <v>493</v>
      </c>
      <c r="C42" s="207"/>
      <c r="D42" s="406">
        <f>D18/D28</f>
        <v>4.1046741267900879</v>
      </c>
      <c r="E42" s="406">
        <f>E18/E28</f>
        <v>4.2264074583584419</v>
      </c>
      <c r="F42" s="406">
        <f>F18/F28</f>
        <v>4.6073347817969221</v>
      </c>
      <c r="G42" s="406">
        <f>G18/G28</f>
        <v>5.0240878502321911</v>
      </c>
      <c r="H42" s="13">
        <f t="shared" si="9"/>
        <v>-9.4573365329615577E-2</v>
      </c>
      <c r="I42" s="208"/>
      <c r="J42" s="5"/>
      <c r="K42" s="5"/>
      <c r="L42" s="5"/>
      <c r="M42" s="5"/>
      <c r="N42" s="5"/>
      <c r="O42" s="5"/>
      <c r="Q42" s="5"/>
      <c r="R42" s="5"/>
      <c r="S42" s="26"/>
      <c r="T42" s="26"/>
      <c r="U42" s="26"/>
      <c r="V42" s="26"/>
      <c r="W42" s="242"/>
      <c r="X42" s="242"/>
    </row>
    <row r="43" spans="2:24">
      <c r="B43" s="5" t="s">
        <v>390</v>
      </c>
      <c r="C43" s="207"/>
      <c r="D43" s="406">
        <f>L26/D29</f>
        <v>25.137142293699426</v>
      </c>
      <c r="E43" s="406">
        <f>M26/E29</f>
        <v>24.460293533574408</v>
      </c>
      <c r="F43" s="406">
        <f>N26/F29</f>
        <v>22.562154578478964</v>
      </c>
      <c r="G43" s="406">
        <f>O26/G29</f>
        <v>21.465578814289028</v>
      </c>
      <c r="H43" s="13">
        <f t="shared" si="9"/>
        <v>5.4041636579566843E-2</v>
      </c>
      <c r="I43" s="207"/>
      <c r="J43" s="207"/>
      <c r="K43" s="207"/>
      <c r="L43" s="207"/>
      <c r="M43" s="207"/>
      <c r="N43" s="207"/>
      <c r="O43" s="14"/>
      <c r="Q43" s="5"/>
      <c r="R43" s="5"/>
      <c r="S43" s="26"/>
      <c r="T43" s="26"/>
      <c r="U43" s="26"/>
      <c r="V43" s="26"/>
      <c r="W43" s="242"/>
      <c r="X43" s="242"/>
    </row>
    <row r="44" spans="2:24">
      <c r="B44" s="5" t="s">
        <v>437</v>
      </c>
      <c r="C44" s="53"/>
      <c r="D44" s="406">
        <f>D11/D30</f>
        <v>33.69835124615561</v>
      </c>
      <c r="E44" s="406">
        <f>E11/E30</f>
        <v>44.624651020225265</v>
      </c>
      <c r="F44" s="406">
        <f>F11/F30</f>
        <v>39.663590591714502</v>
      </c>
      <c r="G44" s="406">
        <f>G11/G30</f>
        <v>31.831984673695356</v>
      </c>
      <c r="H44" s="13">
        <f t="shared" si="9"/>
        <v>1.9173943655455439E-2</v>
      </c>
      <c r="I44" s="207"/>
      <c r="J44" s="208"/>
      <c r="K44" s="208"/>
      <c r="L44" s="208"/>
      <c r="M44" s="208"/>
      <c r="N44" s="208"/>
      <c r="O44" s="208"/>
      <c r="Q44" s="5"/>
      <c r="R44" s="5"/>
      <c r="S44" s="26"/>
      <c r="T44" s="26"/>
      <c r="U44" s="26"/>
      <c r="V44" s="26"/>
      <c r="W44" s="255"/>
      <c r="X44" s="255"/>
    </row>
    <row r="45" spans="2:24">
      <c r="B45" s="5" t="s">
        <v>481</v>
      </c>
      <c r="C45" s="207"/>
      <c r="D45" s="208">
        <f>D31/D11</f>
        <v>4.2085814001231778E-2</v>
      </c>
      <c r="E45" s="208">
        <f>E31/E11</f>
        <v>4.3137959351262578E-2</v>
      </c>
      <c r="F45" s="208">
        <f>F31/F11</f>
        <v>4.4216408335044137E-2</v>
      </c>
      <c r="G45" s="208">
        <f>G31/G11</f>
        <v>4.5321818543420232E-2</v>
      </c>
      <c r="H45" s="13">
        <f t="shared" si="9"/>
        <v>2.4999999999999911E-2</v>
      </c>
      <c r="I45" s="208"/>
      <c r="J45" s="207"/>
      <c r="K45" s="207"/>
      <c r="L45" s="207"/>
      <c r="M45" s="207"/>
      <c r="N45" s="207"/>
      <c r="O45" s="208"/>
      <c r="Q45" s="5"/>
      <c r="R45" s="5"/>
      <c r="S45" s="26"/>
      <c r="T45" s="26"/>
      <c r="U45" s="26"/>
      <c r="V45" s="26"/>
      <c r="W45" s="26"/>
      <c r="X45" s="26"/>
    </row>
    <row r="46" spans="2:24">
      <c r="B46" s="5" t="s">
        <v>505</v>
      </c>
      <c r="C46" s="207"/>
      <c r="D46" s="208">
        <f>(D31+D32)/D11</f>
        <v>4.2085814001231778E-2</v>
      </c>
      <c r="E46" s="208">
        <f>(E31+E32)/E11</f>
        <v>4.3137959351262578E-2</v>
      </c>
      <c r="F46" s="208">
        <f>(F31+F32)/F11</f>
        <v>4.4216408335044137E-2</v>
      </c>
      <c r="G46" s="208">
        <f>(G31+G32)/G11</f>
        <v>4.5321818543420232E-2</v>
      </c>
      <c r="H46" s="233">
        <f>((G31+G32)/(D31+D32))^(1/3)-1</f>
        <v>2.4999999999999911E-2</v>
      </c>
      <c r="I46" s="207"/>
      <c r="J46" s="207"/>
      <c r="K46" s="207"/>
      <c r="L46" s="207"/>
      <c r="M46" s="207"/>
      <c r="N46" s="207"/>
      <c r="O46" s="14"/>
      <c r="Q46" s="5"/>
      <c r="R46" s="5"/>
      <c r="S46" s="26"/>
      <c r="T46" s="26"/>
      <c r="U46" s="26"/>
      <c r="V46" s="26"/>
      <c r="W46" s="26"/>
      <c r="X46" s="26"/>
    </row>
    <row r="47" spans="2:24">
      <c r="B47" s="5" t="s">
        <v>482</v>
      </c>
      <c r="C47" s="5"/>
      <c r="D47" s="208">
        <f>1/D43</f>
        <v>3.9781769475468499E-2</v>
      </c>
      <c r="E47" s="208">
        <f>1/E43</f>
        <v>4.0882583793501556E-2</v>
      </c>
      <c r="F47" s="208">
        <f>1/F43</f>
        <v>4.4322008189495145E-2</v>
      </c>
      <c r="G47" s="208">
        <f>1/G43</f>
        <v>4.658621175098844E-2</v>
      </c>
      <c r="H47" s="13">
        <f>H29</f>
        <v>5.4041636579566843E-2</v>
      </c>
      <c r="I47" s="13"/>
      <c r="J47" s="208"/>
      <c r="K47" s="208"/>
      <c r="L47" s="208"/>
      <c r="M47" s="208"/>
      <c r="N47" s="208"/>
      <c r="O47" s="208"/>
      <c r="Q47" s="5"/>
      <c r="R47" s="5"/>
      <c r="S47" s="26"/>
      <c r="T47" s="26"/>
      <c r="U47" s="26"/>
      <c r="V47" s="26"/>
      <c r="W47" s="26"/>
      <c r="X47" s="26"/>
    </row>
    <row r="48" spans="2:24">
      <c r="B48" s="5" t="s">
        <v>518</v>
      </c>
      <c r="C48" s="5"/>
      <c r="D48" s="248">
        <f>D31/D29</f>
        <v>0.88704555648690986</v>
      </c>
      <c r="E48" s="248">
        <f>E31/E29</f>
        <v>0.88473977259261138</v>
      </c>
      <c r="F48" s="248">
        <f>F31/F29</f>
        <v>0.83648531734308074</v>
      </c>
      <c r="G48" s="248">
        <f>G31/G29</f>
        <v>0.81572584214272315</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TSONSOP!A1" display="Jump to TSON SOP" xr:uid="{00000000-0004-0000-6F00-000001000000}"/>
  </hyperlinks>
  <pageMargins left="0.75" right="0.75" top="1" bottom="1" header="0.5" footer="0.5"/>
  <pageSetup scale="71"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497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412">
        <f>SUM(D9:D10)</f>
        <v>21268.217779999999</v>
      </c>
      <c r="E8" s="412">
        <f>SUM(E9:E10)</f>
        <v>20779.75624153846</v>
      </c>
      <c r="F8" s="412">
        <f>SUM(F9:F10)</f>
        <v>20779.75624153846</v>
      </c>
      <c r="G8" s="412">
        <f>SUM(G9:G10)</f>
        <v>20779.75624153846</v>
      </c>
      <c r="H8" s="5"/>
      <c r="I8" s="5"/>
      <c r="J8" s="5"/>
      <c r="K8" s="5"/>
      <c r="L8" s="5"/>
      <c r="M8" s="5"/>
      <c r="N8" s="5"/>
    </row>
    <row r="9" spans="2:44">
      <c r="B9" s="25" t="s">
        <v>224</v>
      </c>
      <c r="C9" s="221">
        <f>Prices!C16</f>
        <v>0.77100000000000002</v>
      </c>
      <c r="D9" s="410">
        <v>6027.7916990000003</v>
      </c>
      <c r="E9" s="410">
        <v>6027.7916990000003</v>
      </c>
      <c r="F9" s="410">
        <v>6027.7916990000003</v>
      </c>
      <c r="G9" s="410">
        <v>6027.7916990000003</v>
      </c>
      <c r="H9" s="209" t="s">
        <v>6</v>
      </c>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221">
        <f>Prices!C15</f>
        <v>0.65980000000000005</v>
      </c>
      <c r="D10" s="408">
        <v>15240.426081</v>
      </c>
      <c r="E10" s="408">
        <v>14751.964542538461</v>
      </c>
      <c r="F10" s="408">
        <v>14751.964542538461</v>
      </c>
      <c r="G10" s="408">
        <v>14751.964542538461</v>
      </c>
      <c r="H10" s="209" t="s">
        <v>5</v>
      </c>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D11" s="409">
        <f>(D10*$C$10)+(D9*$C$9)</f>
        <v>14703.060528172802</v>
      </c>
      <c r="E11" s="409">
        <f>(E10*$C$10)+(E9*$C$9)</f>
        <v>14380.773605095877</v>
      </c>
      <c r="F11" s="409">
        <f>(F10*$C$10)+(F9*$C$9)</f>
        <v>14380.773605095877</v>
      </c>
      <c r="G11" s="409">
        <f>(G10*$C$10)+(G9*$C$9)</f>
        <v>14380.773605095877</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6154</v>
      </c>
      <c r="E12" s="410">
        <v>5684.005436524898</v>
      </c>
      <c r="F12" s="410">
        <v>5253.1052395411989</v>
      </c>
      <c r="G12" s="410">
        <v>4612.0976127337763</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2338.5803950917762</v>
      </c>
      <c r="E13" s="410">
        <v>2338.5803950917762</v>
      </c>
      <c r="F13" s="410">
        <v>2338.5803950917762</v>
      </c>
      <c r="G13" s="410">
        <v>2338.5803950917762</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95">
        <v>0</v>
      </c>
      <c r="E14" s="495">
        <v>0</v>
      </c>
      <c r="F14" s="495">
        <v>0</v>
      </c>
      <c r="G14" s="495">
        <v>0</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94">
        <v>3265.6011975273691</v>
      </c>
      <c r="E15" s="494">
        <v>3265.6011975273691</v>
      </c>
      <c r="F15" s="494">
        <v>3265.6011975273691</v>
      </c>
      <c r="G15" s="494">
        <v>3265.6011975273691</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723.33500388000004</v>
      </c>
      <c r="F16" s="410">
        <v>1180.4896411938462</v>
      </c>
      <c r="G16" s="410">
        <v>1774.7906697018461</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0</v>
      </c>
      <c r="E17" s="410">
        <v>0</v>
      </c>
      <c r="F17" s="410">
        <v>0</v>
      </c>
      <c r="G17" s="410">
        <v>0</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26461.242120791947</v>
      </c>
      <c r="E18" s="411">
        <f>E11+E12+E13-E14+E15-E16-E17</f>
        <v>24945.625630359918</v>
      </c>
      <c r="F18" s="411">
        <f>F11+F12+F13-F14+F15-F16-F17</f>
        <v>24057.570796062373</v>
      </c>
      <c r="G18" s="411">
        <f>G11+G12+G13-G14+G15-G16-G17</f>
        <v>22822.262140746956</v>
      </c>
      <c r="H18" s="230">
        <f>IF(D18=0,"nm",IF(G18=0,"nm",(G18/D18)^(1/3)-1))</f>
        <v>-4.8118643250612103E-2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757</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13700</v>
      </c>
      <c r="D23" s="416">
        <v>13734</v>
      </c>
      <c r="E23" s="416">
        <v>14358.338390157669</v>
      </c>
      <c r="F23" s="416">
        <v>14635.305352826537</v>
      </c>
      <c r="G23" s="416">
        <v>14785.511789994847</v>
      </c>
      <c r="H23" s="233">
        <f t="shared" ref="H23:H32" si="3">IF(D23=0,"nm",IF(G23=0,"nm",(G23/D23)^(1/3)-1))</f>
        <v>2.4895940525712312E-2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3589</v>
      </c>
      <c r="D24" s="416">
        <v>3689</v>
      </c>
      <c r="E24" s="416">
        <v>4054.6367291427391</v>
      </c>
      <c r="F24" s="416">
        <v>4296.163069465345</v>
      </c>
      <c r="G24" s="416">
        <v>4438.5316251576587</v>
      </c>
      <c r="H24" s="233">
        <f t="shared" si="3"/>
        <v>6.3596471305999991E-2</v>
      </c>
      <c r="I24" s="209"/>
      <c r="J24" s="13"/>
      <c r="K24" s="13"/>
      <c r="L24" s="13"/>
      <c r="M24" s="13"/>
      <c r="N24" s="13"/>
      <c r="O24" s="208"/>
      <c r="S24" s="72"/>
      <c r="T24" s="26"/>
      <c r="U24" s="26"/>
      <c r="V24" s="26"/>
      <c r="W24" s="26" t="s">
        <v>222</v>
      </c>
      <c r="X24" s="26" t="s">
        <v>204</v>
      </c>
    </row>
    <row r="25" spans="2:24">
      <c r="B25" s="5" t="s">
        <v>157</v>
      </c>
      <c r="C25" s="422">
        <v>1595</v>
      </c>
      <c r="D25" s="416">
        <v>1786</v>
      </c>
      <c r="E25" s="416">
        <v>2106.9805365072907</v>
      </c>
      <c r="F25" s="416">
        <v>2387.5775739633305</v>
      </c>
      <c r="G25" s="416">
        <v>2591.998654703832</v>
      </c>
      <c r="H25" s="233">
        <f t="shared" si="3"/>
        <v>0.13218597935818788</v>
      </c>
      <c r="I25" s="208"/>
      <c r="J25" s="207" t="s">
        <v>8</v>
      </c>
      <c r="K25" s="207"/>
      <c r="L25" s="252">
        <v>4131</v>
      </c>
      <c r="M25" s="252">
        <v>4131</v>
      </c>
      <c r="N25" s="252">
        <v>4131</v>
      </c>
      <c r="O25" s="252">
        <v>4131</v>
      </c>
      <c r="P25" s="233">
        <f>IF(L25=0,"nm",IF(O25=0,"nm",(O25/L25)^(1/3)-1))</f>
        <v>0</v>
      </c>
      <c r="S25" s="72"/>
      <c r="T25" s="26"/>
      <c r="U25" s="26"/>
      <c r="V25" s="113" t="s">
        <v>225</v>
      </c>
      <c r="W25" s="242">
        <f>D37/L9</f>
        <v>0.73776544545782796</v>
      </c>
      <c r="X25" s="242">
        <v>1</v>
      </c>
    </row>
    <row r="26" spans="2:24">
      <c r="B26" s="5" t="s">
        <v>487</v>
      </c>
      <c r="C26" s="422">
        <v>1149.9950000000001</v>
      </c>
      <c r="D26" s="416">
        <v>1287.7060000000001</v>
      </c>
      <c r="E26" s="416">
        <v>1519.1329668217568</v>
      </c>
      <c r="F26" s="416">
        <v>1721.4434308275615</v>
      </c>
      <c r="G26" s="416">
        <v>1868.831030041463</v>
      </c>
      <c r="H26" s="233">
        <f t="shared" si="3"/>
        <v>0.13218597935818788</v>
      </c>
      <c r="I26" s="209"/>
      <c r="J26" s="209" t="s">
        <v>9</v>
      </c>
      <c r="K26" s="209"/>
      <c r="L26" s="235">
        <f>D11+L25</f>
        <v>18834.060528172802</v>
      </c>
      <c r="M26" s="235">
        <f>E11+M25</f>
        <v>18511.773605095877</v>
      </c>
      <c r="N26" s="235">
        <f>F11+N25</f>
        <v>18511.773605095877</v>
      </c>
      <c r="O26" s="235">
        <f>G11+O25</f>
        <v>18511.773605095877</v>
      </c>
      <c r="P26" s="233">
        <f>IF(L26=0,"nm",IF(O26=0,"nm",(O26/L26)^(1/3)-1))</f>
        <v>-5.7368212695391163E-3</v>
      </c>
      <c r="Q26" s="5"/>
      <c r="S26" s="72"/>
      <c r="T26" s="26"/>
      <c r="U26" s="26"/>
      <c r="V26" s="113" t="s">
        <v>158</v>
      </c>
      <c r="W26" s="242">
        <f t="shared" ref="W26:W33" si="5">D38/L10</f>
        <v>0.93188348144336064</v>
      </c>
      <c r="X26" s="242">
        <v>1</v>
      </c>
    </row>
    <row r="27" spans="2:24">
      <c r="B27" s="5" t="s">
        <v>488</v>
      </c>
      <c r="C27" s="423">
        <v>22031</v>
      </c>
      <c r="D27" s="416">
        <v>21545</v>
      </c>
      <c r="E27" s="416">
        <v>20369.91136966554</v>
      </c>
      <c r="F27" s="416">
        <v>20103.325377839443</v>
      </c>
      <c r="G27" s="416">
        <v>19777.909619924565</v>
      </c>
      <c r="H27" s="233">
        <f t="shared" si="3"/>
        <v>-2.8123017734055566E-2</v>
      </c>
      <c r="I27" s="209"/>
      <c r="J27" s="208"/>
      <c r="K27" s="208"/>
      <c r="L27" s="208"/>
      <c r="M27" s="208"/>
      <c r="N27" s="208"/>
      <c r="O27" s="208"/>
      <c r="Q27" s="25"/>
      <c r="S27" s="72"/>
      <c r="T27" s="26"/>
      <c r="U27" s="26"/>
      <c r="V27" s="113" t="s">
        <v>159</v>
      </c>
      <c r="W27" s="242">
        <f t="shared" si="5"/>
        <v>1.0087766296471858</v>
      </c>
      <c r="X27" s="242">
        <v>1</v>
      </c>
    </row>
    <row r="28" spans="2:24" ht="12.6" thickBot="1">
      <c r="B28" s="5" t="s">
        <v>492</v>
      </c>
      <c r="C28" s="422">
        <v>10571</v>
      </c>
      <c r="D28" s="416">
        <v>9559</v>
      </c>
      <c r="E28" s="416">
        <v>8991.1298768459746</v>
      </c>
      <c r="F28" s="416">
        <v>8533.6285626516801</v>
      </c>
      <c r="G28" s="416">
        <v>8134.4698060919072</v>
      </c>
      <c r="H28" s="233">
        <f t="shared" si="3"/>
        <v>-5.2369718914665908E-2</v>
      </c>
      <c r="I28" s="208"/>
      <c r="J28" s="249" t="s">
        <v>1073</v>
      </c>
      <c r="K28" s="249"/>
      <c r="L28" s="249"/>
      <c r="M28" s="249"/>
      <c r="N28" s="220"/>
      <c r="O28" s="220"/>
      <c r="P28" s="220"/>
      <c r="Q28" s="5"/>
      <c r="S28" s="72"/>
      <c r="T28" s="26"/>
      <c r="U28" s="26"/>
      <c r="V28" s="113" t="s">
        <v>381</v>
      </c>
      <c r="W28" s="242">
        <f t="shared" si="5"/>
        <v>1.0362492762137907</v>
      </c>
      <c r="X28" s="242">
        <v>1</v>
      </c>
    </row>
    <row r="29" spans="2:24" ht="12.6" thickTop="1">
      <c r="B29" s="5" t="s">
        <v>913</v>
      </c>
      <c r="C29" s="422">
        <v>-752</v>
      </c>
      <c r="D29" s="416">
        <v>512</v>
      </c>
      <c r="E29" s="416">
        <v>1668.5016790086258</v>
      </c>
      <c r="F29" s="416">
        <v>1012.4724561459435</v>
      </c>
      <c r="G29" s="416">
        <v>1356.1024629352269</v>
      </c>
      <c r="H29" s="233">
        <f t="shared" si="3"/>
        <v>0.38359031898471008</v>
      </c>
      <c r="I29" s="212"/>
      <c r="J29" s="209"/>
      <c r="K29" s="209"/>
      <c r="L29" s="209"/>
      <c r="M29" s="209"/>
      <c r="N29" s="209"/>
      <c r="O29" s="211"/>
      <c r="Q29" s="5"/>
      <c r="S29" s="72"/>
      <c r="T29" s="26"/>
      <c r="U29" s="26"/>
      <c r="V29" s="113" t="s">
        <v>434</v>
      </c>
      <c r="W29" s="242">
        <f t="shared" si="5"/>
        <v>0.74426730607759417</v>
      </c>
      <c r="X29" s="242">
        <v>1</v>
      </c>
    </row>
    <row r="30" spans="2:24">
      <c r="B30" s="5" t="s">
        <v>912</v>
      </c>
      <c r="C30" s="423">
        <v>-364</v>
      </c>
      <c r="D30" s="416">
        <v>519</v>
      </c>
      <c r="E30" s="416">
        <v>664.73837634307051</v>
      </c>
      <c r="F30" s="416">
        <v>1059.3215267083337</v>
      </c>
      <c r="G30" s="416">
        <v>1309.4199329397334</v>
      </c>
      <c r="H30" s="233">
        <f t="shared" si="3"/>
        <v>0.36135230173016852</v>
      </c>
      <c r="I30" s="214"/>
      <c r="J30" s="208"/>
      <c r="K30" s="208"/>
      <c r="L30" s="208"/>
      <c r="M30" s="208"/>
      <c r="N30" s="208"/>
      <c r="O30" s="5"/>
      <c r="Q30" s="5"/>
      <c r="S30" s="72"/>
      <c r="T30" s="26"/>
      <c r="U30" s="26"/>
      <c r="V30" s="113" t="s">
        <v>493</v>
      </c>
      <c r="W30" s="242">
        <f t="shared" si="5"/>
        <v>0.73095463049787956</v>
      </c>
      <c r="X30" s="242">
        <v>1</v>
      </c>
    </row>
    <row r="31" spans="2:24">
      <c r="B31" s="5" t="s">
        <v>28</v>
      </c>
      <c r="C31" s="423">
        <v>0</v>
      </c>
      <c r="D31" s="416">
        <v>0</v>
      </c>
      <c r="E31" s="416">
        <v>324.54321993584614</v>
      </c>
      <c r="F31" s="416">
        <v>421.90618591659995</v>
      </c>
      <c r="G31" s="416">
        <v>506.28742309991992</v>
      </c>
      <c r="H31" s="233" t="str">
        <f t="shared" si="3"/>
        <v>nm</v>
      </c>
      <c r="I31" s="214"/>
      <c r="J31" s="212"/>
      <c r="K31" s="212"/>
      <c r="L31" s="212"/>
      <c r="M31" s="212"/>
      <c r="N31" s="212"/>
      <c r="O31" s="5"/>
      <c r="Q31" s="5"/>
      <c r="S31" s="72"/>
      <c r="T31" s="26"/>
      <c r="U31" s="26"/>
      <c r="V31" s="113" t="s">
        <v>390</v>
      </c>
      <c r="W31" s="242">
        <f t="shared" si="5"/>
        <v>1.6200274698434389</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2.5656427194136788</v>
      </c>
      <c r="X32" s="242">
        <v>1</v>
      </c>
    </row>
    <row r="33" spans="2:24">
      <c r="B33" s="5" t="s">
        <v>3</v>
      </c>
      <c r="C33" s="423">
        <v>928</v>
      </c>
      <c r="D33" s="416">
        <v>445</v>
      </c>
      <c r="E33" s="416">
        <v>632.77037196169738</v>
      </c>
      <c r="F33" s="416">
        <v>600.53745408730356</v>
      </c>
      <c r="G33" s="416">
        <v>591.28325927160461</v>
      </c>
      <c r="H33" s="233">
        <f>IF(D33=0,"nm",IF(G33=0,"nm",(G33/D33)^(1/3)-1))</f>
        <v>9.9373313925242623E-2</v>
      </c>
      <c r="I33" s="5"/>
      <c r="J33" s="214"/>
      <c r="K33" s="214"/>
      <c r="L33" s="214"/>
      <c r="M33" s="214"/>
      <c r="N33" s="214"/>
      <c r="O33" s="211"/>
      <c r="Q33" s="5"/>
      <c r="S33" s="72"/>
      <c r="T33" s="26"/>
      <c r="U33" s="26"/>
      <c r="V33" s="113" t="s">
        <v>481</v>
      </c>
      <c r="W33" s="242">
        <f t="shared" si="5"/>
        <v>0</v>
      </c>
      <c r="X33" s="242">
        <v>1</v>
      </c>
    </row>
    <row r="34" spans="2:24">
      <c r="H34" s="231"/>
      <c r="I34" s="33"/>
      <c r="J34" s="214"/>
      <c r="K34" s="214"/>
      <c r="L34" s="214"/>
      <c r="M34" s="214"/>
      <c r="N34" s="214"/>
      <c r="O34" s="211"/>
      <c r="Q34" s="5"/>
      <c r="S34" s="72"/>
      <c r="T34" s="26"/>
      <c r="U34" s="26"/>
      <c r="V34" s="113" t="s">
        <v>482</v>
      </c>
      <c r="W34" s="242">
        <f>D47/L19</f>
        <v>0.61727348370002699</v>
      </c>
      <c r="X34" s="242">
        <v>1</v>
      </c>
    </row>
    <row r="35" spans="2:24" ht="12.6" thickBot="1">
      <c r="B35" s="249" t="s">
        <v>355</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1.9266959458855357</v>
      </c>
      <c r="E37" s="406">
        <f t="shared" ref="E37:G41" si="7">E$18/E23</f>
        <v>1.7373615910500901</v>
      </c>
      <c r="F37" s="406">
        <f t="shared" si="7"/>
        <v>1.6438038165986131</v>
      </c>
      <c r="G37" s="406">
        <f t="shared" si="7"/>
        <v>1.543555777094606</v>
      </c>
      <c r="H37" s="13">
        <f t="shared" ref="H37:H46" si="8">H23</f>
        <v>2.4895940525712312E-2</v>
      </c>
      <c r="I37" s="5"/>
      <c r="J37" s="217"/>
      <c r="K37" s="217"/>
      <c r="L37" s="217"/>
      <c r="M37" s="217"/>
      <c r="N37" s="217"/>
      <c r="O37" s="14"/>
      <c r="Q37" s="5"/>
      <c r="R37" s="5"/>
      <c r="S37" s="26"/>
      <c r="T37" s="26"/>
      <c r="U37" s="26"/>
      <c r="V37" s="26"/>
      <c r="W37" s="26"/>
      <c r="X37" s="26"/>
    </row>
    <row r="38" spans="2:24">
      <c r="B38" s="5" t="s">
        <v>158</v>
      </c>
      <c r="C38" s="207"/>
      <c r="D38" s="406">
        <f>D$18/D24</f>
        <v>7.1730122311715769</v>
      </c>
      <c r="E38" s="406">
        <f>E$18/E24</f>
        <v>6.1523700634049412</v>
      </c>
      <c r="F38" s="406">
        <f t="shared" si="7"/>
        <v>5.5997806431161203</v>
      </c>
      <c r="G38" s="406">
        <f t="shared" si="7"/>
        <v>5.1418496178758888</v>
      </c>
      <c r="H38" s="13">
        <f t="shared" si="8"/>
        <v>6.3596471305999991E-2</v>
      </c>
      <c r="I38" s="217"/>
      <c r="J38" s="13"/>
      <c r="K38" s="13"/>
      <c r="L38" s="13"/>
      <c r="M38" s="13"/>
      <c r="N38" s="13"/>
      <c r="O38" s="5"/>
      <c r="Q38" s="5"/>
      <c r="R38" s="5"/>
      <c r="S38" s="26"/>
      <c r="T38" s="26"/>
      <c r="U38" s="26"/>
      <c r="V38" s="26"/>
      <c r="W38" s="26"/>
      <c r="X38" s="26"/>
    </row>
    <row r="39" spans="2:24">
      <c r="B39" s="5" t="s">
        <v>159</v>
      </c>
      <c r="C39" s="207"/>
      <c r="D39" s="406">
        <f>D$18/D25</f>
        <v>14.815925039637149</v>
      </c>
      <c r="E39" s="406">
        <f t="shared" si="7"/>
        <v>11.839514033533456</v>
      </c>
      <c r="F39" s="406">
        <f t="shared" si="7"/>
        <v>10.07614205226735</v>
      </c>
      <c r="G39" s="406">
        <f t="shared" si="7"/>
        <v>8.8048896550660753</v>
      </c>
      <c r="H39" s="13">
        <f t="shared" si="8"/>
        <v>0.13218597935818788</v>
      </c>
      <c r="I39" s="13"/>
      <c r="J39" s="5"/>
      <c r="K39" s="5"/>
      <c r="L39" s="5"/>
      <c r="M39" s="5"/>
      <c r="N39" s="5"/>
      <c r="O39" s="5"/>
      <c r="Q39" s="5"/>
      <c r="R39" s="5"/>
      <c r="S39" s="26"/>
      <c r="T39" s="26"/>
      <c r="U39" s="26"/>
      <c r="V39" s="26"/>
      <c r="W39" s="26"/>
      <c r="X39" s="26"/>
    </row>
    <row r="40" spans="2:24">
      <c r="B40" s="5" t="s">
        <v>381</v>
      </c>
      <c r="C40" s="207"/>
      <c r="D40" s="406">
        <f>D$18/D26</f>
        <v>20.549133203380233</v>
      </c>
      <c r="E40" s="406">
        <f t="shared" si="7"/>
        <v>16.420962598520742</v>
      </c>
      <c r="F40" s="406">
        <f t="shared" si="7"/>
        <v>13.975231695239041</v>
      </c>
      <c r="G40" s="406">
        <f t="shared" si="7"/>
        <v>12.21205222616654</v>
      </c>
      <c r="H40" s="13">
        <f t="shared" si="8"/>
        <v>0.13218597935818788</v>
      </c>
      <c r="I40" s="5"/>
      <c r="J40" s="217"/>
      <c r="K40" s="217"/>
      <c r="L40" s="217"/>
      <c r="M40" s="217"/>
      <c r="N40" s="217"/>
      <c r="O40" s="14"/>
      <c r="Q40" s="5"/>
      <c r="R40" s="5"/>
      <c r="S40" s="26"/>
      <c r="T40" s="26"/>
      <c r="U40" s="26"/>
      <c r="V40" s="26"/>
      <c r="W40" s="242"/>
      <c r="X40" s="242"/>
    </row>
    <row r="41" spans="2:24">
      <c r="B41" s="5" t="s">
        <v>434</v>
      </c>
      <c r="C41" s="207"/>
      <c r="D41" s="406">
        <f>D$18/D27</f>
        <v>1.2281848280711045</v>
      </c>
      <c r="E41" s="406">
        <f t="shared" si="7"/>
        <v>1.2246310343553306</v>
      </c>
      <c r="F41" s="406">
        <f t="shared" si="7"/>
        <v>1.1966960860406619</v>
      </c>
      <c r="G41" s="406">
        <f t="shared" si="7"/>
        <v>1.1539269103422065</v>
      </c>
      <c r="H41" s="13">
        <f t="shared" si="8"/>
        <v>-2.8123017734055566E-2</v>
      </c>
      <c r="I41" s="207"/>
      <c r="J41" s="13"/>
      <c r="K41" s="13"/>
      <c r="L41" s="13"/>
      <c r="M41" s="13"/>
      <c r="N41" s="13"/>
      <c r="O41" s="5"/>
      <c r="Q41" s="5"/>
      <c r="R41" s="5"/>
      <c r="S41" s="26"/>
      <c r="T41" s="26"/>
      <c r="U41" s="26"/>
      <c r="V41" s="26"/>
      <c r="W41" s="242"/>
      <c r="X41" s="242"/>
    </row>
    <row r="42" spans="2:24">
      <c r="B42" s="5" t="s">
        <v>493</v>
      </c>
      <c r="C42" s="207"/>
      <c r="D42" s="406">
        <f>D18/D28</f>
        <v>2.7682019166013125</v>
      </c>
      <c r="E42" s="406">
        <f>E18/E28</f>
        <v>2.7744706140437456</v>
      </c>
      <c r="F42" s="406">
        <f>F18/F28</f>
        <v>2.8191490430404778</v>
      </c>
      <c r="G42" s="406">
        <f>G18/G28</f>
        <v>2.8056238064409995</v>
      </c>
      <c r="H42" s="13">
        <f t="shared" si="8"/>
        <v>-5.2369718914665908E-2</v>
      </c>
      <c r="I42" s="208"/>
      <c r="J42" s="5"/>
      <c r="K42" s="5"/>
      <c r="L42" s="5"/>
      <c r="M42" s="5"/>
      <c r="N42" s="5"/>
      <c r="O42" s="5"/>
      <c r="Q42" s="5"/>
      <c r="R42" s="5"/>
      <c r="S42" s="26"/>
      <c r="T42" s="26"/>
      <c r="U42" s="26"/>
      <c r="V42" s="26"/>
      <c r="W42" s="242"/>
      <c r="X42" s="242"/>
    </row>
    <row r="43" spans="2:24">
      <c r="B43" s="5" t="s">
        <v>390</v>
      </c>
      <c r="C43" s="207"/>
      <c r="D43" s="406">
        <f>D11/D29</f>
        <v>28.716915094087504</v>
      </c>
      <c r="E43" s="406">
        <f t="shared" ref="E43:G43" si="9">E11/E29</f>
        <v>8.6189746081888909</v>
      </c>
      <c r="F43" s="406">
        <f t="shared" si="9"/>
        <v>14.203619582736531</v>
      </c>
      <c r="G43" s="406">
        <f t="shared" si="9"/>
        <v>10.604488966098694</v>
      </c>
      <c r="H43" s="13">
        <f t="shared" si="8"/>
        <v>0.38359031898471008</v>
      </c>
      <c r="I43" s="207"/>
      <c r="J43" s="207"/>
      <c r="K43" s="207"/>
      <c r="L43" s="207"/>
      <c r="M43" s="207"/>
      <c r="N43" s="207"/>
      <c r="O43" s="14"/>
      <c r="Q43" s="5"/>
      <c r="R43" s="5"/>
      <c r="S43" s="26"/>
      <c r="T43" s="26"/>
      <c r="U43" s="26"/>
      <c r="V43" s="26"/>
      <c r="W43" s="242"/>
      <c r="X43" s="242"/>
    </row>
    <row r="44" spans="2:24">
      <c r="B44" s="5" t="s">
        <v>437</v>
      </c>
      <c r="C44" s="53"/>
      <c r="D44" s="406">
        <f>L26/D30</f>
        <v>36.289133965650869</v>
      </c>
      <c r="E44" s="406">
        <f t="shared" ref="E44:G44" si="10">M26/E30</f>
        <v>27.848209557171675</v>
      </c>
      <c r="F44" s="406">
        <f t="shared" si="10"/>
        <v>17.475122650077875</v>
      </c>
      <c r="G44" s="406">
        <f t="shared" si="10"/>
        <v>14.137384913284263</v>
      </c>
      <c r="H44" s="13">
        <f t="shared" si="8"/>
        <v>0.36135230173016852</v>
      </c>
      <c r="I44" s="207"/>
      <c r="J44" s="208"/>
      <c r="K44" s="208"/>
      <c r="L44" s="208"/>
      <c r="M44" s="208"/>
      <c r="N44" s="208"/>
      <c r="O44" s="208"/>
      <c r="Q44" s="5"/>
      <c r="R44" s="5"/>
      <c r="S44" s="26"/>
      <c r="T44" s="26"/>
      <c r="U44" s="26"/>
      <c r="V44" s="26"/>
      <c r="W44" s="255"/>
      <c r="X44" s="255"/>
    </row>
    <row r="45" spans="2:24">
      <c r="B45" s="5" t="s">
        <v>345</v>
      </c>
      <c r="C45" s="207"/>
      <c r="D45" s="208">
        <f>D31/($C10*D10)</f>
        <v>0</v>
      </c>
      <c r="E45" s="208">
        <f t="shared" ref="E45:G45" si="11">E31/($C10*E10)</f>
        <v>3.3343437405274325E-2</v>
      </c>
      <c r="F45" s="208">
        <f t="shared" si="11"/>
        <v>4.3346468626856614E-2</v>
      </c>
      <c r="G45" s="208">
        <f t="shared" si="11"/>
        <v>5.2015762352227934E-2</v>
      </c>
      <c r="H45" s="13" t="str">
        <f t="shared" si="8"/>
        <v>nm</v>
      </c>
      <c r="I45" s="208"/>
      <c r="J45" s="207"/>
      <c r="K45" s="207"/>
      <c r="L45" s="207"/>
      <c r="M45" s="207"/>
      <c r="N45" s="207"/>
      <c r="O45" s="208"/>
      <c r="Q45" s="5"/>
      <c r="R45" s="5"/>
      <c r="S45" s="26"/>
      <c r="T45" s="26"/>
      <c r="U45" s="26"/>
      <c r="V45" s="26"/>
      <c r="W45" s="26"/>
      <c r="X45" s="26"/>
    </row>
    <row r="46" spans="2:24">
      <c r="B46" s="5" t="s">
        <v>911</v>
      </c>
      <c r="C46" s="207"/>
      <c r="D46" s="208">
        <f>(D31+D32)/($C10*D10)</f>
        <v>0</v>
      </c>
      <c r="E46" s="208">
        <f t="shared" ref="E46:G46" si="12">(E31+E32)/($C10*E10)</f>
        <v>3.3343437405274325E-2</v>
      </c>
      <c r="F46" s="208">
        <f t="shared" si="12"/>
        <v>4.3346468626856614E-2</v>
      </c>
      <c r="G46" s="208">
        <f t="shared" si="12"/>
        <v>5.2015762352227934E-2</v>
      </c>
      <c r="H46" s="13" t="str">
        <f t="shared" si="8"/>
        <v>nm</v>
      </c>
      <c r="I46" s="207"/>
      <c r="J46" s="207"/>
      <c r="K46" s="207"/>
      <c r="L46" s="207"/>
      <c r="M46" s="207"/>
      <c r="N46" s="207"/>
      <c r="O46" s="14"/>
      <c r="Q46" s="5"/>
      <c r="R46" s="5"/>
      <c r="S46" s="26"/>
      <c r="T46" s="26"/>
      <c r="U46" s="26"/>
      <c r="V46" s="26"/>
      <c r="W46" s="26"/>
      <c r="X46" s="26"/>
    </row>
    <row r="47" spans="2:24">
      <c r="B47" s="5" t="s">
        <v>482</v>
      </c>
      <c r="C47" s="5"/>
      <c r="D47" s="208">
        <f>1/D43</f>
        <v>3.4822681918431027E-2</v>
      </c>
      <c r="E47" s="208">
        <f>1/E43</f>
        <v>0.11602308226432174</v>
      </c>
      <c r="F47" s="208">
        <f>1/F43</f>
        <v>7.0404589067946277E-2</v>
      </c>
      <c r="G47" s="208">
        <f>1/G43</f>
        <v>9.4299687914889865E-2</v>
      </c>
      <c r="H47" s="13">
        <f>H29</f>
        <v>0.38359031898471008</v>
      </c>
      <c r="I47" s="13"/>
      <c r="J47" s="208"/>
      <c r="K47" s="208"/>
      <c r="L47" s="208"/>
      <c r="M47" s="208"/>
      <c r="N47" s="208"/>
      <c r="O47" s="208"/>
      <c r="Q47" s="5"/>
      <c r="R47" s="5"/>
      <c r="S47" s="26"/>
      <c r="T47" s="26"/>
      <c r="U47" s="26"/>
      <c r="V47" s="26"/>
      <c r="W47" s="26"/>
      <c r="X47" s="26"/>
    </row>
    <row r="48" spans="2:24">
      <c r="B48" s="5" t="s">
        <v>518</v>
      </c>
      <c r="C48" s="5"/>
      <c r="D48" s="248">
        <f>D31/D29</f>
        <v>0</v>
      </c>
      <c r="E48" s="248">
        <f>E31/E29</f>
        <v>0.19451177305897593</v>
      </c>
      <c r="F48" s="248">
        <f>F31/F29</f>
        <v>0.41670880363760138</v>
      </c>
      <c r="G48" s="248">
        <f>G31/G29</f>
        <v>0.37334009555891673</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TISOP!A1" display="Jump to TI SOP" xr:uid="{00000000-0004-0000-6300-000001000000}"/>
  </hyperlinks>
  <pageMargins left="0.75" right="0.75" top="1" bottom="1" header="0.5" footer="0.5"/>
  <pageSetup scale="71"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44">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141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360</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169</v>
      </c>
      <c r="C9" s="221">
        <v>13.46</v>
      </c>
      <c r="D9" s="410">
        <v>0</v>
      </c>
      <c r="E9" s="410">
        <v>0</v>
      </c>
      <c r="F9" s="410">
        <v>0</v>
      </c>
      <c r="G9" s="410">
        <v>0</v>
      </c>
      <c r="H9" s="209"/>
      <c r="I9" s="209"/>
      <c r="J9" s="5" t="s">
        <v>225</v>
      </c>
      <c r="L9" s="406">
        <f>'LATAM OTHER'!D37</f>
        <v>2.4119768823205523</v>
      </c>
      <c r="M9" s="406">
        <f>'LATAM OTHER'!E37</f>
        <v>2.1154894928642065</v>
      </c>
      <c r="N9" s="406">
        <f>'LATAM OTHER'!F37</f>
        <v>1.9103568365427492</v>
      </c>
      <c r="O9" s="406">
        <f>'LATAM OTHER'!G37</f>
        <v>1.724209646645674</v>
      </c>
      <c r="P9" s="240">
        <f>'LATAM OTHER'!H37</f>
        <v>6.4432021722839572E-2</v>
      </c>
    </row>
    <row r="10" spans="2:44">
      <c r="B10" s="5" t="s">
        <v>226</v>
      </c>
      <c r="C10" s="245"/>
      <c r="D10" s="408">
        <v>2360.1979393939396</v>
      </c>
      <c r="E10" s="408">
        <v>2299.5918787878791</v>
      </c>
      <c r="F10" s="408">
        <v>2238.9858181818186</v>
      </c>
      <c r="G10" s="408">
        <v>2178.379757575758</v>
      </c>
      <c r="H10" s="209"/>
      <c r="I10" s="207"/>
      <c r="J10" s="5" t="s">
        <v>158</v>
      </c>
      <c r="L10" s="406">
        <f>'LATAM OTHER'!D38</f>
        <v>5.8512530000817966</v>
      </c>
      <c r="M10" s="406">
        <f>'LATAM OTHER'!E38</f>
        <v>5.2022628550395567</v>
      </c>
      <c r="N10" s="406">
        <f>'LATAM OTHER'!F38</f>
        <v>4.5887025166021536</v>
      </c>
      <c r="O10" s="406">
        <f>'LATAM OTHER'!G38</f>
        <v>4.0686320357957708</v>
      </c>
      <c r="P10" s="240">
        <f>'LATAM OTHER'!H38</f>
        <v>7.4295430516063243E-2</v>
      </c>
    </row>
    <row r="11" spans="2:44">
      <c r="B11" s="25" t="s">
        <v>227</v>
      </c>
      <c r="C11" s="5"/>
      <c r="D11" s="409">
        <f>$C$9*(SUM(D9:D10))</f>
        <v>31768.264264242429</v>
      </c>
      <c r="E11" s="409">
        <f>$C$9*(SUM(E9:E10))</f>
        <v>30952.506688484853</v>
      </c>
      <c r="F11" s="409">
        <f>$C$9*(SUM(F9:F10))</f>
        <v>30136.749112727281</v>
      </c>
      <c r="G11" s="409">
        <f>$C$9*(SUM(G9:G10))</f>
        <v>29320.991536969705</v>
      </c>
      <c r="H11" s="209"/>
      <c r="I11" s="209"/>
      <c r="J11" s="5" t="s">
        <v>159</v>
      </c>
      <c r="L11" s="406">
        <f>'LATAM OTHER'!D39</f>
        <v>9.7743985443172523</v>
      </c>
      <c r="M11" s="406">
        <f>'LATAM OTHER'!E39</f>
        <v>8.5016802869832357</v>
      </c>
      <c r="N11" s="406">
        <f>'LATAM OTHER'!F39</f>
        <v>7.1652573287893704</v>
      </c>
      <c r="O11" s="406">
        <f>'LATAM OTHER'!G39</f>
        <v>6.1497254932409238</v>
      </c>
      <c r="P11" s="240">
        <f>'LATAM OTHER'!H39</f>
        <v>0.11071254875259684</v>
      </c>
    </row>
    <row r="12" spans="2:44">
      <c r="B12" s="5" t="s">
        <v>22</v>
      </c>
      <c r="C12" s="209"/>
      <c r="D12" s="410">
        <v>10294.505079905714</v>
      </c>
      <c r="E12" s="410">
        <v>9902.3062598772249</v>
      </c>
      <c r="F12" s="410">
        <v>9363.2335513113794</v>
      </c>
      <c r="G12" s="410">
        <v>8164.6860841769721</v>
      </c>
      <c r="H12" s="207"/>
      <c r="I12" s="207"/>
      <c r="J12" s="5" t="s">
        <v>381</v>
      </c>
      <c r="L12" s="406">
        <f>'LATAM OTHER'!D40</f>
        <v>12.943748486442482</v>
      </c>
      <c r="M12" s="406">
        <f>'LATAM OTHER'!E40</f>
        <v>11.262139134791388</v>
      </c>
      <c r="N12" s="406">
        <f>'LATAM OTHER'!F40</f>
        <v>9.8509660228840694</v>
      </c>
      <c r="O12" s="406">
        <f>'LATAM OTHER'!G40</f>
        <v>8.4548305272648268</v>
      </c>
      <c r="P12" s="240">
        <f>'LATAM OTHER'!H40</f>
        <v>9.692085592490618E-2</v>
      </c>
    </row>
    <row r="13" spans="2:44">
      <c r="B13" s="5" t="s">
        <v>433</v>
      </c>
      <c r="C13" s="216"/>
      <c r="D13" s="410">
        <v>2688.5</v>
      </c>
      <c r="E13" s="410">
        <v>2688.5</v>
      </c>
      <c r="F13" s="410">
        <v>2688.5</v>
      </c>
      <c r="G13" s="410">
        <v>2688.5</v>
      </c>
      <c r="H13" s="207"/>
      <c r="I13" s="207"/>
      <c r="J13" s="5" t="s">
        <v>434</v>
      </c>
      <c r="L13" s="406">
        <f>'LATAM OTHER'!D41</f>
        <v>1.5759145073957344</v>
      </c>
      <c r="M13" s="406">
        <f>'LATAM OTHER'!E41</f>
        <v>1.4883300559129049</v>
      </c>
      <c r="N13" s="406">
        <f>'LATAM OTHER'!F41</f>
        <v>1.4090724335425369</v>
      </c>
      <c r="O13" s="406">
        <f>'LATAM OTHER'!G41</f>
        <v>1.3214292867714388</v>
      </c>
      <c r="P13" s="240">
        <f>'LATAM OTHER'!H41</f>
        <v>9.2989378591046279E-3</v>
      </c>
    </row>
    <row r="14" spans="2:44">
      <c r="B14" s="5" t="s">
        <v>436</v>
      </c>
      <c r="C14" s="216"/>
      <c r="D14" s="410">
        <v>0</v>
      </c>
      <c r="E14" s="410">
        <f t="shared" ref="E14:G15" si="2">D14</f>
        <v>0</v>
      </c>
      <c r="F14" s="410">
        <f t="shared" si="2"/>
        <v>0</v>
      </c>
      <c r="G14" s="410">
        <f t="shared" si="2"/>
        <v>0</v>
      </c>
      <c r="H14" s="207"/>
      <c r="I14" s="207"/>
      <c r="J14" s="5" t="s">
        <v>493</v>
      </c>
      <c r="L14" s="406">
        <f>'LATAM OTHER'!D42</f>
        <v>2.0003709392007782</v>
      </c>
      <c r="M14" s="406">
        <f>'LATAM OTHER'!E42</f>
        <v>1.8758750356023162</v>
      </c>
      <c r="N14" s="406">
        <f>'LATAM OTHER'!F42</f>
        <v>1.771442878106624</v>
      </c>
      <c r="O14" s="406">
        <f>'LATAM OTHER'!G42</f>
        <v>1.6500606174643018</v>
      </c>
      <c r="P14" s="240">
        <f>'LATAM OTHER'!H42</f>
        <v>1.4831144278901309E-2</v>
      </c>
    </row>
    <row r="15" spans="2:44">
      <c r="B15" s="5" t="s">
        <v>435</v>
      </c>
      <c r="C15" s="228"/>
      <c r="D15" s="410">
        <v>0</v>
      </c>
      <c r="E15" s="410">
        <f t="shared" si="2"/>
        <v>0</v>
      </c>
      <c r="F15" s="410">
        <f t="shared" si="2"/>
        <v>0</v>
      </c>
      <c r="G15" s="410">
        <f t="shared" si="2"/>
        <v>0</v>
      </c>
      <c r="H15" s="207"/>
      <c r="I15" s="207"/>
      <c r="J15" s="5" t="s">
        <v>390</v>
      </c>
      <c r="L15" s="406">
        <f>'LATAM OTHER'!D43</f>
        <v>11.60541157029073</v>
      </c>
      <c r="M15" s="406">
        <f>'LATAM OTHER'!E43</f>
        <v>9.6347374591270096</v>
      </c>
      <c r="N15" s="406">
        <f>'LATAM OTHER'!F43</f>
        <v>7.5273490959335732</v>
      </c>
      <c r="O15" s="406">
        <f>'LATAM OTHER'!G43</f>
        <v>6.5286296232591763</v>
      </c>
      <c r="P15" s="240">
        <f>'LATAM OTHER'!H43</f>
        <v>0.18323846876090721</v>
      </c>
    </row>
    <row r="16" spans="2:44">
      <c r="B16" s="5" t="s">
        <v>438</v>
      </c>
      <c r="C16" s="216"/>
      <c r="D16" s="410">
        <v>0</v>
      </c>
      <c r="E16" s="410">
        <v>4609.7678662906537</v>
      </c>
      <c r="F16" s="410">
        <v>9861.0517216307508</v>
      </c>
      <c r="G16" s="410">
        <v>15225.647994106886</v>
      </c>
      <c r="H16" s="207"/>
      <c r="I16" s="207"/>
      <c r="J16" s="5" t="s">
        <v>437</v>
      </c>
      <c r="L16" s="406">
        <f>'LATAM OTHER'!D44</f>
        <v>12.587422154239039</v>
      </c>
      <c r="M16" s="406">
        <f>'LATAM OTHER'!E44</f>
        <v>10.558225413184802</v>
      </c>
      <c r="N16" s="406">
        <f>'LATAM OTHER'!F44</f>
        <v>8.851083192314551</v>
      </c>
      <c r="O16" s="406">
        <f>'LATAM OTHER'!G44</f>
        <v>7.7346026411363038</v>
      </c>
      <c r="P16" s="240">
        <f>'LATAM OTHER'!H44</f>
        <v>0.15515708992416144</v>
      </c>
    </row>
    <row r="17" spans="2:24">
      <c r="B17" s="5" t="s">
        <v>4</v>
      </c>
      <c r="C17" s="216"/>
      <c r="D17" s="410">
        <v>983.92329871517688</v>
      </c>
      <c r="E17" s="410">
        <v>983.92329871517688</v>
      </c>
      <c r="F17" s="410">
        <v>983.92329871517688</v>
      </c>
      <c r="G17" s="410">
        <v>983.92329871517688</v>
      </c>
      <c r="H17" s="207"/>
      <c r="I17" s="207"/>
      <c r="J17" s="5" t="s">
        <v>481</v>
      </c>
      <c r="L17" s="208">
        <f>'LATAM OTHER'!D45</f>
        <v>6.6798352381774173E-2</v>
      </c>
      <c r="M17" s="208">
        <f>'LATAM OTHER'!E45</f>
        <v>6.8747335864796422E-2</v>
      </c>
      <c r="N17" s="208">
        <f>'LATAM OTHER'!F45</f>
        <v>7.8197938134596134E-2</v>
      </c>
      <c r="O17" s="208">
        <f>'LATAM OTHER'!G45</f>
        <v>8.4412656483087073E-2</v>
      </c>
      <c r="P17" s="240">
        <f>'LATAM OTHER'!H45</f>
        <v>6.1749479822025055E-2</v>
      </c>
      <c r="S17" s="26"/>
      <c r="T17" s="26"/>
      <c r="U17" s="26"/>
      <c r="V17" s="26"/>
      <c r="W17" s="26"/>
      <c r="X17" s="26"/>
    </row>
    <row r="18" spans="2:24" ht="12.6" thickBot="1">
      <c r="B18" s="25" t="s">
        <v>484</v>
      </c>
      <c r="C18" s="209"/>
      <c r="D18" s="411">
        <f>D11+D12+D13-D14+D15-D16-D17</f>
        <v>43767.346045432962</v>
      </c>
      <c r="E18" s="411">
        <f>E11+E12+E13-E14+E15-E16-E17</f>
        <v>37949.621783356248</v>
      </c>
      <c r="F18" s="411">
        <f>F11+F12+F13-F14+F15-F16-F17</f>
        <v>31343.507643692734</v>
      </c>
      <c r="G18" s="411">
        <f>G11+G12+G13-G14+G15-G16-G17</f>
        <v>23964.606328324615</v>
      </c>
      <c r="H18" s="230">
        <f>IF(D18=0,"nm",IF(G18=0,"nm",(G18/D18)^(1/3)-1))</f>
        <v>-0.18189942960481753</v>
      </c>
      <c r="I18" s="214"/>
      <c r="J18" s="5" t="s">
        <v>33</v>
      </c>
      <c r="L18" s="208">
        <f>'LATAM OTHER'!D46</f>
        <v>8.0378510362212871E-2</v>
      </c>
      <c r="M18" s="208">
        <f>'LATAM OTHER'!E46</f>
        <v>8.4592966994935445E-2</v>
      </c>
      <c r="N18" s="208">
        <f>'LATAM OTHER'!F46</f>
        <v>9.433284175985629E-2</v>
      </c>
      <c r="O18" s="208">
        <f>'LATAM OTHER'!G46</f>
        <v>0.10084759072217683</v>
      </c>
      <c r="P18" s="240">
        <f>'LATAM OTHER'!H46</f>
        <v>5.9213016537436713E-2</v>
      </c>
      <c r="S18" s="26"/>
      <c r="T18" s="26"/>
      <c r="U18" s="26"/>
      <c r="V18" s="26"/>
      <c r="W18" s="26"/>
      <c r="X18" s="26"/>
    </row>
    <row r="19" spans="2:24" ht="12.6" thickTop="1">
      <c r="B19" s="25"/>
      <c r="C19" s="209"/>
      <c r="D19" s="189"/>
      <c r="E19" s="189"/>
      <c r="F19" s="189"/>
      <c r="G19" s="189"/>
      <c r="H19" s="230"/>
      <c r="I19" s="214"/>
      <c r="J19" s="5" t="s">
        <v>482</v>
      </c>
      <c r="L19" s="208">
        <f>'LATAM OTHER'!D47</f>
        <v>8.6166698521916246E-2</v>
      </c>
      <c r="M19" s="208">
        <f>'LATAM OTHER'!E47</f>
        <v>0.10379110009403501</v>
      </c>
      <c r="N19" s="208">
        <f>'LATAM OTHER'!F47</f>
        <v>0.13284889371481659</v>
      </c>
      <c r="O19" s="208">
        <f>'LATAM OTHER'!G47</f>
        <v>0.15317150117344031</v>
      </c>
      <c r="P19" s="240">
        <f>'LATAM OTHER'!H47</f>
        <v>0.18323846876090721</v>
      </c>
      <c r="S19" s="26"/>
      <c r="T19" s="26"/>
      <c r="U19" s="26"/>
      <c r="V19" s="26"/>
      <c r="W19" s="26"/>
      <c r="X19" s="26"/>
    </row>
    <row r="20" spans="2:24">
      <c r="H20" s="231"/>
      <c r="I20" s="13"/>
      <c r="J20" s="5" t="s">
        <v>504</v>
      </c>
      <c r="L20" s="248">
        <f>'LATAM OTHER'!D48</f>
        <v>0.93126857380042938</v>
      </c>
      <c r="M20" s="248">
        <f>'LATAM OTHER'!E48</f>
        <v>0.79549299406012719</v>
      </c>
      <c r="N20" s="248">
        <f>'LATAM OTHER'!F48</f>
        <v>0.71725477353181899</v>
      </c>
      <c r="O20" s="248">
        <f>'LATAM OTHER'!G48</f>
        <v>0.67285932583422448</v>
      </c>
      <c r="P20" s="240" t="str">
        <f>'LATAM OTHER'!H48</f>
        <v>nm</v>
      </c>
      <c r="S20" s="26"/>
      <c r="T20" s="26"/>
      <c r="U20" s="26"/>
      <c r="V20" s="26"/>
      <c r="W20" s="26"/>
      <c r="X20" s="26"/>
    </row>
    <row r="21" spans="2:24" ht="12.6" thickBot="1">
      <c r="B21" s="249" t="s">
        <v>775</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25447.93</v>
      </c>
      <c r="D23" s="416">
        <v>26655.82523494546</v>
      </c>
      <c r="E23" s="416">
        <v>27976.881054916164</v>
      </c>
      <c r="F23" s="416">
        <v>29337.931300285571</v>
      </c>
      <c r="G23" s="416">
        <v>30747.840300326327</v>
      </c>
      <c r="H23" s="233">
        <f t="shared" ref="H23:H30" si="4">IF(D23=0,"nm",IF(G23=0,"nm",(G23/D23)^(1/3)-1))</f>
        <v>4.8755282777350306E-2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12625.263062030001</v>
      </c>
      <c r="D24" s="416">
        <v>13502.546613839662</v>
      </c>
      <c r="E24" s="416">
        <v>14523.541488323783</v>
      </c>
      <c r="F24" s="416">
        <v>15607.152348358253</v>
      </c>
      <c r="G24" s="416">
        <v>16684.547272942065</v>
      </c>
      <c r="H24" s="233">
        <f t="shared" si="4"/>
        <v>7.3082009446664209E-2</v>
      </c>
      <c r="I24" s="209"/>
      <c r="J24" s="13"/>
      <c r="K24" s="13"/>
      <c r="L24" s="13"/>
      <c r="M24" s="13"/>
      <c r="N24" s="13"/>
      <c r="O24" s="208"/>
      <c r="S24" s="26"/>
      <c r="T24" s="26"/>
      <c r="U24" s="26"/>
      <c r="V24" s="26"/>
      <c r="W24" s="26" t="s">
        <v>152</v>
      </c>
      <c r="X24" s="26" t="s">
        <v>419</v>
      </c>
    </row>
    <row r="25" spans="2:24">
      <c r="B25" s="5" t="s">
        <v>157</v>
      </c>
      <c r="C25" s="422">
        <v>8074.8846363700013</v>
      </c>
      <c r="D25" s="416">
        <v>8998.0466138396623</v>
      </c>
      <c r="E25" s="416">
        <v>9996.5189883237836</v>
      </c>
      <c r="F25" s="416">
        <v>11034.859623358254</v>
      </c>
      <c r="G25" s="416">
        <v>12089.393084317067</v>
      </c>
      <c r="H25" s="233">
        <f t="shared" si="4"/>
        <v>0.10344854592968744</v>
      </c>
      <c r="I25" s="208"/>
      <c r="J25" s="207" t="s">
        <v>8</v>
      </c>
      <c r="K25" s="207"/>
      <c r="L25" s="252">
        <v>0</v>
      </c>
      <c r="M25" s="252">
        <v>0</v>
      </c>
      <c r="N25" s="252">
        <v>0</v>
      </c>
      <c r="O25" s="252">
        <v>0</v>
      </c>
      <c r="P25" s="233" t="str">
        <f>IF(L25=0,"nm",IF(O25=0,"nm",(O25/L25)^(1/3)-1))</f>
        <v>nm</v>
      </c>
      <c r="S25" s="26"/>
      <c r="T25" s="26"/>
      <c r="U25" s="26"/>
      <c r="V25" s="113" t="s">
        <v>225</v>
      </c>
      <c r="W25" s="242">
        <f>D37/L9</f>
        <v>0.68074575122572367</v>
      </c>
      <c r="X25" s="242">
        <v>1</v>
      </c>
    </row>
    <row r="26" spans="2:24">
      <c r="B26" s="5" t="s">
        <v>487</v>
      </c>
      <c r="C26" s="422">
        <v>5834.1041497773249</v>
      </c>
      <c r="D26" s="416">
        <v>7288.4177572101271</v>
      </c>
      <c r="E26" s="416">
        <v>8097.1803805422651</v>
      </c>
      <c r="F26" s="416">
        <v>8055.4475250515252</v>
      </c>
      <c r="G26" s="416">
        <v>8825.2569515514588</v>
      </c>
      <c r="H26" s="233">
        <f t="shared" si="4"/>
        <v>6.5854771633100162E-2</v>
      </c>
      <c r="I26" s="209"/>
      <c r="J26" s="209" t="s">
        <v>9</v>
      </c>
      <c r="K26" s="209"/>
      <c r="L26" s="235">
        <f>D11+L25</f>
        <v>31768.264264242429</v>
      </c>
      <c r="M26" s="235">
        <f>E11+M25</f>
        <v>30952.506688484853</v>
      </c>
      <c r="N26" s="235">
        <f>F11+N25</f>
        <v>30136.749112727281</v>
      </c>
      <c r="O26" s="235">
        <f>G11+O25</f>
        <v>29320.991536969705</v>
      </c>
      <c r="P26" s="233">
        <f>IF(L26=0,"nm",IF(O26=0,"nm",(O26/L26)^(1/3)-1))</f>
        <v>-2.6367515690030485E-2</v>
      </c>
      <c r="Q26" s="5"/>
      <c r="S26" s="26"/>
      <c r="T26" s="26"/>
      <c r="U26" s="26"/>
      <c r="V26" s="113" t="s">
        <v>158</v>
      </c>
      <c r="W26" s="242">
        <f t="shared" ref="W26:W33" si="6">D38/L10</f>
        <v>0.55396924023969474</v>
      </c>
      <c r="X26" s="242">
        <v>1</v>
      </c>
    </row>
    <row r="27" spans="2:24">
      <c r="B27" s="5" t="s">
        <v>488</v>
      </c>
      <c r="C27" s="423">
        <v>37073.451999999997</v>
      </c>
      <c r="D27" s="416">
        <v>35704.361650675142</v>
      </c>
      <c r="E27" s="416">
        <v>34530.713549742286</v>
      </c>
      <c r="F27" s="416">
        <v>33441.414538705809</v>
      </c>
      <c r="G27" s="416">
        <v>32417.897527313136</v>
      </c>
      <c r="H27" s="233">
        <f t="shared" si="4"/>
        <v>-3.1674896888936543E-2</v>
      </c>
      <c r="I27" s="209"/>
      <c r="J27" s="208"/>
      <c r="K27" s="208"/>
      <c r="L27" s="208"/>
      <c r="M27" s="208"/>
      <c r="N27" s="208"/>
      <c r="O27" s="208"/>
      <c r="Q27" s="25"/>
      <c r="S27" s="26"/>
      <c r="T27" s="26"/>
      <c r="U27" s="26"/>
      <c r="V27" s="113" t="s">
        <v>159</v>
      </c>
      <c r="W27" s="242">
        <f t="shared" si="6"/>
        <v>0.49763616089267199</v>
      </c>
      <c r="X27" s="242">
        <v>1</v>
      </c>
    </row>
    <row r="28" spans="2:24" ht="12.6" thickBot="1">
      <c r="B28" s="5" t="s">
        <v>492</v>
      </c>
      <c r="C28" s="422">
        <v>22815.328000000001</v>
      </c>
      <c r="D28" s="416">
        <v>23992.234952230945</v>
      </c>
      <c r="E28" s="416">
        <v>24459.016449014496</v>
      </c>
      <c r="F28" s="416">
        <v>25068.439289648901</v>
      </c>
      <c r="G28" s="416">
        <v>25785.371200625632</v>
      </c>
      <c r="H28" s="233">
        <f t="shared" si="4"/>
        <v>2.4316638751595843E-2</v>
      </c>
      <c r="I28" s="208"/>
      <c r="J28" s="249" t="s">
        <v>1073</v>
      </c>
      <c r="K28" s="249"/>
      <c r="L28" s="249"/>
      <c r="M28" s="249"/>
      <c r="N28" s="220"/>
      <c r="O28" s="220"/>
      <c r="P28" s="220"/>
      <c r="Q28" s="5"/>
      <c r="S28" s="26"/>
      <c r="T28" s="26"/>
      <c r="U28" s="26"/>
      <c r="V28" s="113" t="s">
        <v>381</v>
      </c>
      <c r="W28" s="242">
        <f t="shared" si="6"/>
        <v>0.46393473521153639</v>
      </c>
      <c r="X28" s="242">
        <v>1</v>
      </c>
    </row>
    <row r="29" spans="2:24" ht="12.6" thickTop="1">
      <c r="B29" s="5" t="s">
        <v>489</v>
      </c>
      <c r="C29" s="422">
        <v>4316.2943071193013</v>
      </c>
      <c r="D29" s="416">
        <v>5122.511199818885</v>
      </c>
      <c r="E29" s="416">
        <v>5739.9146581077985</v>
      </c>
      <c r="F29" s="416">
        <v>6422.1602504037983</v>
      </c>
      <c r="G29" s="416">
        <v>7024.5761865424911</v>
      </c>
      <c r="H29" s="233">
        <f t="shared" si="4"/>
        <v>0.11099576509237274</v>
      </c>
      <c r="I29" s="212"/>
      <c r="J29" s="209"/>
      <c r="K29" s="209"/>
      <c r="L29" s="209"/>
      <c r="M29" s="209"/>
      <c r="N29" s="209"/>
      <c r="O29" s="211"/>
      <c r="Q29" s="5"/>
      <c r="S29" s="26"/>
      <c r="T29" s="26"/>
      <c r="U29" s="26"/>
      <c r="V29" s="113" t="s">
        <v>434</v>
      </c>
      <c r="W29" s="242">
        <f t="shared" si="6"/>
        <v>0.77785077078246123</v>
      </c>
      <c r="X29" s="242">
        <v>1</v>
      </c>
    </row>
    <row r="30" spans="2:24">
      <c r="B30" s="5" t="s">
        <v>490</v>
      </c>
      <c r="C30" s="423">
        <v>3171.6540620300011</v>
      </c>
      <c r="D30" s="416">
        <v>4458.8239181271583</v>
      </c>
      <c r="E30" s="416">
        <v>4828.3185853862833</v>
      </c>
      <c r="F30" s="416">
        <v>5701.0575528694681</v>
      </c>
      <c r="G30" s="416">
        <v>6539.6267282178696</v>
      </c>
      <c r="H30" s="233">
        <f t="shared" si="4"/>
        <v>0.13617234123321875</v>
      </c>
      <c r="I30" s="214"/>
      <c r="J30" s="208"/>
      <c r="K30" s="208"/>
      <c r="L30" s="208"/>
      <c r="M30" s="208"/>
      <c r="N30" s="208"/>
      <c r="O30" s="5"/>
      <c r="Q30" s="5"/>
      <c r="S30" s="26"/>
      <c r="T30" s="26"/>
      <c r="U30" s="26"/>
      <c r="V30" s="113" t="s">
        <v>493</v>
      </c>
      <c r="W30" s="242">
        <f t="shared" si="6"/>
        <v>0.91194568004293775</v>
      </c>
      <c r="X30" s="242">
        <v>1</v>
      </c>
    </row>
    <row r="31" spans="2:24">
      <c r="B31" s="5" t="s">
        <v>491</v>
      </c>
      <c r="C31" s="423">
        <v>3500</v>
      </c>
      <c r="D31" s="416">
        <v>4026.6033473577249</v>
      </c>
      <c r="E31" s="416">
        <v>4609.7678662906537</v>
      </c>
      <c r="F31" s="416">
        <v>5251.283855340097</v>
      </c>
      <c r="G31" s="416">
        <v>5364.5962724761357</v>
      </c>
      <c r="H31" s="233">
        <f>IF(D31=0,"nm",IF(G31=0,"nm",(G31/D31)^(1/3)-1))</f>
        <v>0.10035477163722795</v>
      </c>
      <c r="I31" s="214"/>
      <c r="J31" s="212"/>
      <c r="K31" s="212"/>
      <c r="L31" s="212"/>
      <c r="M31" s="212"/>
      <c r="N31" s="212"/>
      <c r="O31" s="5"/>
      <c r="Q31" s="5"/>
      <c r="S31" s="26"/>
      <c r="T31" s="26"/>
      <c r="U31" s="26"/>
      <c r="V31" s="113" t="s">
        <v>390</v>
      </c>
      <c r="W31" s="242">
        <f t="shared" si="6"/>
        <v>0.53437978808486097</v>
      </c>
      <c r="X31" s="242">
        <v>1</v>
      </c>
    </row>
    <row r="32" spans="2:24">
      <c r="B32" s="5" t="s">
        <v>506</v>
      </c>
      <c r="C32" s="424">
        <v>0</v>
      </c>
      <c r="D32" s="416">
        <v>1000</v>
      </c>
      <c r="E32" s="416">
        <v>1000</v>
      </c>
      <c r="F32" s="416">
        <v>1000</v>
      </c>
      <c r="G32" s="416">
        <v>1000</v>
      </c>
      <c r="H32" s="233">
        <f>IF(D32=0,"nm",IF(G32=0,"nm",(G32/D32)^(1/3)-1))</f>
        <v>0</v>
      </c>
      <c r="I32" s="214"/>
      <c r="J32" s="214"/>
      <c r="K32" s="214"/>
      <c r="L32" s="214"/>
      <c r="M32" s="214"/>
      <c r="N32" s="214"/>
      <c r="O32" s="211"/>
      <c r="Q32" s="5"/>
      <c r="S32" s="26"/>
      <c r="T32" s="26"/>
      <c r="U32" s="26"/>
      <c r="V32" s="113" t="s">
        <v>437</v>
      </c>
      <c r="W32" s="242">
        <f t="shared" si="6"/>
        <v>0.56602598209857047</v>
      </c>
      <c r="X32" s="242">
        <v>1</v>
      </c>
    </row>
    <row r="33" spans="2:24">
      <c r="B33" s="5" t="s">
        <v>3</v>
      </c>
      <c r="C33" s="423">
        <v>1884.2236842299999</v>
      </c>
      <c r="D33" s="416">
        <v>1870.5823420213035</v>
      </c>
      <c r="E33" s="416">
        <v>1862.2760045636271</v>
      </c>
      <c r="F33" s="416">
        <v>1932.7723750360694</v>
      </c>
      <c r="G33" s="416">
        <v>2017.3204969828687</v>
      </c>
      <c r="H33" s="233">
        <f>IF(D33=0,"nm",IF(G33=0,"nm",(G33/D33)^(1/3)-1))</f>
        <v>2.5492976506049203E-2</v>
      </c>
      <c r="I33" s="5"/>
      <c r="J33" s="214"/>
      <c r="K33" s="214"/>
      <c r="L33" s="214"/>
      <c r="M33" s="214"/>
      <c r="N33" s="214"/>
      <c r="O33" s="211"/>
      <c r="Q33" s="5"/>
      <c r="S33" s="26"/>
      <c r="T33" s="26"/>
      <c r="U33" s="26"/>
      <c r="V33" s="113" t="s">
        <v>481</v>
      </c>
      <c r="W33" s="242">
        <f t="shared" si="6"/>
        <v>1.8974905120664476</v>
      </c>
      <c r="X33" s="242">
        <v>1</v>
      </c>
    </row>
    <row r="34" spans="2:24">
      <c r="D34" s="5"/>
      <c r="E34" s="5"/>
      <c r="F34" s="5"/>
      <c r="G34" s="5"/>
      <c r="I34" s="33"/>
      <c r="J34" s="214"/>
      <c r="K34" s="214"/>
      <c r="L34" s="214"/>
      <c r="M34" s="214"/>
      <c r="N34" s="214"/>
      <c r="O34" s="211"/>
      <c r="Q34" s="5"/>
      <c r="S34" s="26"/>
      <c r="T34" s="26"/>
      <c r="U34" s="26"/>
      <c r="V34" s="113" t="s">
        <v>482</v>
      </c>
      <c r="W34" s="242">
        <f>D47/L19</f>
        <v>1.8713282618413651</v>
      </c>
      <c r="X34" s="242">
        <v>1</v>
      </c>
    </row>
    <row r="35" spans="2:24" ht="12.6" thickBot="1">
      <c r="B35" s="249" t="s">
        <v>153</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1.6419430146943832</v>
      </c>
      <c r="E37" s="406">
        <f t="shared" ref="E37:G41" si="8">E$18/E23</f>
        <v>1.3564636354161306</v>
      </c>
      <c r="F37" s="406">
        <f t="shared" si="8"/>
        <v>1.0683612052560651</v>
      </c>
      <c r="G37" s="406">
        <f t="shared" si="8"/>
        <v>0.77939153105560643</v>
      </c>
      <c r="H37" s="13">
        <f t="shared" ref="H37:H45" si="9">H23</f>
        <v>4.8755282777350306E-2</v>
      </c>
      <c r="I37" s="5"/>
      <c r="J37" s="217"/>
      <c r="K37" s="217"/>
      <c r="L37" s="217"/>
      <c r="M37" s="217"/>
      <c r="N37" s="217"/>
      <c r="O37" s="14"/>
      <c r="Q37" s="5"/>
      <c r="R37" s="5"/>
      <c r="S37" s="26"/>
      <c r="T37" s="26"/>
      <c r="U37" s="26"/>
      <c r="V37" s="26"/>
      <c r="W37" s="26"/>
      <c r="X37" s="26"/>
    </row>
    <row r="38" spans="2:24">
      <c r="B38" s="5" t="s">
        <v>158</v>
      </c>
      <c r="C38" s="207"/>
      <c r="D38" s="406">
        <f>D$18/D24</f>
        <v>3.2414141789055471</v>
      </c>
      <c r="E38" s="406">
        <f t="shared" si="8"/>
        <v>2.6129730006876</v>
      </c>
      <c r="F38" s="406">
        <f t="shared" si="8"/>
        <v>2.0082784446574471</v>
      </c>
      <c r="G38" s="406">
        <f t="shared" si="8"/>
        <v>1.4363354268047108</v>
      </c>
      <c r="H38" s="13">
        <f t="shared" si="9"/>
        <v>7.3082009446664209E-2</v>
      </c>
      <c r="I38" s="217"/>
      <c r="J38" s="13"/>
      <c r="K38" s="13"/>
      <c r="L38" s="13"/>
      <c r="M38" s="13"/>
      <c r="N38" s="13"/>
      <c r="O38" s="5"/>
      <c r="Q38" s="5"/>
      <c r="R38" s="5"/>
      <c r="S38" s="26"/>
      <c r="T38" s="26"/>
      <c r="U38" s="26"/>
      <c r="V38" s="26"/>
      <c r="W38" s="26"/>
      <c r="X38" s="26"/>
    </row>
    <row r="39" spans="2:24">
      <c r="B39" s="5" t="s">
        <v>159</v>
      </c>
      <c r="C39" s="207"/>
      <c r="D39" s="406">
        <f>D$18/D25</f>
        <v>4.8640941666289592</v>
      </c>
      <c r="E39" s="406">
        <f t="shared" si="8"/>
        <v>3.7962836691134663</v>
      </c>
      <c r="F39" s="406">
        <f t="shared" si="8"/>
        <v>2.8404083707005889</v>
      </c>
      <c r="G39" s="406">
        <f t="shared" si="8"/>
        <v>1.9822836565230586</v>
      </c>
      <c r="H39" s="13">
        <f t="shared" si="9"/>
        <v>0.10344854592968744</v>
      </c>
      <c r="I39" s="13"/>
      <c r="J39" s="5"/>
      <c r="K39" s="5"/>
      <c r="L39" s="5"/>
      <c r="M39" s="5"/>
      <c r="N39" s="5"/>
      <c r="O39" s="5"/>
      <c r="Q39" s="5"/>
      <c r="R39" s="5"/>
      <c r="S39" s="26"/>
      <c r="T39" s="26"/>
      <c r="U39" s="26"/>
      <c r="V39" s="26"/>
      <c r="W39" s="26"/>
      <c r="X39" s="26"/>
    </row>
    <row r="40" spans="2:24">
      <c r="B40" s="5" t="s">
        <v>381</v>
      </c>
      <c r="C40" s="207"/>
      <c r="D40" s="406">
        <f>D$18/D26</f>
        <v>6.005054526702418</v>
      </c>
      <c r="E40" s="406">
        <f t="shared" si="8"/>
        <v>4.6867699618684764</v>
      </c>
      <c r="F40" s="406">
        <f t="shared" si="8"/>
        <v>3.8909703708227248</v>
      </c>
      <c r="G40" s="406">
        <f t="shared" si="8"/>
        <v>2.7154570637302173</v>
      </c>
      <c r="H40" s="13">
        <f t="shared" si="9"/>
        <v>6.5854771633100162E-2</v>
      </c>
      <c r="I40" s="5"/>
      <c r="J40" s="217"/>
      <c r="K40" s="217"/>
      <c r="L40" s="217"/>
      <c r="M40" s="217"/>
      <c r="N40" s="217"/>
      <c r="O40" s="14"/>
      <c r="Q40" s="5"/>
      <c r="R40" s="5"/>
      <c r="S40" s="26"/>
      <c r="T40" s="26"/>
      <c r="U40" s="26"/>
      <c r="V40" s="26"/>
      <c r="W40" s="242"/>
      <c r="X40" s="242"/>
    </row>
    <row r="41" spans="2:24">
      <c r="B41" s="5" t="s">
        <v>434</v>
      </c>
      <c r="C41" s="207"/>
      <c r="D41" s="406">
        <f>D$18/D27</f>
        <v>1.2258263142650347</v>
      </c>
      <c r="E41" s="406">
        <f t="shared" si="8"/>
        <v>1.0990106453690551</v>
      </c>
      <c r="F41" s="406">
        <f t="shared" si="8"/>
        <v>0.93726620347997203</v>
      </c>
      <c r="G41" s="406">
        <f t="shared" si="8"/>
        <v>0.73923999260388962</v>
      </c>
      <c r="H41" s="13">
        <f t="shared" si="9"/>
        <v>-3.1674896888936543E-2</v>
      </c>
      <c r="I41" s="207"/>
      <c r="J41" s="13"/>
      <c r="K41" s="13"/>
      <c r="L41" s="13"/>
      <c r="M41" s="13"/>
      <c r="N41" s="13"/>
      <c r="O41" s="5"/>
      <c r="Q41" s="5"/>
      <c r="R41" s="5"/>
      <c r="S41" s="26"/>
      <c r="T41" s="26"/>
      <c r="U41" s="26"/>
      <c r="V41" s="26"/>
      <c r="W41" s="242"/>
      <c r="X41" s="242"/>
    </row>
    <row r="42" spans="2:24">
      <c r="B42" s="5" t="s">
        <v>493</v>
      </c>
      <c r="C42" s="207"/>
      <c r="D42" s="406">
        <f>D18/D28</f>
        <v>1.8242296364875838</v>
      </c>
      <c r="E42" s="406">
        <f>E18/E28</f>
        <v>1.5515596002179113</v>
      </c>
      <c r="F42" s="406">
        <f>F18/F28</f>
        <v>1.250317472162493</v>
      </c>
      <c r="G42" s="406">
        <f>G18/G28</f>
        <v>0.92938768039698261</v>
      </c>
      <c r="H42" s="13">
        <f t="shared" si="9"/>
        <v>2.4316638751595843E-2</v>
      </c>
      <c r="I42" s="208"/>
      <c r="J42" s="5"/>
      <c r="K42" s="5"/>
      <c r="L42" s="5"/>
      <c r="M42" s="5"/>
      <c r="N42" s="5"/>
      <c r="O42" s="5"/>
      <c r="Q42" s="5"/>
      <c r="R42" s="5"/>
      <c r="S42" s="26"/>
      <c r="T42" s="26"/>
      <c r="U42" s="26"/>
      <c r="V42" s="26"/>
      <c r="W42" s="242"/>
      <c r="X42" s="242"/>
    </row>
    <row r="43" spans="2:24">
      <c r="B43" s="5" t="s">
        <v>390</v>
      </c>
      <c r="C43" s="207"/>
      <c r="D43" s="406">
        <f>L26/D29</f>
        <v>6.2016973755695544</v>
      </c>
      <c r="E43" s="406">
        <f>M26/E29</f>
        <v>5.392502943360582</v>
      </c>
      <c r="F43" s="406">
        <f>N26/F29</f>
        <v>4.6926186731065158</v>
      </c>
      <c r="G43" s="406">
        <f>O26/G29</f>
        <v>4.1740584425779499</v>
      </c>
      <c r="H43" s="13">
        <f t="shared" si="9"/>
        <v>0.11099576509237274</v>
      </c>
      <c r="I43" s="207"/>
      <c r="J43" s="207"/>
      <c r="K43" s="207"/>
      <c r="L43" s="207"/>
      <c r="M43" s="207"/>
      <c r="N43" s="207"/>
      <c r="O43" s="14"/>
      <c r="Q43" s="5"/>
      <c r="R43" s="5"/>
      <c r="S43" s="26"/>
      <c r="T43" s="26"/>
      <c r="U43" s="26"/>
      <c r="V43" s="26"/>
      <c r="W43" s="242"/>
      <c r="X43" s="242"/>
    </row>
    <row r="44" spans="2:24">
      <c r="B44" s="5" t="s">
        <v>437</v>
      </c>
      <c r="C44" s="53"/>
      <c r="D44" s="406">
        <f>D11/D30</f>
        <v>7.1248079869424554</v>
      </c>
      <c r="E44" s="406">
        <f>E11/E30</f>
        <v>6.4106181357145342</v>
      </c>
      <c r="F44" s="406">
        <f>F11/F30</f>
        <v>5.2861681948042758</v>
      </c>
      <c r="G44" s="406">
        <f>G11/G30</f>
        <v>4.4835879409527157</v>
      </c>
      <c r="H44" s="13">
        <f t="shared" si="9"/>
        <v>0.13617234123321875</v>
      </c>
      <c r="I44" s="207"/>
      <c r="J44" s="208"/>
      <c r="K44" s="208"/>
      <c r="L44" s="208"/>
      <c r="M44" s="208"/>
      <c r="N44" s="208"/>
      <c r="O44" s="208"/>
      <c r="Q44" s="5"/>
      <c r="R44" s="5"/>
      <c r="S44" s="26"/>
      <c r="T44" s="26"/>
      <c r="U44" s="26"/>
      <c r="V44" s="26"/>
      <c r="W44" s="255"/>
      <c r="X44" s="255"/>
    </row>
    <row r="45" spans="2:24">
      <c r="B45" s="5" t="s">
        <v>481</v>
      </c>
      <c r="C45" s="207"/>
      <c r="D45" s="208">
        <f>D31/D11</f>
        <v>0.12674923986608769</v>
      </c>
      <c r="E45" s="208">
        <f>E31/E11</f>
        <v>0.14893035684265302</v>
      </c>
      <c r="F45" s="208">
        <f>F31/F11</f>
        <v>0.17424851750590403</v>
      </c>
      <c r="G45" s="208">
        <f>G31/G11</f>
        <v>0.18296094338119923</v>
      </c>
      <c r="H45" s="13">
        <f t="shared" si="9"/>
        <v>0.10035477163722795</v>
      </c>
      <c r="I45" s="208"/>
      <c r="J45" s="207"/>
      <c r="K45" s="207"/>
      <c r="L45" s="207"/>
      <c r="M45" s="207"/>
      <c r="N45" s="207"/>
      <c r="O45" s="208"/>
      <c r="Q45" s="5"/>
      <c r="R45" s="5"/>
      <c r="S45" s="26"/>
      <c r="T45" s="26"/>
      <c r="U45" s="26"/>
      <c r="V45" s="26"/>
      <c r="W45" s="26"/>
      <c r="X45" s="26"/>
    </row>
    <row r="46" spans="2:24">
      <c r="B46" s="5" t="s">
        <v>505</v>
      </c>
      <c r="C46" s="207"/>
      <c r="D46" s="208">
        <f>(D31+D32)/D11</f>
        <v>0.15822719508838715</v>
      </c>
      <c r="E46" s="208">
        <f>(E31+E32)/E11</f>
        <v>0.18123791790917002</v>
      </c>
      <c r="F46" s="208">
        <f>(F31+F32)/F11</f>
        <v>0.20743059684231402</v>
      </c>
      <c r="G46" s="208">
        <f>(G31+G32)/G11</f>
        <v>0.21706620202291804</v>
      </c>
      <c r="H46" s="233">
        <f>((G31+G32)/(D31+D32))^(1/3)-1</f>
        <v>8.1845927775064276E-2</v>
      </c>
      <c r="I46" s="207"/>
      <c r="J46" s="207"/>
      <c r="K46" s="207"/>
      <c r="L46" s="207"/>
      <c r="M46" s="207"/>
      <c r="N46" s="207"/>
      <c r="O46" s="14"/>
      <c r="Q46" s="5"/>
      <c r="R46" s="5"/>
      <c r="S46" s="26"/>
      <c r="T46" s="26"/>
      <c r="U46" s="26"/>
      <c r="V46" s="26"/>
      <c r="W46" s="26"/>
      <c r="X46" s="26"/>
    </row>
    <row r="47" spans="2:24">
      <c r="B47" s="5" t="s">
        <v>482</v>
      </c>
      <c r="C47" s="5"/>
      <c r="D47" s="208">
        <f>1/D43</f>
        <v>0.16124617817362646</v>
      </c>
      <c r="E47" s="208">
        <f>1/E43</f>
        <v>0.1854426433334137</v>
      </c>
      <c r="F47" s="208">
        <f>1/F43</f>
        <v>0.21310063094003748</v>
      </c>
      <c r="G47" s="208">
        <f>1/G43</f>
        <v>0.23957498769049043</v>
      </c>
      <c r="H47" s="13">
        <f>H29</f>
        <v>0.11099576509237274</v>
      </c>
      <c r="I47" s="13"/>
      <c r="J47" s="208"/>
      <c r="K47" s="208"/>
      <c r="L47" s="208"/>
      <c r="M47" s="208"/>
      <c r="N47" s="208"/>
      <c r="O47" s="208"/>
      <c r="Q47" s="5"/>
      <c r="R47" s="5"/>
      <c r="S47" s="26"/>
      <c r="T47" s="26"/>
      <c r="U47" s="26"/>
      <c r="V47" s="26"/>
      <c r="W47" s="26"/>
      <c r="X47" s="26"/>
    </row>
    <row r="48" spans="2:24">
      <c r="B48" s="5" t="s">
        <v>518</v>
      </c>
      <c r="C48" s="5"/>
      <c r="D48" s="248">
        <f>D31/D29</f>
        <v>0.78606042823295186</v>
      </c>
      <c r="E48" s="248">
        <f>E31/E29</f>
        <v>0.80310738762974831</v>
      </c>
      <c r="F48" s="248">
        <f>F31/F29</f>
        <v>0.81768184700933277</v>
      </c>
      <c r="G48" s="248">
        <f>G31/G29</f>
        <v>0.76368967038232094</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1">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576</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155</v>
      </c>
      <c r="K7" s="249"/>
      <c r="L7" s="219" t="str">
        <f>L5</f>
        <v>2025E</v>
      </c>
      <c r="M7" s="219" t="str">
        <f t="shared" ref="M7:P7" si="1">M5</f>
        <v>2026E</v>
      </c>
      <c r="N7" s="219" t="str">
        <f t="shared" si="1"/>
        <v>2027E</v>
      </c>
      <c r="O7" s="219" t="str">
        <f t="shared" si="1"/>
        <v>2028E</v>
      </c>
      <c r="P7" s="219" t="str">
        <f t="shared" si="1"/>
        <v>2025-28</v>
      </c>
    </row>
    <row r="8" spans="2:44" ht="12.6" thickTop="1">
      <c r="I8" s="5"/>
      <c r="J8" s="5"/>
      <c r="K8" s="5"/>
      <c r="L8" s="5"/>
      <c r="M8" s="5"/>
      <c r="N8" s="5"/>
    </row>
    <row r="9" spans="2:44">
      <c r="B9" s="25" t="s">
        <v>13</v>
      </c>
      <c r="C9" s="241">
        <f>Prices!C46</f>
        <v>191.47</v>
      </c>
      <c r="D9" s="412">
        <v>0</v>
      </c>
      <c r="E9" s="413">
        <v>0</v>
      </c>
      <c r="F9" s="413">
        <v>0</v>
      </c>
      <c r="G9" s="413">
        <v>0</v>
      </c>
      <c r="H9" s="209"/>
      <c r="I9" s="209"/>
      <c r="J9" s="5" t="s">
        <v>225</v>
      </c>
      <c r="L9" s="406">
        <f>'US TELCO'!D37</f>
        <v>3.1912515933350361</v>
      </c>
      <c r="M9" s="406">
        <f>'US TELCO'!E37</f>
        <v>3.0787187231969964</v>
      </c>
      <c r="N9" s="406">
        <f>'US TELCO'!F37</f>
        <v>2.8503225545326361</v>
      </c>
      <c r="O9" s="406">
        <f>'US TELCO'!G37</f>
        <v>2.6431750462938113</v>
      </c>
      <c r="P9" s="233">
        <f>'US TELCO'!H37</f>
        <v>2.4384163316372609E-2</v>
      </c>
    </row>
    <row r="10" spans="2:44">
      <c r="B10" s="5" t="s">
        <v>226</v>
      </c>
      <c r="C10" s="5"/>
      <c r="D10" s="408">
        <v>1135.5455740304722</v>
      </c>
      <c r="E10" s="408">
        <v>1092.9782073390631</v>
      </c>
      <c r="F10" s="408">
        <v>1049.239640781577</v>
      </c>
      <c r="G10" s="408">
        <v>1004.8977753250765</v>
      </c>
      <c r="H10" s="207"/>
      <c r="I10" s="207"/>
      <c r="J10" s="5" t="s">
        <v>158</v>
      </c>
      <c r="L10" s="406">
        <f>'US TELCO'!D38</f>
        <v>7.0076377857560876</v>
      </c>
      <c r="M10" s="406">
        <f>'US TELCO'!E38</f>
        <v>6.6721556234523973</v>
      </c>
      <c r="N10" s="406">
        <f>'US TELCO'!F38</f>
        <v>6.0644964269488959</v>
      </c>
      <c r="O10" s="406">
        <f>'US TELCO'!G38</f>
        <v>5.5379250833598066</v>
      </c>
      <c r="P10" s="233">
        <f>'US TELCO'!H38</f>
        <v>4.0541340228376743E-2</v>
      </c>
    </row>
    <row r="11" spans="2:44">
      <c r="B11" s="25" t="s">
        <v>357</v>
      </c>
      <c r="C11" s="5"/>
      <c r="D11" s="409">
        <f>$C$9*D10</f>
        <v>217422.9110596145</v>
      </c>
      <c r="E11" s="409">
        <f>$C$9*E10</f>
        <v>209272.53735921043</v>
      </c>
      <c r="F11" s="409">
        <f>$C$9*F10</f>
        <v>200897.91402044854</v>
      </c>
      <c r="G11" s="409">
        <f>$C$9*G10</f>
        <v>192407.7770414924</v>
      </c>
      <c r="H11" s="209"/>
      <c r="I11" s="209"/>
      <c r="J11" s="5" t="s">
        <v>159</v>
      </c>
      <c r="L11" s="406">
        <f>'US TELCO'!D39</f>
        <v>11.344474517594159</v>
      </c>
      <c r="M11" s="406">
        <f>'US TELCO'!E39</f>
        <v>10.541500567041032</v>
      </c>
      <c r="N11" s="406">
        <f>'US TELCO'!F39</f>
        <v>9.3775630727872166</v>
      </c>
      <c r="O11" s="406">
        <f>'US TELCO'!G39</f>
        <v>8.3578168223796521</v>
      </c>
      <c r="P11" s="233">
        <f>'US TELCO'!H39</f>
        <v>6.51603570146575E-2</v>
      </c>
    </row>
    <row r="12" spans="2:44">
      <c r="B12" s="5" t="s">
        <v>22</v>
      </c>
      <c r="C12" s="209"/>
      <c r="D12" s="410">
        <v>83661.976193335082</v>
      </c>
      <c r="E12" s="410">
        <v>92214.444291574488</v>
      </c>
      <c r="F12" s="410">
        <v>99571.2887452656</v>
      </c>
      <c r="G12" s="410">
        <v>107364.42805181643</v>
      </c>
      <c r="H12" s="207"/>
      <c r="I12" s="207"/>
      <c r="J12" s="5" t="s">
        <v>381</v>
      </c>
      <c r="L12" s="406">
        <f>'US TELCO'!D40</f>
        <v>16.709554745428136</v>
      </c>
      <c r="M12" s="406">
        <f>'US TELCO'!E40</f>
        <v>15.758627227570189</v>
      </c>
      <c r="N12" s="406">
        <f>'US TELCO'!F40</f>
        <v>13.535776633534837</v>
      </c>
      <c r="O12" s="406">
        <f>'US TELCO'!G40</f>
        <v>11.886437593885129</v>
      </c>
      <c r="P12" s="233">
        <f>'US TELCO'!H40</f>
        <v>7.7677635873599549E-2</v>
      </c>
    </row>
    <row r="13" spans="2:44">
      <c r="B13" s="5" t="s">
        <v>433</v>
      </c>
      <c r="C13" s="216"/>
      <c r="D13" s="410">
        <v>0</v>
      </c>
      <c r="E13" s="410">
        <v>0</v>
      </c>
      <c r="F13" s="410">
        <v>0</v>
      </c>
      <c r="G13" s="410">
        <v>0</v>
      </c>
      <c r="H13" s="207"/>
      <c r="I13" s="207"/>
      <c r="J13" s="5" t="s">
        <v>434</v>
      </c>
      <c r="L13" s="406">
        <f>'US TELCO'!D41</f>
        <v>1.8809025689809733</v>
      </c>
      <c r="M13" s="406">
        <f>'US TELCO'!E41</f>
        <v>1.766265670071739</v>
      </c>
      <c r="N13" s="406">
        <f>'US TELCO'!F41</f>
        <v>1.6623601249316389</v>
      </c>
      <c r="O13" s="406">
        <f>'US TELCO'!G41</f>
        <v>1.5673415756231237</v>
      </c>
      <c r="P13" s="233">
        <f>'US TELCO'!H41</f>
        <v>2.2316486738481522E-2</v>
      </c>
    </row>
    <row r="14" spans="2:44">
      <c r="B14" s="5" t="s">
        <v>436</v>
      </c>
      <c r="C14" s="216"/>
      <c r="D14" s="410">
        <v>0</v>
      </c>
      <c r="E14" s="410">
        <v>0</v>
      </c>
      <c r="F14" s="410">
        <v>0</v>
      </c>
      <c r="G14" s="410">
        <v>0</v>
      </c>
      <c r="H14" s="207"/>
      <c r="I14" s="207"/>
      <c r="J14" s="5" t="s">
        <v>493</v>
      </c>
      <c r="L14" s="406">
        <f>'US TELCO'!D42</f>
        <v>3.4905600577328242</v>
      </c>
      <c r="M14" s="406">
        <f>'US TELCO'!E42</f>
        <v>3.4580582032694864</v>
      </c>
      <c r="N14" s="406">
        <f>'US TELCO'!F42</f>
        <v>3.2809378565331038</v>
      </c>
      <c r="O14" s="406">
        <f>'US TELCO'!G42</f>
        <v>3.1198934529722759</v>
      </c>
      <c r="P14" s="233">
        <f>'US TELCO'!H42</f>
        <v>-1.2972016508007167E-3</v>
      </c>
    </row>
    <row r="15" spans="2:44">
      <c r="B15" s="5" t="s">
        <v>435</v>
      </c>
      <c r="C15" s="228"/>
      <c r="D15" s="410">
        <v>0</v>
      </c>
      <c r="E15" s="410">
        <v>0</v>
      </c>
      <c r="F15" s="410">
        <v>0</v>
      </c>
      <c r="G15" s="410">
        <v>0</v>
      </c>
      <c r="H15" s="207"/>
      <c r="I15" s="207"/>
      <c r="J15" s="5" t="s">
        <v>390</v>
      </c>
      <c r="L15" s="406">
        <f>'US TELCO'!D43</f>
        <v>12.725776470696086</v>
      </c>
      <c r="M15" s="406">
        <f>'US TELCO'!E43</f>
        <v>15.177275737851533</v>
      </c>
      <c r="N15" s="406">
        <f>'US TELCO'!F43</f>
        <v>13.991790816794484</v>
      </c>
      <c r="O15" s="406">
        <f>'US TELCO'!G43</f>
        <v>12.765983540061763</v>
      </c>
      <c r="P15" s="233">
        <f>'US TELCO'!H43</f>
        <v>-2.4379245025710983E-2</v>
      </c>
    </row>
    <row r="16" spans="2:44">
      <c r="B16" s="5" t="s">
        <v>438</v>
      </c>
      <c r="C16" s="216"/>
      <c r="D16" s="410">
        <v>4112.8305414684291</v>
      </c>
      <c r="E16" s="410">
        <v>8727.1615040924662</v>
      </c>
      <c r="F16" s="410">
        <v>14134.346983143736</v>
      </c>
      <c r="G16" s="410">
        <v>20349.750980721179</v>
      </c>
      <c r="H16" s="207"/>
      <c r="I16" s="207"/>
      <c r="J16" s="5" t="s">
        <v>437</v>
      </c>
      <c r="L16" s="406">
        <f>'US TELCO'!D44</f>
        <v>13.266784878088224</v>
      </c>
      <c r="M16" s="406">
        <f>'US TELCO'!E44</f>
        <v>11.999390633171901</v>
      </c>
      <c r="N16" s="406">
        <f>'US TELCO'!F44</f>
        <v>10.690983801136143</v>
      </c>
      <c r="O16" s="406">
        <f>'US TELCO'!G44</f>
        <v>9.7423251474524637</v>
      </c>
      <c r="P16" s="233">
        <f>'US TELCO'!H44</f>
        <v>8.2526948023635915E-2</v>
      </c>
    </row>
    <row r="17" spans="2:24">
      <c r="B17" s="5" t="s">
        <v>4</v>
      </c>
      <c r="C17" s="216"/>
      <c r="D17" s="410">
        <v>0</v>
      </c>
      <c r="E17" s="410">
        <v>0</v>
      </c>
      <c r="F17" s="410">
        <v>0</v>
      </c>
      <c r="G17" s="410">
        <v>0</v>
      </c>
      <c r="H17" s="207"/>
      <c r="I17" s="207"/>
      <c r="J17" s="5" t="s">
        <v>481</v>
      </c>
      <c r="L17" s="208">
        <f>'US TELCO'!D45</f>
        <v>3.9302505739264929E-2</v>
      </c>
      <c r="M17" s="208">
        <f>'US TELCO'!E45</f>
        <v>4.1038330582823093E-2</v>
      </c>
      <c r="N17" s="208">
        <f>'US TELCO'!F45</f>
        <v>4.3684734283513924E-2</v>
      </c>
      <c r="O17" s="208">
        <f>'US TELCO'!G45</f>
        <v>4.5876932576331915E-2</v>
      </c>
      <c r="P17" s="233">
        <f>'US TELCO'!H45</f>
        <v>2.8321867991065286E-2</v>
      </c>
      <c r="S17" s="72"/>
      <c r="T17" s="26"/>
      <c r="U17" s="26"/>
      <c r="V17" s="26"/>
      <c r="W17" s="26"/>
      <c r="X17" s="26"/>
    </row>
    <row r="18" spans="2:24" ht="12.6" thickBot="1">
      <c r="B18" s="25" t="s">
        <v>423</v>
      </c>
      <c r="C18" s="209"/>
      <c r="D18" s="411">
        <f>D11+D12+D13-D14+D15-D16-D17</f>
        <v>296972.05671148119</v>
      </c>
      <c r="E18" s="411">
        <f>E11+E12+E13-E14+E15-E16-E17</f>
        <v>292759.82014669245</v>
      </c>
      <c r="F18" s="411">
        <f>F11+F12+F13-F14+F15-F16-F17</f>
        <v>286334.85578257043</v>
      </c>
      <c r="G18" s="411">
        <f>G11+G12+G13-G14+G15-G16-G17</f>
        <v>279422.45411258761</v>
      </c>
      <c r="H18" s="230">
        <f>IF(D18=0,"nm",IF(G18=0,"nm",(G18/D18)^(1/3)-1))</f>
        <v>-2.0099666881010836E-2</v>
      </c>
      <c r="I18" s="214"/>
      <c r="J18" s="5" t="s">
        <v>33</v>
      </c>
      <c r="L18" s="208">
        <f>'US TELCO'!D46</f>
        <v>6.1272160434465234E-2</v>
      </c>
      <c r="M18" s="208">
        <f>'US TELCO'!E46</f>
        <v>6.3744410252143627E-2</v>
      </c>
      <c r="N18" s="208">
        <f>'US TELCO'!F46</f>
        <v>6.0125837151764457E-2</v>
      </c>
      <c r="O18" s="208">
        <f>'US TELCO'!G46</f>
        <v>6.3588969137866505E-2</v>
      </c>
      <c r="P18" s="233">
        <f>'US TELCO'!H46</f>
        <v>-1.1195219112098531E-2</v>
      </c>
      <c r="S18" s="72"/>
      <c r="T18" s="26"/>
      <c r="U18" s="26"/>
      <c r="V18" s="26"/>
      <c r="W18" s="26"/>
      <c r="X18" s="26"/>
    </row>
    <row r="19" spans="2:24" ht="12.6" thickTop="1">
      <c r="B19" s="25"/>
      <c r="C19" s="209"/>
      <c r="D19" s="189"/>
      <c r="E19" s="189"/>
      <c r="F19" s="189"/>
      <c r="G19" s="189"/>
      <c r="H19" s="230"/>
      <c r="I19" s="214"/>
      <c r="J19" s="5" t="s">
        <v>482</v>
      </c>
      <c r="L19" s="208">
        <f>'US TELCO'!D47</f>
        <v>7.8580666751669026E-2</v>
      </c>
      <c r="M19" s="208">
        <f>'US TELCO'!E47</f>
        <v>6.5887977346688054E-2</v>
      </c>
      <c r="N19" s="208">
        <f>'US TELCO'!F47</f>
        <v>7.1470479590052913E-2</v>
      </c>
      <c r="O19" s="208">
        <f>'US TELCO'!G47</f>
        <v>7.8333173222559394E-2</v>
      </c>
      <c r="P19" s="233">
        <f>'US TELCO'!H47</f>
        <v>-2.4379245025710983E-2</v>
      </c>
      <c r="S19" s="72"/>
      <c r="T19" s="26"/>
      <c r="U19" s="26"/>
      <c r="V19" s="26"/>
      <c r="W19" s="26"/>
      <c r="X19" s="26"/>
    </row>
    <row r="20" spans="2:24">
      <c r="H20" s="231"/>
      <c r="I20" s="13"/>
      <c r="J20" s="5" t="s">
        <v>504</v>
      </c>
      <c r="L20" s="248">
        <f>'US TELCO'!D48</f>
        <v>0.5001549027761355</v>
      </c>
      <c r="M20" s="248">
        <f>'US TELCO'!E48</f>
        <v>0.62285005907661151</v>
      </c>
      <c r="N20" s="248">
        <f>'US TELCO'!F48</f>
        <v>0.61122766398217732</v>
      </c>
      <c r="O20" s="248">
        <f>'US TELCO'!G48</f>
        <v>0.58566416613797645</v>
      </c>
      <c r="P20" s="233" t="str">
        <f>'US TELCO'!H48</f>
        <v>nm</v>
      </c>
      <c r="S20" s="72"/>
      <c r="T20" s="26"/>
      <c r="U20" s="26"/>
      <c r="V20" s="26"/>
      <c r="W20" s="26"/>
      <c r="X20" s="26"/>
    </row>
    <row r="21" spans="2:24" ht="12.6" thickBot="1">
      <c r="B21" s="249" t="s">
        <v>755</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67137</v>
      </c>
      <c r="D23" s="410">
        <v>72221.623310901952</v>
      </c>
      <c r="E23" s="410">
        <v>77351.307080766332</v>
      </c>
      <c r="F23" s="410">
        <v>80912.333333432602</v>
      </c>
      <c r="G23" s="410">
        <v>83972.526260492479</v>
      </c>
      <c r="H23" s="233">
        <f t="shared" ref="H23:H32" si="3">IF(D23=0,"nm",IF(G23=0,"nm",(G23/D23)^(1/3)-1))</f>
        <v>5.1534011540008029E-2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31771</v>
      </c>
      <c r="D24" s="410">
        <v>33939.949774172448</v>
      </c>
      <c r="E24" s="410">
        <v>37446.177270218948</v>
      </c>
      <c r="F24" s="410">
        <v>40473.292906695882</v>
      </c>
      <c r="G24" s="410">
        <v>42945.771220726572</v>
      </c>
      <c r="H24" s="233">
        <f t="shared" si="3"/>
        <v>8.1607616837773289E-2</v>
      </c>
      <c r="I24" s="209"/>
      <c r="J24" s="13"/>
      <c r="K24" s="13"/>
      <c r="L24" s="13"/>
      <c r="M24" s="13"/>
      <c r="N24" s="13"/>
      <c r="O24" s="208"/>
      <c r="S24" s="72"/>
      <c r="T24" s="26"/>
      <c r="U24" s="26"/>
      <c r="V24" s="26"/>
      <c r="W24" s="26" t="s">
        <v>570</v>
      </c>
      <c r="X24" s="26" t="s">
        <v>577</v>
      </c>
    </row>
    <row r="25" spans="2:24">
      <c r="B25" s="5" t="s">
        <v>157</v>
      </c>
      <c r="C25" s="422">
        <v>22931</v>
      </c>
      <c r="D25" s="410">
        <v>23943.84755203245</v>
      </c>
      <c r="E25" s="410">
        <v>27318.333953721292</v>
      </c>
      <c r="F25" s="410">
        <v>30370.239266209501</v>
      </c>
      <c r="G25" s="410">
        <v>32783.105566027632</v>
      </c>
      <c r="H25" s="233">
        <f t="shared" si="3"/>
        <v>0.11041516539179752</v>
      </c>
      <c r="I25" s="208"/>
      <c r="J25" s="207" t="s">
        <v>8</v>
      </c>
      <c r="K25" s="207"/>
      <c r="L25" s="252">
        <v>0</v>
      </c>
      <c r="M25" s="252">
        <v>0</v>
      </c>
      <c r="N25" s="252">
        <v>0</v>
      </c>
      <c r="O25" s="252">
        <v>0</v>
      </c>
      <c r="P25" s="233" t="str">
        <f>IF(L25=0,"nm",IF(O25=0,"nm",(O25/L25)^(1/3)-1))</f>
        <v>nm</v>
      </c>
      <c r="S25" s="72"/>
      <c r="T25" s="26"/>
      <c r="U25" s="26"/>
      <c r="V25" s="113" t="s">
        <v>225</v>
      </c>
      <c r="W25" s="242">
        <f>D37/L9</f>
        <v>1.2885085252118627</v>
      </c>
      <c r="X25" s="242">
        <v>1</v>
      </c>
    </row>
    <row r="26" spans="2:24">
      <c r="B26" s="5" t="s">
        <v>487</v>
      </c>
      <c r="C26" s="422">
        <v>17032</v>
      </c>
      <c r="D26" s="410">
        <v>17970.96079379294</v>
      </c>
      <c r="E26" s="410">
        <v>18604.362864384635</v>
      </c>
      <c r="F26" s="410">
        <v>21049.970721908907</v>
      </c>
      <c r="G26" s="410">
        <v>22826.459445624943</v>
      </c>
      <c r="H26" s="233">
        <f>IF(D26=0,"nm",IF(G26=0,"nm",(G26/D26)^(1/3)-1))</f>
        <v>8.298494464765005E-2</v>
      </c>
      <c r="I26" s="209"/>
      <c r="J26" s="209" t="s">
        <v>9</v>
      </c>
      <c r="K26" s="209"/>
      <c r="L26" s="235">
        <f>D11+L25</f>
        <v>217422.9110596145</v>
      </c>
      <c r="M26" s="235">
        <f>E11+M25</f>
        <v>209272.53735921043</v>
      </c>
      <c r="N26" s="235">
        <f>F11+N25</f>
        <v>200897.91402044854</v>
      </c>
      <c r="O26" s="235">
        <f>G11+O25</f>
        <v>192407.7770414924</v>
      </c>
      <c r="P26" s="233">
        <f>IF(L26=0,"nm",IF(O26=0,"nm",(O26/L26)^(1/3)-1))</f>
        <v>-3.9923649317297638E-2</v>
      </c>
      <c r="Q26" s="5"/>
      <c r="S26" s="72"/>
      <c r="T26" s="26"/>
      <c r="U26" s="26"/>
      <c r="V26" s="113" t="s">
        <v>158</v>
      </c>
      <c r="W26" s="242">
        <f t="shared" ref="W26:W33" si="5">D38/L10</f>
        <v>1.2486270688741683</v>
      </c>
      <c r="X26" s="242">
        <v>1</v>
      </c>
    </row>
    <row r="27" spans="2:24">
      <c r="B27" s="5" t="s">
        <v>488</v>
      </c>
      <c r="C27" s="423">
        <v>142448</v>
      </c>
      <c r="D27" s="410">
        <v>147728.39351280325</v>
      </c>
      <c r="E27" s="410">
        <v>153428.98345536052</v>
      </c>
      <c r="F27" s="410">
        <v>159291.90937287477</v>
      </c>
      <c r="G27" s="410">
        <v>164812.37562914289</v>
      </c>
      <c r="H27" s="233">
        <f t="shared" si="3"/>
        <v>3.7150898957166278E-2</v>
      </c>
      <c r="I27" s="209"/>
      <c r="J27" s="208"/>
      <c r="K27" s="208"/>
      <c r="L27" s="208"/>
      <c r="M27" s="208"/>
      <c r="N27" s="208"/>
      <c r="O27" s="208"/>
      <c r="Q27" s="25"/>
      <c r="S27" s="72"/>
      <c r="T27" s="26"/>
      <c r="U27" s="26"/>
      <c r="V27" s="113" t="s">
        <v>159</v>
      </c>
      <c r="W27" s="242">
        <f t="shared" si="5"/>
        <v>1.0932947536495661</v>
      </c>
      <c r="X27" s="242">
        <v>1</v>
      </c>
    </row>
    <row r="28" spans="2:24" ht="12.6" thickBot="1">
      <c r="B28" s="5" t="s">
        <v>492</v>
      </c>
      <c r="C28" s="422">
        <v>38533</v>
      </c>
      <c r="D28" s="410">
        <v>37809.880268284745</v>
      </c>
      <c r="E28" s="410">
        <v>34226.389438229438</v>
      </c>
      <c r="F28" s="410">
        <v>30653.949462255052</v>
      </c>
      <c r="G28" s="410">
        <v>27183.823487659523</v>
      </c>
      <c r="H28" s="233">
        <f t="shared" si="3"/>
        <v>-0.10415045012166879</v>
      </c>
      <c r="I28" s="208"/>
      <c r="J28" s="249" t="s">
        <v>1073</v>
      </c>
      <c r="K28" s="249"/>
      <c r="L28" s="249"/>
      <c r="M28" s="249"/>
      <c r="N28" s="220"/>
      <c r="O28" s="220"/>
      <c r="P28" s="220"/>
      <c r="Q28" s="5"/>
      <c r="S28" s="72"/>
      <c r="T28" s="26"/>
      <c r="U28" s="26"/>
      <c r="V28" s="113" t="s">
        <v>381</v>
      </c>
      <c r="W28" s="242">
        <f t="shared" si="5"/>
        <v>0.98896156269002522</v>
      </c>
      <c r="X28" s="242">
        <v>1</v>
      </c>
    </row>
    <row r="29" spans="2:24" ht="12.6" thickTop="1">
      <c r="B29" s="5" t="s">
        <v>489</v>
      </c>
      <c r="C29" s="422">
        <v>9322</v>
      </c>
      <c r="D29" s="410">
        <v>13678</v>
      </c>
      <c r="E29" s="410">
        <v>3401</v>
      </c>
      <c r="F29" s="410">
        <v>4308</v>
      </c>
      <c r="G29" s="410">
        <v>4497.1989589645636</v>
      </c>
      <c r="H29" s="233">
        <f t="shared" si="3"/>
        <v>-0.30980284092936516</v>
      </c>
      <c r="I29" s="212"/>
      <c r="J29" s="209"/>
      <c r="K29" s="209"/>
      <c r="L29" s="209"/>
      <c r="M29" s="209"/>
      <c r="N29" s="209"/>
      <c r="O29" s="211"/>
      <c r="Q29" s="5"/>
      <c r="S29" s="72"/>
      <c r="T29" s="26"/>
      <c r="U29" s="26"/>
      <c r="V29" s="113" t="s">
        <v>434</v>
      </c>
      <c r="W29" s="242">
        <f t="shared" si="5"/>
        <v>1.0687726017892718</v>
      </c>
      <c r="X29" s="242">
        <v>1</v>
      </c>
    </row>
    <row r="30" spans="2:24">
      <c r="B30" s="5" t="s">
        <v>490</v>
      </c>
      <c r="C30" s="423">
        <v>11366.027175624231</v>
      </c>
      <c r="D30" s="410">
        <v>11167.536617917875</v>
      </c>
      <c r="E30" s="410">
        <v>11951.42280694193</v>
      </c>
      <c r="F30" s="410">
        <v>15028.263639423152</v>
      </c>
      <c r="G30" s="410">
        <v>16623.079401893043</v>
      </c>
      <c r="H30" s="233">
        <f t="shared" si="3"/>
        <v>0.14178595911125336</v>
      </c>
      <c r="I30" s="214"/>
      <c r="J30" s="208"/>
      <c r="K30" s="208"/>
      <c r="L30" s="208"/>
      <c r="M30" s="208"/>
      <c r="N30" s="208"/>
      <c r="O30" s="5"/>
      <c r="Q30" s="5"/>
      <c r="S30" s="72"/>
      <c r="T30" s="26"/>
      <c r="U30" s="26"/>
      <c r="V30" s="113" t="s">
        <v>493</v>
      </c>
      <c r="W30" s="242">
        <f t="shared" si="5"/>
        <v>2.2501691691195345</v>
      </c>
      <c r="X30" s="242">
        <v>1</v>
      </c>
    </row>
    <row r="31" spans="2:24">
      <c r="B31" s="5" t="s">
        <v>491</v>
      </c>
      <c r="C31" s="423">
        <v>3300</v>
      </c>
      <c r="D31" s="410">
        <v>4112.8305414684291</v>
      </c>
      <c r="E31" s="410">
        <v>4614.3309626240371</v>
      </c>
      <c r="F31" s="410">
        <v>5407.1854790512689</v>
      </c>
      <c r="G31" s="410">
        <v>6215.403997577444</v>
      </c>
      <c r="H31" s="233">
        <f t="shared" si="3"/>
        <v>0.14756206227965829</v>
      </c>
      <c r="I31" s="214"/>
      <c r="J31" s="212"/>
      <c r="K31" s="212"/>
      <c r="L31" s="212"/>
      <c r="M31" s="212"/>
      <c r="N31" s="212"/>
      <c r="O31" s="5"/>
      <c r="Q31" s="5"/>
      <c r="S31" s="72"/>
      <c r="T31" s="26"/>
      <c r="U31" s="26"/>
      <c r="V31" s="113" t="s">
        <v>390</v>
      </c>
      <c r="W31" s="242">
        <f t="shared" si="5"/>
        <v>1.2491034740571241</v>
      </c>
      <c r="X31" s="242">
        <v>1</v>
      </c>
    </row>
    <row r="32" spans="2:24">
      <c r="B32" s="5" t="s">
        <v>506</v>
      </c>
      <c r="C32" s="424">
        <v>3000</v>
      </c>
      <c r="D32" s="410">
        <v>13074</v>
      </c>
      <c r="E32" s="410">
        <v>13457.778892419416</v>
      </c>
      <c r="F32" s="410">
        <v>9462.527653950001</v>
      </c>
      <c r="G32" s="410">
        <v>9982.7152523117529</v>
      </c>
      <c r="H32" s="233">
        <f t="shared" si="3"/>
        <v>-8.5998866614146574E-2</v>
      </c>
      <c r="I32" s="214"/>
      <c r="J32" s="214"/>
      <c r="K32" s="214"/>
      <c r="L32" s="214"/>
      <c r="M32" s="214"/>
      <c r="N32" s="214"/>
      <c r="O32" s="211"/>
      <c r="Q32" s="5"/>
      <c r="S32" s="72"/>
      <c r="T32" s="26"/>
      <c r="U32" s="26"/>
      <c r="V32" s="113" t="s">
        <v>437</v>
      </c>
      <c r="W32" s="242">
        <f t="shared" si="5"/>
        <v>1.4675139352570596</v>
      </c>
      <c r="X32" s="242">
        <v>1</v>
      </c>
    </row>
    <row r="33" spans="2:24">
      <c r="B33" s="5" t="s">
        <v>3</v>
      </c>
      <c r="C33" s="423">
        <v>3298</v>
      </c>
      <c r="D33" s="410">
        <v>3868.5491830512592</v>
      </c>
      <c r="E33" s="410">
        <v>4096.0827144100758</v>
      </c>
      <c r="F33" s="410">
        <v>4291.0003312778572</v>
      </c>
      <c r="G33" s="410">
        <v>4625.5124780631195</v>
      </c>
      <c r="H33" s="233">
        <f>IF(D33=0,"nm",IF(G33=0,"nm",(G33/D33)^(1/3)-1))</f>
        <v>6.1379213747867478E-2</v>
      </c>
      <c r="I33" s="5"/>
      <c r="J33" s="214"/>
      <c r="K33" s="214"/>
      <c r="L33" s="214"/>
      <c r="M33" s="214"/>
      <c r="N33" s="214"/>
      <c r="O33" s="211"/>
      <c r="Q33" s="5"/>
      <c r="S33" s="72"/>
      <c r="T33" s="26"/>
      <c r="U33" s="26"/>
      <c r="V33" s="113" t="s">
        <v>481</v>
      </c>
      <c r="W33" s="242">
        <f t="shared" si="5"/>
        <v>0.48129934419905512</v>
      </c>
      <c r="X33" s="242">
        <v>1</v>
      </c>
    </row>
    <row r="34" spans="2:24">
      <c r="H34" s="231"/>
      <c r="I34" s="33"/>
      <c r="J34" s="214"/>
      <c r="K34" s="214"/>
      <c r="L34" s="214"/>
      <c r="M34" s="214"/>
      <c r="N34" s="214"/>
      <c r="O34" s="211"/>
      <c r="Q34" s="5"/>
      <c r="S34" s="72"/>
      <c r="T34" s="26"/>
      <c r="U34" s="26"/>
      <c r="V34" s="113" t="s">
        <v>482</v>
      </c>
      <c r="W34" s="242">
        <f>D47/L19</f>
        <v>0.80057418842329475</v>
      </c>
      <c r="X34" s="242">
        <v>1</v>
      </c>
    </row>
    <row r="35" spans="2:24" ht="12.6" thickBot="1">
      <c r="B35" s="249" t="s">
        <v>578</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4.1119548841081341</v>
      </c>
      <c r="E37" s="406">
        <f t="shared" ref="E37:G41" si="7">E$18/E23</f>
        <v>3.7848076677102225</v>
      </c>
      <c r="F37" s="406">
        <f t="shared" si="7"/>
        <v>3.5388283094322555</v>
      </c>
      <c r="G37" s="406">
        <f t="shared" si="7"/>
        <v>3.3275461219993177</v>
      </c>
      <c r="H37" s="13">
        <f t="shared" ref="H37:H44" si="8">H23</f>
        <v>5.1534011540008029E-2</v>
      </c>
      <c r="I37" s="5"/>
      <c r="J37" s="217"/>
      <c r="K37" s="217"/>
      <c r="L37" s="217"/>
      <c r="M37" s="217"/>
      <c r="N37" s="217"/>
      <c r="O37" s="14"/>
      <c r="Q37" s="5"/>
      <c r="R37" s="5"/>
      <c r="S37" s="26"/>
      <c r="T37" s="26"/>
      <c r="U37" s="26"/>
      <c r="V37" s="26"/>
      <c r="W37" s="26"/>
      <c r="X37" s="26"/>
    </row>
    <row r="38" spans="2:24">
      <c r="B38" s="5" t="s">
        <v>158</v>
      </c>
      <c r="C38" s="207"/>
      <c r="D38" s="406">
        <f>D$18/D24</f>
        <v>8.7499262281604899</v>
      </c>
      <c r="E38" s="406">
        <f t="shared" si="7"/>
        <v>7.8181497148315104</v>
      </c>
      <c r="F38" s="406">
        <f t="shared" si="7"/>
        <v>7.0746617143968367</v>
      </c>
      <c r="G38" s="406">
        <f t="shared" si="7"/>
        <v>6.5064020547320434</v>
      </c>
      <c r="H38" s="13">
        <f t="shared" si="8"/>
        <v>8.1607616837773289E-2</v>
      </c>
      <c r="I38" s="217"/>
      <c r="J38" s="13"/>
      <c r="K38" s="13"/>
      <c r="L38" s="13"/>
      <c r="M38" s="13"/>
      <c r="N38" s="13"/>
      <c r="O38" s="5"/>
      <c r="Q38" s="5"/>
      <c r="R38" s="5"/>
      <c r="S38" s="26"/>
      <c r="T38" s="26"/>
      <c r="U38" s="26"/>
      <c r="V38" s="26"/>
      <c r="W38" s="26"/>
      <c r="X38" s="26"/>
    </row>
    <row r="39" spans="2:24">
      <c r="B39" s="5" t="s">
        <v>159</v>
      </c>
      <c r="C39" s="207"/>
      <c r="D39" s="406">
        <f>D$18/D25</f>
        <v>12.402854472996886</v>
      </c>
      <c r="E39" s="406">
        <f t="shared" si="7"/>
        <v>10.716605948321853</v>
      </c>
      <c r="F39" s="406">
        <f t="shared" si="7"/>
        <v>9.4281396097248393</v>
      </c>
      <c r="G39" s="406">
        <f t="shared" si="7"/>
        <v>8.5233674262436736</v>
      </c>
      <c r="H39" s="13">
        <f t="shared" si="8"/>
        <v>0.11041516539179752</v>
      </c>
      <c r="I39" s="13"/>
      <c r="J39" s="5"/>
      <c r="K39" s="5"/>
      <c r="L39" s="5"/>
      <c r="M39" s="5"/>
      <c r="N39" s="5"/>
      <c r="O39" s="5"/>
      <c r="Q39" s="5"/>
      <c r="R39" s="5"/>
      <c r="S39" s="26"/>
      <c r="T39" s="26"/>
      <c r="U39" s="26"/>
      <c r="V39" s="26"/>
      <c r="W39" s="26"/>
      <c r="X39" s="26"/>
    </row>
    <row r="40" spans="2:24">
      <c r="B40" s="5" t="s">
        <v>381</v>
      </c>
      <c r="C40" s="207"/>
      <c r="D40" s="406">
        <f>D$18/D26</f>
        <v>16.525107372893135</v>
      </c>
      <c r="E40" s="406">
        <f>E$18/E26</f>
        <v>15.736084179864006</v>
      </c>
      <c r="F40" s="406">
        <f t="shared" si="7"/>
        <v>13.602624895081293</v>
      </c>
      <c r="G40" s="406">
        <f t="shared" si="7"/>
        <v>12.241164898051826</v>
      </c>
      <c r="H40" s="13">
        <f t="shared" si="8"/>
        <v>8.298494464765005E-2</v>
      </c>
      <c r="I40" s="5"/>
      <c r="J40" s="217"/>
      <c r="K40" s="217"/>
      <c r="L40" s="217"/>
      <c r="M40" s="217"/>
      <c r="N40" s="217"/>
      <c r="O40" s="14"/>
      <c r="Q40" s="5"/>
      <c r="R40" s="5"/>
      <c r="S40" s="26"/>
      <c r="T40" s="26"/>
      <c r="U40" s="26"/>
      <c r="V40" s="26"/>
      <c r="W40" s="242"/>
      <c r="X40" s="242"/>
    </row>
    <row r="41" spans="2:24">
      <c r="B41" s="5" t="s">
        <v>434</v>
      </c>
      <c r="C41" s="207"/>
      <c r="D41" s="406">
        <f>D$18/D27</f>
        <v>2.0102571323619203</v>
      </c>
      <c r="E41" s="406">
        <f t="shared" si="7"/>
        <v>1.9081128842378703</v>
      </c>
      <c r="F41" s="406">
        <f t="shared" si="7"/>
        <v>1.7975480167816316</v>
      </c>
      <c r="G41" s="406">
        <f t="shared" si="7"/>
        <v>1.6953972846149477</v>
      </c>
      <c r="H41" s="13">
        <f t="shared" si="8"/>
        <v>3.7150898957166278E-2</v>
      </c>
      <c r="I41" s="207"/>
      <c r="J41" s="13"/>
      <c r="K41" s="13"/>
      <c r="L41" s="13"/>
      <c r="M41" s="13"/>
      <c r="N41" s="13"/>
      <c r="O41" s="5"/>
      <c r="Q41" s="5"/>
      <c r="R41" s="5"/>
      <c r="S41" s="26"/>
      <c r="T41" s="26"/>
      <c r="U41" s="26"/>
      <c r="V41" s="26"/>
      <c r="W41" s="242"/>
      <c r="X41" s="242"/>
    </row>
    <row r="42" spans="2:24">
      <c r="B42" s="5" t="s">
        <v>493</v>
      </c>
      <c r="C42" s="207"/>
      <c r="D42" s="406">
        <f>D18/D28</f>
        <v>7.8543506248705031</v>
      </c>
      <c r="E42" s="406">
        <f>E18/E28</f>
        <v>8.5536284998759484</v>
      </c>
      <c r="F42" s="406">
        <f>F18/F28</f>
        <v>9.3408797497738902</v>
      </c>
      <c r="G42" s="406">
        <f>G18/G28</f>
        <v>10.278997516277846</v>
      </c>
      <c r="H42" s="13">
        <f t="shared" si="8"/>
        <v>-0.10415045012166879</v>
      </c>
      <c r="I42" s="208"/>
      <c r="J42" s="5"/>
      <c r="K42" s="5"/>
      <c r="L42" s="5"/>
      <c r="M42" s="5"/>
      <c r="N42" s="5"/>
      <c r="O42" s="5"/>
      <c r="Q42" s="5"/>
      <c r="R42" s="5"/>
      <c r="S42" s="26"/>
      <c r="T42" s="26"/>
      <c r="U42" s="26"/>
      <c r="V42" s="26"/>
      <c r="W42" s="242"/>
      <c r="X42" s="242"/>
    </row>
    <row r="43" spans="2:24">
      <c r="B43" s="5" t="s">
        <v>390</v>
      </c>
      <c r="C43" s="207"/>
      <c r="D43" s="406">
        <f>L26/D29</f>
        <v>15.895811599620888</v>
      </c>
      <c r="E43" s="406">
        <f>M26/E29</f>
        <v>61.532648444342968</v>
      </c>
      <c r="F43" s="406">
        <f>N26/F29</f>
        <v>46.633684777262893</v>
      </c>
      <c r="G43" s="406">
        <f>O26/G29</f>
        <v>42.78391478721511</v>
      </c>
      <c r="H43" s="13">
        <f t="shared" si="8"/>
        <v>-0.30980284092936516</v>
      </c>
      <c r="I43" s="207"/>
      <c r="J43" s="207"/>
      <c r="K43" s="207"/>
      <c r="L43" s="207"/>
      <c r="M43" s="207"/>
      <c r="N43" s="207"/>
      <c r="O43" s="14"/>
      <c r="Q43" s="5"/>
      <c r="R43" s="5"/>
      <c r="S43" s="26"/>
      <c r="T43" s="26"/>
      <c r="U43" s="26"/>
      <c r="V43" s="26"/>
      <c r="W43" s="242"/>
      <c r="X43" s="242"/>
    </row>
    <row r="44" spans="2:24">
      <c r="B44" s="5" t="s">
        <v>437</v>
      </c>
      <c r="C44" s="53"/>
      <c r="D44" s="406">
        <f>D11/D30</f>
        <v>19.469191684652099</v>
      </c>
      <c r="E44" s="406">
        <f>E11/E30</f>
        <v>17.510261392280039</v>
      </c>
      <c r="F44" s="406">
        <f>F11/F30</f>
        <v>13.368005701832354</v>
      </c>
      <c r="G44" s="406">
        <f>G11/G30</f>
        <v>11.574737290828372</v>
      </c>
      <c r="H44" s="13">
        <f t="shared" si="8"/>
        <v>0.14178595911125336</v>
      </c>
      <c r="I44" s="207"/>
      <c r="J44" s="208"/>
      <c r="K44" s="208"/>
      <c r="L44" s="208"/>
      <c r="M44" s="208"/>
      <c r="N44" s="208"/>
      <c r="O44" s="208"/>
      <c r="Q44" s="5"/>
      <c r="R44" s="5"/>
      <c r="S44" s="26"/>
      <c r="T44" s="26"/>
      <c r="U44" s="26"/>
      <c r="V44" s="26"/>
      <c r="W44" s="255"/>
      <c r="X44" s="255"/>
    </row>
    <row r="45" spans="2:24">
      <c r="B45" s="5" t="s">
        <v>481</v>
      </c>
      <c r="C45" s="207"/>
      <c r="D45" s="208">
        <f>D31/D11</f>
        <v>1.8916270237687809E-2</v>
      </c>
      <c r="E45" s="208">
        <f>E31/E11</f>
        <v>2.2049386034363735E-2</v>
      </c>
      <c r="F45" s="208">
        <f>F31/F11</f>
        <v>2.6915090210946114E-2</v>
      </c>
      <c r="G45" s="208">
        <f>G31/G11</f>
        <v>3.230328884386572E-2</v>
      </c>
      <c r="H45" s="13">
        <f>H31</f>
        <v>0.14756206227965829</v>
      </c>
      <c r="I45" s="208"/>
      <c r="J45" s="207"/>
      <c r="K45" s="207"/>
      <c r="L45" s="207"/>
      <c r="M45" s="207"/>
      <c r="N45" s="207"/>
      <c r="O45" s="208"/>
      <c r="Q45" s="5"/>
      <c r="R45" s="5"/>
      <c r="S45" s="26"/>
      <c r="T45" s="26"/>
      <c r="U45" s="26"/>
      <c r="V45" s="26"/>
      <c r="W45" s="26"/>
      <c r="X45" s="26"/>
    </row>
    <row r="46" spans="2:24">
      <c r="B46" s="5" t="s">
        <v>505</v>
      </c>
      <c r="C46" s="207"/>
      <c r="D46" s="208">
        <f>(D31+D32)/D11</f>
        <v>7.9047927643448881E-2</v>
      </c>
      <c r="E46" s="208">
        <f>(E31+E32)/E11</f>
        <v>8.6356815294991077E-2</v>
      </c>
      <c r="F46" s="208">
        <f>(F31+F32)/F11</f>
        <v>7.401626445702042E-2</v>
      </c>
      <c r="G46" s="208">
        <f>(G31+G32)/G11</f>
        <v>8.4186406074407805E-2</v>
      </c>
      <c r="H46" s="13">
        <f>H32</f>
        <v>-8.5998866614146574E-2</v>
      </c>
      <c r="I46" s="207"/>
      <c r="J46" s="207"/>
      <c r="K46" s="207"/>
      <c r="L46" s="207"/>
      <c r="M46" s="207"/>
      <c r="N46" s="207"/>
      <c r="O46" s="14"/>
      <c r="Q46" s="5"/>
      <c r="R46" s="5"/>
      <c r="S46" s="26"/>
      <c r="T46" s="26"/>
      <c r="U46" s="26"/>
      <c r="V46" s="26"/>
      <c r="W46" s="26"/>
      <c r="X46" s="26"/>
    </row>
    <row r="47" spans="2:24">
      <c r="B47" s="5" t="s">
        <v>482</v>
      </c>
      <c r="C47" s="5"/>
      <c r="D47" s="208">
        <f>1/D43</f>
        <v>6.2909653510478808E-2</v>
      </c>
      <c r="E47" s="208">
        <f>1/E43</f>
        <v>1.6251535165181654E-2</v>
      </c>
      <c r="F47" s="208">
        <f>1/F43</f>
        <v>2.1443726884896909E-2</v>
      </c>
      <c r="G47" s="208">
        <f>1/G43</f>
        <v>2.3373270187487021E-2</v>
      </c>
      <c r="H47" s="13">
        <f>H29</f>
        <v>-0.30980284092936516</v>
      </c>
      <c r="I47" s="13"/>
      <c r="J47" s="208"/>
      <c r="K47" s="208"/>
      <c r="L47" s="208"/>
      <c r="M47" s="208"/>
      <c r="N47" s="208"/>
      <c r="O47" s="208"/>
      <c r="Q47" s="5"/>
      <c r="R47" s="5"/>
      <c r="S47" s="26"/>
      <c r="T47" s="26"/>
      <c r="U47" s="26"/>
      <c r="V47" s="26"/>
      <c r="W47" s="26"/>
      <c r="X47" s="26"/>
    </row>
    <row r="48" spans="2:24">
      <c r="B48" s="5" t="s">
        <v>518</v>
      </c>
      <c r="C48" s="5"/>
      <c r="D48" s="248">
        <f>D31/D29</f>
        <v>0.3006894678658012</v>
      </c>
      <c r="E48" s="248">
        <f>E31/E29</f>
        <v>1.3567571192661092</v>
      </c>
      <c r="F48" s="248">
        <f>F31/F29</f>
        <v>1.2551498326488553</v>
      </c>
      <c r="G48" s="248">
        <f>G31/G29</f>
        <v>1.3820611572427475</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
    <pageSetUpPr fitToPage="1"/>
  </sheetPr>
  <dimension ref="A1:AR49"/>
  <sheetViews>
    <sheetView showGridLines="0" zoomScale="80" zoomScaleNormal="80" zoomScaleSheetLayoutView="80" workbookViewId="0">
      <selection activeCell="D10" sqref="D10"/>
    </sheetView>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499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32</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23</v>
      </c>
      <c r="C9" s="241">
        <f>Prices!C18</f>
        <v>164.3</v>
      </c>
      <c r="D9" s="412">
        <v>0</v>
      </c>
      <c r="E9" s="413">
        <v>0</v>
      </c>
      <c r="F9" s="413">
        <v>0</v>
      </c>
      <c r="G9" s="413">
        <v>0</v>
      </c>
      <c r="H9" s="209"/>
      <c r="I9" s="209"/>
      <c r="J9" s="5" t="s">
        <v>225</v>
      </c>
      <c r="L9" s="406">
        <f>'W.EUR INCUMB'!D37</f>
        <v>2.6115291218198822</v>
      </c>
      <c r="M9" s="406">
        <f>'W.EUR INCUMB'!E37</f>
        <v>2.468778461823224</v>
      </c>
      <c r="N9" s="406">
        <f>'W.EUR INCUMB'!F37</f>
        <v>2.3306922127120786</v>
      </c>
      <c r="O9" s="406">
        <f>'W.EUR INCUMB'!G37</f>
        <v>2.1842921069257279</v>
      </c>
      <c r="P9" s="233">
        <f>'W.EUR INCUMB'!H37</f>
        <v>2.6739330529638838E-2</v>
      </c>
    </row>
    <row r="10" spans="2:44">
      <c r="B10" s="5" t="s">
        <v>226</v>
      </c>
      <c r="C10" s="5"/>
      <c r="D10" s="408">
        <v>1368.2459200000001</v>
      </c>
      <c r="E10" s="408">
        <v>1338.8341552941176</v>
      </c>
      <c r="F10" s="408">
        <v>1311.2433816488247</v>
      </c>
      <c r="G10" s="408">
        <v>1285.3608547770675</v>
      </c>
      <c r="H10" s="207"/>
      <c r="I10" s="207"/>
      <c r="J10" s="5" t="s">
        <v>158</v>
      </c>
      <c r="L10" s="406">
        <f>'W.EUR INCUMB'!D38</f>
        <v>7.6973273740849635</v>
      </c>
      <c r="M10" s="406">
        <f>'W.EUR INCUMB'!E38</f>
        <v>7.1257427248361216</v>
      </c>
      <c r="N10" s="406">
        <f>'W.EUR INCUMB'!F38</f>
        <v>6.5752020208821156</v>
      </c>
      <c r="O10" s="406">
        <f>'W.EUR INCUMB'!G38</f>
        <v>6.0690884599678281</v>
      </c>
      <c r="P10" s="233">
        <f>'W.EUR INCUMB'!H38</f>
        <v>4.7138939293228432E-2</v>
      </c>
    </row>
    <row r="11" spans="2:44">
      <c r="B11" s="25" t="s">
        <v>227</v>
      </c>
      <c r="C11" s="5"/>
      <c r="D11" s="409">
        <f>$C$9*D10</f>
        <v>224802.80465600002</v>
      </c>
      <c r="E11" s="409">
        <f>$C$9*E10</f>
        <v>219970.45171482355</v>
      </c>
      <c r="F11" s="409">
        <f>$C$9*F10</f>
        <v>215437.28760490191</v>
      </c>
      <c r="G11" s="409">
        <f>$C$9*G10</f>
        <v>211184.78843987221</v>
      </c>
      <c r="H11" s="209"/>
      <c r="I11" s="209"/>
      <c r="J11" s="5" t="s">
        <v>159</v>
      </c>
      <c r="L11" s="406">
        <f>'W.EUR INCUMB'!D39</f>
        <v>14.687022482686716</v>
      </c>
      <c r="M11" s="406">
        <f>'W.EUR INCUMB'!E39</f>
        <v>12.847769073776606</v>
      </c>
      <c r="N11" s="406">
        <f>'W.EUR INCUMB'!F39</f>
        <v>11.242069500118653</v>
      </c>
      <c r="O11" s="406">
        <f>'W.EUR INCUMB'!G39</f>
        <v>10.086772600154154</v>
      </c>
      <c r="P11" s="233">
        <f>'W.EUR INCUMB'!H39</f>
        <v>9.6459655096736707E-2</v>
      </c>
    </row>
    <row r="12" spans="2:44">
      <c r="B12" s="5" t="s">
        <v>22</v>
      </c>
      <c r="C12" s="209"/>
      <c r="D12" s="410">
        <v>66672.295404943987</v>
      </c>
      <c r="E12" s="410">
        <v>47793.952936256253</v>
      </c>
      <c r="F12" s="410">
        <v>54046.396215264474</v>
      </c>
      <c r="G12" s="410">
        <v>59021.546817787159</v>
      </c>
      <c r="H12" s="207"/>
      <c r="I12" s="207"/>
      <c r="J12" s="5" t="s">
        <v>381</v>
      </c>
      <c r="L12" s="406">
        <f>'W.EUR INCUMB'!D40</f>
        <v>19.830299209917808</v>
      </c>
      <c r="M12" s="406">
        <f>'W.EUR INCUMB'!E40</f>
        <v>17.36798444512312</v>
      </c>
      <c r="N12" s="406">
        <f>'W.EUR INCUMB'!F40</f>
        <v>15.16444536347441</v>
      </c>
      <c r="O12" s="406">
        <f>'W.EUR INCUMB'!G40</f>
        <v>13.584316171309917</v>
      </c>
      <c r="P12" s="233">
        <f>'W.EUR INCUMB'!H40</f>
        <v>9.7394152300127379E-2</v>
      </c>
    </row>
    <row r="13" spans="2:44">
      <c r="B13" s="5" t="s">
        <v>433</v>
      </c>
      <c r="C13" s="216"/>
      <c r="D13" s="410">
        <v>16531.075606492901</v>
      </c>
      <c r="E13" s="410">
        <v>15812.273385003289</v>
      </c>
      <c r="F13" s="410">
        <v>15143.326632016535</v>
      </c>
      <c r="G13" s="410">
        <v>14530.44470090745</v>
      </c>
      <c r="H13" s="207"/>
      <c r="I13" s="207"/>
      <c r="J13" s="5" t="s">
        <v>434</v>
      </c>
      <c r="L13" s="406">
        <f>'W.EUR INCUMB'!D41</f>
        <v>1.6501931739334781</v>
      </c>
      <c r="M13" s="406">
        <f>'W.EUR INCUMB'!E41</f>
        <v>1.5635974498310732</v>
      </c>
      <c r="N13" s="406">
        <f>'W.EUR INCUMB'!F41</f>
        <v>1.4917522449349445</v>
      </c>
      <c r="O13" s="406">
        <f>'W.EUR INCUMB'!G41</f>
        <v>1.4180690027077645</v>
      </c>
      <c r="P13" s="233">
        <f>'W.EUR INCUMB'!H41</f>
        <v>1.7523903552905118E-2</v>
      </c>
    </row>
    <row r="14" spans="2:44">
      <c r="B14" s="5" t="s">
        <v>436</v>
      </c>
      <c r="C14" s="216"/>
      <c r="D14" s="410">
        <f>E14</f>
        <v>30846.560965985009</v>
      </c>
      <c r="E14" s="476">
        <f>TNORSOP!X41</f>
        <v>30846.560965985009</v>
      </c>
      <c r="F14" s="410">
        <f>E14</f>
        <v>30846.560965985009</v>
      </c>
      <c r="G14" s="410">
        <f>F14</f>
        <v>30846.560965985009</v>
      </c>
      <c r="H14" s="207"/>
      <c r="I14" s="207"/>
      <c r="J14" s="5" t="s">
        <v>493</v>
      </c>
      <c r="L14" s="406">
        <f>'W.EUR INCUMB'!D42</f>
        <v>3.7871049735546385</v>
      </c>
      <c r="M14" s="406">
        <f>'W.EUR INCUMB'!E42</f>
        <v>3.5748887383450989</v>
      </c>
      <c r="N14" s="406">
        <f>'W.EUR INCUMB'!F42</f>
        <v>3.4915824430274522</v>
      </c>
      <c r="O14" s="406">
        <f>'W.EUR INCUMB'!G42</f>
        <v>3.4432684732035157</v>
      </c>
      <c r="P14" s="233">
        <f>'W.EUR INCUMB'!H42</f>
        <v>-1.4320288778902901E-3</v>
      </c>
    </row>
    <row r="15" spans="2:44">
      <c r="B15" s="5" t="s">
        <v>435</v>
      </c>
      <c r="C15" s="228"/>
      <c r="D15" s="410">
        <f>E15</f>
        <v>23417.630816618213</v>
      </c>
      <c r="E15" s="476">
        <f>TNORSOP!T36</f>
        <v>23417.630816618213</v>
      </c>
      <c r="F15" s="410">
        <f>E15</f>
        <v>23417.630816618213</v>
      </c>
      <c r="G15" s="410">
        <f>F15</f>
        <v>23417.630816618213</v>
      </c>
      <c r="H15" s="207"/>
      <c r="I15" s="207"/>
      <c r="J15" s="5" t="s">
        <v>390</v>
      </c>
      <c r="L15" s="406">
        <f>'W.EUR INCUMB'!D43</f>
        <v>17.726190221245282</v>
      </c>
      <c r="M15" s="406">
        <f>'W.EUR INCUMB'!E43</f>
        <v>14.540452175204754</v>
      </c>
      <c r="N15" s="406">
        <f>'W.EUR INCUMB'!F43</f>
        <v>13.611016851018805</v>
      </c>
      <c r="O15" s="406">
        <f>'W.EUR INCUMB'!G43</f>
        <v>12.386360017379072</v>
      </c>
      <c r="P15" s="233">
        <f>'W.EUR INCUMB'!H43</f>
        <v>0.12138213373541618</v>
      </c>
    </row>
    <row r="16" spans="2:44">
      <c r="B16" s="5" t="s">
        <v>438</v>
      </c>
      <c r="C16" s="216"/>
      <c r="D16" s="410">
        <v>0</v>
      </c>
      <c r="E16" s="410">
        <v>13129.338365176471</v>
      </c>
      <c r="F16" s="410">
        <v>26239.271940433206</v>
      </c>
      <c r="G16" s="410">
        <v>46102.352827511852</v>
      </c>
      <c r="H16" s="207"/>
      <c r="I16" s="207"/>
      <c r="J16" s="5" t="s">
        <v>437</v>
      </c>
      <c r="L16" s="406">
        <f>'W.EUR INCUMB'!D44</f>
        <v>14.14426634350084</v>
      </c>
      <c r="M16" s="406">
        <f>'W.EUR INCUMB'!E44</f>
        <v>13.274636076602489</v>
      </c>
      <c r="N16" s="406">
        <f>'W.EUR INCUMB'!F44</f>
        <v>12.682458185422464</v>
      </c>
      <c r="O16" s="406">
        <f>'W.EUR INCUMB'!G44</f>
        <v>11.595868141181764</v>
      </c>
      <c r="P16" s="233">
        <f>'W.EUR INCUMB'!H44</f>
        <v>6.3181921560131027E-2</v>
      </c>
    </row>
    <row r="17" spans="2:24">
      <c r="B17" s="5" t="s">
        <v>4</v>
      </c>
      <c r="C17" s="216"/>
      <c r="D17" s="410">
        <v>0</v>
      </c>
      <c r="E17" s="410">
        <v>0</v>
      </c>
      <c r="F17" s="410">
        <v>0</v>
      </c>
      <c r="G17" s="410">
        <v>0</v>
      </c>
      <c r="H17" s="207"/>
      <c r="I17" s="207"/>
      <c r="J17" s="5" t="s">
        <v>481</v>
      </c>
      <c r="L17" s="208">
        <f>'W.EUR INCUMB'!D45</f>
        <v>3.8433837191367275E-2</v>
      </c>
      <c r="M17" s="208">
        <f>'W.EUR INCUMB'!E45</f>
        <v>4.1806569876969436E-2</v>
      </c>
      <c r="N17" s="208">
        <f>'W.EUR INCUMB'!F45</f>
        <v>4.7609975589375048E-2</v>
      </c>
      <c r="O17" s="208">
        <f>'W.EUR INCUMB'!G45</f>
        <v>4.9548921514355894E-2</v>
      </c>
      <c r="P17" s="233">
        <f>'W.EUR INCUMB'!H45</f>
        <v>8.2983942558335633E-2</v>
      </c>
      <c r="S17" s="72"/>
      <c r="T17" s="26"/>
      <c r="U17" s="26"/>
      <c r="V17" s="26"/>
      <c r="W17" s="26"/>
      <c r="X17" s="26"/>
    </row>
    <row r="18" spans="2:24" ht="12.6" thickBot="1">
      <c r="B18" s="25" t="s">
        <v>484</v>
      </c>
      <c r="C18" s="209"/>
      <c r="D18" s="411">
        <f>D11+D12+D13-D14+D15-D16-D17</f>
        <v>300577.24551807012</v>
      </c>
      <c r="E18" s="411">
        <f>E11+E12+E13-E14+E15-E16-E17</f>
        <v>263018.40952153981</v>
      </c>
      <c r="F18" s="411">
        <f>F11+F12+F13-F14+F15-F16-F17</f>
        <v>250958.8083623829</v>
      </c>
      <c r="G18" s="411">
        <f>G11+G12+G13-G14+G15-G16-G17</f>
        <v>231205.49698168819</v>
      </c>
      <c r="H18" s="230">
        <f>IF(D18=0,"nm",IF(G18=0,"nm",(G18/D18)^(1/3)-1))</f>
        <v>-8.3749935203597192E-2</v>
      </c>
      <c r="I18" s="214"/>
      <c r="J18" s="5" t="s">
        <v>33</v>
      </c>
      <c r="L18" s="208">
        <f>'W.EUR INCUMB'!D46</f>
        <v>3.8433837191367275E-2</v>
      </c>
      <c r="M18" s="208">
        <f>'W.EUR INCUMB'!E46</f>
        <v>4.1806569876969436E-2</v>
      </c>
      <c r="N18" s="208">
        <f>'W.EUR INCUMB'!F46</f>
        <v>4.7609975589375048E-2</v>
      </c>
      <c r="O18" s="208">
        <f>'W.EUR INCUMB'!G46</f>
        <v>4.9548921514355894E-2</v>
      </c>
      <c r="P18" s="233">
        <f>'W.EUR INCUMB'!H46</f>
        <v>8.2983942558335633E-2</v>
      </c>
      <c r="S18" s="72"/>
      <c r="T18" s="26"/>
      <c r="U18" s="26"/>
      <c r="V18" s="26"/>
      <c r="W18" s="26"/>
      <c r="X18" s="26"/>
    </row>
    <row r="19" spans="2:24" ht="12.6" thickTop="1">
      <c r="B19" s="25"/>
      <c r="C19" s="209"/>
      <c r="D19" s="189"/>
      <c r="E19" s="189"/>
      <c r="F19" s="189"/>
      <c r="G19" s="189"/>
      <c r="H19" s="230"/>
      <c r="I19" s="214"/>
      <c r="J19" s="5" t="s">
        <v>482</v>
      </c>
      <c r="L19" s="208">
        <f>'W.EUR INCUMB'!D47</f>
        <v>5.6413701281478691E-2</v>
      </c>
      <c r="M19" s="208">
        <f>'W.EUR INCUMB'!E47</f>
        <v>6.8773652149914544E-2</v>
      </c>
      <c r="N19" s="208">
        <f>'W.EUR INCUMB'!F47</f>
        <v>7.3469896551127151E-2</v>
      </c>
      <c r="O19" s="208">
        <f>'W.EUR INCUMB'!G47</f>
        <v>8.0733968542567675E-2</v>
      </c>
      <c r="P19" s="233">
        <f>'W.EUR INCUMB'!H47</f>
        <v>0.12138213373541618</v>
      </c>
      <c r="S19" s="72"/>
      <c r="T19" s="26"/>
      <c r="U19" s="26"/>
      <c r="V19" s="26"/>
      <c r="W19" s="26"/>
      <c r="X19" s="26"/>
    </row>
    <row r="20" spans="2:24">
      <c r="H20" s="231"/>
      <c r="I20" s="13"/>
      <c r="J20" s="5" t="s">
        <v>504</v>
      </c>
      <c r="L20" s="248">
        <f>'W.EUR INCUMB'!D48</f>
        <v>0.63858449375799731</v>
      </c>
      <c r="M20" s="248">
        <f>'W.EUR INCUMB'!E48</f>
        <v>0.56959251798556032</v>
      </c>
      <c r="N20" s="248">
        <f>'W.EUR INCUMB'!F48</f>
        <v>0.60726392920118166</v>
      </c>
      <c r="O20" s="248">
        <f>'W.EUR INCUMB'!G48</f>
        <v>0.57520615341768278</v>
      </c>
      <c r="P20" s="233" t="str">
        <f>'W.EUR INCUMB'!H48</f>
        <v>nm</v>
      </c>
      <c r="S20" s="72"/>
      <c r="T20" s="26"/>
      <c r="U20" s="26"/>
      <c r="V20" s="26"/>
      <c r="W20" s="26"/>
      <c r="X20" s="26"/>
    </row>
    <row r="21" spans="2:24" ht="12.6" thickBot="1">
      <c r="B21" s="249" t="s">
        <v>782</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79928.23677123223</v>
      </c>
      <c r="D23" s="416">
        <v>80224.137809999986</v>
      </c>
      <c r="E23" s="416">
        <v>78412.131475293208</v>
      </c>
      <c r="F23" s="416">
        <v>79370.168333251175</v>
      </c>
      <c r="G23" s="416">
        <v>80482.131237572772</v>
      </c>
      <c r="H23" s="233">
        <f t="shared" ref="H23:H32" si="3">IF(D23=0,"nm",IF(G23=0,"nm",(G23/D23)^(1/3)-1))</f>
        <v>1.0708221849318189E-3</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31471.154773451377</v>
      </c>
      <c r="D24" s="416">
        <v>32092.403901000212</v>
      </c>
      <c r="E24" s="416">
        <v>31712.786606876482</v>
      </c>
      <c r="F24" s="416">
        <v>32093.85724009114</v>
      </c>
      <c r="G24" s="416">
        <v>32803.462076134114</v>
      </c>
      <c r="H24" s="233">
        <f t="shared" si="3"/>
        <v>7.3316449902876002E-3</v>
      </c>
      <c r="I24" s="209"/>
      <c r="J24" s="13"/>
      <c r="K24" s="13"/>
      <c r="L24" s="13"/>
      <c r="M24" s="13"/>
      <c r="N24" s="13"/>
      <c r="O24" s="208"/>
      <c r="S24" s="72"/>
      <c r="T24" s="26"/>
      <c r="U24" s="26"/>
      <c r="V24" s="26"/>
      <c r="W24" s="26" t="s">
        <v>377</v>
      </c>
      <c r="X24" s="26" t="s">
        <v>204</v>
      </c>
    </row>
    <row r="25" spans="2:24">
      <c r="B25" s="5" t="s">
        <v>157</v>
      </c>
      <c r="C25" s="422">
        <v>18523.346583672512</v>
      </c>
      <c r="D25" s="416">
        <v>21036.168607000211</v>
      </c>
      <c r="E25" s="416">
        <v>20655.603125464964</v>
      </c>
      <c r="F25" s="416">
        <v>20786.614206658938</v>
      </c>
      <c r="G25" s="416">
        <v>21828.662850710374</v>
      </c>
      <c r="H25" s="233">
        <f t="shared" si="3"/>
        <v>1.2403170817929521E-2</v>
      </c>
      <c r="I25" s="208"/>
      <c r="J25" s="207" t="s">
        <v>8</v>
      </c>
      <c r="K25" s="207"/>
      <c r="L25" s="252">
        <v>42036</v>
      </c>
      <c r="M25" s="252">
        <v>42036</v>
      </c>
      <c r="N25" s="252">
        <v>42036</v>
      </c>
      <c r="O25" s="252">
        <v>42036</v>
      </c>
      <c r="P25" s="233">
        <f>IF(L25=0,"nm",IF(O25=0,"nm",(O25/L25)^(1/3)-1))</f>
        <v>0</v>
      </c>
      <c r="S25" s="72"/>
      <c r="T25" s="26"/>
      <c r="U25" s="26"/>
      <c r="V25" s="113" t="s">
        <v>225</v>
      </c>
      <c r="W25" s="242">
        <f>D37/L9</f>
        <v>1.4346837154641434</v>
      </c>
      <c r="X25" s="242">
        <v>1</v>
      </c>
    </row>
    <row r="26" spans="2:24">
      <c r="B26" s="5" t="s">
        <v>487</v>
      </c>
      <c r="C26" s="422">
        <v>14448.210335264559</v>
      </c>
      <c r="D26" s="416">
        <v>16408.211513460166</v>
      </c>
      <c r="E26" s="416">
        <v>16111.370437862673</v>
      </c>
      <c r="F26" s="416">
        <v>16213.559081193973</v>
      </c>
      <c r="G26" s="416">
        <v>17026.357023554094</v>
      </c>
      <c r="H26" s="233">
        <f t="shared" si="3"/>
        <v>1.2403170817929521E-2</v>
      </c>
      <c r="I26" s="209"/>
      <c r="J26" s="209" t="s">
        <v>9</v>
      </c>
      <c r="K26" s="209"/>
      <c r="L26" s="235">
        <f>D11+L25</f>
        <v>266838.80465599999</v>
      </c>
      <c r="M26" s="235">
        <f>E11+M25</f>
        <v>262006.45171482355</v>
      </c>
      <c r="N26" s="235">
        <f>F11+N25</f>
        <v>257473.28760490191</v>
      </c>
      <c r="O26" s="235">
        <f>G11+O25</f>
        <v>253220.78843987221</v>
      </c>
      <c r="P26" s="233">
        <f>IF(L26=0,"nm",IF(O26=0,"nm",(O26/L26)^(1/3)-1))</f>
        <v>-1.7309426543487771E-2</v>
      </c>
      <c r="Q26" s="5"/>
      <c r="S26" s="72"/>
      <c r="T26" s="26"/>
      <c r="U26" s="26"/>
      <c r="V26" s="113" t="s">
        <v>158</v>
      </c>
      <c r="W26" s="242">
        <f t="shared" ref="W26:W33" si="5">D38/L10</f>
        <v>1.2167851280487139</v>
      </c>
      <c r="X26" s="242">
        <v>1</v>
      </c>
    </row>
    <row r="27" spans="2:24">
      <c r="B27" s="5" t="s">
        <v>488</v>
      </c>
      <c r="C27" s="423">
        <v>151791.0822247433</v>
      </c>
      <c r="D27" s="416">
        <v>143436.83426694397</v>
      </c>
      <c r="E27" s="416">
        <v>105771.21622024504</v>
      </c>
      <c r="F27" s="416">
        <v>105827.50054448808</v>
      </c>
      <c r="G27" s="416">
        <v>98454.82277254542</v>
      </c>
      <c r="H27" s="233">
        <f t="shared" si="3"/>
        <v>-0.11788453838805479</v>
      </c>
      <c r="I27" s="209"/>
      <c r="J27" s="208"/>
      <c r="K27" s="208"/>
      <c r="L27" s="208"/>
      <c r="M27" s="208"/>
      <c r="N27" s="208"/>
      <c r="O27" s="208"/>
      <c r="Q27" s="25"/>
      <c r="S27" s="72"/>
      <c r="T27" s="26"/>
      <c r="U27" s="26"/>
      <c r="V27" s="113" t="s">
        <v>159</v>
      </c>
      <c r="W27" s="242">
        <f t="shared" si="5"/>
        <v>0.97287198492759519</v>
      </c>
      <c r="X27" s="242">
        <v>1</v>
      </c>
    </row>
    <row r="28" spans="2:24" ht="12.6" thickBot="1">
      <c r="B28" s="5" t="s">
        <v>492</v>
      </c>
      <c r="C28" s="422">
        <v>54678.438800000004</v>
      </c>
      <c r="D28" s="416">
        <v>51551.742660000004</v>
      </c>
      <c r="E28" s="416">
        <v>12689.695317913254</v>
      </c>
      <c r="F28" s="416">
        <v>7204.8262067842879</v>
      </c>
      <c r="G28" s="416">
        <v>-5703.4898190795793</v>
      </c>
      <c r="H28" s="233">
        <f t="shared" si="3"/>
        <v>-1.4800639637118969</v>
      </c>
      <c r="I28" s="208"/>
      <c r="J28" s="249" t="s">
        <v>1073</v>
      </c>
      <c r="K28" s="249"/>
      <c r="L28" s="249"/>
      <c r="M28" s="249"/>
      <c r="N28" s="220"/>
      <c r="O28" s="220"/>
      <c r="P28" s="220"/>
      <c r="Q28" s="5"/>
      <c r="S28" s="72"/>
      <c r="T28" s="26"/>
      <c r="U28" s="26"/>
      <c r="V28" s="113" t="s">
        <v>381</v>
      </c>
      <c r="W28" s="242">
        <f t="shared" si="5"/>
        <v>0.92377368669934956</v>
      </c>
      <c r="X28" s="242">
        <v>1</v>
      </c>
    </row>
    <row r="29" spans="2:24" ht="12.6" thickTop="1">
      <c r="B29" s="5" t="s">
        <v>489</v>
      </c>
      <c r="C29" s="422">
        <v>9031.1381310105226</v>
      </c>
      <c r="D29" s="416">
        <v>13200.820822028227</v>
      </c>
      <c r="E29" s="416">
        <v>11692.691162070625</v>
      </c>
      <c r="F29" s="416">
        <v>11761.969101533028</v>
      </c>
      <c r="G29" s="416">
        <v>12577.434463742184</v>
      </c>
      <c r="H29" s="233">
        <f t="shared" si="3"/>
        <v>-1.5995595796883588E-2</v>
      </c>
      <c r="I29" s="212"/>
      <c r="J29" s="209"/>
      <c r="K29" s="209"/>
      <c r="L29" s="209"/>
      <c r="M29" s="209"/>
      <c r="N29" s="209"/>
      <c r="O29" s="211"/>
      <c r="Q29" s="5"/>
      <c r="S29" s="72"/>
      <c r="T29" s="26"/>
      <c r="U29" s="26"/>
      <c r="V29" s="113" t="s">
        <v>434</v>
      </c>
      <c r="W29" s="242">
        <f t="shared" si="5"/>
        <v>1.2698739739490208</v>
      </c>
      <c r="X29" s="242">
        <v>1</v>
      </c>
    </row>
    <row r="30" spans="2:24">
      <c r="B30" s="5" t="s">
        <v>490</v>
      </c>
      <c r="C30" s="423">
        <v>12079.154278337557</v>
      </c>
      <c r="D30" s="416">
        <v>8094.6427825551345</v>
      </c>
      <c r="E30" s="416">
        <v>6960.4753027079641</v>
      </c>
      <c r="F30" s="416">
        <v>7634.0281447281232</v>
      </c>
      <c r="G30" s="416">
        <v>7738.7878016061677</v>
      </c>
      <c r="H30" s="233">
        <f t="shared" si="3"/>
        <v>-1.4874070867600064E-2</v>
      </c>
      <c r="I30" s="214"/>
      <c r="J30" s="208"/>
      <c r="K30" s="208"/>
      <c r="L30" s="208"/>
      <c r="M30" s="208"/>
      <c r="N30" s="208"/>
      <c r="O30" s="5"/>
      <c r="Q30" s="5"/>
      <c r="S30" s="72"/>
      <c r="T30" s="26"/>
      <c r="U30" s="26"/>
      <c r="V30" s="113" t="s">
        <v>493</v>
      </c>
      <c r="W30" s="242">
        <f t="shared" si="5"/>
        <v>1.5395911504552708</v>
      </c>
      <c r="X30" s="242">
        <v>1</v>
      </c>
    </row>
    <row r="31" spans="2:24">
      <c r="B31" s="5" t="s">
        <v>491</v>
      </c>
      <c r="C31" s="423">
        <v>13135.3037664</v>
      </c>
      <c r="D31" s="416">
        <v>13271.985424</v>
      </c>
      <c r="E31" s="416">
        <v>13246.425132480001</v>
      </c>
      <c r="F31" s="416">
        <v>20061.072832714282</v>
      </c>
      <c r="G31" s="416">
        <v>13231.141653169745</v>
      </c>
      <c r="H31" s="233">
        <f t="shared" si="3"/>
        <v>-1.0268682346489255E-3</v>
      </c>
      <c r="I31" s="214"/>
      <c r="J31" s="212"/>
      <c r="K31" s="212"/>
      <c r="L31" s="212"/>
      <c r="M31" s="212"/>
      <c r="N31" s="212"/>
      <c r="O31" s="5"/>
      <c r="Q31" s="5"/>
      <c r="S31" s="72"/>
      <c r="T31" s="26"/>
      <c r="U31" s="26"/>
      <c r="V31" s="113" t="s">
        <v>390</v>
      </c>
      <c r="W31" s="242">
        <f t="shared" si="5"/>
        <v>1.1403355002781992</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72"/>
      <c r="T32" s="26"/>
      <c r="U32" s="26"/>
      <c r="V32" s="113" t="s">
        <v>437</v>
      </c>
      <c r="W32" s="242">
        <f t="shared" si="5"/>
        <v>1.9634670224526627</v>
      </c>
      <c r="X32" s="242">
        <v>1</v>
      </c>
    </row>
    <row r="33" spans="1:24">
      <c r="B33" s="5" t="s">
        <v>3</v>
      </c>
      <c r="C33" s="423">
        <v>1341.0024130228185</v>
      </c>
      <c r="D33" s="416">
        <v>3291.3988509999999</v>
      </c>
      <c r="E33" s="416">
        <v>2028.8889257025751</v>
      </c>
      <c r="F33" s="416">
        <v>2044.2923005619677</v>
      </c>
      <c r="G33" s="416">
        <v>2281.5612440286259</v>
      </c>
      <c r="H33" s="233">
        <f>IF(D33=0,"nm",IF(G33=0,"nm",(G33/D33)^(1/3)-1))</f>
        <v>-0.11498518803937663</v>
      </c>
      <c r="I33" s="5"/>
      <c r="J33" s="214"/>
      <c r="K33" s="214"/>
      <c r="L33" s="214"/>
      <c r="M33" s="214"/>
      <c r="N33" s="214"/>
      <c r="O33" s="211"/>
      <c r="Q33" s="5"/>
      <c r="S33" s="72"/>
      <c r="T33" s="26"/>
      <c r="U33" s="26"/>
      <c r="V33" s="113" t="s">
        <v>481</v>
      </c>
      <c r="W33" s="242">
        <f t="shared" si="5"/>
        <v>1.5361033091185619</v>
      </c>
      <c r="X33" s="242">
        <v>1</v>
      </c>
    </row>
    <row r="34" spans="1:24">
      <c r="H34" s="231"/>
      <c r="I34" s="33"/>
      <c r="J34" s="214"/>
      <c r="K34" s="214"/>
      <c r="L34" s="214"/>
      <c r="M34" s="214"/>
      <c r="N34" s="214"/>
      <c r="O34" s="211"/>
      <c r="Q34" s="5"/>
      <c r="S34" s="72"/>
      <c r="T34" s="26"/>
      <c r="U34" s="26"/>
      <c r="V34" s="113" t="s">
        <v>482</v>
      </c>
      <c r="W34" s="242">
        <f>D47/L19</f>
        <v>0.87693490183900902</v>
      </c>
      <c r="X34" s="242">
        <v>1</v>
      </c>
    </row>
    <row r="35" spans="1:24" ht="12.6" thickBot="1">
      <c r="B35" s="249" t="s">
        <v>234</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1:24" ht="12.6" thickTop="1">
      <c r="B36" s="25"/>
      <c r="C36" s="209"/>
      <c r="D36" s="214"/>
      <c r="E36" s="214"/>
      <c r="F36" s="214"/>
      <c r="G36" s="214"/>
      <c r="H36" s="214"/>
      <c r="I36" s="13"/>
      <c r="J36" s="33"/>
      <c r="K36" s="33"/>
      <c r="L36" s="33"/>
      <c r="M36" s="33"/>
      <c r="N36" s="33"/>
      <c r="O36" s="33"/>
      <c r="Q36" s="5"/>
      <c r="S36" s="72"/>
      <c r="T36" s="26"/>
      <c r="U36" s="26"/>
      <c r="V36" s="26"/>
      <c r="W36" s="26"/>
      <c r="X36" s="26"/>
    </row>
    <row r="37" spans="1:24">
      <c r="B37" s="5" t="s">
        <v>225</v>
      </c>
      <c r="C37" s="207"/>
      <c r="D37" s="406">
        <f>D$18/D23</f>
        <v>3.7467183035353604</v>
      </c>
      <c r="E37" s="406">
        <f>E$18/E23</f>
        <v>3.3543076125205702</v>
      </c>
      <c r="F37" s="406">
        <f>F$18/F23</f>
        <v>3.1618782425745056</v>
      </c>
      <c r="G37" s="406">
        <f>G$18/G23</f>
        <v>2.8727556468304707</v>
      </c>
      <c r="H37" s="13">
        <f t="shared" ref="H37:H45" si="7">H23</f>
        <v>1.0708221849318189E-3</v>
      </c>
      <c r="I37" s="5"/>
      <c r="J37" s="217"/>
      <c r="K37" s="217"/>
      <c r="L37" s="217"/>
      <c r="M37" s="217"/>
      <c r="N37" s="217"/>
      <c r="O37" s="14"/>
      <c r="Q37" s="5"/>
      <c r="R37" s="5"/>
      <c r="S37" s="26"/>
      <c r="T37" s="26"/>
      <c r="U37" s="26"/>
      <c r="V37" s="26"/>
      <c r="W37" s="26"/>
      <c r="X37" s="26"/>
    </row>
    <row r="38" spans="1:24">
      <c r="A38" s="5"/>
      <c r="B38" s="5" t="s">
        <v>158</v>
      </c>
      <c r="C38" s="207"/>
      <c r="D38" s="406">
        <f>D18/D24</f>
        <v>9.3659934745088425</v>
      </c>
      <c r="E38" s="406">
        <f t="shared" ref="E38:G38" si="8">E18/E24</f>
        <v>8.2937653124594188</v>
      </c>
      <c r="F38" s="406">
        <f t="shared" si="8"/>
        <v>7.8195277833070538</v>
      </c>
      <c r="G38" s="406">
        <f t="shared" si="8"/>
        <v>7.048204132999115</v>
      </c>
      <c r="H38" s="13">
        <f t="shared" si="7"/>
        <v>7.3316449902876002E-3</v>
      </c>
      <c r="I38" s="217"/>
      <c r="J38" s="13"/>
      <c r="K38" s="13"/>
      <c r="L38" s="13"/>
      <c r="M38" s="13"/>
      <c r="N38" s="13"/>
      <c r="O38" s="5"/>
      <c r="Q38" s="5"/>
      <c r="R38" s="5"/>
      <c r="S38" s="26"/>
      <c r="T38" s="26"/>
      <c r="U38" s="26"/>
      <c r="V38" s="26"/>
      <c r="W38" s="26"/>
      <c r="X38" s="26"/>
    </row>
    <row r="39" spans="1:24">
      <c r="A39" s="5"/>
      <c r="B39" s="5" t="s">
        <v>159</v>
      </c>
      <c r="C39" s="207"/>
      <c r="D39" s="406">
        <f>D18/D25</f>
        <v>14.288592715407642</v>
      </c>
      <c r="E39" s="406">
        <f t="shared" ref="E39:G39" si="9">E18/E25</f>
        <v>12.733513900510673</v>
      </c>
      <c r="F39" s="406">
        <f t="shared" si="9"/>
        <v>12.073096939567431</v>
      </c>
      <c r="G39" s="406">
        <f t="shared" si="9"/>
        <v>10.59183050115981</v>
      </c>
      <c r="H39" s="13">
        <f t="shared" si="7"/>
        <v>1.2403170817929521E-2</v>
      </c>
      <c r="I39" s="13"/>
      <c r="J39" s="5"/>
      <c r="K39" s="5"/>
      <c r="L39" s="5"/>
      <c r="M39" s="5"/>
      <c r="N39" s="5"/>
      <c r="O39" s="5"/>
      <c r="Q39" s="5"/>
      <c r="R39" s="5"/>
      <c r="S39" s="26"/>
      <c r="T39" s="26"/>
      <c r="U39" s="26"/>
      <c r="V39" s="26"/>
      <c r="W39" s="26"/>
      <c r="X39" s="26"/>
    </row>
    <row r="40" spans="1:24">
      <c r="A40" s="5"/>
      <c r="B40" s="5" t="s">
        <v>381</v>
      </c>
      <c r="C40" s="207"/>
      <c r="D40" s="406">
        <f>D18/D26</f>
        <v>18.318708609496973</v>
      </c>
      <c r="E40" s="406">
        <f t="shared" ref="E40:G40" si="10">E18/E26</f>
        <v>16.325017821167528</v>
      </c>
      <c r="F40" s="406">
        <f t="shared" si="10"/>
        <v>15.478329409701834</v>
      </c>
      <c r="G40" s="406">
        <f t="shared" si="10"/>
        <v>13.579269873281806</v>
      </c>
      <c r="H40" s="13">
        <f t="shared" si="7"/>
        <v>1.2403170817929521E-2</v>
      </c>
      <c r="I40" s="5"/>
      <c r="J40" s="217"/>
      <c r="K40" s="217"/>
      <c r="L40" s="217"/>
      <c r="M40" s="217"/>
      <c r="N40" s="217"/>
      <c r="O40" s="14"/>
      <c r="Q40" s="5"/>
      <c r="R40" s="5"/>
      <c r="S40" s="26"/>
      <c r="T40" s="26"/>
      <c r="U40" s="26"/>
      <c r="V40" s="26"/>
      <c r="W40" s="242"/>
      <c r="X40" s="242"/>
    </row>
    <row r="41" spans="1:24">
      <c r="B41" s="5" t="s">
        <v>434</v>
      </c>
      <c r="C41" s="207"/>
      <c r="D41" s="406">
        <f>D$18/D27</f>
        <v>2.0955373635664536</v>
      </c>
      <c r="E41" s="406">
        <f>E$18/E27</f>
        <v>2.4866728295329654</v>
      </c>
      <c r="F41" s="406">
        <f>F$18/F27</f>
        <v>2.3713950255952998</v>
      </c>
      <c r="G41" s="406">
        <f>G$18/G27</f>
        <v>2.3483410001745582</v>
      </c>
      <c r="H41" s="13">
        <f t="shared" si="7"/>
        <v>-0.11788453838805479</v>
      </c>
      <c r="I41" s="207"/>
      <c r="J41" s="13"/>
      <c r="K41" s="13"/>
      <c r="L41" s="13"/>
      <c r="M41" s="13"/>
      <c r="N41" s="13"/>
      <c r="O41" s="5"/>
      <c r="Q41" s="5"/>
      <c r="R41" s="5"/>
      <c r="S41" s="26"/>
      <c r="T41" s="26"/>
      <c r="U41" s="26"/>
      <c r="V41" s="26"/>
      <c r="W41" s="242"/>
      <c r="X41" s="242"/>
    </row>
    <row r="42" spans="1:24">
      <c r="B42" s="5" t="s">
        <v>493</v>
      </c>
      <c r="C42" s="207"/>
      <c r="D42" s="406">
        <f>D18/D28</f>
        <v>5.8305933031298638</v>
      </c>
      <c r="E42" s="406">
        <f>E18/E28</f>
        <v>20.726928656061038</v>
      </c>
      <c r="F42" s="406">
        <f>F18/F28</f>
        <v>34.832041906308902</v>
      </c>
      <c r="G42" s="406">
        <f>G18/G28</f>
        <v>-40.537548819364737</v>
      </c>
      <c r="H42" s="13">
        <f t="shared" si="7"/>
        <v>-1.4800639637118969</v>
      </c>
      <c r="I42" s="208"/>
      <c r="J42" s="5"/>
      <c r="K42" s="5"/>
      <c r="L42" s="5"/>
      <c r="M42" s="5"/>
      <c r="N42" s="5"/>
      <c r="O42" s="5"/>
      <c r="Q42" s="5"/>
      <c r="R42" s="5"/>
      <c r="S42" s="26"/>
      <c r="T42" s="26"/>
      <c r="U42" s="26"/>
      <c r="V42" s="26"/>
      <c r="W42" s="242"/>
      <c r="X42" s="242"/>
    </row>
    <row r="43" spans="1:24">
      <c r="B43" s="5" t="s">
        <v>390</v>
      </c>
      <c r="C43" s="207"/>
      <c r="D43" s="406">
        <f>L26/D29</f>
        <v>20.213803993970263</v>
      </c>
      <c r="E43" s="406">
        <f>M26/E29</f>
        <v>22.407711627989801</v>
      </c>
      <c r="F43" s="406">
        <f>N26/F29</f>
        <v>21.890321712488042</v>
      </c>
      <c r="G43" s="406">
        <f>O26/G29</f>
        <v>20.132944375090865</v>
      </c>
      <c r="H43" s="13">
        <f t="shared" si="7"/>
        <v>-1.5995595796883588E-2</v>
      </c>
      <c r="I43" s="207"/>
      <c r="J43" s="207"/>
      <c r="K43" s="207"/>
      <c r="L43" s="207"/>
      <c r="M43" s="207"/>
      <c r="N43" s="207"/>
      <c r="O43" s="14"/>
      <c r="Q43" s="5"/>
      <c r="R43" s="5"/>
      <c r="S43" s="26"/>
      <c r="T43" s="26"/>
      <c r="U43" s="26"/>
      <c r="V43" s="26"/>
      <c r="W43" s="242"/>
      <c r="X43" s="242"/>
    </row>
    <row r="44" spans="1:24">
      <c r="B44" s="5" t="s">
        <v>437</v>
      </c>
      <c r="C44" s="53"/>
      <c r="D44" s="406">
        <f>D11/D30</f>
        <v>27.771800522251006</v>
      </c>
      <c r="E44" s="406">
        <f>E11/E30</f>
        <v>31.60279178481451</v>
      </c>
      <c r="F44" s="406">
        <f>F11/F30</f>
        <v>28.22065671236459</v>
      </c>
      <c r="G44" s="406">
        <f>G11/G30</f>
        <v>27.289130268701939</v>
      </c>
      <c r="H44" s="13">
        <f t="shared" si="7"/>
        <v>-1.4874070867600064E-2</v>
      </c>
      <c r="I44" s="207"/>
      <c r="J44" s="208"/>
      <c r="K44" s="208"/>
      <c r="L44" s="208"/>
      <c r="M44" s="208"/>
      <c r="N44" s="208"/>
      <c r="O44" s="208"/>
      <c r="Q44" s="5"/>
      <c r="R44" s="5"/>
      <c r="S44" s="26"/>
      <c r="T44" s="26"/>
      <c r="U44" s="26"/>
      <c r="V44" s="26"/>
      <c r="W44" s="255"/>
      <c r="X44" s="255"/>
    </row>
    <row r="45" spans="1:24">
      <c r="B45" s="5" t="s">
        <v>481</v>
      </c>
      <c r="C45" s="207"/>
      <c r="D45" s="208">
        <f>D31/D11</f>
        <v>5.9038344491783322E-2</v>
      </c>
      <c r="E45" s="208">
        <f>E31/E11</f>
        <v>6.0219111381618985E-2</v>
      </c>
      <c r="F45" s="208">
        <f>F31/F11</f>
        <v>9.3117923344379433E-2</v>
      </c>
      <c r="G45" s="208">
        <f>G31/G11</f>
        <v>6.2651963481436396E-2</v>
      </c>
      <c r="H45" s="13">
        <f t="shared" si="7"/>
        <v>-1.0268682346489255E-3</v>
      </c>
      <c r="I45" s="208"/>
      <c r="J45" s="207"/>
      <c r="K45" s="207"/>
      <c r="L45" s="207"/>
      <c r="M45" s="207"/>
      <c r="N45" s="207"/>
      <c r="O45" s="208"/>
      <c r="Q45" s="5"/>
      <c r="R45" s="5"/>
      <c r="S45" s="26"/>
      <c r="T45" s="26"/>
      <c r="U45" s="26"/>
      <c r="V45" s="26"/>
      <c r="W45" s="26"/>
      <c r="X45" s="26"/>
    </row>
    <row r="46" spans="1:24">
      <c r="B46" s="5" t="s">
        <v>505</v>
      </c>
      <c r="C46" s="207"/>
      <c r="D46" s="208">
        <f>(D31+D32)/D11</f>
        <v>5.9038344491783322E-2</v>
      </c>
      <c r="E46" s="208">
        <f>(E31+E32)/E11</f>
        <v>6.0219111381618985E-2</v>
      </c>
      <c r="F46" s="208">
        <f>(F31+F32)/F11</f>
        <v>9.3117923344379433E-2</v>
      </c>
      <c r="G46" s="208">
        <f>(G31+G32)/G11</f>
        <v>6.2651963481436396E-2</v>
      </c>
      <c r="H46" s="233">
        <f>((G31+G32)/(D31+D32))^(1/3)-1</f>
        <v>-1.0268682346489255E-3</v>
      </c>
      <c r="I46" s="207"/>
      <c r="J46" s="207"/>
      <c r="K46" s="207"/>
      <c r="L46" s="207"/>
      <c r="M46" s="207"/>
      <c r="N46" s="207"/>
      <c r="O46" s="14"/>
      <c r="Q46" s="5"/>
      <c r="R46" s="5"/>
      <c r="S46" s="26"/>
      <c r="T46" s="26"/>
      <c r="U46" s="26"/>
      <c r="V46" s="26"/>
      <c r="W46" s="26"/>
      <c r="X46" s="26"/>
    </row>
    <row r="47" spans="1:24">
      <c r="B47" s="5" t="s">
        <v>482</v>
      </c>
      <c r="C47" s="5"/>
      <c r="D47" s="208">
        <f>1/D43</f>
        <v>4.9471143595648692E-2</v>
      </c>
      <c r="E47" s="208">
        <f>1/E43</f>
        <v>4.4627493275613439E-2</v>
      </c>
      <c r="F47" s="208">
        <f>1/F43</f>
        <v>4.5682288873329702E-2</v>
      </c>
      <c r="G47" s="208">
        <f>1/G43</f>
        <v>4.9669833749564844E-2</v>
      </c>
      <c r="H47" s="13">
        <f>H29</f>
        <v>-1.5995595796883588E-2</v>
      </c>
      <c r="I47" s="13"/>
      <c r="J47" s="208"/>
      <c r="K47" s="208"/>
      <c r="L47" s="208"/>
      <c r="M47" s="208"/>
      <c r="N47" s="208"/>
      <c r="O47" s="208"/>
      <c r="Q47" s="5"/>
      <c r="R47" s="5"/>
      <c r="S47" s="26"/>
      <c r="T47" s="26"/>
      <c r="U47" s="26"/>
      <c r="V47" s="26"/>
      <c r="W47" s="26"/>
      <c r="X47" s="26"/>
    </row>
    <row r="48" spans="1:24">
      <c r="B48" s="5" t="s">
        <v>518</v>
      </c>
      <c r="C48" s="5"/>
      <c r="D48" s="248">
        <f>D31/D29</f>
        <v>1.0053909224987754</v>
      </c>
      <c r="E48" s="248">
        <f>E31/E29</f>
        <v>1.1328807841474049</v>
      </c>
      <c r="F48" s="248">
        <f>F31/F29</f>
        <v>1.7055879555149969</v>
      </c>
      <c r="G48" s="248">
        <f>G31/G29</f>
        <v>1.0519746051002727</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phoneticPr fontId="7" type="noConversion"/>
  <hyperlinks>
    <hyperlink ref="C2" location="TNORSOP!A1" display="Jump to Telenor SOP" xr:uid="{00000000-0004-0000-6B00-000001000000}"/>
  </hyperlinks>
  <pageMargins left="0.75" right="0.75" top="1" bottom="1" header="0.5" footer="0.5"/>
  <pageSetup scale="71"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1">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489" customFormat="1">
      <c r="T2" s="64"/>
      <c r="U2" s="64"/>
      <c r="V2" s="64"/>
      <c r="W2" s="64"/>
      <c r="X2" s="64"/>
      <c r="Y2" s="64"/>
      <c r="Z2" s="64"/>
      <c r="AA2" s="64"/>
      <c r="AB2" s="64"/>
      <c r="AC2" s="64"/>
      <c r="AD2" s="64"/>
      <c r="AE2" s="64"/>
      <c r="AF2" s="64"/>
      <c r="AG2" s="64"/>
      <c r="AH2" s="64"/>
      <c r="AI2" s="64"/>
      <c r="AJ2" s="64"/>
      <c r="AK2" s="64"/>
      <c r="AL2" s="64"/>
      <c r="AM2" s="64"/>
      <c r="AN2" s="64"/>
      <c r="AO2" s="64"/>
      <c r="AP2" s="64"/>
      <c r="AQ2" s="64"/>
      <c r="AR2" s="64"/>
    </row>
    <row r="3" spans="2:44" s="489" customFormat="1">
      <c r="T3" s="64"/>
      <c r="U3" s="64"/>
      <c r="V3" s="64"/>
      <c r="W3" s="64"/>
      <c r="X3" s="64"/>
      <c r="Y3" s="64"/>
      <c r="Z3" s="64"/>
      <c r="AA3" s="64"/>
      <c r="AB3" s="64"/>
      <c r="AC3" s="64"/>
      <c r="AD3" s="64"/>
      <c r="AE3" s="64"/>
      <c r="AF3" s="64"/>
      <c r="AG3" s="64"/>
      <c r="AH3" s="64"/>
      <c r="AI3" s="64"/>
      <c r="AJ3" s="64"/>
      <c r="AK3" s="64"/>
      <c r="AL3" s="64"/>
      <c r="AM3" s="64"/>
      <c r="AN3" s="64"/>
      <c r="AO3" s="64"/>
      <c r="AP3" s="64"/>
      <c r="AQ3" s="64"/>
      <c r="AR3" s="64"/>
    </row>
    <row r="4" spans="2:44" s="122" customFormat="1" ht="21">
      <c r="B4" s="100" t="s">
        <v>650</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651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126</v>
      </c>
      <c r="C9" s="244">
        <f>Prices!$C$91</f>
        <v>488</v>
      </c>
      <c r="D9" s="412">
        <v>0</v>
      </c>
      <c r="E9" s="413">
        <v>0</v>
      </c>
      <c r="F9" s="413">
        <v>0</v>
      </c>
      <c r="G9" s="413">
        <v>0</v>
      </c>
      <c r="H9" s="209"/>
      <c r="I9" s="209"/>
      <c r="J9" s="5" t="s">
        <v>225</v>
      </c>
      <c r="L9" s="406">
        <f>'EM TOWERS'!D37</f>
        <v>2.8753856370989439</v>
      </c>
      <c r="M9" s="406">
        <f>'EM TOWERS'!E37</f>
        <v>2.5588631440779301</v>
      </c>
      <c r="N9" s="406">
        <f>'EM TOWERS'!F37</f>
        <v>2.2791060394933726</v>
      </c>
      <c r="O9" s="406">
        <f>'EM TOWERS'!G37</f>
        <v>2.0260816488517763</v>
      </c>
      <c r="P9" s="14">
        <f>'EM TOWERS'!H37</f>
        <v>4.4299853446136295E-2</v>
      </c>
    </row>
    <row r="10" spans="2:44">
      <c r="B10" s="5" t="s">
        <v>226</v>
      </c>
      <c r="C10" s="5"/>
      <c r="D10" s="408">
        <v>49834.629370000002</v>
      </c>
      <c r="E10" s="408">
        <v>49834.629370000002</v>
      </c>
      <c r="F10" s="408">
        <v>49834.629370000002</v>
      </c>
      <c r="G10" s="408">
        <v>49834.629370000002</v>
      </c>
      <c r="H10" s="207"/>
      <c r="I10" s="207"/>
      <c r="J10" s="5" t="s">
        <v>158</v>
      </c>
      <c r="L10" s="406">
        <f>'EM TOWERS'!D38</f>
        <v>4.4484146973524972</v>
      </c>
      <c r="M10" s="406">
        <f>'EM TOWERS'!E38</f>
        <v>3.9480925890218517</v>
      </c>
      <c r="N10" s="406">
        <f>'EM TOWERS'!F38</f>
        <v>3.5183466460380162</v>
      </c>
      <c r="O10" s="406">
        <f>'EM TOWERS'!G38</f>
        <v>3.129360275503688</v>
      </c>
      <c r="P10" s="14">
        <f>'EM TOWERS'!H38</f>
        <v>4.4869532220161101E-2</v>
      </c>
    </row>
    <row r="11" spans="2:44">
      <c r="B11" s="25" t="s">
        <v>727</v>
      </c>
      <c r="C11" s="5"/>
      <c r="D11" s="409">
        <f>$C$9*D10/1000</f>
        <v>24319.299132560001</v>
      </c>
      <c r="E11" s="409">
        <f>$C$9*E10/1000</f>
        <v>24319.299132560001</v>
      </c>
      <c r="F11" s="409">
        <f>$C$9*F10/1000</f>
        <v>24319.299132560001</v>
      </c>
      <c r="G11" s="409">
        <f>$C$9*G10/1000</f>
        <v>24319.299132560001</v>
      </c>
      <c r="H11" s="209"/>
      <c r="I11" s="209"/>
      <c r="J11" s="5" t="s">
        <v>159</v>
      </c>
      <c r="L11" s="406">
        <f>'EM TOWERS'!D39</f>
        <v>6.467357750034668</v>
      </c>
      <c r="M11" s="406">
        <f>'EM TOWERS'!E39</f>
        <v>5.6816273495521736</v>
      </c>
      <c r="N11" s="406">
        <f>'EM TOWERS'!F39</f>
        <v>5.0275068119418096</v>
      </c>
      <c r="O11" s="406">
        <f>'EM TOWERS'!G39</f>
        <v>4.4520069956270758</v>
      </c>
      <c r="P11" s="14">
        <f>'EM TOWERS'!H39</f>
        <v>5.2452524167129866E-2</v>
      </c>
    </row>
    <row r="12" spans="2:44">
      <c r="B12" s="5" t="s">
        <v>22</v>
      </c>
      <c r="C12" s="209"/>
      <c r="D12" s="410">
        <v>50906.841310979602</v>
      </c>
      <c r="E12" s="410">
        <v>49863.575050536245</v>
      </c>
      <c r="F12" s="410">
        <v>48364.535064191186</v>
      </c>
      <c r="G12" s="410">
        <v>46394.067700673011</v>
      </c>
      <c r="H12" s="207"/>
      <c r="I12" s="207"/>
      <c r="J12" s="5" t="s">
        <v>381</v>
      </c>
      <c r="L12" s="406">
        <f>'EM TOWERS'!D40</f>
        <v>7.1880123213702038</v>
      </c>
      <c r="M12" s="406">
        <f>'EM TOWERS'!E40</f>
        <v>6.2974410157328773</v>
      </c>
      <c r="N12" s="406">
        <f>'EM TOWERS'!F40</f>
        <v>5.5805415685706015</v>
      </c>
      <c r="O12" s="406">
        <f>'EM TOWERS'!G40</f>
        <v>4.9453375933267081</v>
      </c>
      <c r="P12" s="14">
        <f>'EM TOWERS'!H40</f>
        <v>5.2647882819422342E-2</v>
      </c>
    </row>
    <row r="13" spans="2:44">
      <c r="B13" s="5" t="s">
        <v>433</v>
      </c>
      <c r="C13" s="216"/>
      <c r="D13" s="410">
        <v>0</v>
      </c>
      <c r="E13" s="410">
        <v>0</v>
      </c>
      <c r="F13" s="410">
        <v>0</v>
      </c>
      <c r="G13" s="410">
        <v>0</v>
      </c>
      <c r="H13" s="207"/>
      <c r="I13" s="207"/>
      <c r="J13" s="5" t="s">
        <v>434</v>
      </c>
      <c r="L13" s="406">
        <f>'EM TOWERS'!D41</f>
        <v>1.1929325059828397</v>
      </c>
      <c r="M13" s="406">
        <f>'EM TOWERS'!E41</f>
        <v>1.1316043698700911</v>
      </c>
      <c r="N13" s="406">
        <f>'EM TOWERS'!F41</f>
        <v>1.053443256852002</v>
      </c>
      <c r="O13" s="406">
        <f>'EM TOWERS'!G41</f>
        <v>0.96594025199218903</v>
      </c>
      <c r="P13" s="14">
        <f>'EM TOWERS'!H41</f>
        <v>-2.9872751084933924E-3</v>
      </c>
    </row>
    <row r="14" spans="2:44">
      <c r="B14" s="5" t="s">
        <v>436</v>
      </c>
      <c r="C14" s="216"/>
      <c r="D14" s="410">
        <v>0</v>
      </c>
      <c r="E14" s="410">
        <v>0</v>
      </c>
      <c r="F14" s="410">
        <v>0</v>
      </c>
      <c r="G14" s="410">
        <v>0</v>
      </c>
      <c r="H14" s="207"/>
      <c r="I14" s="207"/>
      <c r="J14" s="5" t="s">
        <v>493</v>
      </c>
      <c r="L14" s="406">
        <f>'EM TOWERS'!D42</f>
        <v>1.9987670824600938</v>
      </c>
      <c r="M14" s="406">
        <f>'EM TOWERS'!E42</f>
        <v>2.0417321035179237</v>
      </c>
      <c r="N14" s="406">
        <f>'EM TOWERS'!F42</f>
        <v>2.0361368094741659</v>
      </c>
      <c r="O14" s="406">
        <f>'EM TOWERS'!G42</f>
        <v>1.9939520283492802</v>
      </c>
      <c r="P14" s="14">
        <f>'EM TOWERS'!H42</f>
        <v>-6.9974922183852928E-2</v>
      </c>
    </row>
    <row r="15" spans="2:44">
      <c r="B15" s="5" t="s">
        <v>435</v>
      </c>
      <c r="C15" s="228"/>
      <c r="D15" s="410">
        <v>0</v>
      </c>
      <c r="E15" s="410">
        <v>0</v>
      </c>
      <c r="F15" s="410">
        <v>0</v>
      </c>
      <c r="G15" s="410">
        <v>0</v>
      </c>
      <c r="H15" s="207"/>
      <c r="I15" s="207"/>
      <c r="J15" s="5" t="s">
        <v>390</v>
      </c>
      <c r="L15" s="406">
        <f>'EM TOWERS'!D43</f>
        <v>8.1064361166140024</v>
      </c>
      <c r="M15" s="406">
        <f>'EM TOWERS'!E43</f>
        <v>7.7090040884711142</v>
      </c>
      <c r="N15" s="406">
        <f>'EM TOWERS'!F43</f>
        <v>7.368419056291093</v>
      </c>
      <c r="O15" s="406">
        <f>'EM TOWERS'!G43</f>
        <v>7.059772948743908</v>
      </c>
      <c r="P15" s="14">
        <f>'EM TOWERS'!H43</f>
        <v>4.3996397047496583E-2</v>
      </c>
    </row>
    <row r="16" spans="2:44">
      <c r="B16" s="5" t="s">
        <v>438</v>
      </c>
      <c r="C16" s="216"/>
      <c r="D16" s="410">
        <v>0</v>
      </c>
      <c r="E16" s="410">
        <v>835.94996784154205</v>
      </c>
      <c r="F16" s="410">
        <v>1737.2983351128728</v>
      </c>
      <c r="G16" s="410">
        <v>2735.4881544007326</v>
      </c>
      <c r="H16" s="207"/>
      <c r="I16" s="207"/>
      <c r="J16" s="5" t="s">
        <v>437</v>
      </c>
      <c r="L16" s="406">
        <f>'EM TOWERS'!D44</f>
        <v>13.436863988366767</v>
      </c>
      <c r="M16" s="406">
        <f>'EM TOWERS'!E44</f>
        <v>9.7165411129508161</v>
      </c>
      <c r="N16" s="406">
        <f>'EM TOWERS'!F44</f>
        <v>7.9288649416051227</v>
      </c>
      <c r="O16" s="406">
        <f>'EM TOWERS'!G44</f>
        <v>7.0017311665269686</v>
      </c>
      <c r="P16" s="14">
        <f>'EM TOWERS'!H44</f>
        <v>0.23823898313652681</v>
      </c>
    </row>
    <row r="17" spans="2:24">
      <c r="B17" s="5" t="s">
        <v>4</v>
      </c>
      <c r="C17" s="216"/>
      <c r="D17" s="410">
        <v>0</v>
      </c>
      <c r="E17" s="410">
        <v>0</v>
      </c>
      <c r="F17" s="410">
        <v>0</v>
      </c>
      <c r="G17" s="410">
        <v>0</v>
      </c>
      <c r="H17" s="207"/>
      <c r="I17" s="207"/>
      <c r="J17" s="5" t="s">
        <v>481</v>
      </c>
      <c r="L17" s="14">
        <f>'EM TOWERS'!D45</f>
        <v>4.0111232057438634E-2</v>
      </c>
      <c r="M17" s="14">
        <f>'EM TOWERS'!E45</f>
        <v>5.7479683884391737E-2</v>
      </c>
      <c r="N17" s="14">
        <f>'EM TOWERS'!F45</f>
        <v>7.0370913013770742E-2</v>
      </c>
      <c r="O17" s="14">
        <f>'EM TOWERS'!G45</f>
        <v>7.8768143947675784E-2</v>
      </c>
      <c r="P17" s="14">
        <f>'EM TOWERS'!H45</f>
        <v>0.24777183848156481</v>
      </c>
      <c r="S17" s="72"/>
      <c r="T17" s="26"/>
      <c r="U17" s="26"/>
      <c r="V17" s="26"/>
      <c r="W17" s="26"/>
      <c r="X17" s="26"/>
    </row>
    <row r="18" spans="2:24" ht="12.6" thickBot="1">
      <c r="B18" s="25" t="s">
        <v>484</v>
      </c>
      <c r="C18" s="209"/>
      <c r="D18" s="411">
        <f>D11+D12+D13-D14+D15-D16-D17</f>
        <v>75226.140443539596</v>
      </c>
      <c r="E18" s="411">
        <f>E11+E12+E13-E14+E15-E16-E17</f>
        <v>73346.924215254709</v>
      </c>
      <c r="F18" s="411">
        <f>F11+F12+F13-F14+F15-F16-F17</f>
        <v>70946.535861638302</v>
      </c>
      <c r="G18" s="411">
        <f>G11+G12+G13-G14+G15-G16-G17</f>
        <v>67977.878678832276</v>
      </c>
      <c r="H18" s="230">
        <f>IF(D18=0,"nm",IF(G18=0,"nm",(G18/D18)^(1/3)-1))</f>
        <v>-3.320823506153836E-2</v>
      </c>
      <c r="I18" s="214"/>
      <c r="J18" s="5" t="s">
        <v>33</v>
      </c>
      <c r="L18" s="14">
        <f>'EM TOWERS'!D46</f>
        <v>3.4149277793105323E-2</v>
      </c>
      <c r="M18" s="14">
        <f>'EM TOWERS'!E46</f>
        <v>5.0189715809664123E-2</v>
      </c>
      <c r="N18" s="14">
        <f>'EM TOWERS'!F46</f>
        <v>6.1907116223455669E-2</v>
      </c>
      <c r="O18" s="14">
        <f>'EM TOWERS'!G46</f>
        <v>6.9451969034422772E-2</v>
      </c>
      <c r="P18" s="14">
        <f>'EM TOWERS'!H46</f>
        <v>0.2624319853567012</v>
      </c>
      <c r="S18" s="72"/>
      <c r="T18" s="26"/>
      <c r="U18" s="26"/>
      <c r="V18" s="26"/>
      <c r="W18" s="26"/>
      <c r="X18" s="26"/>
    </row>
    <row r="19" spans="2:24" ht="12.6" thickTop="1">
      <c r="B19" s="25"/>
      <c r="C19" s="209"/>
      <c r="D19" s="189"/>
      <c r="E19" s="189"/>
      <c r="F19" s="189"/>
      <c r="G19" s="189"/>
      <c r="H19" s="230"/>
      <c r="I19" s="214"/>
      <c r="J19" s="5" t="s">
        <v>482</v>
      </c>
      <c r="L19" s="14">
        <f>'EM TOWERS'!D47</f>
        <v>0.12335877142737449</v>
      </c>
      <c r="M19" s="14">
        <f>'EM TOWERS'!E47</f>
        <v>0.12971844203527005</v>
      </c>
      <c r="N19" s="14">
        <f>'EM TOWERS'!F47</f>
        <v>0.13571432248362811</v>
      </c>
      <c r="O19" s="14">
        <f>'EM TOWERS'!G47</f>
        <v>0.14164761491060734</v>
      </c>
      <c r="P19" s="14">
        <f>'EM TOWERS'!H47</f>
        <v>4.3996397047496583E-2</v>
      </c>
      <c r="S19" s="72"/>
      <c r="T19" s="26"/>
      <c r="U19" s="26"/>
      <c r="V19" s="26"/>
      <c r="W19" s="26"/>
      <c r="X19" s="26"/>
    </row>
    <row r="20" spans="2:24">
      <c r="H20" s="231"/>
      <c r="I20" s="13"/>
      <c r="J20" s="5" t="s">
        <v>504</v>
      </c>
      <c r="L20" s="425">
        <f>'EM TOWERS'!D48</f>
        <v>0.34693313124747588</v>
      </c>
      <c r="M20" s="425">
        <f>'EM TOWERS'!E48</f>
        <v>0.47267097249830853</v>
      </c>
      <c r="N20" s="425">
        <f>'EM TOWERS'!F48</f>
        <v>0.55273011389769977</v>
      </c>
      <c r="O20" s="425">
        <f>'EM TOWERS'!G48</f>
        <v>0.59231716049146255</v>
      </c>
      <c r="P20" s="14" t="str">
        <f>'EM TOWERS'!H48</f>
        <v>nm</v>
      </c>
      <c r="S20" s="72"/>
      <c r="T20" s="26"/>
      <c r="U20" s="26"/>
      <c r="V20" s="26"/>
      <c r="W20" s="26"/>
      <c r="X20" s="26"/>
    </row>
    <row r="21" spans="2:24" ht="12.6" thickBot="1">
      <c r="B21" s="249" t="s">
        <v>776</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12735.815000000001</v>
      </c>
      <c r="D23" s="416">
        <v>13247.082443652735</v>
      </c>
      <c r="E23" s="416">
        <v>13589.224695963385</v>
      </c>
      <c r="F23" s="416">
        <v>14129.310785982936</v>
      </c>
      <c r="G23" s="416">
        <v>14847.635073602181</v>
      </c>
      <c r="H23" s="233">
        <f>IF(D23=0,"nm",IF(G23=0,"nm",(G23/D23)^(1/3)-1))</f>
        <v>3.8753137530627146E-2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10700.1</v>
      </c>
      <c r="D24" s="416">
        <v>11070.078414224705</v>
      </c>
      <c r="E24" s="416">
        <v>11335.609727026689</v>
      </c>
      <c r="F24" s="416">
        <v>11764.934850231526</v>
      </c>
      <c r="G24" s="416">
        <v>12340.784464755079</v>
      </c>
      <c r="H24" s="233">
        <f>IF(D24=0,"nm",IF(G24=0,"nm",(G24/D24)^(1/3)-1))</f>
        <v>3.6885234446449866E-2</v>
      </c>
      <c r="I24" s="209"/>
      <c r="J24" s="13"/>
      <c r="K24" s="13"/>
      <c r="L24" s="13"/>
      <c r="M24" s="13"/>
      <c r="N24" s="13"/>
      <c r="O24" s="208"/>
      <c r="S24" s="72"/>
      <c r="T24" s="26"/>
      <c r="U24" s="26"/>
      <c r="V24" s="26"/>
      <c r="W24" s="26" t="s">
        <v>652</v>
      </c>
      <c r="X24" s="26" t="s">
        <v>653</v>
      </c>
    </row>
    <row r="25" spans="2:24">
      <c r="B25" s="5" t="s">
        <v>157</v>
      </c>
      <c r="C25" s="422">
        <v>1085.1000000000004</v>
      </c>
      <c r="D25" s="416">
        <v>5896.6744997208189</v>
      </c>
      <c r="E25" s="416">
        <v>6343.8563802829203</v>
      </c>
      <c r="F25" s="416">
        <v>6774.0128126417976</v>
      </c>
      <c r="G25" s="416">
        <v>7261.2113929788466</v>
      </c>
      <c r="H25" s="233">
        <f>IF(D25=0,"nm",IF(G25=0,"nm",(G25/D25)^(1/3)-1))</f>
        <v>7.1849908217444192E-2</v>
      </c>
      <c r="I25" s="208"/>
      <c r="J25" s="207" t="s">
        <v>8</v>
      </c>
      <c r="K25" s="207"/>
      <c r="L25" s="252">
        <v>0</v>
      </c>
      <c r="M25" s="252">
        <v>0</v>
      </c>
      <c r="N25" s="252">
        <v>0</v>
      </c>
      <c r="O25" s="252">
        <v>0</v>
      </c>
      <c r="P25" s="233" t="str">
        <f>IF(L25=0,"nm",IF(O25=0,"nm",(O25/L25)^(1/3)-1))</f>
        <v>nm</v>
      </c>
      <c r="S25" s="72"/>
      <c r="T25" s="26"/>
      <c r="U25" s="26"/>
      <c r="V25" s="113" t="s">
        <v>225</v>
      </c>
      <c r="W25" s="242">
        <f t="shared" ref="W25:W30" si="4">E37/M9</f>
        <v>2.109308815584078</v>
      </c>
      <c r="X25" s="242">
        <v>1</v>
      </c>
    </row>
    <row r="26" spans="2:24">
      <c r="B26" s="5" t="s">
        <v>487</v>
      </c>
      <c r="C26" s="422">
        <v>759.57000000000016</v>
      </c>
      <c r="D26" s="416">
        <v>4127.6721498045727</v>
      </c>
      <c r="E26" s="416">
        <v>4440.6994661980443</v>
      </c>
      <c r="F26" s="416">
        <v>4741.8089688492582</v>
      </c>
      <c r="G26" s="416">
        <v>5082.847975085192</v>
      </c>
      <c r="H26" s="233">
        <f>IF(D26=0,"nm",IF(G26=0,"nm",(G26/D26)^(1/3)-1))</f>
        <v>7.1849908217444192E-2</v>
      </c>
      <c r="I26" s="209"/>
      <c r="J26" s="209" t="s">
        <v>9</v>
      </c>
      <c r="K26" s="209"/>
      <c r="L26" s="235">
        <f>D11+L25</f>
        <v>24319.299132560001</v>
      </c>
      <c r="M26" s="235">
        <f>E11+M25</f>
        <v>24319.299132560001</v>
      </c>
      <c r="N26" s="235">
        <f>F11+N25</f>
        <v>24319.299132560001</v>
      </c>
      <c r="O26" s="235">
        <f>G11+O25</f>
        <v>24319.299132560001</v>
      </c>
      <c r="P26" s="233">
        <f>IF(L26=0,"nm",IF(O26=0,"nm",(O26/L26)^(1/3)-1))</f>
        <v>0</v>
      </c>
      <c r="Q26" s="5"/>
      <c r="S26" s="72"/>
      <c r="T26" s="26"/>
      <c r="U26" s="26"/>
      <c r="V26" s="113" t="s">
        <v>158</v>
      </c>
      <c r="W26" s="242">
        <f t="shared" si="4"/>
        <v>1.6388895736101157</v>
      </c>
      <c r="X26" s="242">
        <v>1</v>
      </c>
    </row>
    <row r="27" spans="2:24">
      <c r="B27" s="5" t="s">
        <v>488</v>
      </c>
      <c r="C27" s="423">
        <v>70564.626000000004</v>
      </c>
      <c r="D27" s="416">
        <v>72682.245864162105</v>
      </c>
      <c r="E27" s="416">
        <v>74338.431138105952</v>
      </c>
      <c r="F27" s="416">
        <v>75750.027346090166</v>
      </c>
      <c r="G27" s="416">
        <v>77002.916813655756</v>
      </c>
      <c r="H27" s="233">
        <f>IF(ISERROR((G27/D27)^(1/3)-1),"na",(G27/D27)^(1/3)-1)</f>
        <v>1.9435170346188135E-2</v>
      </c>
      <c r="I27" s="209"/>
      <c r="J27" s="208"/>
      <c r="K27" s="208"/>
      <c r="L27" s="208"/>
      <c r="M27" s="208"/>
      <c r="N27" s="208"/>
      <c r="O27" s="208"/>
      <c r="Q27" s="25"/>
      <c r="S27" s="72"/>
      <c r="T27" s="26"/>
      <c r="U27" s="26"/>
      <c r="V27" s="113" t="s">
        <v>159</v>
      </c>
      <c r="W27" s="242">
        <f t="shared" si="4"/>
        <v>2.0349597267674855</v>
      </c>
      <c r="X27" s="242">
        <v>1</v>
      </c>
    </row>
    <row r="28" spans="2:24">
      <c r="B28" s="5" t="s">
        <v>492</v>
      </c>
      <c r="C28" s="422">
        <v>47477.953000000001</v>
      </c>
      <c r="D28" s="416">
        <v>49680.647366765188</v>
      </c>
      <c r="E28" s="416">
        <v>51435.249925723845</v>
      </c>
      <c r="F28" s="416">
        <v>52928.852752063016</v>
      </c>
      <c r="G28" s="416">
        <v>54248.44599785484</v>
      </c>
      <c r="H28" s="233">
        <f>IF(ISERROR((G28/D28)^(1/3)-1),"na",(G28/D28)^(1/3)-1)</f>
        <v>2.9753678113951798E-2</v>
      </c>
      <c r="I28" s="208"/>
      <c r="Q28" s="5"/>
      <c r="S28" s="72"/>
      <c r="T28" s="26"/>
      <c r="U28" s="26"/>
      <c r="V28" s="113" t="s">
        <v>381</v>
      </c>
      <c r="W28" s="242">
        <f t="shared" si="4"/>
        <v>2.6228074932011158</v>
      </c>
      <c r="X28" s="242">
        <v>1</v>
      </c>
    </row>
    <row r="29" spans="2:24" ht="12.6" thickBot="1">
      <c r="B29" s="5" t="s">
        <v>489</v>
      </c>
      <c r="C29" s="422">
        <v>-1635.0189999999989</v>
      </c>
      <c r="D29" s="416">
        <v>21.573141458182135</v>
      </c>
      <c r="E29" s="416">
        <v>572.0809202378498</v>
      </c>
      <c r="F29" s="416">
        <v>1040.6807121190345</v>
      </c>
      <c r="G29" s="416">
        <v>1538.836783034882</v>
      </c>
      <c r="H29" s="233">
        <f>IF(D29=0,"nm",IF(G29=0,"nm",(G29/D29)^(1/3)-1))</f>
        <v>3.1472452892550349</v>
      </c>
      <c r="I29" s="212"/>
      <c r="J29" s="249" t="s">
        <v>1074</v>
      </c>
      <c r="K29" s="249"/>
      <c r="L29" s="219" t="str">
        <f>L$5</f>
        <v>2025E</v>
      </c>
      <c r="M29" s="219" t="str">
        <f t="shared" ref="M29:P29" si="5">M$5</f>
        <v>2026E</v>
      </c>
      <c r="N29" s="219" t="str">
        <f t="shared" si="5"/>
        <v>2027E</v>
      </c>
      <c r="O29" s="219" t="str">
        <f t="shared" si="5"/>
        <v>2028E</v>
      </c>
      <c r="P29" s="219" t="str">
        <f t="shared" si="5"/>
        <v>2025-28</v>
      </c>
      <c r="Q29" s="5"/>
      <c r="S29" s="72"/>
      <c r="T29" s="26"/>
      <c r="U29" s="26"/>
      <c r="V29" s="113" t="s">
        <v>434</v>
      </c>
      <c r="W29" s="242">
        <f t="shared" si="4"/>
        <v>0.87191449840831803</v>
      </c>
      <c r="X29" s="242">
        <v>1</v>
      </c>
    </row>
    <row r="30" spans="2:24" ht="12.6" thickTop="1">
      <c r="B30" s="5" t="s">
        <v>490</v>
      </c>
      <c r="C30" s="423">
        <v>3671.889000000001</v>
      </c>
      <c r="D30" s="416">
        <v>3804.4044185692906</v>
      </c>
      <c r="E30" s="416">
        <v>3822.2656629553567</v>
      </c>
      <c r="F30" s="416">
        <v>4002.7153743510817</v>
      </c>
      <c r="G30" s="416">
        <v>4323.0449426963723</v>
      </c>
      <c r="H30" s="233">
        <f>IF(D30=0,"nm",IF(G30=0,"nm",(G30/D30)^(1/3)-1))</f>
        <v>4.3520594074498042E-2</v>
      </c>
      <c r="I30" s="214"/>
      <c r="J30" s="208"/>
      <c r="K30" s="208"/>
      <c r="L30" s="208"/>
      <c r="M30" s="208"/>
      <c r="N30" s="208"/>
      <c r="O30" s="5"/>
      <c r="Q30" s="5"/>
      <c r="S30" s="72"/>
      <c r="T30" s="26"/>
      <c r="U30" s="26"/>
      <c r="V30" s="113" t="s">
        <v>493</v>
      </c>
      <c r="W30" s="242">
        <f t="shared" si="4"/>
        <v>0.6984290495709593</v>
      </c>
      <c r="X30" s="242">
        <v>1</v>
      </c>
    </row>
    <row r="31" spans="2:24">
      <c r="B31" s="5" t="s">
        <v>491</v>
      </c>
      <c r="C31" s="423">
        <v>792.37060698300002</v>
      </c>
      <c r="D31" s="416">
        <v>807.07101465566916</v>
      </c>
      <c r="E31" s="416">
        <v>835.94996784154205</v>
      </c>
      <c r="F31" s="416">
        <v>901.34836727133074</v>
      </c>
      <c r="G31" s="416">
        <v>998.1898192878599</v>
      </c>
      <c r="H31" s="233">
        <f>IF(D31=0,"nm",IF(G31=0,"nm",(G31/D31)^(1/3)-1))</f>
        <v>7.3413686974441283E-2</v>
      </c>
      <c r="I31" s="214"/>
      <c r="J31" s="5" t="s">
        <v>613</v>
      </c>
      <c r="K31" s="207"/>
      <c r="L31" s="253">
        <v>30558</v>
      </c>
      <c r="M31" s="253">
        <v>35400</v>
      </c>
      <c r="N31" s="253">
        <v>36100</v>
      </c>
      <c r="O31" s="253">
        <v>36800</v>
      </c>
      <c r="Q31" s="5"/>
      <c r="S31" s="72"/>
      <c r="T31" s="26"/>
      <c r="U31" s="26"/>
      <c r="V31" s="113" t="s">
        <v>123</v>
      </c>
      <c r="W31" s="242">
        <f>F43/N15</f>
        <v>3.1714599556012062</v>
      </c>
      <c r="X31" s="242">
        <v>1</v>
      </c>
    </row>
    <row r="32" spans="2:24">
      <c r="B32" s="5" t="s">
        <v>506</v>
      </c>
      <c r="C32" s="424">
        <v>0</v>
      </c>
      <c r="D32" s="416">
        <v>0</v>
      </c>
      <c r="E32" s="416">
        <v>0</v>
      </c>
      <c r="F32" s="416">
        <v>0</v>
      </c>
      <c r="G32" s="416">
        <v>0</v>
      </c>
      <c r="H32" s="233" t="str">
        <f>IF(D32=0,"nm",IF(G32=0,"nm",(G32/D32)^(1/3)-1))</f>
        <v>nm</v>
      </c>
      <c r="I32" s="214"/>
      <c r="J32" s="5" t="s">
        <v>1072</v>
      </c>
      <c r="K32" s="214"/>
      <c r="L32" s="253">
        <v>54284</v>
      </c>
      <c r="M32" s="253">
        <v>58035</v>
      </c>
      <c r="N32" s="253">
        <v>57998.933050847452</v>
      </c>
      <c r="O32" s="253">
        <v>57349.859118644061</v>
      </c>
      <c r="Q32" s="5"/>
      <c r="S32" s="72"/>
      <c r="T32" s="26"/>
      <c r="U32" s="26"/>
      <c r="V32" s="113" t="s">
        <v>437</v>
      </c>
      <c r="W32" s="242">
        <f>E44/M16</f>
        <v>0.65481480961799554</v>
      </c>
      <c r="X32" s="242">
        <v>1</v>
      </c>
    </row>
    <row r="33" spans="2:24">
      <c r="B33" s="5" t="s">
        <v>3</v>
      </c>
      <c r="C33" s="423">
        <v>-3070.2259999999997</v>
      </c>
      <c r="D33" s="416">
        <v>-3268.1082368830166</v>
      </c>
      <c r="E33" s="416">
        <v>-3217.6138767962234</v>
      </c>
      <c r="F33" s="416">
        <v>-3134.4814969849176</v>
      </c>
      <c r="G33" s="416">
        <v>-3020.9617389577484</v>
      </c>
      <c r="H33" s="233">
        <f>IF(ISERROR((G33/D33)^(1/3)-1),"na",(G33/D33)^(1/3)-1)</f>
        <v>-2.587146681511665E-2</v>
      </c>
      <c r="I33" s="5"/>
      <c r="Q33" s="5"/>
      <c r="S33" s="72"/>
      <c r="T33" s="26"/>
      <c r="U33" s="26"/>
      <c r="V33" s="113" t="s">
        <v>481</v>
      </c>
      <c r="W33" s="26">
        <f>E45/M17</f>
        <v>0.59801883102080544</v>
      </c>
      <c r="X33" s="242">
        <v>1</v>
      </c>
    </row>
    <row r="34" spans="2:24">
      <c r="D34" s="247"/>
      <c r="E34" s="5"/>
      <c r="F34" s="5"/>
      <c r="G34" s="5"/>
      <c r="I34" s="33"/>
      <c r="Q34" s="5"/>
      <c r="S34" s="72"/>
      <c r="T34" s="26"/>
      <c r="U34" s="26"/>
      <c r="V34" s="113" t="s">
        <v>124</v>
      </c>
      <c r="W34" s="242">
        <f>E47/M19</f>
        <v>0.18134462383191463</v>
      </c>
      <c r="X34" s="242">
        <v>1</v>
      </c>
    </row>
    <row r="35" spans="2:24" ht="12.6" thickBot="1">
      <c r="B35" s="249" t="s">
        <v>648</v>
      </c>
      <c r="C35" s="219"/>
      <c r="D35" s="219" t="str">
        <f>D5</f>
        <v>2025E</v>
      </c>
      <c r="E35" s="219" t="str">
        <f t="shared" ref="E35:H35" si="6">E5</f>
        <v>2026E</v>
      </c>
      <c r="F35" s="219" t="str">
        <f t="shared" si="6"/>
        <v>2027E</v>
      </c>
      <c r="G35" s="219" t="str">
        <f t="shared" si="6"/>
        <v>2028E</v>
      </c>
      <c r="H35" s="219" t="str">
        <f t="shared" si="6"/>
        <v>2025-28</v>
      </c>
      <c r="I35" s="214"/>
      <c r="J35" s="249" t="s">
        <v>1073</v>
      </c>
      <c r="K35" s="249"/>
      <c r="L35" s="249"/>
      <c r="M35" s="249"/>
      <c r="N35" s="220"/>
      <c r="O35" s="220"/>
      <c r="P35" s="220"/>
      <c r="Q35" s="5"/>
      <c r="S35" s="72"/>
      <c r="T35" s="26"/>
      <c r="U35" s="26"/>
      <c r="V35" s="26"/>
      <c r="W35" s="26"/>
      <c r="X35" s="26"/>
    </row>
    <row r="36" spans="2:24" ht="12.6" thickTop="1">
      <c r="B36" s="25"/>
      <c r="C36" s="209"/>
      <c r="D36" s="214"/>
      <c r="E36" s="214"/>
      <c r="F36" s="214"/>
      <c r="G36" s="214"/>
      <c r="H36" s="214"/>
      <c r="I36" s="13"/>
      <c r="J36" s="209"/>
      <c r="K36" s="209"/>
      <c r="L36" s="209"/>
      <c r="M36" s="209"/>
      <c r="N36" s="209"/>
      <c r="O36" s="211"/>
      <c r="Q36" s="5"/>
      <c r="S36" s="72"/>
      <c r="T36" s="26"/>
      <c r="U36" s="26"/>
      <c r="V36" s="26"/>
      <c r="W36" s="26"/>
      <c r="X36" s="26"/>
    </row>
    <row r="37" spans="2:24">
      <c r="B37" s="5" t="s">
        <v>225</v>
      </c>
      <c r="C37" s="207"/>
      <c r="D37" s="406">
        <f>D$18/D23</f>
        <v>5.6786949702712679</v>
      </c>
      <c r="E37" s="406">
        <f t="shared" ref="E37:G41" si="7">E$18/E23</f>
        <v>5.3974325876767688</v>
      </c>
      <c r="F37" s="406">
        <f t="shared" si="7"/>
        <v>5.0212311793736761</v>
      </c>
      <c r="G37" s="406">
        <f t="shared" si="7"/>
        <v>4.5783640520429483</v>
      </c>
      <c r="H37" s="13">
        <f t="shared" ref="H37:H45" si="8">H23</f>
        <v>3.8753137530627146E-2</v>
      </c>
      <c r="I37" s="5"/>
      <c r="J37" s="208"/>
      <c r="K37" s="208"/>
      <c r="L37" s="208"/>
      <c r="M37" s="208"/>
      <c r="N37" s="208"/>
      <c r="O37" s="5"/>
      <c r="Q37" s="5"/>
      <c r="R37" s="5"/>
      <c r="S37" s="26"/>
      <c r="T37" s="26"/>
      <c r="U37" s="26"/>
      <c r="V37" s="26"/>
      <c r="W37" s="26"/>
      <c r="X37" s="26"/>
    </row>
    <row r="38" spans="2:24">
      <c r="B38" s="5" t="s">
        <v>158</v>
      </c>
      <c r="C38" s="207"/>
      <c r="D38" s="406">
        <f>D$18/D24</f>
        <v>6.7954478395452336</v>
      </c>
      <c r="E38" s="406">
        <f t="shared" si="7"/>
        <v>6.4704877797952802</v>
      </c>
      <c r="F38" s="406">
        <f t="shared" si="7"/>
        <v>6.0303381841712556</v>
      </c>
      <c r="G38" s="406">
        <f t="shared" si="7"/>
        <v>5.5083920210238757</v>
      </c>
      <c r="H38" s="13">
        <f t="shared" si="8"/>
        <v>3.6885234446449866E-2</v>
      </c>
      <c r="I38" s="217"/>
      <c r="J38" s="212"/>
      <c r="K38" s="212"/>
      <c r="L38" s="212"/>
      <c r="M38" s="212"/>
      <c r="N38" s="212"/>
      <c r="O38" s="5"/>
      <c r="Q38" s="5"/>
      <c r="R38" s="5"/>
      <c r="S38" s="26"/>
      <c r="T38" s="26"/>
      <c r="U38" s="26"/>
      <c r="V38" s="26"/>
      <c r="W38" s="26"/>
      <c r="X38" s="26"/>
    </row>
    <row r="39" spans="2:24">
      <c r="B39" s="5" t="s">
        <v>159</v>
      </c>
      <c r="C39" s="207"/>
      <c r="D39" s="406">
        <f>D$18/D25</f>
        <v>12.757383919885898</v>
      </c>
      <c r="E39" s="406">
        <f t="shared" si="7"/>
        <v>11.561882838839365</v>
      </c>
      <c r="F39" s="406">
        <f t="shared" si="7"/>
        <v>10.473339484867296</v>
      </c>
      <c r="G39" s="406">
        <f t="shared" si="7"/>
        <v>9.3617820773766187</v>
      </c>
      <c r="H39" s="13">
        <f t="shared" si="8"/>
        <v>7.1849908217444192E-2</v>
      </c>
      <c r="I39" s="13"/>
      <c r="J39" s="217"/>
      <c r="K39" s="217"/>
      <c r="L39" s="217"/>
      <c r="M39" s="217"/>
      <c r="N39" s="217"/>
      <c r="O39" s="14"/>
      <c r="Q39" s="5"/>
      <c r="R39" s="5"/>
      <c r="S39" s="26"/>
      <c r="T39" s="26"/>
      <c r="U39" s="26"/>
      <c r="V39" s="26"/>
      <c r="W39" s="26"/>
      <c r="X39" s="26"/>
    </row>
    <row r="40" spans="2:24">
      <c r="B40" s="5" t="s">
        <v>381</v>
      </c>
      <c r="C40" s="207"/>
      <c r="D40" s="406">
        <f>D$18/D26</f>
        <v>18.22483417126557</v>
      </c>
      <c r="E40" s="406">
        <f t="shared" si="7"/>
        <v>16.516975484056236</v>
      </c>
      <c r="F40" s="406">
        <f t="shared" si="7"/>
        <v>14.961913549810422</v>
      </c>
      <c r="G40" s="406">
        <f t="shared" si="7"/>
        <v>13.373974396252313</v>
      </c>
      <c r="H40" s="13">
        <f t="shared" si="8"/>
        <v>7.1849908217444192E-2</v>
      </c>
      <c r="I40" s="5"/>
      <c r="J40" s="217"/>
      <c r="K40" s="217"/>
      <c r="L40" s="217"/>
      <c r="M40" s="217"/>
      <c r="N40" s="217"/>
      <c r="O40" s="14"/>
      <c r="Q40" s="5"/>
      <c r="R40" s="5"/>
      <c r="S40" s="26"/>
      <c r="T40" s="26"/>
      <c r="U40" s="26"/>
      <c r="V40" s="26"/>
      <c r="W40" s="242"/>
      <c r="X40" s="242"/>
    </row>
    <row r="41" spans="2:24">
      <c r="B41" s="5" t="s">
        <v>434</v>
      </c>
      <c r="C41" s="207"/>
      <c r="D41" s="406">
        <f>D$18/D27</f>
        <v>1.0350002197803827</v>
      </c>
      <c r="E41" s="406">
        <f t="shared" si="7"/>
        <v>0.98666225655194117</v>
      </c>
      <c r="F41" s="406">
        <f t="shared" si="7"/>
        <v>0.93658759405451497</v>
      </c>
      <c r="G41" s="406">
        <f t="shared" si="7"/>
        <v>0.88279615229818187</v>
      </c>
      <c r="H41" s="13">
        <f t="shared" si="8"/>
        <v>1.9435170346188135E-2</v>
      </c>
      <c r="I41" s="207"/>
      <c r="J41" s="217"/>
      <c r="K41" s="217"/>
      <c r="L41" s="217"/>
      <c r="M41" s="217"/>
      <c r="N41" s="217"/>
      <c r="O41" s="14"/>
      <c r="Q41" s="5"/>
      <c r="R41" s="5"/>
      <c r="S41" s="26"/>
      <c r="T41" s="26"/>
      <c r="U41" s="26"/>
      <c r="V41" s="26"/>
      <c r="W41" s="242"/>
      <c r="X41" s="242"/>
    </row>
    <row r="42" spans="2:24">
      <c r="B42" s="5" t="s">
        <v>493</v>
      </c>
      <c r="C42" s="207"/>
      <c r="D42" s="406">
        <f>D18/D28</f>
        <v>1.5141940459870808</v>
      </c>
      <c r="E42" s="406">
        <f>E18/E28</f>
        <v>1.4260050125385388</v>
      </c>
      <c r="F42" s="406">
        <f>F18/F28</f>
        <v>1.340413256149275</v>
      </c>
      <c r="G42" s="406">
        <f>G18/G28</f>
        <v>1.2530843497622097</v>
      </c>
      <c r="H42" s="13">
        <f t="shared" si="8"/>
        <v>2.9753678113951798E-2</v>
      </c>
      <c r="I42" s="208"/>
      <c r="J42" s="5"/>
      <c r="K42" s="5"/>
      <c r="L42" s="5"/>
      <c r="M42" s="5"/>
      <c r="N42" s="5"/>
      <c r="O42" s="5"/>
      <c r="Q42" s="5"/>
      <c r="R42" s="5"/>
      <c r="S42" s="26"/>
      <c r="T42" s="26"/>
      <c r="U42" s="26"/>
      <c r="V42" s="26"/>
      <c r="W42" s="242"/>
      <c r="X42" s="242"/>
    </row>
    <row r="43" spans="2:24">
      <c r="B43" s="5" t="s">
        <v>390</v>
      </c>
      <c r="C43" s="207"/>
      <c r="D43" s="406">
        <f>L26/D29</f>
        <v>1127.2952147326841</v>
      </c>
      <c r="E43" s="406">
        <f>M26/E29</f>
        <v>42.51024334538014</v>
      </c>
      <c r="F43" s="406">
        <f>N26/F29</f>
        <v>23.368645973116031</v>
      </c>
      <c r="G43" s="406">
        <f>O26/G29</f>
        <v>15.803689774426672</v>
      </c>
      <c r="H43" s="13">
        <f t="shared" si="8"/>
        <v>3.1472452892550349</v>
      </c>
      <c r="I43" s="207"/>
      <c r="J43" s="53"/>
      <c r="K43" s="53"/>
      <c r="L43" s="53"/>
      <c r="M43" s="53"/>
      <c r="N43" s="53"/>
      <c r="O43" s="53"/>
      <c r="Q43" s="5"/>
      <c r="R43" s="5"/>
      <c r="S43" s="26"/>
      <c r="T43" s="26"/>
      <c r="U43" s="26"/>
      <c r="V43" s="26"/>
      <c r="W43" s="242"/>
      <c r="X43" s="242"/>
    </row>
    <row r="44" spans="2:24">
      <c r="B44" s="5" t="s">
        <v>437</v>
      </c>
      <c r="C44" s="53"/>
      <c r="D44" s="406">
        <f>D11/D30</f>
        <v>6.3924063945088356</v>
      </c>
      <c r="E44" s="406">
        <f>E11/E30</f>
        <v>6.3625350190223147</v>
      </c>
      <c r="F44" s="406">
        <f>F11/F30</f>
        <v>6.0757003329277781</v>
      </c>
      <c r="G44" s="406">
        <f>G11/G30</f>
        <v>5.6255022686374279</v>
      </c>
      <c r="H44" s="13">
        <f t="shared" si="8"/>
        <v>4.3520594074498042E-2</v>
      </c>
      <c r="I44" s="207"/>
      <c r="J44" s="217"/>
      <c r="K44" s="217"/>
      <c r="L44" s="217"/>
      <c r="M44" s="217"/>
      <c r="N44" s="217"/>
      <c r="O44" s="14"/>
      <c r="Q44" s="5"/>
      <c r="R44" s="5"/>
      <c r="S44" s="26"/>
      <c r="T44" s="26"/>
      <c r="U44" s="26"/>
      <c r="V44" s="26"/>
      <c r="W44" s="255"/>
      <c r="X44" s="255"/>
    </row>
    <row r="45" spans="2:24">
      <c r="B45" s="5" t="s">
        <v>481</v>
      </c>
      <c r="C45" s="207"/>
      <c r="D45" s="208">
        <f>D31/D11</f>
        <v>3.3186442185544673E-2</v>
      </c>
      <c r="E45" s="208">
        <f>E31/E11</f>
        <v>3.4373933363989376E-2</v>
      </c>
      <c r="F45" s="208">
        <f>F31/F11</f>
        <v>3.7063089785534013E-2</v>
      </c>
      <c r="G45" s="208">
        <f>G31/G11</f>
        <v>4.1045172142787169E-2</v>
      </c>
      <c r="H45" s="13">
        <f t="shared" si="8"/>
        <v>7.3413686974441283E-2</v>
      </c>
      <c r="I45" s="208"/>
      <c r="J45" s="13"/>
      <c r="K45" s="13"/>
      <c r="L45" s="13"/>
      <c r="M45" s="13"/>
      <c r="N45" s="13"/>
      <c r="O45" s="5"/>
      <c r="Q45" s="5"/>
      <c r="R45" s="5"/>
      <c r="S45" s="26"/>
      <c r="T45" s="26"/>
      <c r="U45" s="26"/>
      <c r="V45" s="26"/>
      <c r="W45" s="26"/>
      <c r="X45" s="26"/>
    </row>
    <row r="46" spans="2:24">
      <c r="B46" s="5" t="s">
        <v>505</v>
      </c>
      <c r="C46" s="207"/>
      <c r="D46" s="208">
        <f>(D31+D32)/D11</f>
        <v>3.3186442185544673E-2</v>
      </c>
      <c r="E46" s="208">
        <f>(E31+E32)/E11</f>
        <v>3.4373933363989376E-2</v>
      </c>
      <c r="F46" s="208">
        <f>(F31+F32)/F11</f>
        <v>3.7063089785534013E-2</v>
      </c>
      <c r="G46" s="208">
        <f>(G31+G32)/G11</f>
        <v>4.1045172142787169E-2</v>
      </c>
      <c r="H46" s="233">
        <f>((G31+G32)/(D31+D32))^(1/3)-1</f>
        <v>7.3413686974441283E-2</v>
      </c>
      <c r="I46" s="207"/>
      <c r="J46" s="5"/>
      <c r="K46" s="5"/>
      <c r="L46" s="5"/>
      <c r="M46" s="5"/>
      <c r="N46" s="5"/>
      <c r="O46" s="5"/>
      <c r="Q46" s="5"/>
      <c r="R46" s="5"/>
      <c r="S46" s="26"/>
      <c r="T46" s="26"/>
      <c r="U46" s="26"/>
      <c r="V46" s="26"/>
      <c r="W46" s="26"/>
      <c r="X46" s="26"/>
    </row>
    <row r="47" spans="2:24">
      <c r="B47" s="5" t="s">
        <v>482</v>
      </c>
      <c r="C47" s="5"/>
      <c r="D47" s="208">
        <f>1/D43</f>
        <v>8.8707907824937436E-4</v>
      </c>
      <c r="E47" s="208">
        <f>1/E43</f>
        <v>2.3523742074948069E-2</v>
      </c>
      <c r="F47" s="208">
        <f>1/F43</f>
        <v>4.2792380917166917E-2</v>
      </c>
      <c r="G47" s="208">
        <f>1/G43</f>
        <v>6.3276362309907339E-2</v>
      </c>
      <c r="H47" s="13">
        <f>H29</f>
        <v>3.1472452892550349</v>
      </c>
      <c r="I47" s="13"/>
      <c r="J47" s="217"/>
      <c r="K47" s="217"/>
      <c r="L47" s="217"/>
      <c r="M47" s="217"/>
      <c r="N47" s="217"/>
      <c r="O47" s="14"/>
      <c r="Q47" s="5"/>
      <c r="R47" s="5"/>
      <c r="S47" s="26"/>
      <c r="T47" s="26"/>
      <c r="U47" s="26"/>
      <c r="V47" s="26"/>
      <c r="W47" s="26"/>
      <c r="X47" s="26"/>
    </row>
    <row r="48" spans="2:24">
      <c r="B48" s="5" t="s">
        <v>518</v>
      </c>
      <c r="C48" s="5"/>
      <c r="D48" s="248">
        <f>D31/D29</f>
        <v>37.410917469767391</v>
      </c>
      <c r="E48" s="248">
        <f>E31/E29</f>
        <v>1.4612442720410697</v>
      </c>
      <c r="F48" s="248">
        <f>F31/F29</f>
        <v>0.86611422386795733</v>
      </c>
      <c r="G48" s="248">
        <f>G31/G29</f>
        <v>0.64866516728254808</v>
      </c>
      <c r="H48" s="233" t="s">
        <v>507</v>
      </c>
      <c r="I48" s="207"/>
      <c r="J48" s="13"/>
      <c r="K48" s="13"/>
      <c r="L48" s="13"/>
      <c r="M48" s="13"/>
      <c r="N48" s="13"/>
      <c r="O48" s="5"/>
      <c r="Q48" s="5"/>
      <c r="R48" s="5"/>
      <c r="S48" s="26"/>
      <c r="T48" s="26"/>
      <c r="U48" s="26"/>
      <c r="V48" s="26"/>
      <c r="W48" s="26"/>
      <c r="X48" s="26"/>
    </row>
  </sheetData>
  <pageMargins left="0.75" right="0.75" top="1" bottom="1" header="0.5" footer="0.5"/>
  <pageSetup scale="21"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176</v>
      </c>
      <c r="C9" s="221">
        <f>Prices!$C$85</f>
        <v>13.5</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t="e">
        <f>#REF!</f>
        <v>#REF!</v>
      </c>
    </row>
    <row r="10" spans="2:44">
      <c r="B10" s="5" t="s">
        <v>226</v>
      </c>
      <c r="C10" s="5"/>
      <c r="D10" s="408">
        <v>34552.100801000001</v>
      </c>
      <c r="E10" s="408">
        <v>34552.100801000001</v>
      </c>
      <c r="F10" s="408">
        <v>34552.100801000001</v>
      </c>
      <c r="G10" s="408">
        <v>34552.100801000001</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t="e">
        <f>#REF!</f>
        <v>#REF!</v>
      </c>
    </row>
    <row r="11" spans="2:44">
      <c r="B11" s="25" t="s">
        <v>260</v>
      </c>
      <c r="C11" s="5"/>
      <c r="D11" s="409">
        <f>($C$9*D10)</f>
        <v>466453.36081350001</v>
      </c>
      <c r="E11" s="409">
        <f>($C$9*E10)</f>
        <v>466453.36081350001</v>
      </c>
      <c r="F11" s="409">
        <f>($C$9*F10)</f>
        <v>466453.36081350001</v>
      </c>
      <c r="G11" s="409">
        <f>($C$9*G10)</f>
        <v>466453.36081350001</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t="e">
        <f>#REF!</f>
        <v>#REF!</v>
      </c>
    </row>
    <row r="12" spans="2:44">
      <c r="B12" s="5" t="s">
        <v>35</v>
      </c>
      <c r="C12" s="209"/>
      <c r="D12" s="410">
        <v>423448.61256652628</v>
      </c>
      <c r="E12" s="410">
        <v>381687.87649391562</v>
      </c>
      <c r="F12" s="410">
        <v>345778.77979801397</v>
      </c>
      <c r="G12" s="410">
        <v>312043.64678485709</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t="e">
        <f>#REF!</f>
        <v>#REF!</v>
      </c>
    </row>
    <row r="13" spans="2:44">
      <c r="B13" s="5" t="s">
        <v>36</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t="e">
        <f>#REF!</f>
        <v>#REF!</v>
      </c>
    </row>
    <row r="14" spans="2:44">
      <c r="B14" s="5" t="s">
        <v>436</v>
      </c>
      <c r="C14" s="216"/>
      <c r="D14" s="410">
        <v>0</v>
      </c>
      <c r="E14" s="410">
        <f t="shared" ref="E14:G15" si="2">D14</f>
        <v>0</v>
      </c>
      <c r="F14" s="410">
        <f t="shared" si="2"/>
        <v>0</v>
      </c>
      <c r="G14" s="410">
        <f t="shared" si="2"/>
        <v>0</v>
      </c>
      <c r="H14" s="207"/>
      <c r="I14" s="207"/>
      <c r="J14" s="5" t="s">
        <v>493</v>
      </c>
      <c r="L14" s="406">
        <f>'AGG ASIA CELLULAR'!D42</f>
        <v>3.2612380643643633</v>
      </c>
      <c r="M14" s="406">
        <f>'AGG ASIA CELLULAR'!E42</f>
        <v>3.2192833435937476</v>
      </c>
      <c r="N14" s="406">
        <f>'AGG ASIA CELLULAR'!F42</f>
        <v>3.1876798143679874</v>
      </c>
      <c r="O14" s="406">
        <f>'AGG ASIA CELLULAR'!G42</f>
        <v>3.0645039076376084</v>
      </c>
      <c r="P14" s="240" t="e">
        <f>#REF!</f>
        <v>#REF!</v>
      </c>
    </row>
    <row r="15" spans="2:44">
      <c r="B15" s="5" t="s">
        <v>435</v>
      </c>
      <c r="C15" s="228"/>
      <c r="D15" s="410">
        <v>0</v>
      </c>
      <c r="E15" s="410">
        <f t="shared" si="2"/>
        <v>0</v>
      </c>
      <c r="F15" s="410">
        <f t="shared" si="2"/>
        <v>0</v>
      </c>
      <c r="G15" s="410">
        <f t="shared" si="2"/>
        <v>0</v>
      </c>
      <c r="H15" s="207"/>
      <c r="I15" s="207"/>
      <c r="J15" s="5" t="s">
        <v>390</v>
      </c>
      <c r="L15" s="406">
        <f>'AGG ASIA CELLULAR'!D43</f>
        <v>16.089349709345136</v>
      </c>
      <c r="M15" s="406">
        <f>'AGG ASIA CELLULAR'!E43</f>
        <v>13.569035215617561</v>
      </c>
      <c r="N15" s="406">
        <f>'AGG ASIA CELLULAR'!F43</f>
        <v>11.985779858898526</v>
      </c>
      <c r="O15" s="406">
        <f>'AGG ASIA CELLULAR'!G43</f>
        <v>10.778399739149165</v>
      </c>
      <c r="P15" s="240" t="e">
        <f>#REF!</f>
        <v>#REF!</v>
      </c>
    </row>
    <row r="16" spans="2:44">
      <c r="B16" s="5" t="s">
        <v>438</v>
      </c>
      <c r="C16" s="216"/>
      <c r="D16" s="410">
        <v>0</v>
      </c>
      <c r="E16" s="410">
        <v>13258.377979527884</v>
      </c>
      <c r="F16" s="410">
        <v>34436.92172016095</v>
      </c>
      <c r="G16" s="410">
        <v>62469.958295878896</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t="e">
        <f>#REF!</f>
        <v>#REF!</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t="e">
        <f>#REF!</f>
        <v>#REF!</v>
      </c>
      <c r="R17" s="5"/>
      <c r="S17" s="26"/>
      <c r="T17" s="26"/>
      <c r="U17" s="26"/>
      <c r="V17" s="26"/>
      <c r="W17" s="26"/>
      <c r="X17" s="26"/>
    </row>
    <row r="18" spans="2:24" ht="12.6" thickBot="1">
      <c r="B18" s="25" t="s">
        <v>484</v>
      </c>
      <c r="C18" s="209"/>
      <c r="D18" s="411">
        <f>D11+D12+D13-D14+D15-D16-D17</f>
        <v>889901.97338002629</v>
      </c>
      <c r="E18" s="411">
        <f>E11+E12+E13-E14+E15-E16-E17</f>
        <v>834882.85932788765</v>
      </c>
      <c r="F18" s="411">
        <f>F11+F12+F13-F14+F15-F16-F17</f>
        <v>777795.218891353</v>
      </c>
      <c r="G18" s="411">
        <f>G11+G12+G13-G14+G15-G16-G17</f>
        <v>716027.04930247809</v>
      </c>
      <c r="H18" s="230">
        <f>IF(D18=0,"nm",IF(G18=0,"nm",(G18/D18)^(1/3)-1))</f>
        <v>-6.9901195049633214E-2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t="e">
        <f>#REF!</f>
        <v>#REF!</v>
      </c>
      <c r="R18" s="5"/>
      <c r="S18" s="26"/>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t="e">
        <f>#REF!</f>
        <v>#REF!</v>
      </c>
      <c r="R19" s="5"/>
      <c r="S19" s="26"/>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e">
        <f>#REF!</f>
        <v>#REF!</v>
      </c>
      <c r="R20" s="5"/>
      <c r="S20" s="26"/>
      <c r="T20" s="26"/>
      <c r="U20" s="26"/>
      <c r="V20" s="26"/>
      <c r="W20" s="26"/>
      <c r="X20" s="26"/>
    </row>
    <row r="21" spans="2:24" ht="12.6" thickBot="1">
      <c r="B21" s="249" t="s">
        <v>754</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R21" s="5"/>
      <c r="S21" s="26"/>
      <c r="T21" s="26"/>
      <c r="U21" s="26"/>
      <c r="V21" s="26"/>
      <c r="W21" s="26"/>
      <c r="X21" s="26"/>
    </row>
    <row r="22" spans="2:24" ht="12.6" thickTop="1">
      <c r="B22" s="5"/>
      <c r="C22" s="216"/>
      <c r="D22" s="13"/>
      <c r="E22" s="13"/>
      <c r="F22" s="13"/>
      <c r="G22" s="13"/>
      <c r="H22" s="13"/>
      <c r="I22" s="13"/>
      <c r="P22" s="231"/>
      <c r="R22" s="5"/>
      <c r="S22" s="26"/>
      <c r="T22" s="26"/>
      <c r="U22" s="26"/>
      <c r="V22" s="26"/>
      <c r="W22" s="26"/>
      <c r="X22" s="26"/>
    </row>
    <row r="23" spans="2:24" ht="12.6" thickBot="1">
      <c r="B23" s="5" t="s">
        <v>485</v>
      </c>
      <c r="C23" s="422">
        <v>206020</v>
      </c>
      <c r="D23" s="416">
        <v>201024.1902630665</v>
      </c>
      <c r="E23" s="416">
        <v>191902.20548460458</v>
      </c>
      <c r="F23" s="416">
        <v>196802.20233008673</v>
      </c>
      <c r="G23" s="416">
        <v>201407.37570434404</v>
      </c>
      <c r="H23" s="233">
        <f t="shared" ref="H23:H32" si="4">IF(D23=0,"nm",IF(G23=0,"nm",(G23/D23)^(1/3)-1))</f>
        <v>6.3498531630612476E-4</v>
      </c>
      <c r="I23" s="207"/>
      <c r="J23" s="249" t="s">
        <v>7</v>
      </c>
      <c r="K23" s="249"/>
      <c r="L23" s="219" t="str">
        <f>D21</f>
        <v>2025E</v>
      </c>
      <c r="M23" s="219" t="str">
        <f t="shared" ref="M23:P23" si="5">E21</f>
        <v>2026E</v>
      </c>
      <c r="N23" s="219" t="str">
        <f t="shared" si="5"/>
        <v>2027E</v>
      </c>
      <c r="O23" s="219" t="str">
        <f t="shared" si="5"/>
        <v>2028E</v>
      </c>
      <c r="P23" s="219" t="str">
        <f t="shared" si="5"/>
        <v>2025-28</v>
      </c>
      <c r="R23" s="5"/>
      <c r="S23" s="26"/>
      <c r="T23" s="26"/>
      <c r="U23" s="26"/>
      <c r="V23" s="26"/>
      <c r="W23" s="26"/>
      <c r="X23" s="26"/>
    </row>
    <row r="24" spans="2:24" ht="12.6" thickTop="1">
      <c r="B24" s="5" t="s">
        <v>397</v>
      </c>
      <c r="C24" s="423">
        <v>98142</v>
      </c>
      <c r="D24" s="416">
        <v>106392.6656272964</v>
      </c>
      <c r="E24" s="416">
        <v>113125.4382700048</v>
      </c>
      <c r="F24" s="416">
        <v>117118.30552477787</v>
      </c>
      <c r="G24" s="416">
        <v>120029.16797457989</v>
      </c>
      <c r="H24" s="233">
        <f t="shared" si="4"/>
        <v>4.1018310776815392E-2</v>
      </c>
      <c r="I24" s="209"/>
      <c r="J24" s="13"/>
      <c r="K24" s="13"/>
      <c r="L24" s="13"/>
      <c r="M24" s="13"/>
      <c r="N24" s="13"/>
      <c r="O24" s="208"/>
      <c r="R24" s="5"/>
      <c r="S24" s="26"/>
      <c r="T24" s="26"/>
      <c r="U24" s="26"/>
      <c r="V24" s="26"/>
      <c r="W24" s="26" t="b">
        <v>1</v>
      </c>
      <c r="X24" s="26" t="s">
        <v>209</v>
      </c>
    </row>
    <row r="25" spans="2:24">
      <c r="B25" s="5" t="s">
        <v>157</v>
      </c>
      <c r="C25" s="422">
        <v>67154</v>
      </c>
      <c r="D25" s="416">
        <v>78249.278990467094</v>
      </c>
      <c r="E25" s="416">
        <v>84340.10744731412</v>
      </c>
      <c r="F25" s="416">
        <v>87597.975175264859</v>
      </c>
      <c r="G25" s="416">
        <v>92839.172254493446</v>
      </c>
      <c r="H25" s="233">
        <f t="shared" si="4"/>
        <v>5.8644888772578563E-2</v>
      </c>
      <c r="I25" s="208"/>
      <c r="J25" s="207" t="s">
        <v>8</v>
      </c>
      <c r="K25" s="207"/>
      <c r="L25" s="252">
        <v>0</v>
      </c>
      <c r="M25" s="252">
        <v>0</v>
      </c>
      <c r="N25" s="252">
        <v>0</v>
      </c>
      <c r="O25" s="252">
        <v>0</v>
      </c>
      <c r="P25" s="233" t="str">
        <f>IF(L25=0,"nm",IF(O25=0,"nm",(O25/L25)^(1/3)-1))</f>
        <v>nm</v>
      </c>
      <c r="R25" s="5"/>
      <c r="S25" s="26"/>
      <c r="T25" s="26"/>
      <c r="U25" s="26"/>
      <c r="V25" s="113" t="s">
        <v>225</v>
      </c>
      <c r="W25" s="242">
        <f>D37/L9</f>
        <v>2.1341418820935112</v>
      </c>
      <c r="X25" s="242">
        <v>1</v>
      </c>
    </row>
    <row r="26" spans="2:24">
      <c r="B26" s="5" t="s">
        <v>487</v>
      </c>
      <c r="C26" s="422">
        <v>68288.505523066924</v>
      </c>
      <c r="D26" s="416">
        <v>70424.35109142038</v>
      </c>
      <c r="E26" s="416">
        <v>67472.085957851305</v>
      </c>
      <c r="F26" s="416">
        <v>70078.380140211884</v>
      </c>
      <c r="G26" s="416">
        <v>74271.337803594753</v>
      </c>
      <c r="H26" s="233">
        <f t="shared" si="4"/>
        <v>1.7886757293590572E-2</v>
      </c>
      <c r="I26" s="209"/>
      <c r="J26" s="209" t="s">
        <v>9</v>
      </c>
      <c r="K26" s="209"/>
      <c r="L26" s="235">
        <f>D11+L25</f>
        <v>466453.36081350001</v>
      </c>
      <c r="M26" s="235">
        <f>E11+M25</f>
        <v>466453.36081350001</v>
      </c>
      <c r="N26" s="235">
        <f>F11+N25</f>
        <v>466453.36081350001</v>
      </c>
      <c r="O26" s="235">
        <f>G11+O25</f>
        <v>466453.36081350001</v>
      </c>
      <c r="P26" s="233">
        <f>IF(L26=0,"nm",IF(O26=0,"nm",(O26/L26)^(1/3)-1))</f>
        <v>0</v>
      </c>
      <c r="Q26" s="5"/>
      <c r="R26" s="5"/>
      <c r="S26" s="26"/>
      <c r="T26" s="26"/>
      <c r="U26" s="26"/>
      <c r="V26" s="113" t="s">
        <v>158</v>
      </c>
      <c r="W26" s="242">
        <f t="shared" ref="W26:W33" si="6">D38/L10</f>
        <v>1.3465544793194251</v>
      </c>
      <c r="X26" s="242">
        <v>1</v>
      </c>
    </row>
    <row r="27" spans="2:24">
      <c r="B27" s="5" t="s">
        <v>488</v>
      </c>
      <c r="C27" s="423">
        <v>517299.99</v>
      </c>
      <c r="D27" s="416">
        <v>533686.37196694885</v>
      </c>
      <c r="E27" s="416">
        <v>505250.38873233681</v>
      </c>
      <c r="F27" s="416">
        <v>483548.67557207891</v>
      </c>
      <c r="G27" s="416">
        <v>465016.20887556963</v>
      </c>
      <c r="H27" s="233">
        <f t="shared" si="4"/>
        <v>-4.487401755385767E-2</v>
      </c>
      <c r="I27" s="209"/>
      <c r="J27" s="208"/>
      <c r="K27" s="208"/>
      <c r="L27" s="208"/>
      <c r="M27" s="208"/>
      <c r="N27" s="208"/>
      <c r="O27" s="208"/>
      <c r="Q27" s="25"/>
      <c r="R27" s="5"/>
      <c r="S27" s="26"/>
      <c r="T27" s="26"/>
      <c r="U27" s="26"/>
      <c r="V27" s="113" t="s">
        <v>159</v>
      </c>
      <c r="W27" s="242">
        <f t="shared" si="6"/>
        <v>1.0994457432969749</v>
      </c>
      <c r="X27" s="242">
        <v>1</v>
      </c>
    </row>
    <row r="28" spans="2:24" ht="12.6" thickBot="1">
      <c r="B28" s="5" t="s">
        <v>492</v>
      </c>
      <c r="C28" s="422">
        <v>208701.11</v>
      </c>
      <c r="D28" s="416">
        <v>198938.21292787811</v>
      </c>
      <c r="E28" s="416">
        <v>182070.1188903951</v>
      </c>
      <c r="F28" s="416">
        <v>170697.20963736507</v>
      </c>
      <c r="G28" s="416">
        <v>161965.04063131905</v>
      </c>
      <c r="H28" s="233">
        <f t="shared" si="4"/>
        <v>-6.6241953448104129E-2</v>
      </c>
      <c r="I28" s="208"/>
      <c r="J28" s="249" t="s">
        <v>1073</v>
      </c>
      <c r="K28" s="249"/>
      <c r="L28" s="249"/>
      <c r="M28" s="249"/>
      <c r="N28" s="220"/>
      <c r="O28" s="220"/>
      <c r="P28" s="220"/>
      <c r="Q28" s="5"/>
      <c r="R28" s="5"/>
      <c r="S28" s="26"/>
      <c r="T28" s="26"/>
      <c r="U28" s="26"/>
      <c r="V28" s="113" t="s">
        <v>381</v>
      </c>
      <c r="W28" s="242">
        <f t="shared" si="6"/>
        <v>0.93256490582424589</v>
      </c>
      <c r="X28" s="242">
        <v>1</v>
      </c>
    </row>
    <row r="29" spans="2:24" ht="12.6" thickTop="1">
      <c r="B29" s="5" t="s">
        <v>489</v>
      </c>
      <c r="C29" s="422">
        <v>17207.801000000025</v>
      </c>
      <c r="D29" s="416">
        <v>26475.468550944468</v>
      </c>
      <c r="E29" s="416">
        <v>34996.170804599242</v>
      </c>
      <c r="F29" s="416">
        <v>38532.370670875825</v>
      </c>
      <c r="G29" s="416">
        <v>48253.581022083774</v>
      </c>
      <c r="H29" s="233">
        <f t="shared" si="4"/>
        <v>0.22150513795071514</v>
      </c>
      <c r="I29" s="212"/>
      <c r="J29" s="209"/>
      <c r="K29" s="209"/>
      <c r="L29" s="209"/>
      <c r="M29" s="209"/>
      <c r="N29" s="209"/>
      <c r="O29" s="211"/>
      <c r="Q29" s="5"/>
      <c r="R29" s="5"/>
      <c r="S29" s="26"/>
      <c r="T29" s="26"/>
      <c r="U29" s="26"/>
      <c r="V29" s="113" t="s">
        <v>434</v>
      </c>
      <c r="W29" s="242">
        <f t="shared" si="6"/>
        <v>0.96527167015482962</v>
      </c>
      <c r="X29" s="242">
        <v>1</v>
      </c>
    </row>
    <row r="30" spans="2:24">
      <c r="B30" s="5" t="s">
        <v>490</v>
      </c>
      <c r="C30" s="423">
        <v>-10966</v>
      </c>
      <c r="D30" s="416">
        <v>20132.553140703618</v>
      </c>
      <c r="E30" s="416">
        <v>26516.755959055768</v>
      </c>
      <c r="F30" s="416">
        <v>35297.572901055115</v>
      </c>
      <c r="G30" s="416">
        <v>43127.748578027604</v>
      </c>
      <c r="H30" s="233">
        <f t="shared" si="4"/>
        <v>0.28909812772548604</v>
      </c>
      <c r="I30" s="214"/>
      <c r="J30" s="208"/>
      <c r="K30" s="208"/>
      <c r="L30" s="208"/>
      <c r="M30" s="208"/>
      <c r="N30" s="208"/>
      <c r="O30" s="5"/>
      <c r="Q30" s="5"/>
      <c r="R30" s="5"/>
      <c r="S30" s="26"/>
      <c r="T30" s="26"/>
      <c r="U30" s="26"/>
      <c r="V30" s="113" t="s">
        <v>493</v>
      </c>
      <c r="W30" s="242">
        <f t="shared" si="6"/>
        <v>1.3716441476353647</v>
      </c>
      <c r="X30" s="242">
        <v>1</v>
      </c>
    </row>
    <row r="31" spans="2:24">
      <c r="B31" s="5" t="s">
        <v>491</v>
      </c>
      <c r="C31" s="423">
        <v>0</v>
      </c>
      <c r="D31" s="416">
        <v>8106.0425125628944</v>
      </c>
      <c r="E31" s="416">
        <v>13258.377979527884</v>
      </c>
      <c r="F31" s="416">
        <v>21178.543740633068</v>
      </c>
      <c r="G31" s="416">
        <v>28033.036575717942</v>
      </c>
      <c r="H31" s="233">
        <f t="shared" si="4"/>
        <v>0.51223895838929612</v>
      </c>
      <c r="I31" s="214"/>
      <c r="J31" s="212"/>
      <c r="K31" s="212"/>
      <c r="L31" s="212"/>
      <c r="M31" s="212"/>
      <c r="N31" s="212"/>
      <c r="O31" s="5"/>
      <c r="Q31" s="5"/>
      <c r="R31" s="5"/>
      <c r="S31" s="26"/>
      <c r="T31" s="26"/>
      <c r="U31" s="26"/>
      <c r="V31" s="113" t="s">
        <v>390</v>
      </c>
      <c r="W31" s="242">
        <f t="shared" si="6"/>
        <v>1.0950301585173003</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R32" s="5"/>
      <c r="S32" s="26"/>
      <c r="T32" s="26"/>
      <c r="U32" s="26"/>
      <c r="V32" s="113" t="s">
        <v>437</v>
      </c>
      <c r="W32" s="242">
        <f t="shared" si="6"/>
        <v>1.342715590293208</v>
      </c>
      <c r="X32" s="242">
        <v>1</v>
      </c>
    </row>
    <row r="33" spans="2:24">
      <c r="B33" s="5" t="s">
        <v>3</v>
      </c>
      <c r="C33" s="423">
        <v>21970</v>
      </c>
      <c r="D33" s="416">
        <v>18436.127119691329</v>
      </c>
      <c r="E33" s="416">
        <v>17726.029055224906</v>
      </c>
      <c r="F33" s="416">
        <v>15950.100823909121</v>
      </c>
      <c r="G33" s="416">
        <v>14460.790309548232</v>
      </c>
      <c r="H33" s="233">
        <f>IF(D33=0,"nm",IF(G33=0,"nm",(G33/D33)^(1/3)-1))</f>
        <v>-7.7766745568768614E-2</v>
      </c>
      <c r="I33" s="5"/>
      <c r="J33" s="214"/>
      <c r="K33" s="214"/>
      <c r="L33" s="214"/>
      <c r="M33" s="214"/>
      <c r="N33" s="214"/>
      <c r="O33" s="211"/>
      <c r="Q33" s="5"/>
      <c r="R33" s="5"/>
      <c r="S33" s="26"/>
      <c r="T33" s="26"/>
      <c r="U33" s="26"/>
      <c r="V33" s="113" t="s">
        <v>481</v>
      </c>
      <c r="W33" s="242">
        <f t="shared" si="6"/>
        <v>0.40732084040281613</v>
      </c>
      <c r="X33" s="242">
        <v>1</v>
      </c>
    </row>
    <row r="34" spans="2:24">
      <c r="C34" s="5"/>
      <c r="D34" s="5"/>
      <c r="E34" s="5"/>
      <c r="F34" s="5"/>
      <c r="G34" s="5"/>
      <c r="I34" s="33"/>
      <c r="J34" s="214"/>
      <c r="K34" s="214"/>
      <c r="L34" s="214"/>
      <c r="M34" s="214"/>
      <c r="N34" s="214"/>
      <c r="O34" s="211"/>
      <c r="Q34" s="5"/>
      <c r="R34" s="5"/>
      <c r="S34" s="26"/>
      <c r="T34" s="26"/>
      <c r="U34" s="26"/>
      <c r="V34" s="113" t="s">
        <v>482</v>
      </c>
      <c r="W34" s="242">
        <f>D47/L19</f>
        <v>0.91321685729096846</v>
      </c>
      <c r="X34" s="242">
        <v>1</v>
      </c>
    </row>
    <row r="35" spans="2:24" ht="12.6" thickBot="1">
      <c r="B35" s="249" t="s">
        <v>38</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R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R36" s="5"/>
      <c r="S36" s="26"/>
      <c r="T36" s="26"/>
      <c r="U36" s="26"/>
      <c r="V36" s="26"/>
      <c r="W36" s="26"/>
      <c r="X36" s="26"/>
    </row>
    <row r="37" spans="2:24">
      <c r="B37" s="5" t="s">
        <v>225</v>
      </c>
      <c r="C37" s="207"/>
      <c r="D37" s="406">
        <f>D$18/D23</f>
        <v>4.4268402335831967</v>
      </c>
      <c r="E37" s="406">
        <f t="shared" ref="E37:G41" si="8">E$18/E23</f>
        <v>4.3505641700134934</v>
      </c>
      <c r="F37" s="406">
        <f t="shared" si="8"/>
        <v>3.9521672505818559</v>
      </c>
      <c r="G37" s="406">
        <f t="shared" si="8"/>
        <v>3.5551183108287456</v>
      </c>
      <c r="H37" s="13">
        <f t="shared" ref="H37:H45" si="9">H23</f>
        <v>6.3498531630612476E-4</v>
      </c>
      <c r="I37" s="5"/>
      <c r="J37" s="217"/>
      <c r="K37" s="217"/>
      <c r="L37" s="217"/>
      <c r="M37" s="217"/>
      <c r="N37" s="217"/>
      <c r="O37" s="14"/>
      <c r="Q37" s="5"/>
      <c r="R37" s="5"/>
      <c r="S37" s="26"/>
      <c r="T37" s="26"/>
      <c r="U37" s="26"/>
      <c r="V37" s="26"/>
      <c r="W37" s="26"/>
      <c r="X37" s="26"/>
    </row>
    <row r="38" spans="2:24">
      <c r="B38" s="5" t="s">
        <v>158</v>
      </c>
      <c r="C38" s="207"/>
      <c r="D38" s="406">
        <f>D$18/D24</f>
        <v>8.3643169210313548</v>
      </c>
      <c r="E38" s="406">
        <f t="shared" si="8"/>
        <v>7.3801513797030456</v>
      </c>
      <c r="F38" s="406">
        <f t="shared" si="8"/>
        <v>6.6411071728390105</v>
      </c>
      <c r="G38" s="406">
        <f t="shared" si="8"/>
        <v>5.9654420786630817</v>
      </c>
      <c r="H38" s="13">
        <f t="shared" si="9"/>
        <v>4.1018310776815392E-2</v>
      </c>
      <c r="I38" s="217"/>
      <c r="J38" s="13"/>
      <c r="K38" s="13"/>
      <c r="L38" s="13"/>
      <c r="M38" s="13"/>
      <c r="N38" s="13"/>
      <c r="O38" s="5"/>
      <c r="Q38" s="5"/>
      <c r="R38" s="5"/>
      <c r="S38" s="26"/>
      <c r="T38" s="26"/>
      <c r="U38" s="26"/>
      <c r="V38" s="26"/>
      <c r="W38" s="26"/>
      <c r="X38" s="26"/>
    </row>
    <row r="39" spans="2:24">
      <c r="B39" s="5" t="s">
        <v>159</v>
      </c>
      <c r="C39" s="207"/>
      <c r="D39" s="406">
        <f>D$18/D25</f>
        <v>11.372653970248605</v>
      </c>
      <c r="E39" s="406">
        <f t="shared" si="8"/>
        <v>9.8990016090437791</v>
      </c>
      <c r="F39" s="406">
        <f t="shared" si="8"/>
        <v>8.8791460913925313</v>
      </c>
      <c r="G39" s="406">
        <f t="shared" si="8"/>
        <v>7.7125531380189809</v>
      </c>
      <c r="H39" s="13">
        <f t="shared" si="9"/>
        <v>5.8644888772578563E-2</v>
      </c>
      <c r="I39" s="13"/>
      <c r="J39" s="5"/>
      <c r="K39" s="5"/>
      <c r="L39" s="5"/>
      <c r="M39" s="5"/>
      <c r="N39" s="5"/>
      <c r="O39" s="5"/>
      <c r="Q39" s="5"/>
      <c r="R39" s="5"/>
      <c r="S39" s="26"/>
      <c r="T39" s="26"/>
      <c r="U39" s="26"/>
      <c r="V39" s="26"/>
      <c r="W39" s="26"/>
      <c r="X39" s="26"/>
    </row>
    <row r="40" spans="2:24">
      <c r="B40" s="5" t="s">
        <v>381</v>
      </c>
      <c r="C40" s="207"/>
      <c r="D40" s="406">
        <f>D$18/D26</f>
        <v>12.636282189165117</v>
      </c>
      <c r="E40" s="406">
        <f>E$18/E26</f>
        <v>12.373752011304722</v>
      </c>
      <c r="F40" s="406">
        <f t="shared" si="8"/>
        <v>11.098932614240665</v>
      </c>
      <c r="G40" s="406">
        <f t="shared" si="8"/>
        <v>9.6406914225237266</v>
      </c>
      <c r="H40" s="13">
        <f t="shared" si="9"/>
        <v>1.7886757293590572E-2</v>
      </c>
      <c r="I40" s="5"/>
      <c r="J40" s="217"/>
      <c r="K40" s="217"/>
      <c r="L40" s="217"/>
      <c r="M40" s="217"/>
      <c r="N40" s="217"/>
      <c r="O40" s="14"/>
      <c r="Q40" s="5"/>
      <c r="R40" s="5"/>
      <c r="S40" s="26"/>
      <c r="T40" s="26"/>
      <c r="U40" s="26"/>
      <c r="V40" s="26"/>
      <c r="W40" s="242"/>
      <c r="X40" s="242"/>
    </row>
    <row r="41" spans="2:24">
      <c r="B41" s="5" t="s">
        <v>434</v>
      </c>
      <c r="C41" s="207"/>
      <c r="D41" s="406">
        <f>D$18/D27</f>
        <v>1.6674624276055861</v>
      </c>
      <c r="E41" s="406">
        <f t="shared" si="8"/>
        <v>1.6524140860585821</v>
      </c>
      <c r="F41" s="406">
        <f t="shared" si="8"/>
        <v>1.6085148366318149</v>
      </c>
      <c r="G41" s="406">
        <f t="shared" si="8"/>
        <v>1.5397894431118091</v>
      </c>
      <c r="H41" s="13">
        <f t="shared" si="9"/>
        <v>-4.487401755385767E-2</v>
      </c>
      <c r="I41" s="207"/>
      <c r="J41" s="13"/>
      <c r="K41" s="13"/>
      <c r="L41" s="13"/>
      <c r="M41" s="13"/>
      <c r="N41" s="13"/>
      <c r="O41" s="5"/>
      <c r="Q41" s="5"/>
      <c r="R41" s="5"/>
      <c r="S41" s="26"/>
      <c r="T41" s="26"/>
      <c r="U41" s="26"/>
      <c r="V41" s="26"/>
      <c r="W41" s="242"/>
      <c r="X41" s="242"/>
    </row>
    <row r="42" spans="2:24">
      <c r="B42" s="5" t="s">
        <v>493</v>
      </c>
      <c r="C42" s="207"/>
      <c r="D42" s="406">
        <f>D18/D28</f>
        <v>4.4732581050310634</v>
      </c>
      <c r="E42" s="406">
        <f>E18/E28</f>
        <v>4.5855018078528369</v>
      </c>
      <c r="F42" s="406">
        <f>F18/F28</f>
        <v>4.5565784030314704</v>
      </c>
      <c r="G42" s="406">
        <f>G18/G28</f>
        <v>4.4208740757357026</v>
      </c>
      <c r="H42" s="13">
        <f t="shared" si="9"/>
        <v>-6.6241953448104129E-2</v>
      </c>
      <c r="I42" s="208"/>
      <c r="J42" s="5"/>
      <c r="K42" s="5"/>
      <c r="L42" s="5"/>
      <c r="M42" s="5"/>
      <c r="N42" s="5"/>
      <c r="O42" s="5"/>
      <c r="Q42" s="5"/>
      <c r="R42" s="5"/>
      <c r="S42" s="26"/>
      <c r="T42" s="26"/>
      <c r="U42" s="26"/>
      <c r="V42" s="26"/>
      <c r="W42" s="242"/>
      <c r="X42" s="242"/>
    </row>
    <row r="43" spans="2:24">
      <c r="B43" s="5" t="s">
        <v>390</v>
      </c>
      <c r="C43" s="207"/>
      <c r="D43" s="406">
        <f>L26/D29</f>
        <v>17.618323162664485</v>
      </c>
      <c r="E43" s="406">
        <f>M26/E29</f>
        <v>13.328697114262516</v>
      </c>
      <c r="F43" s="406">
        <f>N26/F29</f>
        <v>12.105493451148142</v>
      </c>
      <c r="G43" s="406">
        <f>O26/G29</f>
        <v>9.6667097225389877</v>
      </c>
      <c r="H43" s="13">
        <f t="shared" si="9"/>
        <v>0.22150513795071514</v>
      </c>
      <c r="I43" s="207"/>
      <c r="J43" s="207"/>
      <c r="K43" s="207"/>
      <c r="L43" s="207"/>
      <c r="M43" s="207"/>
      <c r="N43" s="207"/>
      <c r="O43" s="14"/>
      <c r="Q43" s="5"/>
      <c r="R43" s="5"/>
      <c r="S43" s="26"/>
      <c r="T43" s="26"/>
      <c r="U43" s="26"/>
      <c r="V43" s="26"/>
      <c r="W43" s="242"/>
      <c r="X43" s="242"/>
    </row>
    <row r="44" spans="2:24">
      <c r="B44" s="5" t="s">
        <v>437</v>
      </c>
      <c r="C44" s="53"/>
      <c r="D44" s="406">
        <f>D11/D30</f>
        <v>23.169111118372431</v>
      </c>
      <c r="E44" s="406">
        <f>E11/E30</f>
        <v>17.590890889283195</v>
      </c>
      <c r="F44" s="406">
        <f>F11/F30</f>
        <v>13.214884834179541</v>
      </c>
      <c r="G44" s="406">
        <f>G11/G30</f>
        <v>10.815620480850816</v>
      </c>
      <c r="H44" s="13">
        <f t="shared" si="9"/>
        <v>0.28909812772548604</v>
      </c>
      <c r="I44" s="207"/>
      <c r="J44" s="208"/>
      <c r="K44" s="208"/>
      <c r="L44" s="208"/>
      <c r="M44" s="208"/>
      <c r="N44" s="208"/>
      <c r="O44" s="208"/>
      <c r="Q44" s="5"/>
      <c r="R44" s="5"/>
      <c r="S44" s="26"/>
      <c r="T44" s="26"/>
      <c r="U44" s="26"/>
      <c r="V44" s="26"/>
      <c r="W44" s="255"/>
      <c r="X44" s="255"/>
    </row>
    <row r="45" spans="2:24">
      <c r="B45" s="5" t="s">
        <v>481</v>
      </c>
      <c r="C45" s="207"/>
      <c r="D45" s="208">
        <f>D31/D11</f>
        <v>1.7378034319285134E-2</v>
      </c>
      <c r="E45" s="208">
        <f>E31/E11</f>
        <v>2.8423802020431627E-2</v>
      </c>
      <c r="F45" s="208">
        <f>F31/F11</f>
        <v>4.5403346872016193E-2</v>
      </c>
      <c r="G45" s="208">
        <f>G31/G11</f>
        <v>6.0098262614783189E-2</v>
      </c>
      <c r="H45" s="13">
        <f t="shared" si="9"/>
        <v>0.51223895838929612</v>
      </c>
      <c r="I45" s="208"/>
      <c r="J45" s="207"/>
      <c r="K45" s="207"/>
      <c r="L45" s="207"/>
      <c r="M45" s="207"/>
      <c r="N45" s="207"/>
      <c r="O45" s="208"/>
      <c r="Q45" s="5"/>
      <c r="R45" s="5"/>
      <c r="S45" s="26"/>
      <c r="T45" s="26"/>
      <c r="U45" s="26"/>
      <c r="V45" s="26"/>
      <c r="W45" s="26"/>
      <c r="X45" s="26"/>
    </row>
    <row r="46" spans="2:24">
      <c r="B46" s="5" t="s">
        <v>505</v>
      </c>
      <c r="C46" s="207"/>
      <c r="D46" s="208">
        <f>(D31+D32)/D11</f>
        <v>1.7378034319285134E-2</v>
      </c>
      <c r="E46" s="208">
        <f>(E31+E32)/E11</f>
        <v>2.8423802020431627E-2</v>
      </c>
      <c r="F46" s="208">
        <f>(F31+F32)/F11</f>
        <v>4.5403346872016193E-2</v>
      </c>
      <c r="G46" s="208">
        <f>(G31+G32)/G11</f>
        <v>6.0098262614783189E-2</v>
      </c>
      <c r="H46" s="233">
        <f>((G31+G32)/(D31+D32))^(1/3)-1</f>
        <v>0.51223895838929612</v>
      </c>
      <c r="I46" s="207"/>
      <c r="J46" s="207"/>
      <c r="K46" s="207"/>
      <c r="L46" s="207"/>
      <c r="M46" s="207"/>
      <c r="N46" s="207"/>
      <c r="O46" s="14"/>
      <c r="Q46" s="5"/>
      <c r="R46" s="5"/>
      <c r="S46" s="26"/>
      <c r="T46" s="26"/>
      <c r="U46" s="26"/>
      <c r="V46" s="26"/>
      <c r="W46" s="26"/>
      <c r="X46" s="26"/>
    </row>
    <row r="47" spans="2:24">
      <c r="B47" s="5" t="s">
        <v>482</v>
      </c>
      <c r="C47" s="5"/>
      <c r="D47" s="208">
        <f>1/D43</f>
        <v>5.6759090565391031E-2</v>
      </c>
      <c r="E47" s="208">
        <f>1/E43</f>
        <v>7.502608780343123E-2</v>
      </c>
      <c r="F47" s="208">
        <f>1/F43</f>
        <v>8.2607124115634895E-2</v>
      </c>
      <c r="G47" s="208">
        <f>1/G43</f>
        <v>0.10344781509973254</v>
      </c>
      <c r="H47" s="13">
        <f>H29</f>
        <v>0.22150513795071514</v>
      </c>
      <c r="I47" s="13"/>
      <c r="J47" s="208"/>
      <c r="K47" s="208"/>
      <c r="L47" s="208"/>
      <c r="M47" s="208"/>
      <c r="N47" s="208"/>
      <c r="O47" s="208"/>
      <c r="Q47" s="5"/>
      <c r="R47" s="5"/>
      <c r="S47" s="26"/>
      <c r="T47" s="26"/>
      <c r="U47" s="26"/>
      <c r="V47" s="26"/>
      <c r="W47" s="26"/>
      <c r="X47" s="26"/>
    </row>
    <row r="48" spans="2:24">
      <c r="B48" s="5" t="s">
        <v>518</v>
      </c>
      <c r="C48" s="5"/>
      <c r="D48" s="248">
        <f>D31/D29</f>
        <v>0.30617182456903957</v>
      </c>
      <c r="E48" s="248">
        <f>E31/E29</f>
        <v>0.37885224796609607</v>
      </c>
      <c r="F48" s="248">
        <f>F31/F29</f>
        <v>0.54962991821939944</v>
      </c>
      <c r="G48" s="248">
        <f>G31/G29</f>
        <v>0.58095245952602603</v>
      </c>
      <c r="H48" s="233" t="s">
        <v>507</v>
      </c>
      <c r="I48" s="207"/>
      <c r="J48" s="207"/>
      <c r="K48" s="207"/>
      <c r="L48" s="207"/>
      <c r="M48" s="207"/>
      <c r="N48" s="207"/>
      <c r="O48" s="208"/>
      <c r="Q48" s="5"/>
      <c r="R48" s="5"/>
      <c r="S48" s="26"/>
      <c r="T48" s="26"/>
      <c r="U48" s="26"/>
      <c r="V48" s="26"/>
      <c r="W48" s="26"/>
      <c r="X48" s="26"/>
    </row>
  </sheetData>
  <phoneticPr fontId="0" type="noConversion"/>
  <pageMargins left="0.75" right="0.75" top="1" bottom="1" header="0.5" footer="0.5"/>
  <pageSetup scale="71"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10">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562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563</v>
      </c>
      <c r="C7" s="219"/>
      <c r="D7" s="219" t="str">
        <f>D5</f>
        <v>2025E</v>
      </c>
      <c r="E7" s="219" t="str">
        <f t="shared" ref="E7:H7" si="0">E5</f>
        <v>2026E</v>
      </c>
      <c r="F7" s="219" t="str">
        <f t="shared" si="0"/>
        <v>2027E</v>
      </c>
      <c r="G7" s="219" t="str">
        <f t="shared" si="0"/>
        <v>2028E</v>
      </c>
      <c r="H7" s="219" t="str">
        <f t="shared" si="0"/>
        <v>2025-28</v>
      </c>
      <c r="I7" s="33"/>
      <c r="J7" s="249" t="s">
        <v>391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v>
      </c>
      <c r="C9" s="221">
        <f>Prices!$C$108</f>
        <v>3.05</v>
      </c>
      <c r="D9" s="412">
        <v>0</v>
      </c>
      <c r="E9" s="413">
        <v>0</v>
      </c>
      <c r="F9" s="413">
        <v>0</v>
      </c>
      <c r="G9" s="413">
        <v>0</v>
      </c>
      <c r="H9" s="209"/>
      <c r="I9" s="209"/>
      <c r="J9" s="5" t="s">
        <v>225</v>
      </c>
      <c r="L9" s="406">
        <f>'LATAM INCUMB'!D37</f>
        <v>2.108942592849107</v>
      </c>
      <c r="M9" s="406">
        <f>'LATAM INCUMB'!E37</f>
        <v>1.7989536283544942</v>
      </c>
      <c r="N9" s="406">
        <f>'LATAM INCUMB'!F37</f>
        <v>1.6245563909245235</v>
      </c>
      <c r="O9" s="406">
        <f>'LATAM INCUMB'!G37</f>
        <v>1.452112444748461</v>
      </c>
      <c r="P9" s="240">
        <f>'LATAM INCUMB'!H37</f>
        <v>5.0665939566617801E-2</v>
      </c>
    </row>
    <row r="10" spans="2:44">
      <c r="B10" s="5" t="s">
        <v>226</v>
      </c>
      <c r="C10" s="5"/>
      <c r="D10" s="408">
        <v>573.38307692307694</v>
      </c>
      <c r="E10" s="408">
        <v>573.38307692307694</v>
      </c>
      <c r="F10" s="408">
        <v>573.38307692307694</v>
      </c>
      <c r="G10" s="408">
        <v>573.38307692307694</v>
      </c>
      <c r="H10" s="207"/>
      <c r="I10" s="207"/>
      <c r="J10" s="5" t="s">
        <v>158</v>
      </c>
      <c r="L10" s="406">
        <f>'LATAM INCUMB'!D38</f>
        <v>5.3273786621275869</v>
      </c>
      <c r="M10" s="406">
        <f>'LATAM INCUMB'!E38</f>
        <v>4.4564863261624739</v>
      </c>
      <c r="N10" s="406">
        <f>'LATAM INCUMB'!F38</f>
        <v>3.9956463252385053</v>
      </c>
      <c r="O10" s="406">
        <f>'LATAM INCUMB'!G38</f>
        <v>3.563273468629057</v>
      </c>
      <c r="P10" s="240">
        <f>'LATAM INCUMB'!H38</f>
        <v>6.0875991046259958E-2</v>
      </c>
    </row>
    <row r="11" spans="2:44">
      <c r="B11" s="25" t="s">
        <v>227</v>
      </c>
      <c r="C11" s="5"/>
      <c r="D11" s="409">
        <f>$C$9*D10</f>
        <v>1748.8183846153845</v>
      </c>
      <c r="E11" s="409">
        <f>$C$9*E10</f>
        <v>1748.8183846153845</v>
      </c>
      <c r="F11" s="409">
        <f>$C$9*F10</f>
        <v>1748.8183846153845</v>
      </c>
      <c r="G11" s="409">
        <f>$C$9*G10</f>
        <v>1748.8183846153845</v>
      </c>
      <c r="H11" s="209"/>
      <c r="I11" s="209"/>
      <c r="J11" s="5" t="s">
        <v>159</v>
      </c>
      <c r="L11" s="406">
        <f>'LATAM INCUMB'!D39</f>
        <v>8.2568976610310063</v>
      </c>
      <c r="M11" s="406">
        <f>'LATAM INCUMB'!E39</f>
        <v>6.9138283439202475</v>
      </c>
      <c r="N11" s="406">
        <f>'LATAM INCUMB'!F39</f>
        <v>6.1432211493025433</v>
      </c>
      <c r="O11" s="406">
        <f>'LATAM INCUMB'!G39</f>
        <v>5.3190732642203526</v>
      </c>
      <c r="P11" s="240">
        <f>'LATAM INCUMB'!H39</f>
        <v>7.4245294052326605E-2</v>
      </c>
    </row>
    <row r="12" spans="2:44">
      <c r="B12" s="5" t="s">
        <v>22</v>
      </c>
      <c r="C12" s="209"/>
      <c r="D12" s="410">
        <v>2774.0945753924912</v>
      </c>
      <c r="E12" s="410">
        <v>2664.0055794437508</v>
      </c>
      <c r="F12" s="410">
        <v>2501.026246485807</v>
      </c>
      <c r="G12" s="410">
        <v>2258.7261506423256</v>
      </c>
      <c r="H12" s="207"/>
      <c r="I12" s="207"/>
      <c r="J12" s="5" t="s">
        <v>381</v>
      </c>
      <c r="L12" s="406">
        <f>'LATAM INCUMB'!D40</f>
        <v>11.912771419276883</v>
      </c>
      <c r="M12" s="406">
        <f>'LATAM INCUMB'!E40</f>
        <v>9.9869081777888358</v>
      </c>
      <c r="N12" s="406">
        <f>'LATAM INCUMB'!F40</f>
        <v>8.8795669220474664</v>
      </c>
      <c r="O12" s="406">
        <f>'LATAM INCUMB'!G40</f>
        <v>7.6886868723633572</v>
      </c>
      <c r="P12" s="240">
        <f>'LATAM INCUMB'!H40</f>
        <v>7.3569162293801948E-2</v>
      </c>
    </row>
    <row r="13" spans="2:44">
      <c r="B13" s="5" t="s">
        <v>433</v>
      </c>
      <c r="C13" s="216"/>
      <c r="D13" s="410">
        <v>0</v>
      </c>
      <c r="E13" s="410">
        <v>0</v>
      </c>
      <c r="F13" s="410">
        <v>0</v>
      </c>
      <c r="G13" s="410">
        <v>0</v>
      </c>
      <c r="H13" s="207"/>
      <c r="I13" s="207"/>
      <c r="J13" s="5" t="s">
        <v>434</v>
      </c>
      <c r="L13" s="406">
        <f>'LATAM INCUMB'!D41</f>
        <v>1.7110129993930618</v>
      </c>
      <c r="M13" s="406">
        <f>'LATAM INCUMB'!E41</f>
        <v>1.574342116816748</v>
      </c>
      <c r="N13" s="406">
        <f>'LATAM INCUMB'!F41</f>
        <v>1.4871237938434103</v>
      </c>
      <c r="O13" s="406">
        <f>'LATAM INCUMB'!G41</f>
        <v>1.3881510620661361</v>
      </c>
      <c r="P13" s="240">
        <f>'LATAM INCUMB'!H41</f>
        <v>-5.2468040419312301E-3</v>
      </c>
    </row>
    <row r="14" spans="2:44">
      <c r="B14" s="5" t="s">
        <v>436</v>
      </c>
      <c r="C14" s="216"/>
      <c r="D14" s="410">
        <v>2677</v>
      </c>
      <c r="E14" s="410">
        <v>2677</v>
      </c>
      <c r="F14" s="410">
        <v>2677</v>
      </c>
      <c r="G14" s="410">
        <v>2677</v>
      </c>
      <c r="H14" s="207"/>
      <c r="I14" s="207"/>
      <c r="J14" s="5" t="s">
        <v>493</v>
      </c>
      <c r="L14" s="406">
        <f>'LATAM INCUMB'!D42</f>
        <v>3.2920352052567234</v>
      </c>
      <c r="M14" s="406">
        <f>'LATAM INCUMB'!E42</f>
        <v>3.1595066804938936</v>
      </c>
      <c r="N14" s="406">
        <f>'LATAM INCUMB'!F42</f>
        <v>3.1647101234465342</v>
      </c>
      <c r="O14" s="406">
        <f>'LATAM INCUMB'!G42</f>
        <v>3.1722568874000778</v>
      </c>
      <c r="P14" s="240">
        <f>'LATAM INCUMB'!H42</f>
        <v>-6.0690912550466325E-2</v>
      </c>
    </row>
    <row r="15" spans="2:44">
      <c r="B15" s="5" t="s">
        <v>435</v>
      </c>
      <c r="C15" s="228"/>
      <c r="D15" s="410">
        <v>558</v>
      </c>
      <c r="E15" s="410">
        <v>558</v>
      </c>
      <c r="F15" s="410">
        <v>558</v>
      </c>
      <c r="G15" s="410">
        <v>558</v>
      </c>
      <c r="H15" s="207"/>
      <c r="I15" s="207"/>
      <c r="J15" s="5" t="s">
        <v>390</v>
      </c>
      <c r="L15" s="406">
        <f>'LATAM INCUMB'!D43</f>
        <v>11.828750233158917</v>
      </c>
      <c r="M15" s="406">
        <f>'LATAM INCUMB'!E43</f>
        <v>10.086714598831263</v>
      </c>
      <c r="N15" s="406">
        <f>'LATAM INCUMB'!F43</f>
        <v>9.2193743349297748</v>
      </c>
      <c r="O15" s="406">
        <f>'LATAM INCUMB'!G43</f>
        <v>8.197154350030786</v>
      </c>
      <c r="P15" s="240">
        <f>'LATAM INCUMB'!H43</f>
        <v>0.10462959461893884</v>
      </c>
    </row>
    <row r="16" spans="2:44">
      <c r="B16" s="5" t="s">
        <v>438</v>
      </c>
      <c r="C16" s="216"/>
      <c r="D16" s="410">
        <v>0</v>
      </c>
      <c r="E16" s="410">
        <v>53.527628471348443</v>
      </c>
      <c r="F16" s="410">
        <v>108.12580951212385</v>
      </c>
      <c r="G16" s="410">
        <v>163.81595417371477</v>
      </c>
      <c r="H16" s="207"/>
      <c r="I16" s="207"/>
      <c r="J16" s="5" t="s">
        <v>437</v>
      </c>
      <c r="L16" s="406">
        <f>'LATAM INCUMB'!D44</f>
        <v>15.9969121813232</v>
      </c>
      <c r="M16" s="406">
        <f>'LATAM INCUMB'!E44</f>
        <v>12.209673122372518</v>
      </c>
      <c r="N16" s="406">
        <f>'LATAM INCUMB'!F44</f>
        <v>10.611708481730632</v>
      </c>
      <c r="O16" s="406">
        <f>'LATAM INCUMB'!G44</f>
        <v>9.5617096909572847</v>
      </c>
      <c r="P16" s="240">
        <f>'LATAM INCUMB'!H44</f>
        <v>0.16071026751292017</v>
      </c>
    </row>
    <row r="17" spans="2:24">
      <c r="B17" s="5" t="s">
        <v>4</v>
      </c>
      <c r="C17" s="216"/>
      <c r="D17" s="410">
        <v>0</v>
      </c>
      <c r="E17" s="410">
        <v>0</v>
      </c>
      <c r="F17" s="410">
        <v>0</v>
      </c>
      <c r="G17" s="410">
        <v>0</v>
      </c>
      <c r="H17" s="207"/>
      <c r="I17" s="207"/>
      <c r="J17" s="5" t="s">
        <v>481</v>
      </c>
      <c r="L17" s="208">
        <f>'LATAM INCUMB'!D45</f>
        <v>2.6105092451879509E-2</v>
      </c>
      <c r="M17" s="208">
        <f>'LATAM INCUMB'!E45</f>
        <v>3.695743730937464E-2</v>
      </c>
      <c r="N17" s="208">
        <f>'LATAM INCUMB'!F45</f>
        <v>4.2382298151586693E-2</v>
      </c>
      <c r="O17" s="208">
        <f>'LATAM INCUMB'!G45</f>
        <v>4.7703950361606302E-2</v>
      </c>
      <c r="P17" s="240">
        <f>'LATAM INCUMB'!H45</f>
        <v>0.19536350766533772</v>
      </c>
      <c r="S17" s="26"/>
      <c r="T17" s="26"/>
      <c r="U17" s="26"/>
      <c r="V17" s="26"/>
      <c r="W17" s="26"/>
      <c r="X17" s="26"/>
    </row>
    <row r="18" spans="2:24" ht="12.6" thickBot="1">
      <c r="B18" s="25" t="s">
        <v>484</v>
      </c>
      <c r="C18" s="209"/>
      <c r="D18" s="411">
        <f>D11+D12+D13-D14+D15-D16-D17</f>
        <v>2403.9129600078759</v>
      </c>
      <c r="E18" s="411">
        <f>E11+E12+E13-E14+E15-E16-E17</f>
        <v>2240.2963355877869</v>
      </c>
      <c r="F18" s="411">
        <f>F11+F12+F13-F14+F15-F16-F17</f>
        <v>2022.7188215890674</v>
      </c>
      <c r="G18" s="411">
        <f>G11+G12+G13-G14+G15-G16-G17</f>
        <v>1724.7285810839951</v>
      </c>
      <c r="H18" s="230">
        <f>IF(D18=0,"nm",IF(G18=0,"nm",(G18/D18)^(1/3)-1))</f>
        <v>-0.10477127852148782</v>
      </c>
      <c r="I18" s="214"/>
      <c r="J18" s="5" t="s">
        <v>33</v>
      </c>
      <c r="L18" s="208">
        <f>'LATAM INCUMB'!D46</f>
        <v>3.5182997947251902E-2</v>
      </c>
      <c r="M18" s="208">
        <f>'LATAM INCUMB'!E46</f>
        <v>5.3058049652406042E-2</v>
      </c>
      <c r="N18" s="208">
        <f>'LATAM INCUMB'!F46</f>
        <v>5.9454627023393818E-2</v>
      </c>
      <c r="O18" s="208">
        <f>'LATAM INCUMB'!G46</f>
        <v>6.6224057174592149E-2</v>
      </c>
      <c r="P18" s="240">
        <f>'LATAM INCUMB'!H46</f>
        <v>0.20721494761880854</v>
      </c>
      <c r="S18" s="26"/>
      <c r="T18" s="26"/>
      <c r="U18" s="26"/>
      <c r="V18" s="26"/>
      <c r="W18" s="26"/>
      <c r="X18" s="26"/>
    </row>
    <row r="19" spans="2:24" ht="12.6" thickTop="1">
      <c r="B19" s="25"/>
      <c r="C19" s="209"/>
      <c r="D19" s="189"/>
      <c r="E19" s="189"/>
      <c r="F19" s="189"/>
      <c r="G19" s="189"/>
      <c r="H19" s="230"/>
      <c r="I19" s="214"/>
      <c r="J19" s="5" t="s">
        <v>482</v>
      </c>
      <c r="L19" s="208">
        <f>'LATAM INCUMB'!D47</f>
        <v>8.4539784870657955E-2</v>
      </c>
      <c r="M19" s="208">
        <f>'LATAM INCUMB'!E47</f>
        <v>9.914030878953084E-2</v>
      </c>
      <c r="N19" s="208">
        <f>'LATAM INCUMB'!F47</f>
        <v>0.10846723038582608</v>
      </c>
      <c r="O19" s="208">
        <f>'LATAM INCUMB'!G47</f>
        <v>0.12199355499463595</v>
      </c>
      <c r="P19" s="240">
        <f>'LATAM INCUMB'!H47</f>
        <v>0.10462959461893884</v>
      </c>
      <c r="S19" s="26"/>
      <c r="T19" s="26"/>
      <c r="U19" s="26"/>
      <c r="V19" s="26"/>
      <c r="W19" s="26"/>
      <c r="X19" s="26"/>
    </row>
    <row r="20" spans="2:24">
      <c r="H20" s="231"/>
      <c r="I20" s="13"/>
      <c r="J20" s="5" t="s">
        <v>504</v>
      </c>
      <c r="L20" s="248">
        <f>'LATAM INCUMB'!D48</f>
        <v>0.31180804383016342</v>
      </c>
      <c r="M20" s="248">
        <f>'LATAM INCUMB'!E48</f>
        <v>0.37650511421699084</v>
      </c>
      <c r="N20" s="248">
        <f>'LATAM INCUMB'!F48</f>
        <v>0.39473276117407413</v>
      </c>
      <c r="O20" s="248">
        <f>'LATAM INCUMB'!G48</f>
        <v>0.39512751374163507</v>
      </c>
      <c r="P20" s="240" t="str">
        <f>'LATAM INCUMB'!H48</f>
        <v>nm</v>
      </c>
      <c r="S20" s="26"/>
      <c r="T20" s="26"/>
      <c r="U20" s="26"/>
      <c r="V20" s="26"/>
      <c r="W20" s="26"/>
      <c r="X20" s="26"/>
    </row>
    <row r="21" spans="2:24" ht="12.6" thickBot="1">
      <c r="B21" s="249" t="s">
        <v>768</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3091.4832763962822</v>
      </c>
      <c r="D23" s="416">
        <v>2929.740854143291</v>
      </c>
      <c r="E23" s="416">
        <v>2855.5076142055195</v>
      </c>
      <c r="F23" s="416">
        <v>2813.6934830488658</v>
      </c>
      <c r="G23" s="416">
        <v>2811.6931776419942</v>
      </c>
      <c r="H23" s="233">
        <f t="shared" ref="H23:H32" si="3">IF(D23=0,"nm",IF(G23=0,"nm",(G23/D23)^(1/3)-1))</f>
        <v>-1.3615498140087889E-2</v>
      </c>
      <c r="I23" s="207"/>
      <c r="J23" s="249" t="s">
        <v>7</v>
      </c>
      <c r="K23" s="249"/>
      <c r="L23" s="219" t="str">
        <f>D21</f>
        <v>2025E</v>
      </c>
      <c r="M23" s="219" t="str">
        <f t="shared" ref="M23:P23" si="4">E21</f>
        <v>2026E</v>
      </c>
      <c r="N23" s="219" t="str">
        <f t="shared" si="4"/>
        <v>2027E</v>
      </c>
      <c r="O23" s="219" t="str">
        <f t="shared" si="4"/>
        <v>2028E</v>
      </c>
      <c r="P23" s="219" t="str">
        <f t="shared" si="4"/>
        <v>2025-28</v>
      </c>
      <c r="S23" s="26"/>
      <c r="T23" s="26"/>
      <c r="U23" s="26"/>
      <c r="V23" s="26"/>
      <c r="W23" s="26"/>
      <c r="X23" s="26"/>
    </row>
    <row r="24" spans="2:24" ht="12.6" thickTop="1">
      <c r="B24" s="5" t="s">
        <v>397</v>
      </c>
      <c r="C24" s="423">
        <v>878.48653372527201</v>
      </c>
      <c r="D24" s="416">
        <v>1032.6849341323184</v>
      </c>
      <c r="E24" s="416">
        <v>1016.2264231050739</v>
      </c>
      <c r="F24" s="416">
        <v>1011.4948731136506</v>
      </c>
      <c r="G24" s="416">
        <v>1021.5322050686157</v>
      </c>
      <c r="H24" s="233">
        <f t="shared" si="3"/>
        <v>-3.6129511168252471E-3</v>
      </c>
      <c r="I24" s="209"/>
      <c r="J24" s="13"/>
      <c r="K24" s="13"/>
      <c r="L24" s="13"/>
      <c r="M24" s="13"/>
      <c r="N24" s="13"/>
      <c r="O24" s="208"/>
      <c r="S24" s="26"/>
      <c r="T24" s="26"/>
      <c r="U24" s="26"/>
      <c r="V24" s="26"/>
      <c r="W24" s="26" t="s">
        <v>561</v>
      </c>
      <c r="X24" s="26" t="s">
        <v>215</v>
      </c>
    </row>
    <row r="25" spans="2:24">
      <c r="B25" s="5" t="s">
        <v>157</v>
      </c>
      <c r="C25" s="422">
        <v>430.50945419877644</v>
      </c>
      <c r="D25" s="416">
        <v>457.47626699827077</v>
      </c>
      <c r="E25" s="416">
        <v>449.33195994589556</v>
      </c>
      <c r="F25" s="416">
        <v>460.66390095831076</v>
      </c>
      <c r="G25" s="416">
        <v>480.16381309380409</v>
      </c>
      <c r="H25" s="233">
        <f t="shared" si="3"/>
        <v>1.6264962481800982E-2</v>
      </c>
      <c r="I25" s="208"/>
      <c r="J25" s="207" t="s">
        <v>8</v>
      </c>
      <c r="K25" s="207"/>
      <c r="L25" s="252">
        <v>-95.829933447545613</v>
      </c>
      <c r="M25" s="252">
        <v>-95.829933447545613</v>
      </c>
      <c r="N25" s="252">
        <v>-95.829933447545613</v>
      </c>
      <c r="O25" s="252">
        <v>-95.829933447545613</v>
      </c>
      <c r="P25" s="233">
        <f>IF(L25=0,"nm",IF(O25=0,"nm",(O25/L25)^(1/3)-1))</f>
        <v>0</v>
      </c>
      <c r="S25" s="26"/>
      <c r="T25" s="26"/>
      <c r="U25" s="26"/>
      <c r="V25" s="113" t="s">
        <v>225</v>
      </c>
      <c r="W25" s="242">
        <f>D37/L9</f>
        <v>0.38906733806479721</v>
      </c>
      <c r="X25" s="242">
        <v>1</v>
      </c>
    </row>
    <row r="26" spans="2:24">
      <c r="B26" s="5" t="s">
        <v>487</v>
      </c>
      <c r="C26" s="422">
        <v>563.4000091997234</v>
      </c>
      <c r="D26" s="416">
        <v>329.3829122387549</v>
      </c>
      <c r="E26" s="416">
        <v>323.51901116104477</v>
      </c>
      <c r="F26" s="416">
        <v>331.67800868998376</v>
      </c>
      <c r="G26" s="416">
        <v>345.71794542753895</v>
      </c>
      <c r="H26" s="233">
        <f t="shared" si="3"/>
        <v>1.6264962481801204E-2</v>
      </c>
      <c r="I26" s="209"/>
      <c r="J26" s="209" t="s">
        <v>9</v>
      </c>
      <c r="K26" s="209"/>
      <c r="L26" s="235">
        <f>D11+L25</f>
        <v>1652.9884511678388</v>
      </c>
      <c r="M26" s="235">
        <f>E11+M25</f>
        <v>1652.9884511678388</v>
      </c>
      <c r="N26" s="235">
        <f>F11+N25</f>
        <v>1652.9884511678388</v>
      </c>
      <c r="O26" s="235">
        <f>G11+O25</f>
        <v>1652.9884511678388</v>
      </c>
      <c r="P26" s="233">
        <f>IF(L26=0,"nm",IF(O26=0,"nm",(O26/L26)^(1/3)-1))</f>
        <v>0</v>
      </c>
      <c r="Q26" s="5"/>
      <c r="S26" s="26"/>
      <c r="T26" s="26"/>
      <c r="U26" s="26"/>
      <c r="V26" s="113" t="s">
        <v>158</v>
      </c>
      <c r="W26" s="242">
        <f t="shared" ref="W26:W33" si="5">D38/L10</f>
        <v>0.43695562133762805</v>
      </c>
      <c r="X26" s="242">
        <v>1</v>
      </c>
    </row>
    <row r="27" spans="2:24">
      <c r="B27" s="5" t="s">
        <v>488</v>
      </c>
      <c r="C27" s="423">
        <v>8715.2820370223253</v>
      </c>
      <c r="D27" s="416">
        <v>8378.1360716122963</v>
      </c>
      <c r="E27" s="416">
        <v>8338.1977296601035</v>
      </c>
      <c r="F27" s="416">
        <v>8319.19138210239</v>
      </c>
      <c r="G27" s="416">
        <v>8337.2986469171792</v>
      </c>
      <c r="H27" s="233">
        <f t="shared" si="3"/>
        <v>-1.6274087573872054E-3</v>
      </c>
      <c r="I27" s="209"/>
      <c r="J27" s="208"/>
      <c r="K27" s="208"/>
      <c r="L27" s="208"/>
      <c r="M27" s="208"/>
      <c r="N27" s="208"/>
      <c r="O27" s="208"/>
      <c r="Q27" s="25"/>
      <c r="S27" s="26"/>
      <c r="T27" s="26"/>
      <c r="U27" s="26"/>
      <c r="V27" s="113" t="s">
        <v>159</v>
      </c>
      <c r="W27" s="242">
        <f t="shared" si="5"/>
        <v>0.63640453887887904</v>
      </c>
      <c r="X27" s="242">
        <v>1</v>
      </c>
    </row>
    <row r="28" spans="2:24" ht="12.6" thickBot="1">
      <c r="B28" s="5" t="s">
        <v>492</v>
      </c>
      <c r="C28" s="422">
        <v>3161.2110212918092</v>
      </c>
      <c r="D28" s="416">
        <v>3055.243772775535</v>
      </c>
      <c r="E28" s="416">
        <v>2950.3605273035546</v>
      </c>
      <c r="F28" s="416">
        <v>2832.4118091439095</v>
      </c>
      <c r="G28" s="416">
        <v>2708.4502570107325</v>
      </c>
      <c r="H28" s="233">
        <f t="shared" si="3"/>
        <v>-3.9365163029987826E-2</v>
      </c>
      <c r="I28" s="208"/>
      <c r="J28" s="249" t="s">
        <v>1073</v>
      </c>
      <c r="K28" s="249"/>
      <c r="L28" s="249"/>
      <c r="M28" s="249"/>
      <c r="N28" s="220"/>
      <c r="O28" s="220"/>
      <c r="P28" s="220"/>
      <c r="Q28" s="5"/>
      <c r="S28" s="26"/>
      <c r="T28" s="26"/>
      <c r="U28" s="26"/>
      <c r="V28" s="113" t="s">
        <v>381</v>
      </c>
      <c r="W28" s="242">
        <f t="shared" si="5"/>
        <v>0.61263931740838973</v>
      </c>
      <c r="X28" s="242">
        <v>1</v>
      </c>
    </row>
    <row r="29" spans="2:24" ht="12.6" thickTop="1">
      <c r="B29" s="5" t="s">
        <v>489</v>
      </c>
      <c r="C29" s="422">
        <v>80.499496504329741</v>
      </c>
      <c r="D29" s="416">
        <v>188.27704919509017</v>
      </c>
      <c r="E29" s="416">
        <v>175.46256469365119</v>
      </c>
      <c r="F29" s="416">
        <v>240.02243748718354</v>
      </c>
      <c r="G29" s="416">
        <v>322.44356182796139</v>
      </c>
      <c r="H29" s="233">
        <f t="shared" si="3"/>
        <v>0.19642489795527496</v>
      </c>
      <c r="I29" s="212"/>
      <c r="J29" s="209"/>
      <c r="K29" s="209"/>
      <c r="L29" s="209"/>
      <c r="M29" s="209"/>
      <c r="N29" s="209"/>
      <c r="O29" s="211"/>
      <c r="Q29" s="5"/>
      <c r="S29" s="26"/>
      <c r="T29" s="26"/>
      <c r="U29" s="26"/>
      <c r="V29" s="113" t="s">
        <v>434</v>
      </c>
      <c r="W29" s="242">
        <f t="shared" si="5"/>
        <v>0.16769419155899551</v>
      </c>
      <c r="X29" s="242">
        <v>1</v>
      </c>
    </row>
    <row r="30" spans="2:24">
      <c r="B30" s="5" t="s">
        <v>490</v>
      </c>
      <c r="C30" s="423">
        <v>-413.24178716135725</v>
      </c>
      <c r="D30" s="416">
        <v>-13.674895114240071</v>
      </c>
      <c r="E30" s="416">
        <v>-7.9750018878128399</v>
      </c>
      <c r="F30" s="416">
        <v>10.438359223034309</v>
      </c>
      <c r="G30" s="416">
        <v>55.502892020226852</v>
      </c>
      <c r="H30" s="233">
        <f t="shared" si="3"/>
        <v>-2.5951341136471018</v>
      </c>
      <c r="I30" s="214"/>
      <c r="J30" s="208"/>
      <c r="K30" s="208"/>
      <c r="L30" s="208"/>
      <c r="M30" s="208"/>
      <c r="N30" s="208"/>
      <c r="O30" s="5"/>
      <c r="Q30" s="5"/>
      <c r="S30" s="26"/>
      <c r="T30" s="26"/>
      <c r="U30" s="26"/>
      <c r="V30" s="113" t="s">
        <v>493</v>
      </c>
      <c r="W30" s="242">
        <f t="shared" si="5"/>
        <v>0.23900577805657799</v>
      </c>
      <c r="X30" s="242">
        <v>1</v>
      </c>
    </row>
    <row r="31" spans="2:24">
      <c r="B31" s="5" t="s">
        <v>491</v>
      </c>
      <c r="C31" s="423">
        <v>50.250090729405159</v>
      </c>
      <c r="D31" s="416">
        <v>50.250090729405159</v>
      </c>
      <c r="E31" s="416">
        <v>50.250090729405159</v>
      </c>
      <c r="F31" s="416">
        <v>50.250090729405159</v>
      </c>
      <c r="G31" s="416">
        <v>50.250090729405159</v>
      </c>
      <c r="H31" s="233">
        <f t="shared" si="3"/>
        <v>0</v>
      </c>
      <c r="I31" s="214"/>
      <c r="J31" s="212"/>
      <c r="K31" s="212"/>
      <c r="L31" s="212"/>
      <c r="M31" s="212"/>
      <c r="N31" s="212"/>
      <c r="O31" s="5"/>
      <c r="Q31" s="5"/>
      <c r="S31" s="26"/>
      <c r="T31" s="26"/>
      <c r="U31" s="26"/>
      <c r="V31" s="113" t="s">
        <v>390</v>
      </c>
      <c r="W31" s="242">
        <f t="shared" si="5"/>
        <v>0.74222157534777933</v>
      </c>
      <c r="X31" s="242">
        <v>1</v>
      </c>
    </row>
    <row r="32" spans="2:24">
      <c r="B32" s="5" t="s">
        <v>506</v>
      </c>
      <c r="C32" s="424">
        <v>0</v>
      </c>
      <c r="D32" s="416">
        <v>0</v>
      </c>
      <c r="E32" s="416">
        <v>0</v>
      </c>
      <c r="F32" s="416">
        <v>0</v>
      </c>
      <c r="G32" s="416">
        <v>0</v>
      </c>
      <c r="H32" s="233" t="str">
        <f t="shared" si="3"/>
        <v>nm</v>
      </c>
      <c r="I32" s="214"/>
      <c r="J32" s="214"/>
      <c r="K32" s="214"/>
      <c r="L32" s="214"/>
      <c r="M32" s="214"/>
      <c r="N32" s="214"/>
      <c r="O32" s="211"/>
      <c r="Q32" s="5"/>
      <c r="S32" s="26"/>
      <c r="T32" s="26"/>
      <c r="U32" s="26"/>
      <c r="V32" s="113" t="s">
        <v>437</v>
      </c>
      <c r="W32" s="242">
        <f t="shared" si="5"/>
        <v>-7.9943755385278612</v>
      </c>
      <c r="X32" s="242">
        <v>1</v>
      </c>
    </row>
    <row r="33" spans="2:24">
      <c r="B33" s="5" t="s">
        <v>3</v>
      </c>
      <c r="C33" s="423">
        <v>233.13592396917457</v>
      </c>
      <c r="D33" s="416">
        <v>218.6525078052548</v>
      </c>
      <c r="E33" s="416">
        <v>227.58945089902599</v>
      </c>
      <c r="F33" s="416">
        <v>219.40425434358741</v>
      </c>
      <c r="G33" s="416">
        <v>206.94191971368122</v>
      </c>
      <c r="H33" s="233">
        <f>IF(D33=0,"nm",IF(G33=0,"nm",(G33/D33)^(1/3)-1))</f>
        <v>-1.8181215503196735E-2</v>
      </c>
      <c r="I33" s="5"/>
      <c r="J33" s="214"/>
      <c r="K33" s="214"/>
      <c r="L33" s="214"/>
      <c r="M33" s="214"/>
      <c r="N33" s="214"/>
      <c r="O33" s="211"/>
      <c r="Q33" s="5"/>
      <c r="S33" s="26"/>
      <c r="T33" s="26"/>
      <c r="U33" s="26"/>
      <c r="V33" s="113" t="s">
        <v>481</v>
      </c>
      <c r="W33" s="242">
        <f t="shared" si="5"/>
        <v>1.100694773852658</v>
      </c>
      <c r="X33" s="242">
        <v>1</v>
      </c>
    </row>
    <row r="34" spans="2:24">
      <c r="D34" s="5"/>
      <c r="E34" s="5"/>
      <c r="F34" s="5"/>
      <c r="G34" s="5"/>
      <c r="I34" s="33"/>
      <c r="J34" s="214"/>
      <c r="K34" s="214"/>
      <c r="L34" s="214"/>
      <c r="M34" s="214"/>
      <c r="N34" s="214"/>
      <c r="O34" s="211"/>
      <c r="Q34" s="5"/>
      <c r="S34" s="26"/>
      <c r="T34" s="26"/>
      <c r="U34" s="26"/>
      <c r="V34" s="113" t="s">
        <v>482</v>
      </c>
      <c r="W34" s="242">
        <f>D47/L19</f>
        <v>1.3473065634496473</v>
      </c>
      <c r="X34" s="242">
        <v>1</v>
      </c>
    </row>
    <row r="35" spans="2:24" ht="12.6" thickBot="1">
      <c r="B35" s="249" t="s">
        <v>564</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0.82052068073127349</v>
      </c>
      <c r="E37" s="406">
        <f t="shared" ref="E37:G41" si="7">E$18/E23</f>
        <v>0.78455274447275414</v>
      </c>
      <c r="F37" s="406">
        <f t="shared" si="7"/>
        <v>0.71888385631731533</v>
      </c>
      <c r="G37" s="406">
        <f t="shared" si="7"/>
        <v>0.61341279866476262</v>
      </c>
      <c r="H37" s="13">
        <f t="shared" ref="H37:H45" si="8">H23</f>
        <v>-1.3615498140087889E-2</v>
      </c>
      <c r="I37" s="5"/>
      <c r="J37" s="217"/>
      <c r="K37" s="217"/>
      <c r="L37" s="217"/>
      <c r="M37" s="217"/>
      <c r="N37" s="217"/>
      <c r="O37" s="14"/>
      <c r="Q37" s="5"/>
      <c r="R37" s="5"/>
      <c r="S37" s="26"/>
      <c r="T37" s="26"/>
      <c r="U37" s="26"/>
      <c r="V37" s="26"/>
      <c r="W37" s="26"/>
      <c r="X37" s="26"/>
    </row>
    <row r="38" spans="2:24">
      <c r="B38" s="5" t="s">
        <v>158</v>
      </c>
      <c r="C38" s="207"/>
      <c r="D38" s="406">
        <f>D$18/D24</f>
        <v>2.3278280534107814</v>
      </c>
      <c r="E38" s="406">
        <f t="shared" si="7"/>
        <v>2.2045247837018196</v>
      </c>
      <c r="F38" s="406">
        <f t="shared" si="7"/>
        <v>1.9997321542150779</v>
      </c>
      <c r="G38" s="406">
        <f t="shared" si="7"/>
        <v>1.6883741623869275</v>
      </c>
      <c r="H38" s="13">
        <f t="shared" si="8"/>
        <v>-3.6129511168252471E-3</v>
      </c>
      <c r="I38" s="217"/>
      <c r="J38" s="13"/>
      <c r="K38" s="13"/>
      <c r="L38" s="13"/>
      <c r="M38" s="13"/>
      <c r="N38" s="13"/>
      <c r="O38" s="5"/>
      <c r="Q38" s="5"/>
      <c r="R38" s="5"/>
      <c r="S38" s="26"/>
      <c r="T38" s="26"/>
      <c r="U38" s="26"/>
      <c r="V38" s="26"/>
      <c r="W38" s="26"/>
      <c r="X38" s="26"/>
    </row>
    <row r="39" spans="2:24">
      <c r="B39" s="5" t="s">
        <v>159</v>
      </c>
      <c r="C39" s="207"/>
      <c r="D39" s="406">
        <f>D$18/D25</f>
        <v>5.2547271485385325</v>
      </c>
      <c r="E39" s="406">
        <f t="shared" si="7"/>
        <v>4.9858379445289023</v>
      </c>
      <c r="F39" s="406">
        <f t="shared" si="7"/>
        <v>4.3908776385152866</v>
      </c>
      <c r="G39" s="406">
        <f t="shared" si="7"/>
        <v>3.5919586900378406</v>
      </c>
      <c r="H39" s="13">
        <f t="shared" si="8"/>
        <v>1.6264962481800982E-2</v>
      </c>
      <c r="I39" s="13"/>
      <c r="J39" s="5"/>
      <c r="K39" s="5"/>
      <c r="L39" s="5"/>
      <c r="M39" s="5"/>
      <c r="N39" s="5"/>
      <c r="O39" s="5"/>
      <c r="Q39" s="5"/>
      <c r="R39" s="5"/>
      <c r="S39" s="26"/>
      <c r="T39" s="26"/>
      <c r="U39" s="26"/>
      <c r="V39" s="26"/>
      <c r="W39" s="26"/>
      <c r="X39" s="26"/>
    </row>
    <row r="40" spans="2:24">
      <c r="B40" s="5" t="s">
        <v>381</v>
      </c>
      <c r="C40" s="207"/>
      <c r="D40" s="406">
        <f>D$18/D26</f>
        <v>7.2982321507479639</v>
      </c>
      <c r="E40" s="406">
        <f t="shared" si="7"/>
        <v>6.924774922956809</v>
      </c>
      <c r="F40" s="406">
        <f t="shared" si="7"/>
        <v>6.0984411646045649</v>
      </c>
      <c r="G40" s="406">
        <f t="shared" si="7"/>
        <v>4.9888315139414452</v>
      </c>
      <c r="H40" s="13">
        <f t="shared" si="8"/>
        <v>1.6264962481801204E-2</v>
      </c>
      <c r="I40" s="5"/>
      <c r="J40" s="217"/>
      <c r="K40" s="217"/>
      <c r="L40" s="217"/>
      <c r="M40" s="217"/>
      <c r="N40" s="217"/>
      <c r="O40" s="14"/>
      <c r="Q40" s="5"/>
      <c r="R40" s="5"/>
      <c r="S40" s="26"/>
      <c r="T40" s="26"/>
      <c r="U40" s="26"/>
      <c r="V40" s="26"/>
      <c r="W40" s="242"/>
      <c r="X40" s="242"/>
    </row>
    <row r="41" spans="2:24">
      <c r="B41" s="5" t="s">
        <v>434</v>
      </c>
      <c r="C41" s="207"/>
      <c r="D41" s="406">
        <f>D$18/D27</f>
        <v>0.28692694168015159</v>
      </c>
      <c r="E41" s="406">
        <f t="shared" si="7"/>
        <v>0.26867872509412294</v>
      </c>
      <c r="F41" s="406">
        <f t="shared" si="7"/>
        <v>0.24313887356175892</v>
      </c>
      <c r="G41" s="406">
        <f t="shared" si="7"/>
        <v>0.20686899367839429</v>
      </c>
      <c r="H41" s="13">
        <f t="shared" si="8"/>
        <v>-1.6274087573872054E-3</v>
      </c>
      <c r="I41" s="207"/>
      <c r="J41" s="13"/>
      <c r="K41" s="13"/>
      <c r="L41" s="13"/>
      <c r="M41" s="13"/>
      <c r="N41" s="13"/>
      <c r="O41" s="5"/>
      <c r="Q41" s="5"/>
      <c r="R41" s="5"/>
      <c r="S41" s="26"/>
      <c r="T41" s="26"/>
      <c r="U41" s="26"/>
      <c r="V41" s="26"/>
      <c r="W41" s="242"/>
      <c r="X41" s="242"/>
    </row>
    <row r="42" spans="2:24">
      <c r="B42" s="5" t="s">
        <v>493</v>
      </c>
      <c r="C42" s="207"/>
      <c r="D42" s="406">
        <f>D18/D28</f>
        <v>0.7868154356220296</v>
      </c>
      <c r="E42" s="406">
        <f>E18/E28</f>
        <v>0.75932968695025149</v>
      </c>
      <c r="F42" s="406">
        <f>F18/F28</f>
        <v>0.71413302792309352</v>
      </c>
      <c r="G42" s="406">
        <f>G18/G28</f>
        <v>0.63679536909330092</v>
      </c>
      <c r="H42" s="13">
        <f t="shared" si="8"/>
        <v>-3.9365163029987826E-2</v>
      </c>
      <c r="I42" s="208"/>
      <c r="J42" s="5"/>
      <c r="K42" s="5"/>
      <c r="L42" s="5"/>
      <c r="M42" s="5"/>
      <c r="N42" s="5"/>
      <c r="O42" s="5"/>
      <c r="Q42" s="5"/>
      <c r="R42" s="5"/>
      <c r="S42" s="26"/>
      <c r="T42" s="26"/>
      <c r="U42" s="26"/>
      <c r="V42" s="26"/>
      <c r="W42" s="242"/>
      <c r="X42" s="242"/>
    </row>
    <row r="43" spans="2:24">
      <c r="B43" s="5" t="s">
        <v>390</v>
      </c>
      <c r="C43" s="207"/>
      <c r="D43" s="406">
        <f>L26/D29</f>
        <v>8.7795536324506234</v>
      </c>
      <c r="E43" s="406">
        <f>M26/E29</f>
        <v>9.4207471209250446</v>
      </c>
      <c r="F43" s="406">
        <f>N26/F29</f>
        <v>6.8868080354200361</v>
      </c>
      <c r="G43" s="406">
        <f>O26/G29</f>
        <v>5.1264427231758001</v>
      </c>
      <c r="H43" s="13">
        <f t="shared" si="8"/>
        <v>0.19642489795527496</v>
      </c>
      <c r="I43" s="207"/>
      <c r="J43" s="207"/>
      <c r="K43" s="207"/>
      <c r="L43" s="207"/>
      <c r="M43" s="207"/>
      <c r="N43" s="207"/>
      <c r="O43" s="14"/>
      <c r="Q43" s="5"/>
      <c r="R43" s="5"/>
      <c r="S43" s="26"/>
      <c r="T43" s="26"/>
      <c r="U43" s="26"/>
      <c r="V43" s="26"/>
      <c r="W43" s="242"/>
      <c r="X43" s="242"/>
    </row>
    <row r="44" spans="2:24">
      <c r="B44" s="5" t="s">
        <v>437</v>
      </c>
      <c r="C44" s="53"/>
      <c r="D44" s="406">
        <f>D11/D30</f>
        <v>-127.88532343434856</v>
      </c>
      <c r="E44" s="406">
        <f>E11/E30</f>
        <v>-219.28751982966634</v>
      </c>
      <c r="F44" s="406">
        <f>F11/F30</f>
        <v>167.5376701691076</v>
      </c>
      <c r="G44" s="406">
        <f>G11/G30</f>
        <v>31.508599299259302</v>
      </c>
      <c r="H44" s="13">
        <f t="shared" si="8"/>
        <v>-2.5951341136471018</v>
      </c>
      <c r="I44" s="207"/>
      <c r="J44" s="208"/>
      <c r="K44" s="208"/>
      <c r="L44" s="208"/>
      <c r="M44" s="208"/>
      <c r="N44" s="208"/>
      <c r="O44" s="208"/>
      <c r="Q44" s="5"/>
      <c r="R44" s="5"/>
      <c r="S44" s="26"/>
      <c r="T44" s="26"/>
      <c r="U44" s="26"/>
      <c r="V44" s="26"/>
      <c r="W44" s="255"/>
      <c r="X44" s="255"/>
    </row>
    <row r="45" spans="2:24">
      <c r="B45" s="5" t="s">
        <v>481</v>
      </c>
      <c r="C45" s="207"/>
      <c r="D45" s="208">
        <f>D31/D11</f>
        <v>2.8733738832724245E-2</v>
      </c>
      <c r="E45" s="208">
        <f>E31/E11</f>
        <v>2.8733738832724245E-2</v>
      </c>
      <c r="F45" s="208">
        <f>F31/F11</f>
        <v>2.8733738832724245E-2</v>
      </c>
      <c r="G45" s="208">
        <f>G31/G11</f>
        <v>2.8733738832724245E-2</v>
      </c>
      <c r="H45" s="13">
        <f t="shared" si="8"/>
        <v>0</v>
      </c>
      <c r="I45" s="208"/>
      <c r="J45" s="207"/>
      <c r="K45" s="207"/>
      <c r="L45" s="207"/>
      <c r="M45" s="207"/>
      <c r="N45" s="207"/>
      <c r="O45" s="208"/>
      <c r="Q45" s="5"/>
      <c r="R45" s="5"/>
      <c r="S45" s="26"/>
      <c r="T45" s="26"/>
      <c r="U45" s="26"/>
      <c r="V45" s="26"/>
      <c r="W45" s="26"/>
      <c r="X45" s="26"/>
    </row>
    <row r="46" spans="2:24">
      <c r="B46" s="5" t="s">
        <v>505</v>
      </c>
      <c r="C46" s="207"/>
      <c r="D46" s="208">
        <f>(D31+D32)/D11</f>
        <v>2.8733738832724245E-2</v>
      </c>
      <c r="E46" s="208">
        <f>(E31+E32)/E11</f>
        <v>2.8733738832724245E-2</v>
      </c>
      <c r="F46" s="208">
        <f>(F31+F32)/F11</f>
        <v>2.8733738832724245E-2</v>
      </c>
      <c r="G46" s="208">
        <f>(G31+G32)/G11</f>
        <v>2.8733738832724245E-2</v>
      </c>
      <c r="H46" s="233">
        <f>((G31+G32)/(D31+D32))^(1/3)-1</f>
        <v>0</v>
      </c>
      <c r="I46" s="207"/>
      <c r="J46" s="207"/>
      <c r="K46" s="207"/>
      <c r="L46" s="207"/>
      <c r="M46" s="207"/>
      <c r="N46" s="207"/>
      <c r="O46" s="14"/>
      <c r="Q46" s="5"/>
      <c r="R46" s="5"/>
      <c r="S46" s="26"/>
      <c r="T46" s="26"/>
      <c r="U46" s="26"/>
      <c r="V46" s="26"/>
      <c r="W46" s="26"/>
      <c r="X46" s="26"/>
    </row>
    <row r="47" spans="2:24">
      <c r="B47" s="5" t="s">
        <v>482</v>
      </c>
      <c r="C47" s="5"/>
      <c r="D47" s="208">
        <f>1/D43</f>
        <v>0.11390100702885865</v>
      </c>
      <c r="E47" s="208">
        <f>1/E43</f>
        <v>0.10614869364010779</v>
      </c>
      <c r="F47" s="208">
        <f>1/F43</f>
        <v>0.14520515089963715</v>
      </c>
      <c r="G47" s="208">
        <f>1/G43</f>
        <v>0.19506703849028983</v>
      </c>
      <c r="H47" s="13">
        <f>H29</f>
        <v>0.19642489795527496</v>
      </c>
      <c r="I47" s="13"/>
      <c r="J47" s="208"/>
      <c r="K47" s="208"/>
      <c r="L47" s="208"/>
      <c r="M47" s="208"/>
      <c r="N47" s="208"/>
      <c r="O47" s="208"/>
      <c r="Q47" s="5"/>
      <c r="R47" s="5"/>
      <c r="S47" s="26"/>
      <c r="T47" s="26"/>
      <c r="U47" s="26"/>
      <c r="V47" s="26"/>
      <c r="W47" s="26"/>
      <c r="X47" s="26"/>
    </row>
    <row r="48" spans="2:24">
      <c r="B48" s="5" t="s">
        <v>518</v>
      </c>
      <c r="C48" s="5"/>
      <c r="D48" s="248">
        <f>D31/D29</f>
        <v>0.26689440345613596</v>
      </c>
      <c r="E48" s="248">
        <f>E31/E29</f>
        <v>0.28638639140570693</v>
      </c>
      <c r="F48" s="248">
        <f>F31/F29</f>
        <v>0.20935580546334698</v>
      </c>
      <c r="G48" s="248">
        <f>G31/G29</f>
        <v>0.1558415074084063</v>
      </c>
      <c r="H48" s="233" t="s">
        <v>507</v>
      </c>
      <c r="I48" s="207"/>
      <c r="J48" s="207"/>
      <c r="K48" s="207"/>
      <c r="L48" s="207"/>
      <c r="M48" s="207"/>
      <c r="N48" s="207"/>
      <c r="O48" s="208"/>
      <c r="Q48" s="5"/>
      <c r="R48" s="5"/>
      <c r="S48" s="26"/>
      <c r="T48" s="26"/>
      <c r="U48" s="26"/>
      <c r="V48" s="26"/>
      <c r="W48" s="26"/>
      <c r="X48" s="26"/>
    </row>
  </sheetData>
  <pageMargins left="0.75" right="0.75" top="1" bottom="1" header="0.5" footer="0.5"/>
  <pageSetup scale="71"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23">
    <pageSetUpPr fitToPage="1"/>
  </sheetPr>
  <dimension ref="B1:AR49"/>
  <sheetViews>
    <sheetView showGridLines="0" zoomScale="80" zoomScaleNormal="80" zoomScaleSheetLayoutView="7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741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1095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742</v>
      </c>
      <c r="C9" s="221">
        <f>Prices!C35</f>
        <v>26.68</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172.837311</v>
      </c>
      <c r="E10" s="408">
        <v>172.837311</v>
      </c>
      <c r="F10" s="408">
        <v>172.837311</v>
      </c>
      <c r="G10" s="408">
        <v>172.837311</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4611.2994574799995</v>
      </c>
      <c r="E11" s="409">
        <f>$C$9*E10</f>
        <v>4611.2994574799995</v>
      </c>
      <c r="F11" s="409">
        <f>$C$9*F10</f>
        <v>4611.2994574799995</v>
      </c>
      <c r="G11" s="409">
        <f>$C$9*G10</f>
        <v>4611.2994574799995</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3199.9859999999999</v>
      </c>
      <c r="E12" s="410">
        <v>3058.0096531040081</v>
      </c>
      <c r="F12" s="410">
        <v>2920.6381137814951</v>
      </c>
      <c r="G12" s="410">
        <v>2702.8677526152137</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1243.7868636321816</v>
      </c>
      <c r="E13" s="410">
        <v>1260.8507966319057</v>
      </c>
      <c r="F13" s="410">
        <v>1255.5634092096116</v>
      </c>
      <c r="G13" s="410">
        <v>1248.644394217446</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180.85300000000001</v>
      </c>
      <c r="E14" s="410">
        <v>180.85300000000001</v>
      </c>
      <c r="F14" s="410">
        <v>180.85300000000001</v>
      </c>
      <c r="G14" s="410">
        <v>180.85300000000001</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2331.5577295108578</v>
      </c>
      <c r="E15" s="410">
        <v>2331.5577295108578</v>
      </c>
      <c r="F15" s="410">
        <v>2331.5577295108578</v>
      </c>
      <c r="G15" s="410">
        <v>2331.5577295108578</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69.134924400000003</v>
      </c>
      <c r="F16" s="410">
        <v>138.26984880000001</v>
      </c>
      <c r="G16" s="410">
        <v>207.40477320000002</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0</v>
      </c>
      <c r="E17" s="410">
        <v>0</v>
      </c>
      <c r="F17" s="410">
        <v>0</v>
      </c>
      <c r="G17" s="410">
        <v>0</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11205.777050623039</v>
      </c>
      <c r="E18" s="411">
        <f>E11+E12+E13-E14+E15-E16-E17</f>
        <v>11011.729712326773</v>
      </c>
      <c r="F18" s="411">
        <f>F11+F12+F13-F14+F15-F16-F17</f>
        <v>10799.935861181964</v>
      </c>
      <c r="G18" s="411">
        <f>G11+G12+G13-G14+G15-G16-G17</f>
        <v>10506.111560623518</v>
      </c>
      <c r="H18" s="230">
        <f>IF(D18=0,"nm",IF(G18=0,"nm",(G18/D18)^(1/3)-1))</f>
        <v>-2.1261489527401256E-2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765</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6329.1859999999997</v>
      </c>
      <c r="D23" s="410">
        <v>6119.9</v>
      </c>
      <c r="E23" s="410">
        <v>6249.8802944119861</v>
      </c>
      <c r="F23" s="410">
        <v>6322.5824468544706</v>
      </c>
      <c r="G23" s="410">
        <v>6412.0667016189345</v>
      </c>
      <c r="H23" s="233">
        <f>IF(D23=0,"nm",IF(G23=0,"nm",(G23/D23)^(1/3)-1))</f>
        <v>1.5666750218252812E-2</v>
      </c>
      <c r="I23" s="207"/>
      <c r="J23" s="249" t="s">
        <v>7</v>
      </c>
      <c r="K23" s="249"/>
      <c r="L23" s="219" t="str">
        <f>D21</f>
        <v>2025E</v>
      </c>
      <c r="M23" s="219" t="str">
        <f t="shared" ref="M23:P23" si="3">E21</f>
        <v>2026E</v>
      </c>
      <c r="N23" s="219" t="str">
        <f t="shared" si="3"/>
        <v>2027E</v>
      </c>
      <c r="O23" s="219" t="str">
        <f t="shared" si="3"/>
        <v>2028E</v>
      </c>
      <c r="P23" s="219" t="str">
        <f t="shared" si="3"/>
        <v>2025-28</v>
      </c>
      <c r="S23" s="72"/>
      <c r="T23" s="26"/>
      <c r="U23" s="26"/>
      <c r="V23" s="26"/>
      <c r="W23" s="26"/>
      <c r="X23" s="26"/>
    </row>
    <row r="24" spans="2:24" ht="12.6" thickTop="1">
      <c r="B24" s="5" t="s">
        <v>397</v>
      </c>
      <c r="C24" s="423">
        <v>1123.5619999999999</v>
      </c>
      <c r="D24" s="410">
        <v>1076.056</v>
      </c>
      <c r="E24" s="410">
        <v>1199.4199440061539</v>
      </c>
      <c r="F24" s="410">
        <v>1310.9797915646195</v>
      </c>
      <c r="G24" s="410">
        <v>1421.4596406388296</v>
      </c>
      <c r="H24" s="233">
        <f>IF(D24=0,"nm",IF(G24=0,"nm",(G24/D24)^(1/3)-1))</f>
        <v>9.7235591687371947E-2</v>
      </c>
      <c r="I24" s="209"/>
      <c r="J24" s="13"/>
      <c r="K24" s="13"/>
      <c r="L24" s="13"/>
      <c r="M24" s="13"/>
      <c r="N24" s="13"/>
      <c r="O24" s="208"/>
      <c r="S24" s="72"/>
      <c r="T24" s="26"/>
      <c r="U24" s="26"/>
      <c r="V24" s="26"/>
      <c r="W24" s="26" t="s">
        <v>741</v>
      </c>
      <c r="X24" s="26" t="s">
        <v>1096</v>
      </c>
    </row>
    <row r="25" spans="2:24">
      <c r="B25" s="5" t="s">
        <v>157</v>
      </c>
      <c r="C25" s="422">
        <v>348.96199999999988</v>
      </c>
      <c r="D25" s="410">
        <v>345.25600000000009</v>
      </c>
      <c r="E25" s="410">
        <v>573.48202535458347</v>
      </c>
      <c r="F25" s="410">
        <v>675.64880810081081</v>
      </c>
      <c r="G25" s="410">
        <v>781.36597782423041</v>
      </c>
      <c r="H25" s="233">
        <f>IF(D25=0,"nm",IF(G25=0,"nm",(G25/D25)^(1/3)-1))</f>
        <v>0.31291845859545808</v>
      </c>
      <c r="I25" s="208"/>
      <c r="J25" s="207" t="s">
        <v>8</v>
      </c>
      <c r="K25" s="207"/>
      <c r="L25" s="252">
        <v>0</v>
      </c>
      <c r="M25" s="252">
        <v>0</v>
      </c>
      <c r="N25" s="252">
        <v>0</v>
      </c>
      <c r="O25" s="252">
        <v>0</v>
      </c>
      <c r="P25" s="233" t="str">
        <f>IF(L25=0,"nm",IF(O25=0,"nm",(O25/L25)^(1/3)-1))</f>
        <v>nm</v>
      </c>
      <c r="S25" s="72"/>
      <c r="T25" s="26"/>
      <c r="U25" s="26"/>
      <c r="V25" s="113" t="s">
        <v>225</v>
      </c>
      <c r="W25" s="242">
        <f>D37/L9</f>
        <v>1.359811896764896</v>
      </c>
      <c r="X25" s="242">
        <v>1</v>
      </c>
    </row>
    <row r="26" spans="2:24">
      <c r="B26" s="5" t="s">
        <v>487</v>
      </c>
      <c r="C26" s="422">
        <v>240.78377999999989</v>
      </c>
      <c r="D26" s="410">
        <v>238.22664000000003</v>
      </c>
      <c r="E26" s="410">
        <v>395.70259749466254</v>
      </c>
      <c r="F26" s="410">
        <v>466.19767758955942</v>
      </c>
      <c r="G26" s="410">
        <v>546.9561844769612</v>
      </c>
      <c r="H26" s="233">
        <f>IF(D26=0,"nm",IF(G26=0,"nm",(G26/D26)^(1/3)-1))</f>
        <v>0.31923066360399632</v>
      </c>
      <c r="I26" s="209"/>
      <c r="J26" s="209" t="s">
        <v>9</v>
      </c>
      <c r="K26" s="209"/>
      <c r="L26" s="235">
        <f>D11+L25</f>
        <v>4611.2994574799995</v>
      </c>
      <c r="M26" s="235">
        <f>E11+M25</f>
        <v>4611.2994574799995</v>
      </c>
      <c r="N26" s="235">
        <f>F11+N25</f>
        <v>4611.2994574799995</v>
      </c>
      <c r="O26" s="235">
        <f>G11+O25</f>
        <v>4611.2994574799995</v>
      </c>
      <c r="P26" s="233">
        <f>IF(L26=0,"nm",IF(O26=0,"nm",(O26/L26)^(1/3)-1))</f>
        <v>0</v>
      </c>
      <c r="Q26" s="5"/>
      <c r="S26" s="72"/>
      <c r="T26" s="26"/>
      <c r="U26" s="26"/>
      <c r="V26" s="113" t="s">
        <v>158</v>
      </c>
      <c r="W26" s="242">
        <f t="shared" ref="W26:W33" si="4">D38/L10</f>
        <v>1.5618981833950758</v>
      </c>
      <c r="X26" s="242">
        <v>1</v>
      </c>
    </row>
    <row r="27" spans="2:24">
      <c r="B27" s="5" t="s">
        <v>488</v>
      </c>
      <c r="C27" s="423">
        <v>9007.0650000000005</v>
      </c>
      <c r="D27" s="410">
        <v>8971.107</v>
      </c>
      <c r="E27" s="410">
        <v>9270.0348315212632</v>
      </c>
      <c r="F27" s="410">
        <v>9543.7677410328961</v>
      </c>
      <c r="G27" s="410">
        <v>9815.0129549724898</v>
      </c>
      <c r="H27" s="233">
        <f>IF(ISERROR((G27/D27)^(1/3)-1),"na",(G27/D27)^(1/3)-1)</f>
        <v>3.0421583228991356E-2</v>
      </c>
      <c r="I27" s="209"/>
      <c r="J27" s="208"/>
      <c r="K27" s="208"/>
      <c r="L27" s="208"/>
      <c r="M27" s="208"/>
      <c r="N27" s="208"/>
      <c r="O27" s="208"/>
      <c r="Q27" s="25"/>
      <c r="S27" s="72"/>
      <c r="T27" s="26"/>
      <c r="U27" s="26"/>
      <c r="V27" s="113" t="s">
        <v>159</v>
      </c>
      <c r="W27" s="242">
        <f t="shared" si="4"/>
        <v>2.0647828310814216</v>
      </c>
      <c r="X27" s="242">
        <v>1</v>
      </c>
    </row>
    <row r="28" spans="2:24" ht="12.6" thickBot="1">
      <c r="B28" s="5" t="s">
        <v>492</v>
      </c>
      <c r="C28" s="422">
        <v>3145.0149999999999</v>
      </c>
      <c r="D28" s="410">
        <v>3584.3710000000001</v>
      </c>
      <c r="E28" s="410">
        <v>4019.0054087988538</v>
      </c>
      <c r="F28" s="410">
        <v>4318.357654250578</v>
      </c>
      <c r="G28" s="410">
        <v>4598.6744828307064</v>
      </c>
      <c r="H28" s="233">
        <f>IF(ISERROR((G28/D28)^(1/3)-1),"na",(G28/D28)^(1/3)-1)</f>
        <v>8.6608850493598677E-2</v>
      </c>
      <c r="I28" s="208"/>
      <c r="J28" s="249" t="s">
        <v>1073</v>
      </c>
      <c r="K28" s="249"/>
      <c r="L28" s="249"/>
      <c r="M28" s="249"/>
      <c r="N28" s="220"/>
      <c r="O28" s="220"/>
      <c r="P28" s="220"/>
      <c r="Q28" s="5"/>
      <c r="S28" s="72"/>
      <c r="T28" s="26"/>
      <c r="U28" s="26"/>
      <c r="V28" s="113" t="s">
        <v>381</v>
      </c>
      <c r="W28" s="242">
        <f t="shared" si="4"/>
        <v>2.2261485504030092</v>
      </c>
      <c r="X28" s="242">
        <v>1</v>
      </c>
    </row>
    <row r="29" spans="2:24" ht="12.6" thickTop="1">
      <c r="B29" s="5" t="s">
        <v>489</v>
      </c>
      <c r="C29" s="422">
        <v>-162.0440000000001</v>
      </c>
      <c r="D29" s="410">
        <v>39.751000000000083</v>
      </c>
      <c r="E29" s="410">
        <v>212.29569358218171</v>
      </c>
      <c r="F29" s="410">
        <v>257.0810240023028</v>
      </c>
      <c r="G29" s="410">
        <v>337.47984584607161</v>
      </c>
      <c r="H29" s="233">
        <f>IF(D29=0,"nm",IF(G29=0,"nm",(G29/D29)^(1/3)-1))</f>
        <v>1.0400145322861252</v>
      </c>
      <c r="I29" s="212"/>
      <c r="J29" s="209"/>
      <c r="K29" s="209"/>
      <c r="L29" s="209"/>
      <c r="M29" s="209"/>
      <c r="N29" s="209"/>
      <c r="O29" s="211"/>
      <c r="Q29" s="5"/>
      <c r="S29" s="72"/>
      <c r="T29" s="26"/>
      <c r="U29" s="26"/>
      <c r="V29" s="113" t="s">
        <v>434</v>
      </c>
      <c r="W29" s="242">
        <f t="shared" si="4"/>
        <v>1.0305424831337429</v>
      </c>
      <c r="X29" s="242">
        <v>1</v>
      </c>
    </row>
    <row r="30" spans="2:24">
      <c r="B30" s="5" t="s">
        <v>490</v>
      </c>
      <c r="C30" s="423">
        <v>228.864</v>
      </c>
      <c r="D30" s="410">
        <v>366.43899999999996</v>
      </c>
      <c r="E30" s="410">
        <v>414.32787636437808</v>
      </c>
      <c r="F30" s="410">
        <v>469.19951944506647</v>
      </c>
      <c r="G30" s="410">
        <v>527.90530794903725</v>
      </c>
      <c r="H30" s="233">
        <f>IF(D30=0,"nm",IF(G30=0,"nm",(G30/D30)^(1/3)-1))</f>
        <v>0.12940952602612699</v>
      </c>
      <c r="I30" s="214"/>
      <c r="J30" s="208"/>
      <c r="K30" s="208"/>
      <c r="L30" s="208"/>
      <c r="M30" s="208"/>
      <c r="N30" s="208"/>
      <c r="O30" s="5"/>
      <c r="Q30" s="5"/>
      <c r="S30" s="72"/>
      <c r="T30" s="26"/>
      <c r="U30" s="26"/>
      <c r="V30" s="113" t="s">
        <v>493</v>
      </c>
      <c r="W30" s="242">
        <f t="shared" si="4"/>
        <v>1.0433260679925365</v>
      </c>
      <c r="X30" s="242">
        <v>1</v>
      </c>
    </row>
    <row r="31" spans="2:24">
      <c r="B31" s="5" t="s">
        <v>491</v>
      </c>
      <c r="C31" s="423">
        <v>328.39089089999999</v>
      </c>
      <c r="D31" s="410">
        <v>69.134924400000003</v>
      </c>
      <c r="E31" s="410">
        <v>69.134924400000003</v>
      </c>
      <c r="F31" s="410">
        <v>69.134924400000003</v>
      </c>
      <c r="G31" s="410">
        <v>69.134924400000003</v>
      </c>
      <c r="H31" s="233">
        <f>IF(D31=0,"nm",IF(G31=0,"nm",(G31/D31)^(1/3)-1))</f>
        <v>0</v>
      </c>
      <c r="I31" s="214"/>
      <c r="J31" s="212"/>
      <c r="K31" s="212"/>
      <c r="L31" s="212"/>
      <c r="M31" s="212"/>
      <c r="N31" s="212"/>
      <c r="O31" s="5"/>
      <c r="Q31" s="5"/>
      <c r="S31" s="72"/>
      <c r="T31" s="26"/>
      <c r="U31" s="26"/>
      <c r="V31" s="113" t="s">
        <v>123</v>
      </c>
      <c r="W31" s="242">
        <f t="shared" si="4"/>
        <v>5.6591476851416873</v>
      </c>
      <c r="X31" s="242">
        <v>1</v>
      </c>
    </row>
    <row r="32" spans="2:24">
      <c r="B32" s="5" t="s">
        <v>506</v>
      </c>
      <c r="C32" s="424">
        <v>0</v>
      </c>
      <c r="D32" s="410">
        <v>0</v>
      </c>
      <c r="E32" s="410">
        <v>0</v>
      </c>
      <c r="F32" s="410">
        <v>0</v>
      </c>
      <c r="G32" s="410">
        <v>0</v>
      </c>
      <c r="H32" s="233" t="str">
        <f>IF(D32=0,"nm",IF(G32=0,"nm",(G32/D32)^(1/3)-1))</f>
        <v>nm</v>
      </c>
      <c r="I32" s="214"/>
      <c r="J32" s="214"/>
      <c r="K32" s="214"/>
      <c r="L32" s="214"/>
      <c r="M32" s="214"/>
      <c r="N32" s="214"/>
      <c r="O32" s="211"/>
      <c r="Q32" s="5"/>
      <c r="S32" s="72"/>
      <c r="T32" s="26"/>
      <c r="U32" s="26"/>
      <c r="V32" s="113" t="s">
        <v>437</v>
      </c>
      <c r="W32" s="242">
        <f t="shared" si="4"/>
        <v>0.53343222060558693</v>
      </c>
      <c r="X32" s="242">
        <v>1</v>
      </c>
    </row>
    <row r="33" spans="2:24">
      <c r="B33" s="5" t="s">
        <v>3</v>
      </c>
      <c r="C33" s="423">
        <v>136.773</v>
      </c>
      <c r="D33" s="410">
        <v>137.727</v>
      </c>
      <c r="E33" s="410">
        <v>173.09372307464514</v>
      </c>
      <c r="F33" s="410">
        <v>195.77945464619984</v>
      </c>
      <c r="G33" s="410">
        <v>210.52578845304211</v>
      </c>
      <c r="H33" s="233">
        <f>IF(ISERROR((G33/D33)^(1/3)-1),"na",(G33/D33)^(1/3)-1)</f>
        <v>0.15193702737940429</v>
      </c>
      <c r="I33" s="5"/>
      <c r="J33" s="214"/>
      <c r="K33" s="214"/>
      <c r="L33" s="214"/>
      <c r="M33" s="214"/>
      <c r="N33" s="214"/>
      <c r="O33" s="211"/>
      <c r="Q33" s="5"/>
      <c r="S33" s="72"/>
      <c r="T33" s="26"/>
      <c r="U33" s="26"/>
      <c r="V33" s="113" t="s">
        <v>481</v>
      </c>
      <c r="W33" s="242">
        <f t="shared" si="4"/>
        <v>0.38850523033901457</v>
      </c>
      <c r="X33" s="242">
        <v>1</v>
      </c>
    </row>
    <row r="34" spans="2:24">
      <c r="D34" s="5"/>
      <c r="E34" s="5"/>
      <c r="F34" s="5"/>
      <c r="G34" s="5"/>
      <c r="I34" s="33"/>
      <c r="J34" s="214"/>
      <c r="K34" s="214"/>
      <c r="L34" s="214"/>
      <c r="M34" s="214"/>
      <c r="N34" s="214"/>
      <c r="O34" s="211"/>
      <c r="Q34" s="5"/>
      <c r="S34" s="72"/>
      <c r="T34" s="26"/>
      <c r="U34" s="26"/>
      <c r="V34" s="113" t="s">
        <v>124</v>
      </c>
      <c r="W34" s="242">
        <f>D47/L19</f>
        <v>0.17670505447764492</v>
      </c>
      <c r="X34" s="242">
        <v>1</v>
      </c>
    </row>
    <row r="35" spans="2:24" ht="12.6" thickBot="1">
      <c r="B35" s="249" t="s">
        <v>744</v>
      </c>
      <c r="C35" s="219"/>
      <c r="D35" s="219" t="str">
        <f>D5</f>
        <v>2025E</v>
      </c>
      <c r="E35" s="219" t="str">
        <f t="shared" ref="E35:H35" si="5">E5</f>
        <v>2026E</v>
      </c>
      <c r="F35" s="219" t="str">
        <f t="shared" si="5"/>
        <v>2027E</v>
      </c>
      <c r="G35" s="219" t="str">
        <f t="shared" si="5"/>
        <v>2028E</v>
      </c>
      <c r="H35" s="219" t="str">
        <f t="shared" si="5"/>
        <v>2025-28</v>
      </c>
      <c r="I35" s="214"/>
      <c r="J35" s="5"/>
      <c r="K35" s="5"/>
      <c r="L35" s="5"/>
      <c r="M35" s="5"/>
      <c r="N35" s="5"/>
      <c r="O35" s="5"/>
      <c r="Q35" s="5"/>
      <c r="S35" s="72"/>
      <c r="T35" s="26"/>
      <c r="U35" s="26"/>
      <c r="V35" s="26"/>
      <c r="W35" s="243"/>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1.8310392409390741</v>
      </c>
      <c r="E37" s="406">
        <f t="shared" ref="E37:G41" si="6">E$18/E23</f>
        <v>1.7619104996574659</v>
      </c>
      <c r="F37" s="406">
        <f t="shared" si="6"/>
        <v>1.7081526341431907</v>
      </c>
      <c r="G37" s="406">
        <f t="shared" si="6"/>
        <v>1.6384906847539358</v>
      </c>
      <c r="H37" s="13">
        <f t="shared" ref="H37:H45" si="7">H23</f>
        <v>1.5666750218252812E-2</v>
      </c>
      <c r="I37" s="5"/>
      <c r="J37" s="217"/>
      <c r="K37" s="217"/>
      <c r="L37" s="217"/>
      <c r="M37" s="217"/>
      <c r="N37" s="217"/>
      <c r="O37" s="14"/>
      <c r="Q37" s="5"/>
      <c r="R37" s="5"/>
      <c r="S37" s="26"/>
      <c r="T37" s="26"/>
      <c r="U37" s="26"/>
      <c r="V37" s="26"/>
      <c r="W37" s="26"/>
      <c r="X37" s="26"/>
    </row>
    <row r="38" spans="2:24">
      <c r="B38" s="5" t="s">
        <v>158</v>
      </c>
      <c r="C38" s="207"/>
      <c r="D38" s="406">
        <f>D$18/D24</f>
        <v>10.413748959740978</v>
      </c>
      <c r="E38" s="406">
        <f t="shared" si="6"/>
        <v>9.1808792803184165</v>
      </c>
      <c r="F38" s="406">
        <f t="shared" si="6"/>
        <v>8.2380643322446101</v>
      </c>
      <c r="G38" s="406">
        <f t="shared" si="6"/>
        <v>7.3910727116401853</v>
      </c>
      <c r="H38" s="13">
        <f t="shared" si="7"/>
        <v>9.7235591687371947E-2</v>
      </c>
      <c r="I38" s="217"/>
      <c r="J38" s="13"/>
      <c r="K38" s="13"/>
      <c r="L38" s="13"/>
      <c r="M38" s="13"/>
      <c r="N38" s="13"/>
      <c r="O38" s="5"/>
      <c r="Q38" s="5"/>
      <c r="R38" s="5"/>
      <c r="S38" s="26"/>
      <c r="T38" s="26"/>
      <c r="U38" s="26"/>
      <c r="V38" s="26"/>
      <c r="W38" s="26"/>
      <c r="X38" s="26"/>
    </row>
    <row r="39" spans="2:24">
      <c r="B39" s="5" t="s">
        <v>159</v>
      </c>
      <c r="C39" s="207"/>
      <c r="D39" s="406">
        <f>D$18/D25</f>
        <v>32.456429578698227</v>
      </c>
      <c r="E39" s="406">
        <f t="shared" si="6"/>
        <v>19.201525462839449</v>
      </c>
      <c r="F39" s="406">
        <f t="shared" si="6"/>
        <v>15.984540683997698</v>
      </c>
      <c r="G39" s="406">
        <f t="shared" si="6"/>
        <v>13.445826742902907</v>
      </c>
      <c r="H39" s="13">
        <f t="shared" si="7"/>
        <v>0.31291845859545808</v>
      </c>
      <c r="I39" s="13"/>
      <c r="J39" s="5"/>
      <c r="K39" s="5"/>
      <c r="L39" s="5"/>
      <c r="M39" s="5"/>
      <c r="N39" s="5"/>
      <c r="O39" s="5"/>
      <c r="Q39" s="5"/>
      <c r="R39" s="5"/>
      <c r="S39" s="26"/>
      <c r="T39" s="26"/>
      <c r="U39" s="26"/>
      <c r="V39" s="26"/>
      <c r="W39" s="26"/>
      <c r="X39" s="26"/>
    </row>
    <row r="40" spans="2:24">
      <c r="B40" s="5" t="s">
        <v>381</v>
      </c>
      <c r="C40" s="207"/>
      <c r="D40" s="406">
        <f>D$18/D26</f>
        <v>47.038303737243815</v>
      </c>
      <c r="E40" s="406">
        <f t="shared" si="6"/>
        <v>27.828297772231089</v>
      </c>
      <c r="F40" s="406">
        <f t="shared" si="6"/>
        <v>23.166000991301015</v>
      </c>
      <c r="G40" s="406">
        <f t="shared" si="6"/>
        <v>19.208323918432729</v>
      </c>
      <c r="H40" s="13">
        <f t="shared" si="7"/>
        <v>0.31923066360399632</v>
      </c>
      <c r="I40" s="5"/>
      <c r="J40" s="217"/>
      <c r="K40" s="217"/>
      <c r="L40" s="217"/>
      <c r="M40" s="217"/>
      <c r="N40" s="217"/>
      <c r="O40" s="14"/>
      <c r="Q40" s="5"/>
      <c r="R40" s="5"/>
      <c r="S40" s="26"/>
      <c r="T40" s="26"/>
      <c r="U40" s="26"/>
      <c r="V40" s="26"/>
      <c r="W40" s="242"/>
      <c r="X40" s="242"/>
    </row>
    <row r="41" spans="2:24">
      <c r="B41" s="5" t="s">
        <v>434</v>
      </c>
      <c r="C41" s="207"/>
      <c r="D41" s="406">
        <f>D$18/D27</f>
        <v>1.2490963546219034</v>
      </c>
      <c r="E41" s="406">
        <f t="shared" si="6"/>
        <v>1.1878843944451165</v>
      </c>
      <c r="F41" s="406">
        <f t="shared" si="6"/>
        <v>1.1316218242349134</v>
      </c>
      <c r="G41" s="406">
        <f t="shared" si="6"/>
        <v>1.0704123987223984</v>
      </c>
      <c r="H41" s="13">
        <f t="shared" si="7"/>
        <v>3.0421583228991356E-2</v>
      </c>
      <c r="I41" s="207"/>
      <c r="J41" s="13"/>
      <c r="K41" s="13"/>
      <c r="L41" s="13"/>
      <c r="M41" s="13"/>
      <c r="N41" s="13"/>
      <c r="O41" s="5"/>
      <c r="Q41" s="5"/>
      <c r="R41" s="5"/>
      <c r="S41" s="26"/>
      <c r="T41" s="26"/>
      <c r="U41" s="26"/>
      <c r="V41" s="26"/>
      <c r="W41" s="242"/>
      <c r="X41" s="242"/>
    </row>
    <row r="42" spans="2:24">
      <c r="B42" s="5" t="s">
        <v>493</v>
      </c>
      <c r="C42" s="207"/>
      <c r="D42" s="406">
        <f>D18/D28</f>
        <v>3.1262882806001495</v>
      </c>
      <c r="E42" s="406">
        <f>E18/E28</f>
        <v>2.7399141310481117</v>
      </c>
      <c r="F42" s="406">
        <f>F18/F28</f>
        <v>2.5009359404382683</v>
      </c>
      <c r="G42" s="406">
        <f>G18/G28</f>
        <v>2.2845956155079929</v>
      </c>
      <c r="H42" s="13">
        <f t="shared" si="7"/>
        <v>8.6608850493598677E-2</v>
      </c>
      <c r="I42" s="208"/>
      <c r="J42" s="5"/>
      <c r="K42" s="5"/>
      <c r="L42" s="5"/>
      <c r="M42" s="5"/>
      <c r="N42" s="5"/>
      <c r="O42" s="5"/>
      <c r="Q42" s="5"/>
      <c r="R42" s="5"/>
      <c r="S42" s="26"/>
      <c r="T42" s="26"/>
      <c r="U42" s="26"/>
      <c r="V42" s="26"/>
      <c r="W42" s="242"/>
      <c r="X42" s="242"/>
    </row>
    <row r="43" spans="2:24">
      <c r="B43" s="5" t="s">
        <v>390</v>
      </c>
      <c r="C43" s="207"/>
      <c r="D43" s="406">
        <f>L26/D29</f>
        <v>116.00461516641066</v>
      </c>
      <c r="E43" s="406">
        <f>M26/E29</f>
        <v>21.721116333878534</v>
      </c>
      <c r="F43" s="406">
        <f>N26/F29</f>
        <v>17.937144428982414</v>
      </c>
      <c r="G43" s="406">
        <f>O26/G29</f>
        <v>13.663925458776182</v>
      </c>
      <c r="H43" s="13">
        <f t="shared" si="7"/>
        <v>1.0400145322861252</v>
      </c>
      <c r="I43" s="207"/>
      <c r="J43" s="207"/>
      <c r="K43" s="207"/>
      <c r="L43" s="207"/>
      <c r="M43" s="207"/>
      <c r="N43" s="207"/>
      <c r="O43" s="14"/>
      <c r="Q43" s="5"/>
      <c r="R43" s="5"/>
      <c r="S43" s="26"/>
      <c r="T43" s="26"/>
      <c r="U43" s="26"/>
      <c r="V43" s="26"/>
      <c r="W43" s="242"/>
      <c r="X43" s="242"/>
    </row>
    <row r="44" spans="2:24">
      <c r="B44" s="5" t="s">
        <v>437</v>
      </c>
      <c r="C44" s="53"/>
      <c r="D44" s="406">
        <f>D11/D30</f>
        <v>12.584084820338447</v>
      </c>
      <c r="E44" s="406">
        <f>E11/E30</f>
        <v>11.129590164057948</v>
      </c>
      <c r="F44" s="406">
        <f>F11/F30</f>
        <v>9.8280140246816412</v>
      </c>
      <c r="G44" s="406">
        <f>G11/G30</f>
        <v>8.7350882592852503</v>
      </c>
      <c r="H44" s="13">
        <f t="shared" si="7"/>
        <v>0.12940952602612699</v>
      </c>
      <c r="I44" s="207"/>
      <c r="J44" s="208"/>
      <c r="K44" s="208"/>
      <c r="L44" s="208"/>
      <c r="M44" s="208"/>
      <c r="N44" s="208"/>
      <c r="O44" s="208"/>
      <c r="Q44" s="5"/>
      <c r="R44" s="5"/>
      <c r="S44" s="26"/>
      <c r="T44" s="26"/>
      <c r="U44" s="26"/>
      <c r="V44" s="26"/>
      <c r="W44" s="255"/>
      <c r="X44" s="255"/>
    </row>
    <row r="45" spans="2:24">
      <c r="B45" s="5" t="s">
        <v>481</v>
      </c>
      <c r="C45" s="207"/>
      <c r="D45" s="208">
        <f>D31/D11</f>
        <v>1.4992503748125939E-2</v>
      </c>
      <c r="E45" s="208">
        <f>E31/E11</f>
        <v>1.4992503748125939E-2</v>
      </c>
      <c r="F45" s="208">
        <f>F31/F11</f>
        <v>1.4992503748125939E-2</v>
      </c>
      <c r="G45" s="208">
        <f>G31/G11</f>
        <v>1.4992503748125939E-2</v>
      </c>
      <c r="H45" s="13">
        <f t="shared" si="7"/>
        <v>0</v>
      </c>
      <c r="I45" s="208"/>
      <c r="J45" s="207"/>
      <c r="K45" s="207"/>
      <c r="L45" s="207"/>
      <c r="M45" s="207"/>
      <c r="N45" s="207"/>
      <c r="O45" s="208"/>
      <c r="Q45" s="5"/>
      <c r="R45" s="5"/>
      <c r="S45" s="26"/>
      <c r="T45" s="26"/>
      <c r="U45" s="26"/>
      <c r="V45" s="26"/>
      <c r="W45" s="26"/>
      <c r="X45" s="26"/>
    </row>
    <row r="46" spans="2:24">
      <c r="B46" s="5" t="s">
        <v>505</v>
      </c>
      <c r="C46" s="207"/>
      <c r="D46" s="208">
        <f>(D31+D32)/D11</f>
        <v>1.4992503748125939E-2</v>
      </c>
      <c r="E46" s="208">
        <f>(E31+E32)/E11</f>
        <v>1.4992503748125939E-2</v>
      </c>
      <c r="F46" s="208">
        <f>(F31+F32)/F11</f>
        <v>1.4992503748125939E-2</v>
      </c>
      <c r="G46" s="208">
        <f>(G31+G32)/G11</f>
        <v>1.4992503748125939E-2</v>
      </c>
      <c r="H46" s="233">
        <f>((G31+G32)/(D31+D32))^(1/3)-1</f>
        <v>0</v>
      </c>
      <c r="I46" s="207"/>
      <c r="J46" s="207"/>
      <c r="K46" s="207"/>
      <c r="L46" s="207"/>
      <c r="M46" s="207"/>
      <c r="N46" s="207"/>
      <c r="O46" s="14"/>
      <c r="Q46" s="5"/>
      <c r="R46" s="5"/>
      <c r="S46" s="26"/>
      <c r="T46" s="26"/>
      <c r="U46" s="26"/>
      <c r="V46" s="26"/>
      <c r="W46" s="26"/>
      <c r="X46" s="26"/>
    </row>
    <row r="47" spans="2:24">
      <c r="B47" s="5" t="s">
        <v>482</v>
      </c>
      <c r="C47" s="5"/>
      <c r="D47" s="208">
        <f>1/D43</f>
        <v>8.6203466867717498E-3</v>
      </c>
      <c r="E47" s="208">
        <f>1/E43</f>
        <v>4.6038149450002945E-2</v>
      </c>
      <c r="F47" s="208">
        <f>1/F43</f>
        <v>5.5750234044178386E-2</v>
      </c>
      <c r="G47" s="208">
        <f>1/G43</f>
        <v>7.3185410957999006E-2</v>
      </c>
      <c r="H47" s="13">
        <f>H29</f>
        <v>1.0400145322861252</v>
      </c>
      <c r="I47" s="13"/>
      <c r="J47" s="208"/>
      <c r="K47" s="208"/>
      <c r="L47" s="208"/>
      <c r="M47" s="208"/>
      <c r="N47" s="208"/>
      <c r="O47" s="208"/>
      <c r="Q47" s="5"/>
      <c r="R47" s="5"/>
      <c r="S47" s="26"/>
      <c r="T47" s="26"/>
      <c r="U47" s="26"/>
      <c r="V47" s="26"/>
      <c r="W47" s="26"/>
      <c r="X47" s="26"/>
    </row>
    <row r="48" spans="2:24">
      <c r="B48" s="5" t="s">
        <v>518</v>
      </c>
      <c r="C48" s="5"/>
      <c r="D48" s="248">
        <f>D31/D29</f>
        <v>1.7391996276823189</v>
      </c>
      <c r="E48" s="248">
        <f>E31/E29</f>
        <v>0.3256539180491535</v>
      </c>
      <c r="F48" s="248">
        <f>F31/F29</f>
        <v>0.26892270508219512</v>
      </c>
      <c r="G48" s="248">
        <f>G31/G29</f>
        <v>0.20485645365481536</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hyperlinks>
    <hyperlink ref="C2" location="UTDISOP!A1" display="Jump to UTDI SOP" xr:uid="{00000000-0004-0000-7200-000001000000}"/>
  </hyperlinks>
  <pageMargins left="0.75" right="0.75" top="1" bottom="1" header="0.5" footer="0.5"/>
  <pageSetup scale="7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theme="3" tint="0.79998168889431442"/>
    <pageSetUpPr fitToPage="1"/>
  </sheetPr>
  <dimension ref="B1:BK35"/>
  <sheetViews>
    <sheetView showGridLines="0" zoomScale="80" zoomScaleNormal="80" workbookViewId="0"/>
  </sheetViews>
  <sheetFormatPr defaultColWidth="9.109375" defaultRowHeight="12"/>
  <cols>
    <col min="1" max="1" width="2.33203125" style="23" customWidth="1"/>
    <col min="2" max="2" width="30.6640625" style="23" customWidth="1"/>
    <col min="3" max="3" width="12" style="23" customWidth="1"/>
    <col min="4" max="4" width="6.33203125" style="23" customWidth="1"/>
    <col min="5" max="5" width="7.44140625" style="23" customWidth="1"/>
    <col min="6" max="6" width="22.109375" style="23" customWidth="1"/>
    <col min="7" max="7" width="12.109375" style="23" customWidth="1"/>
    <col min="8" max="8" width="8" style="23" customWidth="1"/>
    <col min="9" max="9" width="7.88671875" style="23" customWidth="1"/>
    <col min="10" max="10" width="21.33203125" style="23" customWidth="1"/>
    <col min="11" max="11" width="12.109375" style="23" customWidth="1"/>
    <col min="12" max="12" width="4.6640625" style="23" customWidth="1"/>
    <col min="13" max="15" width="10.109375" style="23" customWidth="1"/>
    <col min="16" max="16" width="5.44140625" style="23" customWidth="1"/>
    <col min="17" max="20" width="9.109375" style="23"/>
    <col min="21" max="21" width="3.6640625" style="23" customWidth="1"/>
    <col min="22" max="43" width="9.109375" style="134"/>
    <col min="44" max="63" width="9.109375" style="199"/>
    <col min="64" max="16384" width="9.109375" style="23"/>
  </cols>
  <sheetData>
    <row r="1" spans="2:63" s="489" customFormat="1">
      <c r="V1" s="263"/>
      <c r="W1" s="263"/>
      <c r="X1" s="263"/>
      <c r="Y1" s="263"/>
      <c r="Z1" s="263"/>
      <c r="AA1" s="263"/>
      <c r="AB1" s="263"/>
      <c r="AC1" s="263"/>
      <c r="AD1" s="263"/>
      <c r="AE1" s="263"/>
      <c r="AF1" s="263"/>
      <c r="AG1" s="263"/>
      <c r="AH1" s="263"/>
      <c r="AI1" s="263"/>
      <c r="AJ1" s="263"/>
      <c r="AK1" s="263"/>
      <c r="AL1" s="263"/>
      <c r="AM1" s="263"/>
      <c r="AN1" s="263"/>
      <c r="AO1" s="263"/>
      <c r="AP1" s="263"/>
      <c r="AQ1" s="263"/>
      <c r="AR1" s="264"/>
      <c r="AS1" s="264"/>
      <c r="AT1" s="264"/>
      <c r="AU1" s="264"/>
      <c r="AV1" s="264"/>
      <c r="AW1" s="264"/>
      <c r="AX1" s="264"/>
      <c r="AY1" s="264"/>
      <c r="AZ1" s="264"/>
      <c r="BA1" s="264"/>
      <c r="BB1" s="264"/>
      <c r="BC1" s="264"/>
      <c r="BD1" s="264"/>
      <c r="BE1" s="264"/>
      <c r="BF1" s="264"/>
      <c r="BG1" s="264"/>
      <c r="BH1" s="264"/>
      <c r="BI1" s="264"/>
      <c r="BJ1" s="264"/>
      <c r="BK1" s="264"/>
    </row>
    <row r="2" spans="2:63" s="489" customFormat="1">
      <c r="V2" s="263"/>
      <c r="W2" s="263"/>
      <c r="X2" s="263"/>
      <c r="Y2" s="263"/>
      <c r="Z2" s="263"/>
      <c r="AA2" s="263"/>
      <c r="AB2" s="263"/>
      <c r="AC2" s="263"/>
      <c r="AD2" s="263"/>
      <c r="AE2" s="263"/>
      <c r="AF2" s="263"/>
      <c r="AG2" s="263"/>
      <c r="AH2" s="263"/>
      <c r="AI2" s="263"/>
      <c r="AJ2" s="263"/>
      <c r="AK2" s="263"/>
      <c r="AL2" s="263"/>
      <c r="AM2" s="263"/>
      <c r="AN2" s="263"/>
      <c r="AO2" s="263"/>
      <c r="AP2" s="263"/>
      <c r="AQ2" s="263"/>
      <c r="AR2" s="264"/>
      <c r="AS2" s="264"/>
      <c r="AT2" s="264"/>
      <c r="AU2" s="264"/>
      <c r="AV2" s="264"/>
      <c r="AW2" s="264"/>
      <c r="AX2" s="264"/>
      <c r="AY2" s="264"/>
      <c r="AZ2" s="264"/>
      <c r="BA2" s="264"/>
      <c r="BB2" s="264"/>
      <c r="BC2" s="264"/>
      <c r="BD2" s="264"/>
      <c r="BE2" s="264"/>
      <c r="BF2" s="264"/>
      <c r="BG2" s="264"/>
      <c r="BH2" s="264"/>
      <c r="BI2" s="264"/>
      <c r="BJ2" s="264"/>
      <c r="BK2" s="264"/>
    </row>
    <row r="3" spans="2:63" s="489" customFormat="1">
      <c r="V3" s="263"/>
      <c r="W3" s="263"/>
      <c r="X3" s="263"/>
      <c r="Y3" s="263"/>
      <c r="Z3" s="263"/>
      <c r="AA3" s="263"/>
      <c r="AB3" s="263"/>
      <c r="AC3" s="263"/>
      <c r="AD3" s="263"/>
      <c r="AE3" s="263"/>
      <c r="AF3" s="263"/>
      <c r="AG3" s="263"/>
      <c r="AH3" s="263"/>
      <c r="AI3" s="263"/>
      <c r="AJ3" s="263"/>
      <c r="AK3" s="263"/>
      <c r="AL3" s="263"/>
      <c r="AM3" s="263"/>
      <c r="AN3" s="263"/>
      <c r="AO3" s="263"/>
      <c r="AP3" s="263"/>
      <c r="AQ3" s="263"/>
      <c r="AR3" s="264"/>
      <c r="AS3" s="264"/>
      <c r="AT3" s="264"/>
      <c r="AU3" s="264"/>
      <c r="AV3" s="264"/>
      <c r="AW3" s="264"/>
      <c r="AX3" s="264"/>
      <c r="AY3" s="264"/>
      <c r="AZ3" s="264"/>
      <c r="BA3" s="264"/>
      <c r="BB3" s="264"/>
      <c r="BC3" s="264"/>
      <c r="BD3" s="264"/>
      <c r="BE3" s="264"/>
      <c r="BF3" s="264"/>
      <c r="BG3" s="264"/>
      <c r="BH3" s="264"/>
      <c r="BI3" s="264"/>
      <c r="BJ3" s="264"/>
      <c r="BK3" s="264"/>
    </row>
    <row r="4" spans="2:63" s="99" customFormat="1" ht="21">
      <c r="B4" s="100" t="s">
        <v>475</v>
      </c>
      <c r="C4" s="101"/>
      <c r="D4" s="101"/>
      <c r="E4" s="101"/>
    </row>
    <row r="5" spans="2:63" s="102" customFormat="1">
      <c r="B5" s="103"/>
      <c r="C5" s="104"/>
      <c r="D5" s="104"/>
      <c r="E5" s="104"/>
    </row>
    <row r="6" spans="2:63">
      <c r="O6" s="33"/>
    </row>
    <row r="7" spans="2:63" ht="12.6" thickBot="1">
      <c r="B7" s="200"/>
      <c r="C7" s="200"/>
      <c r="D7" s="200"/>
      <c r="E7" s="200"/>
      <c r="F7" s="200"/>
      <c r="G7" s="200"/>
      <c r="H7" s="200"/>
      <c r="I7" s="200"/>
      <c r="J7" s="200"/>
      <c r="K7" s="200"/>
      <c r="L7" s="201"/>
      <c r="M7" s="33"/>
      <c r="N7" s="33"/>
      <c r="O7" s="33"/>
      <c r="P7" s="5"/>
      <c r="Q7" s="202"/>
      <c r="R7" s="5"/>
      <c r="S7" s="5"/>
      <c r="T7" s="5"/>
      <c r="U7" s="5"/>
    </row>
    <row r="8" spans="2:63" ht="12.6" thickTop="1">
      <c r="B8" s="25"/>
      <c r="C8" s="203"/>
      <c r="D8" s="204"/>
      <c r="E8" s="204"/>
      <c r="F8" s="25"/>
      <c r="G8" s="203"/>
      <c r="H8" s="204"/>
      <c r="J8" s="25"/>
      <c r="K8" s="205"/>
      <c r="L8" s="204"/>
      <c r="M8" s="5"/>
      <c r="N8" s="5"/>
      <c r="O8" s="5"/>
      <c r="P8" s="5"/>
      <c r="Q8" s="5"/>
      <c r="R8" s="5"/>
      <c r="S8" s="5"/>
      <c r="T8" s="5"/>
      <c r="U8" s="5"/>
    </row>
    <row r="9" spans="2:63">
      <c r="B9" s="206" t="s">
        <v>822</v>
      </c>
      <c r="C9" s="203"/>
      <c r="D9" s="207"/>
      <c r="E9" s="207"/>
      <c r="F9" s="25"/>
      <c r="G9" s="203"/>
      <c r="H9" s="204"/>
      <c r="J9" s="25"/>
      <c r="K9" s="203"/>
      <c r="L9" s="204"/>
      <c r="M9" s="208"/>
      <c r="N9" s="208"/>
      <c r="O9" s="208"/>
    </row>
    <row r="10" spans="2:63">
      <c r="B10" s="23" t="s">
        <v>878</v>
      </c>
      <c r="C10" s="203"/>
      <c r="D10" s="207"/>
      <c r="E10" s="207"/>
      <c r="F10" s="25"/>
      <c r="G10" s="203"/>
      <c r="H10" s="204"/>
      <c r="J10" s="25"/>
      <c r="K10" s="203"/>
      <c r="L10" s="204"/>
      <c r="M10" s="209"/>
      <c r="N10" s="209"/>
      <c r="O10" s="210"/>
      <c r="Q10" s="5"/>
      <c r="R10" s="5"/>
      <c r="S10" s="5"/>
      <c r="T10" s="5"/>
      <c r="U10" s="5"/>
    </row>
    <row r="11" spans="2:63">
      <c r="C11" s="203"/>
      <c r="D11" s="209"/>
      <c r="E11" s="209"/>
      <c r="F11" s="25"/>
      <c r="G11" s="203"/>
      <c r="H11" s="204"/>
      <c r="J11" s="25"/>
      <c r="K11" s="203"/>
      <c r="L11" s="204"/>
      <c r="M11" s="209"/>
      <c r="N11" s="209"/>
      <c r="O11" s="211"/>
      <c r="Q11" s="202"/>
      <c r="R11" s="5"/>
      <c r="S11" s="5"/>
      <c r="T11" s="5"/>
      <c r="U11" s="5"/>
    </row>
    <row r="12" spans="2:63">
      <c r="B12" s="206" t="s">
        <v>823</v>
      </c>
      <c r="C12" s="203"/>
      <c r="D12" s="207"/>
      <c r="E12" s="207"/>
      <c r="F12" s="25"/>
      <c r="G12" s="203"/>
      <c r="H12" s="204"/>
      <c r="J12" s="25"/>
      <c r="K12" s="203"/>
      <c r="L12" s="204"/>
      <c r="M12" s="208"/>
      <c r="N12" s="208"/>
      <c r="O12" s="5"/>
      <c r="Q12" s="5"/>
      <c r="R12" s="5"/>
      <c r="S12" s="5"/>
      <c r="T12" s="5"/>
      <c r="U12" s="5"/>
    </row>
    <row r="13" spans="2:63">
      <c r="C13" s="203"/>
      <c r="D13" s="207"/>
      <c r="E13" s="207"/>
      <c r="F13" s="25"/>
      <c r="G13" s="203"/>
      <c r="H13" s="204"/>
      <c r="J13" s="25"/>
      <c r="K13" s="203"/>
      <c r="L13" s="204"/>
      <c r="M13" s="212"/>
      <c r="N13" s="212"/>
      <c r="O13" s="5"/>
      <c r="Q13" s="5"/>
      <c r="R13" s="5"/>
      <c r="S13" s="5"/>
      <c r="T13" s="5"/>
      <c r="U13" s="5"/>
    </row>
    <row r="14" spans="2:63">
      <c r="B14" s="213" t="s">
        <v>824</v>
      </c>
      <c r="C14" s="203"/>
      <c r="D14" s="209"/>
      <c r="E14" s="209"/>
      <c r="F14" s="25"/>
      <c r="G14" s="203"/>
      <c r="H14" s="204"/>
      <c r="M14" s="214"/>
      <c r="N14" s="214"/>
      <c r="O14" s="211"/>
      <c r="Q14" s="5"/>
      <c r="R14" s="5"/>
      <c r="S14" s="5"/>
      <c r="T14" s="5"/>
      <c r="U14" s="5"/>
    </row>
    <row r="15" spans="2:63">
      <c r="C15" s="203"/>
      <c r="D15" s="207"/>
      <c r="E15" s="207"/>
      <c r="F15" s="25"/>
      <c r="G15" s="203"/>
      <c r="H15" s="204"/>
      <c r="M15" s="13"/>
      <c r="N15" s="13"/>
      <c r="O15" s="5"/>
      <c r="Q15" s="5"/>
      <c r="R15" s="5"/>
      <c r="S15" s="5"/>
      <c r="T15" s="5"/>
      <c r="U15" s="5"/>
    </row>
    <row r="16" spans="2:63">
      <c r="B16" s="213" t="s">
        <v>825</v>
      </c>
      <c r="C16" s="5"/>
      <c r="D16" s="207"/>
      <c r="E16" s="207"/>
      <c r="F16" s="25"/>
      <c r="G16" s="203"/>
      <c r="H16" s="204"/>
      <c r="M16" s="212"/>
      <c r="N16" s="212"/>
      <c r="O16" s="5"/>
      <c r="Q16" s="5"/>
      <c r="R16" s="5"/>
      <c r="S16" s="5"/>
      <c r="T16" s="5"/>
      <c r="U16" s="5"/>
    </row>
    <row r="17" spans="2:21">
      <c r="B17" s="213"/>
      <c r="C17" s="203"/>
      <c r="D17" s="209"/>
      <c r="E17" s="209"/>
      <c r="F17" s="25"/>
      <c r="G17" s="203"/>
      <c r="H17" s="204"/>
      <c r="M17" s="214"/>
      <c r="N17" s="214"/>
      <c r="O17" s="211"/>
      <c r="Q17" s="5"/>
      <c r="R17" s="5"/>
      <c r="S17" s="5"/>
      <c r="T17" s="5"/>
      <c r="U17" s="5"/>
    </row>
    <row r="18" spans="2:21">
      <c r="B18" s="213" t="s">
        <v>826</v>
      </c>
      <c r="C18" s="5"/>
      <c r="D18" s="207"/>
      <c r="E18" s="207"/>
      <c r="F18" s="25"/>
      <c r="G18" s="203"/>
      <c r="H18" s="204"/>
      <c r="M18" s="13"/>
      <c r="N18" s="13"/>
      <c r="O18" s="5"/>
      <c r="Q18" s="5"/>
      <c r="R18" s="5"/>
      <c r="S18" s="5"/>
      <c r="T18" s="5"/>
      <c r="U18" s="5"/>
    </row>
    <row r="19" spans="2:21">
      <c r="B19" s="213" t="s">
        <v>827</v>
      </c>
      <c r="C19" s="209"/>
      <c r="D19" s="207"/>
      <c r="E19" s="207"/>
      <c r="F19" s="25"/>
      <c r="G19" s="203"/>
      <c r="H19" s="204"/>
      <c r="M19" s="5"/>
      <c r="N19" s="5"/>
      <c r="O19" s="5"/>
      <c r="Q19" s="5"/>
      <c r="R19" s="5"/>
      <c r="S19" s="5"/>
      <c r="T19" s="5"/>
      <c r="U19" s="5"/>
    </row>
    <row r="20" spans="2:21">
      <c r="B20" s="213"/>
      <c r="C20" s="25"/>
      <c r="D20" s="209"/>
      <c r="E20" s="209"/>
      <c r="F20" s="25"/>
      <c r="G20" s="203"/>
      <c r="H20" s="204"/>
      <c r="M20" s="214"/>
      <c r="N20" s="214"/>
      <c r="O20" s="211"/>
      <c r="Q20" s="5"/>
      <c r="R20" s="5"/>
      <c r="S20" s="5"/>
      <c r="T20" s="5"/>
      <c r="U20" s="5"/>
    </row>
    <row r="21" spans="2:21">
      <c r="B21" s="213" t="s">
        <v>1307</v>
      </c>
      <c r="C21" s="5"/>
      <c r="D21" s="207"/>
      <c r="E21" s="207"/>
      <c r="F21" s="25"/>
      <c r="G21" s="203"/>
      <c r="H21" s="204"/>
      <c r="M21" s="13"/>
      <c r="N21" s="13"/>
      <c r="O21" s="5"/>
      <c r="Q21" s="5"/>
      <c r="R21" s="5"/>
      <c r="S21" s="5"/>
      <c r="T21" s="5"/>
      <c r="U21" s="5"/>
    </row>
    <row r="22" spans="2:21">
      <c r="B22" s="213" t="s">
        <v>828</v>
      </c>
      <c r="C22" s="5"/>
      <c r="D22" s="207"/>
      <c r="E22" s="207"/>
      <c r="F22" s="25"/>
      <c r="G22" s="203"/>
      <c r="H22" s="204"/>
      <c r="M22" s="5"/>
      <c r="N22" s="5"/>
      <c r="O22" s="5"/>
      <c r="Q22" s="5"/>
      <c r="R22" s="5"/>
      <c r="S22" s="5"/>
      <c r="T22" s="5"/>
      <c r="U22" s="5"/>
    </row>
    <row r="23" spans="2:21">
      <c r="B23" s="25"/>
      <c r="C23" s="25"/>
      <c r="D23" s="209"/>
      <c r="E23" s="209"/>
      <c r="F23" s="25"/>
      <c r="G23" s="203"/>
      <c r="H23" s="204"/>
      <c r="J23" s="25"/>
      <c r="K23" s="203"/>
      <c r="L23" s="201"/>
      <c r="M23" s="209"/>
      <c r="N23" s="209"/>
      <c r="O23" s="211"/>
      <c r="Q23" s="5"/>
      <c r="R23" s="5"/>
      <c r="S23" s="5"/>
      <c r="T23" s="5"/>
      <c r="U23" s="5"/>
    </row>
    <row r="24" spans="2:21">
      <c r="B24" s="5"/>
      <c r="C24" s="5"/>
      <c r="D24" s="207"/>
      <c r="E24" s="207"/>
      <c r="F24" s="25"/>
      <c r="G24" s="203"/>
      <c r="H24" s="204"/>
      <c r="J24" s="25"/>
      <c r="K24" s="203"/>
      <c r="L24" s="201"/>
      <c r="M24" s="208"/>
      <c r="N24" s="208"/>
      <c r="O24" s="208"/>
      <c r="Q24" s="5"/>
      <c r="R24" s="5"/>
      <c r="S24" s="5"/>
      <c r="T24" s="5"/>
      <c r="U24" s="5"/>
    </row>
    <row r="25" spans="2:21">
      <c r="B25" s="5"/>
      <c r="C25" s="5"/>
      <c r="D25" s="53"/>
      <c r="E25" s="53"/>
      <c r="F25" s="25"/>
      <c r="G25" s="215"/>
      <c r="H25" s="204"/>
      <c r="J25" s="25"/>
      <c r="K25" s="203"/>
      <c r="L25" s="201"/>
      <c r="M25" s="207"/>
      <c r="N25" s="207"/>
      <c r="O25" s="208"/>
      <c r="Q25" s="5"/>
      <c r="R25" s="5"/>
      <c r="S25" s="5"/>
      <c r="T25" s="5"/>
      <c r="U25" s="5"/>
    </row>
    <row r="26" spans="2:21">
      <c r="B26" s="25"/>
      <c r="C26" s="25"/>
      <c r="D26" s="209"/>
      <c r="E26" s="209"/>
      <c r="F26" s="5"/>
      <c r="G26" s="5"/>
      <c r="H26" s="5"/>
      <c r="I26" s="134"/>
      <c r="J26" s="25"/>
      <c r="K26" s="203"/>
      <c r="L26" s="201"/>
      <c r="M26" s="209"/>
      <c r="N26" s="209"/>
      <c r="O26" s="211"/>
      <c r="Q26" s="5"/>
      <c r="R26" s="5"/>
      <c r="S26" s="5"/>
      <c r="T26" s="5"/>
      <c r="U26" s="5"/>
    </row>
    <row r="27" spans="2:21">
      <c r="B27" s="5"/>
      <c r="C27" s="5"/>
      <c r="D27" s="216"/>
      <c r="E27" s="216"/>
      <c r="F27" s="216"/>
      <c r="G27" s="216"/>
      <c r="H27" s="216"/>
      <c r="I27" s="5"/>
      <c r="J27" s="25"/>
      <c r="K27" s="203"/>
      <c r="L27" s="201"/>
      <c r="M27" s="209"/>
      <c r="N27" s="209"/>
      <c r="O27" s="210"/>
      <c r="Q27" s="202"/>
      <c r="R27" s="5"/>
      <c r="S27" s="5"/>
      <c r="T27" s="5"/>
      <c r="U27" s="5"/>
    </row>
    <row r="28" spans="2:21">
      <c r="B28" s="25"/>
      <c r="C28" s="25"/>
      <c r="D28" s="209"/>
      <c r="E28" s="209"/>
      <c r="F28" s="214"/>
      <c r="G28" s="214"/>
      <c r="H28" s="214"/>
      <c r="I28" s="214"/>
      <c r="J28" s="25"/>
      <c r="K28" s="203"/>
      <c r="L28" s="201"/>
      <c r="M28" s="214"/>
      <c r="N28" s="214"/>
      <c r="O28" s="211"/>
      <c r="Q28" s="5"/>
      <c r="R28" s="5"/>
      <c r="S28" s="5"/>
      <c r="T28" s="5"/>
      <c r="U28" s="5"/>
    </row>
    <row r="29" spans="2:21">
      <c r="B29" s="5"/>
      <c r="C29" s="5"/>
      <c r="D29" s="216"/>
      <c r="E29" s="216"/>
      <c r="F29" s="13"/>
      <c r="G29" s="13"/>
      <c r="H29" s="13"/>
      <c r="I29" s="13"/>
      <c r="J29" s="25"/>
      <c r="K29" s="203"/>
      <c r="L29" s="201"/>
      <c r="M29" s="13"/>
      <c r="N29" s="13"/>
      <c r="O29" s="208"/>
      <c r="Q29" s="5"/>
      <c r="R29" s="5"/>
      <c r="S29" s="5"/>
      <c r="T29" s="5"/>
      <c r="U29" s="5"/>
    </row>
    <row r="30" spans="2:21">
      <c r="B30" s="5"/>
      <c r="C30" s="5"/>
      <c r="D30" s="216"/>
      <c r="E30" s="216"/>
      <c r="F30" s="216"/>
      <c r="G30" s="216"/>
      <c r="H30" s="216"/>
      <c r="I30" s="5"/>
      <c r="J30" s="25"/>
      <c r="K30" s="203"/>
      <c r="L30" s="201"/>
      <c r="M30" s="217"/>
      <c r="N30" s="217"/>
      <c r="O30" s="14"/>
      <c r="Q30" s="5"/>
      <c r="R30" s="5"/>
      <c r="S30" s="5"/>
      <c r="T30" s="5"/>
      <c r="U30" s="5"/>
    </row>
    <row r="31" spans="2:21">
      <c r="B31" s="25"/>
      <c r="C31" s="25"/>
      <c r="D31" s="209"/>
      <c r="E31" s="209"/>
      <c r="F31" s="214"/>
      <c r="G31" s="214"/>
      <c r="H31" s="214"/>
      <c r="I31" s="214"/>
      <c r="J31" s="25"/>
      <c r="K31" s="203"/>
      <c r="L31" s="201"/>
      <c r="M31" s="214"/>
      <c r="N31" s="214"/>
      <c r="O31" s="211"/>
      <c r="Q31" s="5"/>
      <c r="R31" s="5"/>
      <c r="S31" s="5"/>
      <c r="T31" s="5"/>
      <c r="U31" s="5"/>
    </row>
    <row r="32" spans="2:21">
      <c r="B32" s="5"/>
      <c r="C32" s="5"/>
      <c r="D32" s="216"/>
      <c r="E32" s="216"/>
      <c r="F32" s="13"/>
      <c r="G32" s="13"/>
      <c r="H32" s="13"/>
      <c r="I32" s="13"/>
      <c r="J32" s="25"/>
      <c r="K32" s="203"/>
      <c r="L32" s="201"/>
      <c r="M32" s="13"/>
      <c r="N32" s="13"/>
      <c r="O32" s="14"/>
      <c r="Q32" s="5"/>
      <c r="R32" s="5"/>
      <c r="S32" s="5"/>
      <c r="T32" s="5"/>
      <c r="U32" s="5"/>
    </row>
    <row r="33" spans="2:21">
      <c r="B33" s="5"/>
      <c r="C33" s="5"/>
      <c r="D33" s="208"/>
      <c r="E33" s="208"/>
      <c r="F33" s="208"/>
      <c r="G33" s="208"/>
      <c r="H33" s="208"/>
      <c r="I33" s="5"/>
      <c r="J33" s="25"/>
      <c r="K33" s="203"/>
      <c r="L33" s="201"/>
      <c r="M33" s="217"/>
      <c r="N33" s="217"/>
      <c r="O33" s="14"/>
      <c r="Q33" s="5"/>
      <c r="R33" s="5"/>
      <c r="S33" s="5"/>
      <c r="T33" s="5"/>
      <c r="U33" s="5"/>
    </row>
    <row r="34" spans="2:21">
      <c r="B34" s="25"/>
      <c r="C34" s="25"/>
      <c r="D34" s="209"/>
      <c r="E34" s="209"/>
      <c r="F34" s="209"/>
      <c r="G34" s="209"/>
      <c r="H34" s="209"/>
      <c r="I34" s="209"/>
      <c r="J34" s="25"/>
      <c r="K34" s="203"/>
      <c r="L34" s="201"/>
      <c r="M34" s="209"/>
      <c r="N34" s="209"/>
      <c r="O34" s="211"/>
      <c r="Q34" s="5"/>
      <c r="R34" s="5"/>
      <c r="S34" s="5"/>
      <c r="T34" s="5"/>
      <c r="U34" s="5"/>
    </row>
    <row r="35" spans="2:21">
      <c r="B35" s="5"/>
      <c r="C35" s="5"/>
      <c r="D35" s="5"/>
      <c r="E35" s="5"/>
      <c r="F35" s="208"/>
      <c r="G35" s="208"/>
      <c r="H35" s="208"/>
      <c r="I35" s="208"/>
      <c r="J35" s="25"/>
      <c r="K35" s="203"/>
      <c r="L35" s="201"/>
      <c r="M35" s="208"/>
      <c r="N35" s="208"/>
      <c r="O35" s="14"/>
      <c r="Q35" s="5"/>
      <c r="R35" s="5"/>
      <c r="S35" s="5"/>
      <c r="T35" s="5"/>
      <c r="U35" s="5"/>
    </row>
  </sheetData>
  <phoneticPr fontId="7" type="noConversion"/>
  <pageMargins left="0.75" right="0.75" top="1" bottom="1" header="0.5" footer="0.5"/>
  <pageSetup scale="57"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7">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807</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306</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v>
      </c>
      <c r="C9" s="221">
        <f>Prices!C99</f>
        <v>54.91</v>
      </c>
      <c r="D9" s="412">
        <v>0</v>
      </c>
      <c r="E9" s="413">
        <v>0</v>
      </c>
      <c r="F9" s="413">
        <v>0</v>
      </c>
      <c r="G9" s="413">
        <v>0</v>
      </c>
      <c r="H9" s="209"/>
      <c r="I9" s="209"/>
      <c r="J9" s="5" t="s">
        <v>225</v>
      </c>
      <c r="L9" s="406">
        <f>'EMEA CELLULAR'!D37</f>
        <v>2.6199275856048252</v>
      </c>
      <c r="M9" s="406">
        <f>'EMEA CELLULAR'!E37</f>
        <v>2.1019432698335514</v>
      </c>
      <c r="N9" s="406">
        <f>'EMEA CELLULAR'!F37</f>
        <v>1.7673158441321424</v>
      </c>
      <c r="O9" s="406">
        <f>'EMEA CELLULAR'!G37</f>
        <v>1.490977100486143</v>
      </c>
      <c r="P9" s="240">
        <f>'EMEA CELLULAR'!H37</f>
        <v>0.13657312279124967</v>
      </c>
    </row>
    <row r="10" spans="2:44">
      <c r="B10" s="5" t="s">
        <v>226</v>
      </c>
      <c r="C10" s="5"/>
      <c r="D10" s="408">
        <v>70.230415796468577</v>
      </c>
      <c r="E10" s="408">
        <v>69.56590089234858</v>
      </c>
      <c r="F10" s="408">
        <v>68.901385988228583</v>
      </c>
      <c r="G10" s="408">
        <v>68.331801784697163</v>
      </c>
      <c r="H10" s="207"/>
      <c r="I10" s="207"/>
      <c r="J10" s="5" t="s">
        <v>158</v>
      </c>
      <c r="L10" s="406">
        <f>'EMEA CELLULAR'!D38</f>
        <v>7.4049431236829459</v>
      </c>
      <c r="M10" s="406">
        <f>'EMEA CELLULAR'!E38</f>
        <v>6.1564377862490218</v>
      </c>
      <c r="N10" s="406">
        <f>'EMEA CELLULAR'!F38</f>
        <v>4.4837178583666226</v>
      </c>
      <c r="O10" s="406">
        <f>'EMEA CELLULAR'!G38</f>
        <v>3.6958642793873961</v>
      </c>
      <c r="P10" s="240">
        <f>'EMEA CELLULAR'!H38</f>
        <v>0.18738943723674595</v>
      </c>
    </row>
    <row r="11" spans="2:44">
      <c r="B11" s="25" t="s">
        <v>227</v>
      </c>
      <c r="C11" s="5"/>
      <c r="D11" s="409">
        <f>$C$9*D10</f>
        <v>3856.3521313840893</v>
      </c>
      <c r="E11" s="409">
        <f>$C$9*E10</f>
        <v>3819.8636179988603</v>
      </c>
      <c r="F11" s="409">
        <f>$C$9*F10</f>
        <v>3783.3751046136313</v>
      </c>
      <c r="G11" s="409">
        <f>$C$9*G10</f>
        <v>3752.0992359977208</v>
      </c>
      <c r="H11" s="209"/>
      <c r="I11" s="209"/>
      <c r="J11" s="5" t="s">
        <v>159</v>
      </c>
      <c r="L11" s="406">
        <f>'EMEA CELLULAR'!D39</f>
        <v>13.77606277730415</v>
      </c>
      <c r="M11" s="406">
        <f>'EMEA CELLULAR'!E39</f>
        <v>11.672285536375483</v>
      </c>
      <c r="N11" s="406">
        <f>'EMEA CELLULAR'!F39</f>
        <v>7.4496586865144394</v>
      </c>
      <c r="O11" s="406">
        <f>'EMEA CELLULAR'!G39</f>
        <v>5.9832990727504578</v>
      </c>
      <c r="P11" s="240">
        <f>'EMEA CELLULAR'!H39</f>
        <v>0.24371081525857741</v>
      </c>
    </row>
    <row r="12" spans="2:44">
      <c r="B12" s="5" t="s">
        <v>22</v>
      </c>
      <c r="C12" s="209"/>
      <c r="D12" s="410">
        <v>2514.7178885100143</v>
      </c>
      <c r="E12" s="410">
        <v>2175.5978051209149</v>
      </c>
      <c r="F12" s="410">
        <v>1734.7830823309077</v>
      </c>
      <c r="G12" s="410">
        <v>1202.3801542480685</v>
      </c>
      <c r="H12" s="207"/>
      <c r="I12" s="207"/>
      <c r="J12" s="5" t="s">
        <v>381</v>
      </c>
      <c r="L12" s="406">
        <f>'EMEA CELLULAR'!D40</f>
        <v>19.591583567499963</v>
      </c>
      <c r="M12" s="406">
        <f>'EMEA CELLULAR'!E40</f>
        <v>16.863939410662088</v>
      </c>
      <c r="N12" s="406">
        <f>'EMEA CELLULAR'!F40</f>
        <v>10.664588793239982</v>
      </c>
      <c r="O12" s="406">
        <f>'EMEA CELLULAR'!G40</f>
        <v>8.5573074542660397</v>
      </c>
      <c r="P12" s="240">
        <f>'EMEA CELLULAR'!H40</f>
        <v>0.24137238116561188</v>
      </c>
    </row>
    <row r="13" spans="2:44">
      <c r="B13" s="5" t="s">
        <v>433</v>
      </c>
      <c r="C13" s="216"/>
      <c r="D13" s="410">
        <v>1000</v>
      </c>
      <c r="E13" s="410">
        <v>1000</v>
      </c>
      <c r="F13" s="410">
        <v>1000</v>
      </c>
      <c r="G13" s="410">
        <v>1000</v>
      </c>
      <c r="H13" s="207"/>
      <c r="I13" s="207"/>
      <c r="J13" s="5" t="s">
        <v>434</v>
      </c>
      <c r="L13" s="406">
        <f>'EMEA CELLULAR'!D41</f>
        <v>2.4931198659149474</v>
      </c>
      <c r="M13" s="406">
        <f>'EMEA CELLULAR'!E41</f>
        <v>2.1495302617941814</v>
      </c>
      <c r="N13" s="406">
        <f>'EMEA CELLULAR'!F41</f>
        <v>2.0138651536880712</v>
      </c>
      <c r="O13" s="406">
        <f>'EMEA CELLULAR'!G41</f>
        <v>1.7818698478870838</v>
      </c>
      <c r="P13" s="240">
        <f>'EMEA CELLULAR'!H41</f>
        <v>5.3449376644030044E-2</v>
      </c>
    </row>
    <row r="14" spans="2:44">
      <c r="B14" s="5" t="s">
        <v>436</v>
      </c>
      <c r="C14" s="216"/>
      <c r="D14" s="410">
        <v>0</v>
      </c>
      <c r="E14" s="410">
        <v>0</v>
      </c>
      <c r="F14" s="410">
        <v>0</v>
      </c>
      <c r="G14" s="410">
        <v>0</v>
      </c>
      <c r="H14" s="207"/>
      <c r="I14" s="207"/>
      <c r="J14" s="5" t="s">
        <v>493</v>
      </c>
      <c r="L14" s="406">
        <f>'EMEA CELLULAR'!D42</f>
        <v>3.2594845164113617</v>
      </c>
      <c r="M14" s="406">
        <f>'EMEA CELLULAR'!E42</f>
        <v>2.7593129191981953</v>
      </c>
      <c r="N14" s="406">
        <f>'EMEA CELLULAR'!F42</f>
        <v>2.4319311799132723</v>
      </c>
      <c r="O14" s="406">
        <f>'EMEA CELLULAR'!G42</f>
        <v>2.1027645091274914</v>
      </c>
      <c r="P14" s="240">
        <f>'EMEA CELLULAR'!H42</f>
        <v>9.004402418470403E-2</v>
      </c>
    </row>
    <row r="15" spans="2:44">
      <c r="B15" s="5" t="s">
        <v>435</v>
      </c>
      <c r="C15" s="228"/>
      <c r="D15" s="410">
        <v>1176.9744791648275</v>
      </c>
      <c r="E15" s="410">
        <v>1176.9744791648275</v>
      </c>
      <c r="F15" s="410">
        <v>1176.9744791648275</v>
      </c>
      <c r="G15" s="410">
        <v>1176.9744791648275</v>
      </c>
      <c r="H15" s="207"/>
      <c r="I15" s="207"/>
      <c r="J15" s="5" t="s">
        <v>390</v>
      </c>
      <c r="L15" s="406">
        <f>'EMEA CELLULAR'!D43</f>
        <v>23.450165248936997</v>
      </c>
      <c r="M15" s="406">
        <f>'EMEA CELLULAR'!E43</f>
        <v>15.410353469940693</v>
      </c>
      <c r="N15" s="406">
        <f>'EMEA CELLULAR'!F43</f>
        <v>12.326327706891529</v>
      </c>
      <c r="O15" s="406">
        <f>'EMEA CELLULAR'!G43</f>
        <v>10.503745422567203</v>
      </c>
      <c r="P15" s="240">
        <f>'EMEA CELLULAR'!H43</f>
        <v>0.29920862771021017</v>
      </c>
    </row>
    <row r="16" spans="2:44">
      <c r="B16" s="5" t="s">
        <v>438</v>
      </c>
      <c r="C16" s="216"/>
      <c r="D16" s="410">
        <v>0</v>
      </c>
      <c r="E16" s="410">
        <v>0</v>
      </c>
      <c r="F16" s="410">
        <v>0</v>
      </c>
      <c r="G16" s="410">
        <v>0</v>
      </c>
      <c r="H16" s="207"/>
      <c r="I16" s="207"/>
      <c r="J16" s="5" t="s">
        <v>437</v>
      </c>
      <c r="L16" s="406">
        <f>'EMEA CELLULAR'!D44</f>
        <v>13.987504843658609</v>
      </c>
      <c r="M16" s="406">
        <f>'EMEA CELLULAR'!E44</f>
        <v>10.43067037532062</v>
      </c>
      <c r="N16" s="406">
        <f>'EMEA CELLULAR'!F44</f>
        <v>8.2767848489788651</v>
      </c>
      <c r="O16" s="406">
        <f>'EMEA CELLULAR'!G44</f>
        <v>7.004852314981683</v>
      </c>
      <c r="P16" s="240">
        <f>'EMEA CELLULAR'!H44</f>
        <v>0.25177251450443627</v>
      </c>
    </row>
    <row r="17" spans="2:24">
      <c r="B17" s="5" t="s">
        <v>4</v>
      </c>
      <c r="C17" s="216"/>
      <c r="D17" s="410">
        <v>0</v>
      </c>
      <c r="E17" s="410">
        <v>0</v>
      </c>
      <c r="F17" s="410">
        <v>0</v>
      </c>
      <c r="G17" s="410">
        <v>0</v>
      </c>
      <c r="H17" s="207"/>
      <c r="I17" s="207"/>
      <c r="J17" s="5" t="s">
        <v>481</v>
      </c>
      <c r="L17" s="208">
        <f>'EMEA CELLULAR'!D45</f>
        <v>3.0544287380878801E-2</v>
      </c>
      <c r="M17" s="208">
        <f>'EMEA CELLULAR'!E45</f>
        <v>4.395508539543818E-2</v>
      </c>
      <c r="N17" s="208">
        <f>'EMEA CELLULAR'!F45</f>
        <v>5.3871956178551617E-2</v>
      </c>
      <c r="O17" s="208">
        <f>'EMEA CELLULAR'!G45</f>
        <v>6.3557237996527752E-2</v>
      </c>
      <c r="P17" s="240">
        <f>'EMEA CELLULAR'!H45</f>
        <v>0.26908290905415133</v>
      </c>
      <c r="S17" s="72"/>
      <c r="T17" s="26"/>
      <c r="U17" s="26"/>
      <c r="V17" s="26"/>
      <c r="W17" s="26"/>
      <c r="X17" s="26"/>
    </row>
    <row r="18" spans="2:24" ht="12.6" thickBot="1">
      <c r="B18" s="25" t="s">
        <v>484</v>
      </c>
      <c r="C18" s="209"/>
      <c r="D18" s="411">
        <f>D11+D12+D13-D14+D15-D16-D17</f>
        <v>8548.0444990589313</v>
      </c>
      <c r="E18" s="411">
        <f>E11+E12+E13-E14+E15-E16-E17</f>
        <v>8172.4359022846029</v>
      </c>
      <c r="F18" s="411">
        <f>F11+F12+F13-F14+F15-F16-F17</f>
        <v>7695.1326661093663</v>
      </c>
      <c r="G18" s="411">
        <f>G11+G12+G13-G14+G15-G16-G17</f>
        <v>7131.4538694106168</v>
      </c>
      <c r="H18" s="230">
        <f>IF(D18=0,"nm",IF(G18=0,"nm",(G18/D18)^(1/3)-1))</f>
        <v>-5.8608149599005399E-2</v>
      </c>
      <c r="I18" s="214"/>
      <c r="J18" s="5" t="s">
        <v>33</v>
      </c>
      <c r="L18" s="208">
        <f>'EMEA CELLULAR'!D46</f>
        <v>2.6498586982557595E-2</v>
      </c>
      <c r="M18" s="208">
        <f>'EMEA CELLULAR'!E46</f>
        <v>1.0808246113551016E-2</v>
      </c>
      <c r="N18" s="208">
        <f>'EMEA CELLULAR'!F46</f>
        <v>5.7520239450434246E-2</v>
      </c>
      <c r="O18" s="208">
        <f>'EMEA CELLULAR'!G46</f>
        <v>6.7155888346752513E-2</v>
      </c>
      <c r="P18" s="240">
        <f>'EMEA CELLULAR'!H46</f>
        <v>0.35528963407723091</v>
      </c>
      <c r="S18" s="72"/>
      <c r="T18" s="26"/>
      <c r="U18" s="26"/>
      <c r="V18" s="26"/>
      <c r="W18" s="26"/>
      <c r="X18" s="26"/>
    </row>
    <row r="19" spans="2:24" ht="12.6" thickTop="1">
      <c r="B19" s="25"/>
      <c r="C19" s="209"/>
      <c r="D19" s="189"/>
      <c r="E19" s="189"/>
      <c r="F19" s="189"/>
      <c r="G19" s="189"/>
      <c r="H19" s="230"/>
      <c r="I19" s="214"/>
      <c r="J19" s="5" t="s">
        <v>482</v>
      </c>
      <c r="L19" s="208">
        <f>'EMEA CELLULAR'!D47</f>
        <v>4.2643622737171552E-2</v>
      </c>
      <c r="M19" s="208">
        <f>'EMEA CELLULAR'!E47</f>
        <v>6.4891438210719285E-2</v>
      </c>
      <c r="N19" s="208">
        <f>'EMEA CELLULAR'!F47</f>
        <v>8.1127163237831965E-2</v>
      </c>
      <c r="O19" s="208">
        <f>'EMEA CELLULAR'!G47</f>
        <v>9.5204135265074971E-2</v>
      </c>
      <c r="P19" s="240">
        <f>'EMEA CELLULAR'!H47</f>
        <v>0.29920862771021017</v>
      </c>
      <c r="S19" s="72"/>
      <c r="T19" s="26"/>
      <c r="U19" s="26"/>
      <c r="V19" s="26"/>
      <c r="W19" s="26"/>
      <c r="X19" s="26"/>
    </row>
    <row r="20" spans="2:24">
      <c r="H20" s="231"/>
      <c r="I20" s="13"/>
      <c r="J20" s="5" t="s">
        <v>504</v>
      </c>
      <c r="L20" s="248">
        <f>'EMEA CELLULAR'!D48</f>
        <v>0.71626858649262892</v>
      </c>
      <c r="M20" s="248">
        <f>'EMEA CELLULAR'!E48</f>
        <v>0.67736340274513018</v>
      </c>
      <c r="N20" s="248">
        <f>'EMEA CELLULAR'!F48</f>
        <v>0.66404338606812718</v>
      </c>
      <c r="O20" s="248">
        <f>'EMEA CELLULAR'!G48</f>
        <v>0.66758904767704264</v>
      </c>
      <c r="P20" s="240" t="str">
        <f>'EMEA CELLULAR'!H48</f>
        <v>nm</v>
      </c>
      <c r="S20" s="72"/>
      <c r="T20" s="26"/>
      <c r="U20" s="26"/>
      <c r="V20" s="26"/>
      <c r="W20" s="26"/>
      <c r="X20" s="26"/>
    </row>
    <row r="21" spans="2:24" ht="12.6" thickBot="1">
      <c r="B21" s="249" t="s">
        <v>756</v>
      </c>
      <c r="C21" s="219"/>
      <c r="D21" s="219" t="str">
        <f>D5</f>
        <v>2025E</v>
      </c>
      <c r="E21" s="219" t="str">
        <f t="shared" ref="E21:H21" si="2">E5</f>
        <v>2026E</v>
      </c>
      <c r="F21" s="219" t="str">
        <f t="shared" si="2"/>
        <v>2027E</v>
      </c>
      <c r="G21" s="219" t="str">
        <f t="shared" si="2"/>
        <v>2028E</v>
      </c>
      <c r="H21" s="219" t="str">
        <f t="shared" si="2"/>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4004.1196506729857</v>
      </c>
      <c r="D23" s="416">
        <v>4348.438753050913</v>
      </c>
      <c r="E23" s="416">
        <v>4673.3242804555794</v>
      </c>
      <c r="F23" s="416">
        <v>4960.1359808131474</v>
      </c>
      <c r="G23" s="416">
        <v>5246.5549006414867</v>
      </c>
      <c r="H23" s="233">
        <f t="shared" ref="H23:H32" si="3">IF(D23=0,"nm",IF(G23=0,"nm",(G23/D23)^(1/3)-1))</f>
        <v>6.4584866179597578E-2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1690.9970831825494</v>
      </c>
      <c r="D24" s="416">
        <v>1935.6438696409291</v>
      </c>
      <c r="E24" s="416">
        <v>2073.3627825341596</v>
      </c>
      <c r="F24" s="416">
        <v>2231.1039916116556</v>
      </c>
      <c r="G24" s="416">
        <v>2373.163660090916</v>
      </c>
      <c r="H24" s="233">
        <f t="shared" si="3"/>
        <v>7.0288217253233753E-2</v>
      </c>
      <c r="I24" s="209"/>
      <c r="J24" s="13"/>
      <c r="K24" s="13"/>
      <c r="L24" s="13"/>
      <c r="M24" s="13"/>
      <c r="N24" s="13"/>
      <c r="O24" s="208"/>
      <c r="S24" s="72"/>
      <c r="T24" s="26"/>
      <c r="U24" s="26"/>
      <c r="V24" s="26"/>
      <c r="W24" s="26" t="s">
        <v>166</v>
      </c>
      <c r="X24" s="26" t="s">
        <v>418</v>
      </c>
    </row>
    <row r="25" spans="2:24">
      <c r="B25" s="5" t="s">
        <v>157</v>
      </c>
      <c r="C25" s="422">
        <v>864.41270123569302</v>
      </c>
      <c r="D25" s="416">
        <v>1100.7908428835894</v>
      </c>
      <c r="E25" s="416">
        <v>1251.3753458511073</v>
      </c>
      <c r="F25" s="416">
        <v>1387.8570616128295</v>
      </c>
      <c r="G25" s="416">
        <v>1500.4721322218186</v>
      </c>
      <c r="H25" s="233">
        <f t="shared" si="3"/>
        <v>0.10876891540378608</v>
      </c>
      <c r="I25" s="208"/>
      <c r="J25" s="207" t="s">
        <v>8</v>
      </c>
      <c r="K25" s="207"/>
      <c r="L25" s="252">
        <v>0</v>
      </c>
      <c r="M25" s="252">
        <v>0</v>
      </c>
      <c r="N25" s="252">
        <v>0</v>
      </c>
      <c r="O25" s="252">
        <v>0</v>
      </c>
      <c r="P25" s="233" t="str">
        <f>IF(L25=0,"nm",IF(O25=0,"nm",(O25/L25)^(1/3)-1))</f>
        <v>nm</v>
      </c>
      <c r="S25" s="72"/>
      <c r="T25" s="26"/>
      <c r="U25" s="26"/>
      <c r="V25" s="113" t="s">
        <v>225</v>
      </c>
      <c r="W25" s="242">
        <f>D37/L9</f>
        <v>0.75031586452412358</v>
      </c>
      <c r="X25" s="242">
        <v>1</v>
      </c>
    </row>
    <row r="26" spans="2:24">
      <c r="B26" s="5" t="s">
        <v>487</v>
      </c>
      <c r="C26" s="422">
        <v>597.96730895139558</v>
      </c>
      <c r="D26" s="416">
        <v>825.59313216269209</v>
      </c>
      <c r="E26" s="416">
        <v>863.44898863726405</v>
      </c>
      <c r="F26" s="416">
        <v>957.6213725128523</v>
      </c>
      <c r="G26" s="416">
        <v>1035.3257712330546</v>
      </c>
      <c r="H26" s="233">
        <f t="shared" si="3"/>
        <v>7.8376257980522279E-2</v>
      </c>
      <c r="I26" s="209"/>
      <c r="J26" s="209" t="s">
        <v>9</v>
      </c>
      <c r="K26" s="209"/>
      <c r="L26" s="235">
        <f>D11+L25</f>
        <v>3856.3521313840893</v>
      </c>
      <c r="M26" s="235">
        <f>E11+M25</f>
        <v>3819.8636179988603</v>
      </c>
      <c r="N26" s="235">
        <f>F11+N25</f>
        <v>3783.3751046136313</v>
      </c>
      <c r="O26" s="235">
        <f>G11+O25</f>
        <v>3752.0992359977208</v>
      </c>
      <c r="P26" s="233">
        <f>IF(L26=0,"nm",IF(O26=0,"nm",(O26/L26)^(1/3)-1))</f>
        <v>-9.0938034158111192E-3</v>
      </c>
      <c r="Q26" s="5"/>
      <c r="S26" s="72"/>
      <c r="T26" s="26"/>
      <c r="U26" s="26"/>
      <c r="V26" s="113" t="s">
        <v>158</v>
      </c>
      <c r="W26" s="242">
        <f t="shared" ref="W26:W33" si="5">D38/L10</f>
        <v>0.59637522136405274</v>
      </c>
      <c r="X26" s="242">
        <v>1</v>
      </c>
    </row>
    <row r="27" spans="2:24">
      <c r="B27" s="5" t="s">
        <v>488</v>
      </c>
      <c r="C27" s="423">
        <v>4191</v>
      </c>
      <c r="D27" s="416">
        <v>4469.2803625711649</v>
      </c>
      <c r="E27" s="416">
        <v>4670.8896426331248</v>
      </c>
      <c r="F27" s="416">
        <v>4885.6196470288105</v>
      </c>
      <c r="G27" s="416">
        <v>5138.2306105379703</v>
      </c>
      <c r="H27" s="233">
        <f t="shared" si="3"/>
        <v>4.7591576318088524E-2</v>
      </c>
      <c r="I27" s="209"/>
      <c r="J27" s="208"/>
      <c r="K27" s="208"/>
      <c r="L27" s="208"/>
      <c r="M27" s="208"/>
      <c r="N27" s="208"/>
      <c r="O27" s="208"/>
      <c r="Q27" s="25"/>
      <c r="S27" s="72"/>
      <c r="T27" s="26"/>
      <c r="U27" s="26"/>
      <c r="V27" s="113" t="s">
        <v>159</v>
      </c>
      <c r="W27" s="242">
        <f t="shared" si="5"/>
        <v>0.56368548653687589</v>
      </c>
      <c r="X27" s="242">
        <v>1</v>
      </c>
    </row>
    <row r="28" spans="2:24" ht="12.6" thickBot="1">
      <c r="B28" s="5" t="s">
        <v>492</v>
      </c>
      <c r="C28" s="422">
        <v>3016</v>
      </c>
      <c r="D28" s="416">
        <v>3427.4379021326727</v>
      </c>
      <c r="E28" s="416">
        <v>3767.5080128577169</v>
      </c>
      <c r="F28" s="416">
        <v>4111.3616351424489</v>
      </c>
      <c r="G28" s="416">
        <v>4469.975465745697</v>
      </c>
      <c r="H28" s="233">
        <f t="shared" si="3"/>
        <v>9.2559710853421517E-2</v>
      </c>
      <c r="I28" s="208"/>
      <c r="J28" s="249" t="s">
        <v>1073</v>
      </c>
      <c r="K28" s="249"/>
      <c r="L28" s="249"/>
      <c r="M28" s="249"/>
      <c r="N28" s="220"/>
      <c r="O28" s="220"/>
      <c r="P28" s="220"/>
      <c r="Q28" s="5"/>
      <c r="S28" s="72"/>
      <c r="T28" s="26"/>
      <c r="U28" s="26"/>
      <c r="V28" s="113" t="s">
        <v>381</v>
      </c>
      <c r="W28" s="242">
        <f t="shared" si="5"/>
        <v>0.52848317050246185</v>
      </c>
      <c r="X28" s="242">
        <v>1</v>
      </c>
    </row>
    <row r="29" spans="2:24" ht="12.6" thickTop="1">
      <c r="B29" s="5" t="s">
        <v>489</v>
      </c>
      <c r="C29" s="422">
        <v>88</v>
      </c>
      <c r="D29" s="416">
        <v>261.5664990204948</v>
      </c>
      <c r="E29" s="416">
        <v>421.6909248178772</v>
      </c>
      <c r="F29" s="416">
        <v>520.9583873114625</v>
      </c>
      <c r="G29" s="416">
        <v>606.5598498887116</v>
      </c>
      <c r="H29" s="233">
        <f t="shared" si="3"/>
        <v>0.32362160289815556</v>
      </c>
      <c r="I29" s="212"/>
      <c r="J29" s="209"/>
      <c r="K29" s="209"/>
      <c r="L29" s="209"/>
      <c r="M29" s="209"/>
      <c r="N29" s="209"/>
      <c r="O29" s="211"/>
      <c r="Q29" s="5"/>
      <c r="S29" s="72"/>
      <c r="T29" s="26"/>
      <c r="U29" s="26"/>
      <c r="V29" s="113" t="s">
        <v>434</v>
      </c>
      <c r="W29" s="242">
        <f t="shared" si="5"/>
        <v>0.76716011531579986</v>
      </c>
      <c r="X29" s="242">
        <v>1</v>
      </c>
    </row>
    <row r="30" spans="2:24">
      <c r="B30" s="5" t="s">
        <v>490</v>
      </c>
      <c r="C30" s="423">
        <v>273.30816272800399</v>
      </c>
      <c r="D30" s="416">
        <v>525.86247406115103</v>
      </c>
      <c r="E30" s="416">
        <v>536.5669620752808</v>
      </c>
      <c r="F30" s="416">
        <v>636.08703189901621</v>
      </c>
      <c r="G30" s="416">
        <v>756.70526439145669</v>
      </c>
      <c r="H30" s="233">
        <f t="shared" si="3"/>
        <v>0.12897638639085662</v>
      </c>
      <c r="I30" s="214"/>
      <c r="J30" s="208"/>
      <c r="K30" s="208"/>
      <c r="L30" s="208"/>
      <c r="M30" s="208"/>
      <c r="N30" s="208"/>
      <c r="O30" s="5"/>
      <c r="Q30" s="5"/>
      <c r="S30" s="72"/>
      <c r="T30" s="26"/>
      <c r="U30" s="26"/>
      <c r="V30" s="113" t="s">
        <v>493</v>
      </c>
      <c r="W30" s="242">
        <f t="shared" si="5"/>
        <v>0.76515294992553484</v>
      </c>
      <c r="X30" s="242">
        <v>1</v>
      </c>
    </row>
    <row r="31" spans="2:24">
      <c r="B31" s="5" t="s">
        <v>28</v>
      </c>
      <c r="C31" s="423">
        <v>0</v>
      </c>
      <c r="D31" s="416">
        <v>0</v>
      </c>
      <c r="E31" s="416">
        <v>0</v>
      </c>
      <c r="F31" s="416">
        <v>0</v>
      </c>
      <c r="G31" s="416">
        <v>0</v>
      </c>
      <c r="H31" s="233" t="str">
        <f t="shared" si="3"/>
        <v>nm</v>
      </c>
      <c r="I31" s="214"/>
      <c r="J31" s="212"/>
      <c r="K31" s="212"/>
      <c r="L31" s="212"/>
      <c r="M31" s="212"/>
      <c r="N31" s="212"/>
      <c r="O31" s="5"/>
      <c r="Q31" s="5"/>
      <c r="S31" s="72"/>
      <c r="T31" s="26"/>
      <c r="U31" s="26"/>
      <c r="V31" s="113" t="s">
        <v>390</v>
      </c>
      <c r="W31" s="242">
        <f t="shared" si="5"/>
        <v>0.62870752198103663</v>
      </c>
      <c r="X31" s="242">
        <v>1</v>
      </c>
    </row>
    <row r="32" spans="2:24">
      <c r="B32" s="5" t="s">
        <v>506</v>
      </c>
      <c r="C32" s="424">
        <v>0</v>
      </c>
      <c r="D32" s="416">
        <v>30</v>
      </c>
      <c r="E32" s="416">
        <v>35</v>
      </c>
      <c r="F32" s="416">
        <v>35</v>
      </c>
      <c r="G32" s="416">
        <v>30</v>
      </c>
      <c r="H32" s="233">
        <f t="shared" si="3"/>
        <v>0</v>
      </c>
      <c r="I32" s="214"/>
      <c r="J32" s="214"/>
      <c r="K32" s="214"/>
      <c r="L32" s="214"/>
      <c r="M32" s="214"/>
      <c r="N32" s="214"/>
      <c r="O32" s="211"/>
      <c r="Q32" s="5"/>
      <c r="S32" s="72"/>
      <c r="T32" s="26"/>
      <c r="U32" s="26"/>
      <c r="V32" s="113" t="s">
        <v>437</v>
      </c>
      <c r="W32" s="242">
        <f t="shared" si="5"/>
        <v>0.52428116172927663</v>
      </c>
      <c r="X32" s="242">
        <v>1</v>
      </c>
    </row>
    <row r="33" spans="2:24">
      <c r="B33" s="5" t="s">
        <v>3</v>
      </c>
      <c r="C33" s="423">
        <v>-446</v>
      </c>
      <c r="D33" s="416">
        <v>-394.20603179773485</v>
      </c>
      <c r="E33" s="416">
        <v>-346.08943843395735</v>
      </c>
      <c r="F33" s="416">
        <v>-305.69066663457357</v>
      </c>
      <c r="G33" s="416">
        <v>-255.78652659917168</v>
      </c>
      <c r="H33" s="233">
        <f>IF(D33=0,"nm",IF(G33=0,"nm",(G33/D33)^(1/3)-1))</f>
        <v>-0.1342653503995328</v>
      </c>
      <c r="I33" s="5"/>
      <c r="J33" s="214"/>
      <c r="K33" s="214"/>
      <c r="L33" s="214"/>
      <c r="M33" s="214"/>
      <c r="N33" s="214"/>
      <c r="O33" s="211"/>
      <c r="Q33" s="5"/>
      <c r="S33" s="72"/>
      <c r="T33" s="26"/>
      <c r="U33" s="26"/>
      <c r="V33" s="113" t="s">
        <v>481</v>
      </c>
      <c r="W33" s="242">
        <f t="shared" si="5"/>
        <v>0</v>
      </c>
      <c r="X33" s="242">
        <v>1</v>
      </c>
    </row>
    <row r="34" spans="2:24">
      <c r="H34" s="231"/>
      <c r="I34" s="33"/>
      <c r="J34" s="214"/>
      <c r="K34" s="214"/>
      <c r="L34" s="214"/>
      <c r="M34" s="214"/>
      <c r="N34" s="214"/>
      <c r="O34" s="211"/>
      <c r="Q34" s="5"/>
      <c r="S34" s="72"/>
      <c r="T34" s="26"/>
      <c r="U34" s="26"/>
      <c r="V34" s="113" t="s">
        <v>482</v>
      </c>
      <c r="W34" s="242">
        <f>D47/L19</f>
        <v>1.5905647141758907</v>
      </c>
      <c r="X34" s="242">
        <v>1</v>
      </c>
    </row>
    <row r="35" spans="2:24" ht="12.6" thickBot="1">
      <c r="B35" s="249" t="s">
        <v>413</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1.9657732313836842</v>
      </c>
      <c r="E37" s="406">
        <f t="shared" ref="E37:G41" si="7">E$18/E23</f>
        <v>1.7487414550842837</v>
      </c>
      <c r="F37" s="406">
        <f t="shared" si="7"/>
        <v>1.5513955052594854</v>
      </c>
      <c r="G37" s="406">
        <f t="shared" si="7"/>
        <v>1.3592641275017758</v>
      </c>
      <c r="H37" s="13">
        <f t="shared" ref="H37:H45" si="8">H23</f>
        <v>6.4584866179597578E-2</v>
      </c>
      <c r="I37" s="5"/>
      <c r="J37" s="217"/>
      <c r="K37" s="217"/>
      <c r="L37" s="217"/>
      <c r="M37" s="217"/>
      <c r="N37" s="217"/>
      <c r="O37" s="14"/>
      <c r="Q37" s="5"/>
      <c r="R37" s="5"/>
      <c r="S37" s="26"/>
      <c r="T37" s="26"/>
      <c r="U37" s="26"/>
      <c r="V37" s="26"/>
      <c r="W37" s="26"/>
      <c r="X37" s="26"/>
    </row>
    <row r="38" spans="2:24">
      <c r="B38" s="5" t="s">
        <v>158</v>
      </c>
      <c r="C38" s="207"/>
      <c r="D38" s="406">
        <f>D$18/D24</f>
        <v>4.4161245945746375</v>
      </c>
      <c r="E38" s="406">
        <f t="shared" si="7"/>
        <v>3.9416333557872951</v>
      </c>
      <c r="F38" s="406">
        <f t="shared" si="7"/>
        <v>3.4490246510431484</v>
      </c>
      <c r="G38" s="406">
        <f t="shared" si="7"/>
        <v>3.0050409035580001</v>
      </c>
      <c r="H38" s="13">
        <f t="shared" si="8"/>
        <v>7.0288217253233753E-2</v>
      </c>
      <c r="I38" s="217"/>
      <c r="J38" s="13"/>
      <c r="K38" s="13"/>
      <c r="L38" s="13"/>
      <c r="M38" s="13"/>
      <c r="N38" s="13"/>
      <c r="O38" s="5"/>
      <c r="Q38" s="5"/>
      <c r="R38" s="5"/>
      <c r="S38" s="26"/>
      <c r="T38" s="26"/>
      <c r="U38" s="26"/>
      <c r="V38" s="26"/>
      <c r="W38" s="26"/>
      <c r="X38" s="26"/>
    </row>
    <row r="39" spans="2:24">
      <c r="B39" s="5" t="s">
        <v>159</v>
      </c>
      <c r="C39" s="207"/>
      <c r="D39" s="406">
        <f>D$18/D25</f>
        <v>7.7653666491872348</v>
      </c>
      <c r="E39" s="406">
        <f t="shared" si="7"/>
        <v>6.5307630755073109</v>
      </c>
      <c r="F39" s="406">
        <f t="shared" si="7"/>
        <v>5.5446147005707118</v>
      </c>
      <c r="G39" s="406">
        <f t="shared" si="7"/>
        <v>4.7528066108437104</v>
      </c>
      <c r="H39" s="13">
        <f t="shared" si="8"/>
        <v>0.10876891540378608</v>
      </c>
      <c r="I39" s="13"/>
      <c r="J39" s="5"/>
      <c r="K39" s="5"/>
      <c r="L39" s="5"/>
      <c r="M39" s="5"/>
      <c r="N39" s="5"/>
      <c r="O39" s="5"/>
      <c r="Q39" s="5"/>
      <c r="R39" s="5"/>
      <c r="S39" s="26"/>
      <c r="T39" s="26"/>
      <c r="U39" s="26"/>
      <c r="V39" s="26"/>
      <c r="W39" s="26"/>
      <c r="X39" s="26"/>
    </row>
    <row r="40" spans="2:24">
      <c r="B40" s="5" t="s">
        <v>381</v>
      </c>
      <c r="C40" s="207"/>
      <c r="D40" s="406">
        <f>D$18/D26</f>
        <v>10.353822198916314</v>
      </c>
      <c r="E40" s="406">
        <f t="shared" si="7"/>
        <v>9.4648740224743637</v>
      </c>
      <c r="F40" s="406">
        <f t="shared" si="7"/>
        <v>8.035673479087988</v>
      </c>
      <c r="G40" s="406">
        <f t="shared" si="7"/>
        <v>6.8881255229619001</v>
      </c>
      <c r="H40" s="13">
        <f t="shared" si="8"/>
        <v>7.8376257980522279E-2</v>
      </c>
      <c r="I40" s="5"/>
      <c r="J40" s="217"/>
      <c r="K40" s="217"/>
      <c r="L40" s="217"/>
      <c r="M40" s="217"/>
      <c r="N40" s="217"/>
      <c r="O40" s="14"/>
      <c r="Q40" s="5"/>
      <c r="R40" s="5"/>
      <c r="S40" s="26"/>
      <c r="T40" s="26"/>
      <c r="U40" s="26"/>
      <c r="V40" s="26"/>
      <c r="W40" s="242"/>
      <c r="X40" s="242"/>
    </row>
    <row r="41" spans="2:24">
      <c r="B41" s="5" t="s">
        <v>434</v>
      </c>
      <c r="C41" s="207"/>
      <c r="D41" s="406">
        <f>D$18/D27</f>
        <v>1.9126221238314225</v>
      </c>
      <c r="E41" s="406">
        <f t="shared" si="7"/>
        <v>1.7496529628299136</v>
      </c>
      <c r="F41" s="406">
        <f t="shared" si="7"/>
        <v>1.5750576635226119</v>
      </c>
      <c r="G41" s="406">
        <f t="shared" si="7"/>
        <v>1.3879201635646239</v>
      </c>
      <c r="H41" s="13">
        <f t="shared" si="8"/>
        <v>4.7591576318088524E-2</v>
      </c>
      <c r="I41" s="207"/>
      <c r="J41" s="13"/>
      <c r="K41" s="13"/>
      <c r="L41" s="13"/>
      <c r="M41" s="13"/>
      <c r="N41" s="13"/>
      <c r="O41" s="5"/>
      <c r="Q41" s="5"/>
      <c r="R41" s="5"/>
      <c r="S41" s="26"/>
      <c r="T41" s="26"/>
      <c r="U41" s="26"/>
      <c r="V41" s="26"/>
      <c r="W41" s="242"/>
      <c r="X41" s="242"/>
    </row>
    <row r="42" spans="2:24">
      <c r="B42" s="5" t="s">
        <v>493</v>
      </c>
      <c r="C42" s="207"/>
      <c r="D42" s="406">
        <f>D18/D28</f>
        <v>2.4940041929687586</v>
      </c>
      <c r="E42" s="406">
        <f>E18/E28</f>
        <v>2.169188724853083</v>
      </c>
      <c r="F42" s="406">
        <f>F18/F28</f>
        <v>1.8716749702420055</v>
      </c>
      <c r="G42" s="406">
        <f>G18/G28</f>
        <v>1.595412306859479</v>
      </c>
      <c r="H42" s="13">
        <f t="shared" si="8"/>
        <v>9.2559710853421517E-2</v>
      </c>
      <c r="I42" s="208"/>
      <c r="J42" s="5"/>
      <c r="K42" s="5"/>
      <c r="L42" s="5"/>
      <c r="M42" s="5"/>
      <c r="N42" s="5"/>
      <c r="O42" s="5"/>
      <c r="Q42" s="5"/>
      <c r="R42" s="5"/>
      <c r="S42" s="26"/>
      <c r="T42" s="26"/>
      <c r="U42" s="26"/>
      <c r="V42" s="26"/>
      <c r="W42" s="242"/>
      <c r="X42" s="242"/>
    </row>
    <row r="43" spans="2:24">
      <c r="B43" s="5" t="s">
        <v>390</v>
      </c>
      <c r="C43" s="207"/>
      <c r="D43" s="406">
        <f>L26/D29</f>
        <v>14.743295283704999</v>
      </c>
      <c r="E43" s="406">
        <f>M26/E29</f>
        <v>9.058443976826414</v>
      </c>
      <c r="F43" s="406">
        <f>N26/F29</f>
        <v>7.2623364874470981</v>
      </c>
      <c r="G43" s="406">
        <f>O26/G29</f>
        <v>6.1858681162067288</v>
      </c>
      <c r="H43" s="13">
        <f t="shared" si="8"/>
        <v>0.32362160289815556</v>
      </c>
      <c r="I43" s="207"/>
      <c r="J43" s="207"/>
      <c r="K43" s="207"/>
      <c r="L43" s="207"/>
      <c r="M43" s="207"/>
      <c r="N43" s="207"/>
      <c r="O43" s="14"/>
      <c r="Q43" s="5"/>
      <c r="R43" s="5"/>
      <c r="S43" s="26"/>
      <c r="T43" s="26"/>
      <c r="U43" s="26"/>
      <c r="V43" s="26"/>
      <c r="W43" s="242"/>
      <c r="X43" s="242"/>
    </row>
    <row r="44" spans="2:24">
      <c r="B44" s="5" t="s">
        <v>437</v>
      </c>
      <c r="C44" s="53"/>
      <c r="D44" s="406">
        <f>D11/D30</f>
        <v>7.3333852891272198</v>
      </c>
      <c r="E44" s="406">
        <f>E11/E30</f>
        <v>7.1190809125197871</v>
      </c>
      <c r="F44" s="406">
        <f>F11/F30</f>
        <v>5.9478890700200155</v>
      </c>
      <c r="G44" s="406">
        <f>G11/G30</f>
        <v>4.9584685247500735</v>
      </c>
      <c r="H44" s="13">
        <f t="shared" si="8"/>
        <v>0.12897638639085662</v>
      </c>
      <c r="I44" s="207"/>
      <c r="J44" s="208"/>
      <c r="K44" s="208"/>
      <c r="L44" s="208"/>
      <c r="M44" s="208"/>
      <c r="N44" s="208"/>
      <c r="O44" s="208"/>
      <c r="Q44" s="5"/>
      <c r="R44" s="5"/>
      <c r="S44" s="26"/>
      <c r="T44" s="26"/>
      <c r="U44" s="26"/>
      <c r="V44" s="26"/>
      <c r="W44" s="255"/>
      <c r="X44" s="255"/>
    </row>
    <row r="45" spans="2:24">
      <c r="B45" s="5" t="s">
        <v>481</v>
      </c>
      <c r="C45" s="207"/>
      <c r="D45" s="208">
        <f>D31/D11</f>
        <v>0</v>
      </c>
      <c r="E45" s="208">
        <f>E31/E11</f>
        <v>0</v>
      </c>
      <c r="F45" s="208">
        <f>F31/F11</f>
        <v>0</v>
      </c>
      <c r="G45" s="208">
        <f>G31/G11</f>
        <v>0</v>
      </c>
      <c r="H45" s="13" t="str">
        <f t="shared" si="8"/>
        <v>nm</v>
      </c>
      <c r="I45" s="208"/>
      <c r="J45" s="207"/>
      <c r="K45" s="207"/>
      <c r="L45" s="207"/>
      <c r="M45" s="207"/>
      <c r="N45" s="207"/>
      <c r="O45" s="208"/>
      <c r="Q45" s="5"/>
      <c r="R45" s="5"/>
      <c r="S45" s="26"/>
      <c r="T45" s="26"/>
      <c r="U45" s="26"/>
      <c r="V45" s="26"/>
      <c r="W45" s="26"/>
      <c r="X45" s="26"/>
    </row>
    <row r="46" spans="2:24">
      <c r="B46" s="5" t="s">
        <v>505</v>
      </c>
      <c r="C46" s="207"/>
      <c r="D46" s="208">
        <f>(D31+D32)/D11</f>
        <v>7.7793725722948058E-3</v>
      </c>
      <c r="E46" s="208">
        <f>(E31+E32)/E11</f>
        <v>9.1626307900321592E-3</v>
      </c>
      <c r="F46" s="208">
        <f>(F31+F32)/F11</f>
        <v>9.2509991825339491E-3</v>
      </c>
      <c r="G46" s="208">
        <f>(G31+G32)/G11</f>
        <v>7.9955241354437954E-3</v>
      </c>
      <c r="H46" s="233">
        <f>((G31+G32)/(D31+D32))^(1/3)-1</f>
        <v>0</v>
      </c>
      <c r="I46" s="207"/>
      <c r="J46" s="207"/>
      <c r="K46" s="207"/>
      <c r="L46" s="207"/>
      <c r="M46" s="207"/>
      <c r="N46" s="207"/>
      <c r="O46" s="14"/>
      <c r="Q46" s="5"/>
      <c r="R46" s="5"/>
      <c r="S46" s="26"/>
      <c r="T46" s="26"/>
      <c r="U46" s="26"/>
      <c r="V46" s="26"/>
      <c r="W46" s="26"/>
      <c r="X46" s="26"/>
    </row>
    <row r="47" spans="2:24">
      <c r="B47" s="5" t="s">
        <v>482</v>
      </c>
      <c r="C47" s="5"/>
      <c r="D47" s="208">
        <f>1/D43</f>
        <v>6.7827441610373781E-2</v>
      </c>
      <c r="E47" s="208">
        <f>1/E43</f>
        <v>0.11039423576038339</v>
      </c>
      <c r="F47" s="208">
        <f>1/F43</f>
        <v>0.13769673186150128</v>
      </c>
      <c r="G47" s="208">
        <f>1/G43</f>
        <v>0.16165879731254529</v>
      </c>
      <c r="H47" s="13">
        <f>H29</f>
        <v>0.32362160289815556</v>
      </c>
      <c r="I47" s="13"/>
      <c r="J47" s="208"/>
      <c r="K47" s="208"/>
      <c r="L47" s="208"/>
      <c r="M47" s="208"/>
      <c r="N47" s="208"/>
      <c r="O47" s="208"/>
      <c r="Q47" s="5"/>
      <c r="R47" s="5"/>
      <c r="S47" s="26"/>
      <c r="T47" s="26"/>
      <c r="U47" s="26"/>
      <c r="V47" s="26"/>
      <c r="W47" s="26"/>
      <c r="X47" s="26"/>
    </row>
    <row r="48" spans="2:24">
      <c r="B48" s="5" t="s">
        <v>518</v>
      </c>
      <c r="C48" s="5"/>
      <c r="D48" s="248">
        <f>D31/D29</f>
        <v>0</v>
      </c>
      <c r="E48" s="248">
        <f>E31/E29</f>
        <v>0</v>
      </c>
      <c r="F48" s="248">
        <f>F31/F29</f>
        <v>0</v>
      </c>
      <c r="G48" s="248">
        <f>G31/G29</f>
        <v>0</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VIMPSOP!A1" display="Jump to Vimpelcom SOP" xr:uid="{00000000-0004-0000-7300-000001000000}"/>
  </hyperlinks>
  <pageMargins left="0.75" right="0.75" top="1" bottom="1" header="0.5" footer="0.5"/>
  <pageSetup scale="71"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3">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8" width="8.6640625" style="23" customWidth="1"/>
    <col min="19" max="28" width="8.6640625" style="5" customWidth="1"/>
    <col min="29" max="44" width="9.109375" style="5"/>
    <col min="45" max="16384" width="9.109375" style="23"/>
  </cols>
  <sheetData>
    <row r="1" spans="2:44" s="489" customFormat="1">
      <c r="S1" s="64"/>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520</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391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169</v>
      </c>
      <c r="C9" s="241">
        <f>Prices!C109</f>
        <v>39.880000000000003</v>
      </c>
      <c r="D9" s="412">
        <v>0</v>
      </c>
      <c r="E9" s="413">
        <v>0</v>
      </c>
      <c r="F9" s="413">
        <v>0</v>
      </c>
      <c r="G9" s="413">
        <v>0</v>
      </c>
      <c r="H9" s="209" t="s">
        <v>125</v>
      </c>
      <c r="I9" s="209"/>
      <c r="J9" s="5" t="s">
        <v>225</v>
      </c>
      <c r="L9" s="406">
        <f>'LATAM INCUMB'!D37</f>
        <v>2.108942592849107</v>
      </c>
      <c r="M9" s="406">
        <f>'LATAM INCUMB'!E37</f>
        <v>1.7989536283544942</v>
      </c>
      <c r="N9" s="406">
        <f>'LATAM INCUMB'!F37</f>
        <v>1.6245563909245235</v>
      </c>
      <c r="O9" s="406">
        <f>'LATAM INCUMB'!G37</f>
        <v>1.452112444748461</v>
      </c>
      <c r="P9" s="240">
        <f>'LATAM INCUMB'!H37</f>
        <v>5.0665939566617801E-2</v>
      </c>
    </row>
    <row r="10" spans="2:44">
      <c r="B10" s="5" t="s">
        <v>226</v>
      </c>
      <c r="C10" s="5"/>
      <c r="D10" s="408">
        <v>3240.0835520000001</v>
      </c>
      <c r="E10" s="408">
        <v>3180.1674345644101</v>
      </c>
      <c r="F10" s="408">
        <v>3112.7618024493713</v>
      </c>
      <c r="G10" s="408">
        <v>3037.8666556548837</v>
      </c>
      <c r="H10" s="209" t="s">
        <v>154</v>
      </c>
      <c r="I10" s="207"/>
      <c r="J10" s="5" t="s">
        <v>158</v>
      </c>
      <c r="L10" s="406">
        <f>'LATAM INCUMB'!D38</f>
        <v>5.3273786621275869</v>
      </c>
      <c r="M10" s="406">
        <f>'LATAM INCUMB'!E38</f>
        <v>4.4564863261624739</v>
      </c>
      <c r="N10" s="406">
        <f>'LATAM INCUMB'!F38</f>
        <v>3.9956463252385053</v>
      </c>
      <c r="O10" s="406">
        <f>'LATAM INCUMB'!G38</f>
        <v>3.563273468629057</v>
      </c>
      <c r="P10" s="240">
        <f>'LATAM INCUMB'!H38</f>
        <v>6.0875991046259958E-2</v>
      </c>
    </row>
    <row r="11" spans="2:44">
      <c r="B11" s="25" t="s">
        <v>227</v>
      </c>
      <c r="C11" s="5"/>
      <c r="D11" s="409">
        <f>$C$9*D10</f>
        <v>129214.53205376001</v>
      </c>
      <c r="E11" s="409">
        <f>$C$9*E10</f>
        <v>126825.07729042869</v>
      </c>
      <c r="F11" s="409">
        <f>$C$9*F10</f>
        <v>124136.94068168094</v>
      </c>
      <c r="G11" s="409">
        <f>$C$9*G10</f>
        <v>121150.12222751677</v>
      </c>
      <c r="H11" s="209"/>
      <c r="I11" s="209"/>
      <c r="J11" s="5" t="s">
        <v>159</v>
      </c>
      <c r="L11" s="406">
        <f>'LATAM INCUMB'!D39</f>
        <v>8.2568976610310063</v>
      </c>
      <c r="M11" s="406">
        <f>'LATAM INCUMB'!E39</f>
        <v>6.9138283439202475</v>
      </c>
      <c r="N11" s="406">
        <f>'LATAM INCUMB'!F39</f>
        <v>6.1432211493025433</v>
      </c>
      <c r="O11" s="406">
        <f>'LATAM INCUMB'!G39</f>
        <v>5.3190732642203526</v>
      </c>
      <c r="P11" s="240">
        <f>'LATAM INCUMB'!H39</f>
        <v>7.4245294052326605E-2</v>
      </c>
    </row>
    <row r="12" spans="2:44">
      <c r="B12" s="5" t="s">
        <v>22</v>
      </c>
      <c r="C12" s="209"/>
      <c r="D12" s="410">
        <v>13916.54835647403</v>
      </c>
      <c r="E12" s="410">
        <v>12277.216409646673</v>
      </c>
      <c r="F12" s="410">
        <v>10757.142648034951</v>
      </c>
      <c r="G12" s="410">
        <v>9302.2223425681968</v>
      </c>
      <c r="H12" s="207"/>
      <c r="I12" s="207"/>
      <c r="J12" s="5" t="s">
        <v>381</v>
      </c>
      <c r="L12" s="406">
        <f>'LATAM INCUMB'!D40</f>
        <v>11.912771419276883</v>
      </c>
      <c r="M12" s="406">
        <f>'LATAM INCUMB'!E40</f>
        <v>9.9869081777888358</v>
      </c>
      <c r="N12" s="406">
        <f>'LATAM INCUMB'!F40</f>
        <v>8.8795669220474664</v>
      </c>
      <c r="O12" s="406">
        <f>'LATAM INCUMB'!G40</f>
        <v>7.6886868723633572</v>
      </c>
      <c r="P12" s="240">
        <f>'LATAM INCUMB'!H40</f>
        <v>7.3569162293801948E-2</v>
      </c>
    </row>
    <row r="13" spans="2:44">
      <c r="B13" s="5" t="s">
        <v>433</v>
      </c>
      <c r="C13" s="216"/>
      <c r="D13" s="410">
        <v>-1190</v>
      </c>
      <c r="E13" s="410">
        <v>-1190</v>
      </c>
      <c r="F13" s="410">
        <v>-1190</v>
      </c>
      <c r="G13" s="410">
        <v>-1190</v>
      </c>
      <c r="H13" s="207"/>
      <c r="I13" s="207"/>
      <c r="J13" s="5" t="s">
        <v>434</v>
      </c>
      <c r="L13" s="406">
        <f>'LATAM INCUMB'!D41</f>
        <v>1.7110129993930618</v>
      </c>
      <c r="M13" s="406">
        <f>'LATAM INCUMB'!E41</f>
        <v>1.574342116816748</v>
      </c>
      <c r="N13" s="406">
        <f>'LATAM INCUMB'!F41</f>
        <v>1.4871237938434103</v>
      </c>
      <c r="O13" s="406">
        <f>'LATAM INCUMB'!G41</f>
        <v>1.3881510620661361</v>
      </c>
      <c r="P13" s="240">
        <f>'LATAM INCUMB'!H41</f>
        <v>-5.2468040419312301E-3</v>
      </c>
    </row>
    <row r="14" spans="2:44">
      <c r="B14" s="5" t="s">
        <v>436</v>
      </c>
      <c r="C14" s="216"/>
      <c r="D14" s="410">
        <v>0</v>
      </c>
      <c r="E14" s="410">
        <f t="shared" ref="E14:G15" si="2">D14</f>
        <v>0</v>
      </c>
      <c r="F14" s="410">
        <f t="shared" si="2"/>
        <v>0</v>
      </c>
      <c r="G14" s="410">
        <f t="shared" si="2"/>
        <v>0</v>
      </c>
      <c r="H14" s="207"/>
      <c r="I14" s="207"/>
      <c r="J14" s="5" t="s">
        <v>493</v>
      </c>
      <c r="L14" s="406">
        <f>'LATAM INCUMB'!D42</f>
        <v>3.2920352052567234</v>
      </c>
      <c r="M14" s="406">
        <f>'LATAM INCUMB'!E42</f>
        <v>3.1595066804938936</v>
      </c>
      <c r="N14" s="406">
        <f>'LATAM INCUMB'!F42</f>
        <v>3.1647101234465342</v>
      </c>
      <c r="O14" s="406">
        <f>'LATAM INCUMB'!G42</f>
        <v>3.1722568874000778</v>
      </c>
      <c r="P14" s="240">
        <f>'LATAM INCUMB'!H42</f>
        <v>-6.0690912550466325E-2</v>
      </c>
    </row>
    <row r="15" spans="2:44">
      <c r="B15" s="5" t="s">
        <v>435</v>
      </c>
      <c r="C15" s="228"/>
      <c r="D15" s="410">
        <v>0</v>
      </c>
      <c r="E15" s="410">
        <f t="shared" si="2"/>
        <v>0</v>
      </c>
      <c r="F15" s="410">
        <f t="shared" si="2"/>
        <v>0</v>
      </c>
      <c r="G15" s="410">
        <f t="shared" si="2"/>
        <v>0</v>
      </c>
      <c r="H15" s="207"/>
      <c r="I15" s="207"/>
      <c r="J15" s="5" t="s">
        <v>390</v>
      </c>
      <c r="L15" s="406">
        <f>'LATAM INCUMB'!D43</f>
        <v>11.828750233158917</v>
      </c>
      <c r="M15" s="406">
        <f>'LATAM INCUMB'!E43</f>
        <v>10.086714598831263</v>
      </c>
      <c r="N15" s="406">
        <f>'LATAM INCUMB'!F43</f>
        <v>9.2193743349297748</v>
      </c>
      <c r="O15" s="406">
        <f>'LATAM INCUMB'!G43</f>
        <v>8.197154350030786</v>
      </c>
      <c r="P15" s="240">
        <f>'LATAM INCUMB'!H43</f>
        <v>0.10462959461893884</v>
      </c>
    </row>
    <row r="16" spans="2:44">
      <c r="B16" s="5" t="s">
        <v>438</v>
      </c>
      <c r="C16" s="216"/>
      <c r="D16" s="410">
        <v>0</v>
      </c>
      <c r="E16" s="410">
        <v>7069.0200921233209</v>
      </c>
      <c r="F16" s="410">
        <v>15642.602957972682</v>
      </c>
      <c r="G16" s="410">
        <v>25045.561496146631</v>
      </c>
      <c r="H16" s="207"/>
      <c r="I16" s="207"/>
      <c r="J16" s="5" t="s">
        <v>437</v>
      </c>
      <c r="L16" s="406">
        <f>'LATAM INCUMB'!D44</f>
        <v>15.9969121813232</v>
      </c>
      <c r="M16" s="406">
        <f>'LATAM INCUMB'!E44</f>
        <v>12.209673122372518</v>
      </c>
      <c r="N16" s="406">
        <f>'LATAM INCUMB'!F44</f>
        <v>10.611708481730632</v>
      </c>
      <c r="O16" s="406">
        <f>'LATAM INCUMB'!G44</f>
        <v>9.5617096909572847</v>
      </c>
      <c r="P16" s="240">
        <f>'LATAM INCUMB'!H44</f>
        <v>0.16071026751292017</v>
      </c>
    </row>
    <row r="17" spans="2:24">
      <c r="B17" s="5" t="s">
        <v>4</v>
      </c>
      <c r="C17" s="216"/>
      <c r="D17" s="410">
        <v>0</v>
      </c>
      <c r="E17" s="410">
        <v>0</v>
      </c>
      <c r="F17" s="410">
        <v>0</v>
      </c>
      <c r="G17" s="410">
        <v>0</v>
      </c>
      <c r="H17" s="207"/>
      <c r="I17" s="207"/>
      <c r="J17" s="5" t="s">
        <v>481</v>
      </c>
      <c r="L17" s="208">
        <f>'LATAM INCUMB'!D45</f>
        <v>2.6105092451879509E-2</v>
      </c>
      <c r="M17" s="208">
        <f>'LATAM INCUMB'!E45</f>
        <v>3.695743730937464E-2</v>
      </c>
      <c r="N17" s="208">
        <f>'LATAM INCUMB'!F45</f>
        <v>4.2382298151586693E-2</v>
      </c>
      <c r="O17" s="208">
        <f>'LATAM INCUMB'!G45</f>
        <v>4.7703950361606302E-2</v>
      </c>
      <c r="P17" s="240">
        <f>'LATAM INCUMB'!H45</f>
        <v>0.19536350766533772</v>
      </c>
      <c r="S17" s="26"/>
      <c r="T17" s="26"/>
      <c r="U17" s="26"/>
      <c r="V17" s="26"/>
      <c r="W17" s="26"/>
      <c r="X17" s="26"/>
    </row>
    <row r="18" spans="2:24" ht="12.6" thickBot="1">
      <c r="B18" s="25" t="s">
        <v>484</v>
      </c>
      <c r="C18" s="209"/>
      <c r="D18" s="411">
        <f>D11+D12+D13-D14+D15-D16-D17</f>
        <v>141941.08041023405</v>
      </c>
      <c r="E18" s="411">
        <f>E11+E12+E13-E14+E15-E16-E17</f>
        <v>130843.27360795204</v>
      </c>
      <c r="F18" s="411">
        <f>F11+F12+F13-F14+F15-F16-F17</f>
        <v>118061.48037174321</v>
      </c>
      <c r="G18" s="411">
        <f>G11+G12+G13-G14+G15-G16-G17</f>
        <v>104216.78307393834</v>
      </c>
      <c r="H18" s="230">
        <f>IF(D18=0,"nm",IF(G18=0,"nm",(G18/D18)^(1/3)-1))</f>
        <v>-9.7854641731786596E-2</v>
      </c>
      <c r="I18" s="214"/>
      <c r="J18" s="5" t="s">
        <v>33</v>
      </c>
      <c r="L18" s="208">
        <f>'LATAM INCUMB'!D46</f>
        <v>3.5182997947251902E-2</v>
      </c>
      <c r="M18" s="208">
        <f>'LATAM INCUMB'!E46</f>
        <v>5.3058049652406042E-2</v>
      </c>
      <c r="N18" s="208">
        <f>'LATAM INCUMB'!F46</f>
        <v>5.9454627023393818E-2</v>
      </c>
      <c r="O18" s="208">
        <f>'LATAM INCUMB'!G46</f>
        <v>6.6224057174592149E-2</v>
      </c>
      <c r="P18" s="240">
        <f>'LATAM INCUMB'!H46</f>
        <v>0.20721494761880854</v>
      </c>
      <c r="S18" s="26"/>
      <c r="T18" s="26"/>
      <c r="U18" s="26"/>
      <c r="V18" s="26"/>
      <c r="W18" s="26"/>
      <c r="X18" s="26"/>
    </row>
    <row r="19" spans="2:24" ht="12.6" thickTop="1">
      <c r="B19" s="25"/>
      <c r="C19" s="209"/>
      <c r="D19" s="189"/>
      <c r="E19" s="189"/>
      <c r="F19" s="189"/>
      <c r="G19" s="189"/>
      <c r="H19" s="230"/>
      <c r="I19" s="214"/>
      <c r="J19" s="5" t="s">
        <v>482</v>
      </c>
      <c r="L19" s="208">
        <f>'LATAM INCUMB'!D47</f>
        <v>8.4539784870657955E-2</v>
      </c>
      <c r="M19" s="208">
        <f>'LATAM INCUMB'!E47</f>
        <v>9.914030878953084E-2</v>
      </c>
      <c r="N19" s="208">
        <f>'LATAM INCUMB'!F47</f>
        <v>0.10846723038582608</v>
      </c>
      <c r="O19" s="208">
        <f>'LATAM INCUMB'!G47</f>
        <v>0.12199355499463595</v>
      </c>
      <c r="P19" s="240">
        <f>'LATAM INCUMB'!H47</f>
        <v>0.10462959461893884</v>
      </c>
      <c r="S19" s="26"/>
      <c r="T19" s="26"/>
      <c r="U19" s="26"/>
      <c r="V19" s="26"/>
      <c r="W19" s="26"/>
      <c r="X19" s="26"/>
    </row>
    <row r="20" spans="2:24">
      <c r="H20" s="231"/>
      <c r="I20" s="13"/>
      <c r="J20" s="5" t="s">
        <v>504</v>
      </c>
      <c r="L20" s="248">
        <f>'LATAM INCUMB'!D48</f>
        <v>0.31180804383016342</v>
      </c>
      <c r="M20" s="248">
        <f>'LATAM INCUMB'!E48</f>
        <v>0.37650511421699084</v>
      </c>
      <c r="N20" s="248">
        <f>'LATAM INCUMB'!F48</f>
        <v>0.39473276117407413</v>
      </c>
      <c r="O20" s="248">
        <f>'LATAM INCUMB'!G48</f>
        <v>0.39512751374163507</v>
      </c>
      <c r="P20" s="240" t="str">
        <f>'LATAM INCUMB'!H48</f>
        <v>nm</v>
      </c>
      <c r="S20" s="26"/>
      <c r="T20" s="26"/>
      <c r="U20" s="26"/>
      <c r="V20" s="26"/>
      <c r="W20" s="26"/>
      <c r="X20" s="26"/>
    </row>
    <row r="21" spans="2:24" ht="12.6" thickBot="1">
      <c r="B21" s="249" t="s">
        <v>775</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26"/>
      <c r="T21" s="26"/>
      <c r="U21" s="26"/>
      <c r="V21" s="26"/>
      <c r="W21" s="26"/>
      <c r="X21" s="26"/>
    </row>
    <row r="22" spans="2:24" ht="12.6" thickTop="1">
      <c r="B22" s="5"/>
      <c r="C22" s="216"/>
      <c r="D22" s="13"/>
      <c r="E22" s="13"/>
      <c r="F22" s="13"/>
      <c r="G22" s="13"/>
      <c r="H22" s="13"/>
      <c r="I22" s="13"/>
      <c r="P22" s="231"/>
      <c r="S22" s="26"/>
      <c r="T22" s="26"/>
      <c r="U22" s="26"/>
      <c r="V22" s="26"/>
      <c r="W22" s="26"/>
      <c r="X22" s="26"/>
    </row>
    <row r="23" spans="2:24" ht="12.6" thickBot="1">
      <c r="B23" s="5" t="s">
        <v>485</v>
      </c>
      <c r="C23" s="422">
        <v>55845</v>
      </c>
      <c r="D23" s="416">
        <v>59516.953691588307</v>
      </c>
      <c r="E23" s="416">
        <v>63499.662531416434</v>
      </c>
      <c r="F23" s="416">
        <v>67210.537597030721</v>
      </c>
      <c r="G23" s="416">
        <v>70958.765958158634</v>
      </c>
      <c r="H23" s="233">
        <f t="shared" ref="H23:H32" si="4">IF(D23=0,"nm",IF(G23=0,"nm",(G23/D23)^(1/3)-1))</f>
        <v>6.0364354519763408E-2</v>
      </c>
      <c r="I23" s="207"/>
      <c r="J23" s="249" t="s">
        <v>7</v>
      </c>
      <c r="K23" s="249"/>
      <c r="L23" s="219" t="str">
        <f>D21</f>
        <v>2025E</v>
      </c>
      <c r="M23" s="219" t="str">
        <f t="shared" ref="M23:P23" si="5">E21</f>
        <v>2026E</v>
      </c>
      <c r="N23" s="219" t="str">
        <f t="shared" si="5"/>
        <v>2027E</v>
      </c>
      <c r="O23" s="219" t="str">
        <f t="shared" si="5"/>
        <v>2028E</v>
      </c>
      <c r="P23" s="219" t="str">
        <f t="shared" si="5"/>
        <v>2025-28</v>
      </c>
      <c r="S23" s="26"/>
      <c r="T23" s="26"/>
      <c r="U23" s="26"/>
      <c r="V23" s="26"/>
      <c r="W23" s="26"/>
      <c r="X23" s="26"/>
    </row>
    <row r="24" spans="2:24" ht="12.6" thickTop="1">
      <c r="B24" s="5" t="s">
        <v>397</v>
      </c>
      <c r="C24" s="423">
        <v>22880</v>
      </c>
      <c r="D24" s="416">
        <v>24808.833490807767</v>
      </c>
      <c r="E24" s="416">
        <v>28650.754114244795</v>
      </c>
      <c r="F24" s="416">
        <v>30672.492316522315</v>
      </c>
      <c r="G24" s="416">
        <v>31992.685861893377</v>
      </c>
      <c r="H24" s="233">
        <f t="shared" si="4"/>
        <v>8.8465794746057869E-2</v>
      </c>
      <c r="I24" s="209"/>
      <c r="J24" s="13"/>
      <c r="K24" s="13"/>
      <c r="L24" s="13"/>
      <c r="M24" s="13"/>
      <c r="N24" s="13"/>
      <c r="O24" s="208"/>
      <c r="S24" s="26"/>
      <c r="T24" s="26"/>
      <c r="U24" s="26"/>
      <c r="V24" s="26"/>
      <c r="W24" s="26" t="s">
        <v>519</v>
      </c>
      <c r="X24" s="26" t="s">
        <v>417</v>
      </c>
    </row>
    <row r="25" spans="2:24">
      <c r="B25" s="5" t="s">
        <v>157</v>
      </c>
      <c r="C25" s="422">
        <v>13714</v>
      </c>
      <c r="D25" s="416">
        <v>15401.517699434255</v>
      </c>
      <c r="E25" s="416">
        <v>18997.458858324469</v>
      </c>
      <c r="F25" s="416">
        <v>20937.84338180393</v>
      </c>
      <c r="G25" s="416">
        <v>22230.550240048229</v>
      </c>
      <c r="H25" s="233">
        <f t="shared" si="4"/>
        <v>0.13013128543653152</v>
      </c>
      <c r="I25" s="208"/>
      <c r="J25" s="207" t="s">
        <v>8</v>
      </c>
      <c r="K25" s="207"/>
      <c r="L25" s="252">
        <v>-4190</v>
      </c>
      <c r="M25" s="252">
        <v>-4190</v>
      </c>
      <c r="N25" s="252">
        <v>-4190</v>
      </c>
      <c r="O25" s="252">
        <v>-4190</v>
      </c>
      <c r="P25" s="233">
        <f>IF(L25=0,"nm",IF(O25=0,"nm",(O25/L25)^(1/3)-1))</f>
        <v>0</v>
      </c>
      <c r="S25" s="26"/>
      <c r="T25" s="26"/>
      <c r="U25" s="26"/>
      <c r="V25" s="113" t="s">
        <v>225</v>
      </c>
      <c r="W25" s="242">
        <f>D37/L9</f>
        <v>1.1308438860306993</v>
      </c>
      <c r="X25" s="242">
        <v>1</v>
      </c>
    </row>
    <row r="26" spans="2:24">
      <c r="B26" s="5" t="s">
        <v>487</v>
      </c>
      <c r="C26" s="422">
        <v>9051.24</v>
      </c>
      <c r="D26" s="416">
        <v>10165.001681626607</v>
      </c>
      <c r="E26" s="416">
        <v>12538.322846494148</v>
      </c>
      <c r="F26" s="416">
        <v>13818.976631990592</v>
      </c>
      <c r="G26" s="416">
        <v>14672.163158431829</v>
      </c>
      <c r="H26" s="233">
        <f t="shared" si="4"/>
        <v>0.13013128543653152</v>
      </c>
      <c r="I26" s="209"/>
      <c r="J26" s="209" t="s">
        <v>9</v>
      </c>
      <c r="K26" s="209"/>
      <c r="L26" s="235">
        <f>D11+L25</f>
        <v>125024.53205376001</v>
      </c>
      <c r="M26" s="235">
        <f>E11+M25</f>
        <v>122635.07729042869</v>
      </c>
      <c r="N26" s="235">
        <f>F11+N25</f>
        <v>119946.94068168094</v>
      </c>
      <c r="O26" s="235">
        <f>G11+O25</f>
        <v>116960.12222751677</v>
      </c>
      <c r="P26" s="233">
        <f>IF(L26=0,"nm",IF(O26=0,"nm",(O26/L26)^(1/3)-1))</f>
        <v>-2.198047455565566E-2</v>
      </c>
      <c r="Q26" s="5"/>
      <c r="S26" s="26"/>
      <c r="T26" s="26"/>
      <c r="U26" s="26"/>
      <c r="V26" s="113" t="s">
        <v>158</v>
      </c>
      <c r="W26" s="242">
        <f t="shared" ref="W26:W33" si="6">D38/L10</f>
        <v>1.0739602206948464</v>
      </c>
      <c r="X26" s="242">
        <v>1</v>
      </c>
    </row>
    <row r="27" spans="2:24">
      <c r="B27" s="5" t="s">
        <v>488</v>
      </c>
      <c r="C27" s="423">
        <v>83603.53</v>
      </c>
      <c r="D27" s="416">
        <v>80723.953186228027</v>
      </c>
      <c r="E27" s="416">
        <v>73789.340213759584</v>
      </c>
      <c r="F27" s="416">
        <v>71704.620797904237</v>
      </c>
      <c r="G27" s="416">
        <v>69337.249712597768</v>
      </c>
      <c r="H27" s="233">
        <f t="shared" si="4"/>
        <v>-4.9421334020462337E-2</v>
      </c>
      <c r="I27" s="209"/>
      <c r="J27" s="208"/>
      <c r="K27" s="208"/>
      <c r="L27" s="208"/>
      <c r="M27" s="208"/>
      <c r="N27" s="208"/>
      <c r="O27" s="208"/>
      <c r="Q27" s="25"/>
      <c r="S27" s="26"/>
      <c r="T27" s="26"/>
      <c r="U27" s="26"/>
      <c r="V27" s="113" t="s">
        <v>159</v>
      </c>
      <c r="W27" s="242">
        <f t="shared" si="6"/>
        <v>1.1161631635616154</v>
      </c>
      <c r="X27" s="242">
        <v>1</v>
      </c>
    </row>
    <row r="28" spans="2:24" ht="12.6" thickBot="1">
      <c r="B28" s="5" t="s">
        <v>492</v>
      </c>
      <c r="C28" s="422">
        <v>46812</v>
      </c>
      <c r="D28" s="416">
        <v>49330.775090522307</v>
      </c>
      <c r="E28" s="416">
        <v>48470.652236810318</v>
      </c>
      <c r="F28" s="416">
        <v>47820.293140766327</v>
      </c>
      <c r="G28" s="416">
        <v>47269.600161477603</v>
      </c>
      <c r="H28" s="233">
        <f t="shared" si="4"/>
        <v>-1.4126189466505457E-2</v>
      </c>
      <c r="I28" s="208"/>
      <c r="J28" s="249" t="s">
        <v>1073</v>
      </c>
      <c r="K28" s="249"/>
      <c r="L28" s="249"/>
      <c r="M28" s="249"/>
      <c r="N28" s="220"/>
      <c r="O28" s="220"/>
      <c r="P28" s="220"/>
      <c r="Q28" s="5"/>
      <c r="S28" s="26"/>
      <c r="T28" s="26"/>
      <c r="U28" s="26"/>
      <c r="V28" s="113" t="s">
        <v>381</v>
      </c>
      <c r="W28" s="242">
        <f t="shared" si="6"/>
        <v>1.1721625536179205</v>
      </c>
      <c r="X28" s="242">
        <v>1</v>
      </c>
    </row>
    <row r="29" spans="2:24" ht="12.6" thickTop="1">
      <c r="B29" s="5" t="s">
        <v>489</v>
      </c>
      <c r="C29" s="422">
        <v>7523.6467499999999</v>
      </c>
      <c r="D29" s="416">
        <v>8714.4677357196488</v>
      </c>
      <c r="E29" s="416">
        <v>11703.758955205518</v>
      </c>
      <c r="F29" s="416">
        <v>13196.926140306397</v>
      </c>
      <c r="G29" s="416">
        <v>14256.895370657805</v>
      </c>
      <c r="H29" s="233">
        <f t="shared" si="4"/>
        <v>0.17831488890554947</v>
      </c>
      <c r="I29" s="212"/>
      <c r="J29" s="209"/>
      <c r="K29" s="209"/>
      <c r="L29" s="209"/>
      <c r="M29" s="209"/>
      <c r="N29" s="209"/>
      <c r="O29" s="211"/>
      <c r="Q29" s="5"/>
      <c r="S29" s="26"/>
      <c r="T29" s="26"/>
      <c r="U29" s="26"/>
      <c r="V29" s="113" t="s">
        <v>434</v>
      </c>
      <c r="W29" s="242">
        <f t="shared" si="6"/>
        <v>1.0276669166374361</v>
      </c>
      <c r="X29" s="242">
        <v>1</v>
      </c>
    </row>
    <row r="30" spans="2:24">
      <c r="B30" s="5" t="s">
        <v>490</v>
      </c>
      <c r="C30" s="423">
        <v>6244.6418782517767</v>
      </c>
      <c r="D30" s="416">
        <v>6922.77369657701</v>
      </c>
      <c r="E30" s="416">
        <v>9669.0200921233209</v>
      </c>
      <c r="F30" s="416">
        <v>11423.582865849361</v>
      </c>
      <c r="G30" s="416">
        <v>12502.958538173949</v>
      </c>
      <c r="H30" s="233">
        <f t="shared" si="4"/>
        <v>0.21780443696250695</v>
      </c>
      <c r="I30" s="214"/>
      <c r="J30" s="208"/>
      <c r="K30" s="208"/>
      <c r="L30" s="208"/>
      <c r="M30" s="208"/>
      <c r="N30" s="208"/>
      <c r="O30" s="5"/>
      <c r="Q30" s="5"/>
      <c r="S30" s="26"/>
      <c r="T30" s="26"/>
      <c r="U30" s="26"/>
      <c r="V30" s="113" t="s">
        <v>493</v>
      </c>
      <c r="W30" s="242">
        <f t="shared" si="6"/>
        <v>0.87402870587629677</v>
      </c>
      <c r="X30" s="242">
        <v>1</v>
      </c>
    </row>
    <row r="31" spans="2:24">
      <c r="B31" s="5" t="s">
        <v>491</v>
      </c>
      <c r="C31" s="423">
        <v>4298</v>
      </c>
      <c r="D31" s="416">
        <v>4159.323516823004</v>
      </c>
      <c r="E31" s="416">
        <v>7128.1838144000003</v>
      </c>
      <c r="F31" s="416">
        <v>8427.4437015956864</v>
      </c>
      <c r="G31" s="416">
        <v>9649.5615875930525</v>
      </c>
      <c r="H31" s="233">
        <f t="shared" si="4"/>
        <v>0.32381803556164956</v>
      </c>
      <c r="I31" s="214"/>
      <c r="J31" s="212"/>
      <c r="K31" s="212"/>
      <c r="L31" s="212"/>
      <c r="M31" s="212"/>
      <c r="N31" s="212"/>
      <c r="O31" s="5"/>
      <c r="Q31" s="5"/>
      <c r="S31" s="26"/>
      <c r="T31" s="26"/>
      <c r="U31" s="26"/>
      <c r="V31" s="113" t="s">
        <v>390</v>
      </c>
      <c r="W31" s="242">
        <f t="shared" si="6"/>
        <v>1.2128735068988936</v>
      </c>
      <c r="X31" s="242">
        <v>1</v>
      </c>
    </row>
    <row r="32" spans="2:24">
      <c r="B32" s="5" t="s">
        <v>506</v>
      </c>
      <c r="C32" s="424">
        <v>1300</v>
      </c>
      <c r="D32" s="416">
        <v>1700</v>
      </c>
      <c r="E32" s="416">
        <v>2000</v>
      </c>
      <c r="F32" s="416">
        <v>2250</v>
      </c>
      <c r="G32" s="416">
        <v>2500</v>
      </c>
      <c r="H32" s="233">
        <f t="shared" si="4"/>
        <v>0.1371830097629767</v>
      </c>
      <c r="I32" s="214"/>
      <c r="J32" s="214"/>
      <c r="K32" s="214"/>
      <c r="L32" s="214"/>
      <c r="M32" s="214"/>
      <c r="N32" s="214"/>
      <c r="O32" s="211"/>
      <c r="Q32" s="5"/>
      <c r="S32" s="26"/>
      <c r="T32" s="26"/>
      <c r="U32" s="26"/>
      <c r="V32" s="113" t="s">
        <v>437</v>
      </c>
      <c r="W32" s="242">
        <f t="shared" si="6"/>
        <v>1.1667963546124909</v>
      </c>
      <c r="X32" s="242">
        <v>1</v>
      </c>
    </row>
    <row r="33" spans="2:24">
      <c r="B33" s="5" t="s">
        <v>3</v>
      </c>
      <c r="C33" s="423">
        <v>1909.7030000000002</v>
      </c>
      <c r="D33" s="416">
        <v>2430.2528264606785</v>
      </c>
      <c r="E33" s="416">
        <v>2336.2987787218344</v>
      </c>
      <c r="F33" s="416">
        <v>2312.2148299141486</v>
      </c>
      <c r="G33" s="416">
        <v>2196.7229489405936</v>
      </c>
      <c r="H33" s="233">
        <f>IF(D33=0,"nm",IF(G33=0,"nm",(G33/D33)^(1/3)-1))</f>
        <v>-3.3115473525862527E-2</v>
      </c>
      <c r="I33" s="5"/>
      <c r="J33" s="214"/>
      <c r="K33" s="214"/>
      <c r="L33" s="214"/>
      <c r="M33" s="214"/>
      <c r="N33" s="214"/>
      <c r="O33" s="211"/>
      <c r="Q33" s="5"/>
      <c r="S33" s="26"/>
      <c r="T33" s="26"/>
      <c r="U33" s="26"/>
      <c r="V33" s="113" t="s">
        <v>481</v>
      </c>
      <c r="W33" s="242">
        <f t="shared" si="6"/>
        <v>1.2330653865970276</v>
      </c>
      <c r="X33" s="242">
        <v>1</v>
      </c>
    </row>
    <row r="34" spans="2:24">
      <c r="D34" s="5"/>
      <c r="E34" s="5"/>
      <c r="F34" s="5"/>
      <c r="G34" s="5"/>
      <c r="I34" s="33"/>
      <c r="J34" s="214"/>
      <c r="K34" s="214"/>
      <c r="L34" s="214"/>
      <c r="M34" s="214"/>
      <c r="N34" s="214"/>
      <c r="O34" s="211"/>
      <c r="Q34" s="5"/>
      <c r="S34" s="26"/>
      <c r="T34" s="26"/>
      <c r="U34" s="26"/>
      <c r="V34" s="113" t="s">
        <v>482</v>
      </c>
      <c r="W34" s="242">
        <f>D47/L19</f>
        <v>0.82448828695815601</v>
      </c>
      <c r="X34" s="242">
        <v>1</v>
      </c>
    </row>
    <row r="35" spans="2:24" ht="12.6" thickBot="1">
      <c r="B35" s="249" t="s">
        <v>521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26"/>
      <c r="T35" s="26"/>
      <c r="U35" s="26"/>
      <c r="V35" s="26"/>
      <c r="W35" s="26"/>
      <c r="X35" s="26"/>
    </row>
    <row r="36" spans="2:24" ht="12.6" thickTop="1">
      <c r="B36" s="25"/>
      <c r="C36" s="209"/>
      <c r="D36" s="214"/>
      <c r="E36" s="214"/>
      <c r="F36" s="214"/>
      <c r="G36" s="214"/>
      <c r="H36" s="214"/>
      <c r="I36" s="13"/>
      <c r="J36" s="33"/>
      <c r="K36" s="33"/>
      <c r="L36" s="33"/>
      <c r="M36" s="33"/>
      <c r="N36" s="33"/>
      <c r="O36" s="33"/>
      <c r="Q36" s="5"/>
      <c r="S36" s="26"/>
      <c r="T36" s="26"/>
      <c r="U36" s="26"/>
      <c r="V36" s="26"/>
      <c r="W36" s="26"/>
      <c r="X36" s="26"/>
    </row>
    <row r="37" spans="2:24">
      <c r="B37" s="5" t="s">
        <v>225</v>
      </c>
      <c r="C37" s="207"/>
      <c r="D37" s="406">
        <f>D$18/D23</f>
        <v>2.3848848371131428</v>
      </c>
      <c r="E37" s="406">
        <f t="shared" ref="E37:G41" si="8">E$18/E23</f>
        <v>2.0605349444686794</v>
      </c>
      <c r="F37" s="406">
        <f t="shared" si="8"/>
        <v>1.7565918171878903</v>
      </c>
      <c r="G37" s="406">
        <f t="shared" si="8"/>
        <v>1.4686949761131773</v>
      </c>
      <c r="H37" s="13">
        <f t="shared" ref="H37:H45" si="9">H23</f>
        <v>6.0364354519763408E-2</v>
      </c>
      <c r="I37" s="5"/>
      <c r="J37" s="217"/>
      <c r="K37" s="217"/>
      <c r="L37" s="217"/>
      <c r="M37" s="217"/>
      <c r="N37" s="217"/>
      <c r="O37" s="14"/>
      <c r="Q37" s="5"/>
      <c r="R37" s="5"/>
      <c r="S37" s="26"/>
      <c r="T37" s="26"/>
      <c r="U37" s="26"/>
      <c r="V37" s="26"/>
      <c r="W37" s="26"/>
      <c r="X37" s="26"/>
    </row>
    <row r="38" spans="2:24">
      <c r="B38" s="5" t="s">
        <v>158</v>
      </c>
      <c r="C38" s="207"/>
      <c r="D38" s="406">
        <f>D$18/D24</f>
        <v>5.7213927637035589</v>
      </c>
      <c r="E38" s="406">
        <f t="shared" si="8"/>
        <v>4.5668352423190983</v>
      </c>
      <c r="F38" s="406">
        <f t="shared" si="8"/>
        <v>3.8490996803721478</v>
      </c>
      <c r="G38" s="406">
        <f>G$18/G24</f>
        <v>3.2575190318131866</v>
      </c>
      <c r="H38" s="13">
        <f t="shared" si="9"/>
        <v>8.8465794746057869E-2</v>
      </c>
      <c r="I38" s="217"/>
      <c r="J38" s="13"/>
      <c r="K38" s="13"/>
      <c r="L38" s="13"/>
      <c r="M38" s="13"/>
      <c r="N38" s="13"/>
      <c r="O38" s="5"/>
      <c r="Q38" s="5"/>
      <c r="R38" s="5"/>
      <c r="S38" s="26"/>
      <c r="T38" s="26"/>
      <c r="U38" s="26"/>
      <c r="V38" s="26"/>
      <c r="W38" s="26"/>
      <c r="X38" s="26"/>
    </row>
    <row r="39" spans="2:24">
      <c r="B39" s="5" t="s">
        <v>159</v>
      </c>
      <c r="C39" s="207"/>
      <c r="D39" s="406">
        <f>D$18/D25</f>
        <v>9.216045014540871</v>
      </c>
      <c r="E39" s="406">
        <f t="shared" si="8"/>
        <v>6.8874092363473132</v>
      </c>
      <c r="F39" s="406">
        <f t="shared" si="8"/>
        <v>5.6386647955512332</v>
      </c>
      <c r="G39" s="406">
        <f t="shared" si="8"/>
        <v>4.6879983603011457</v>
      </c>
      <c r="H39" s="13">
        <f t="shared" si="9"/>
        <v>0.13013128543653152</v>
      </c>
      <c r="I39" s="13"/>
      <c r="J39" s="5"/>
      <c r="K39" s="5"/>
      <c r="L39" s="5"/>
      <c r="M39" s="5"/>
      <c r="N39" s="5"/>
      <c r="O39" s="5"/>
      <c r="Q39" s="5"/>
      <c r="R39" s="5"/>
      <c r="S39" s="26"/>
      <c r="T39" s="26"/>
      <c r="U39" s="26"/>
      <c r="V39" s="26"/>
      <c r="W39" s="26"/>
      <c r="X39" s="26"/>
    </row>
    <row r="40" spans="2:24">
      <c r="B40" s="5" t="s">
        <v>381</v>
      </c>
      <c r="C40" s="207"/>
      <c r="D40" s="406">
        <f>D$18/D26</f>
        <v>13.96370456748617</v>
      </c>
      <c r="E40" s="406">
        <f t="shared" si="8"/>
        <v>10.435468539920175</v>
      </c>
      <c r="F40" s="406">
        <f t="shared" si="8"/>
        <v>8.5434315084109613</v>
      </c>
      <c r="G40" s="406">
        <f t="shared" si="8"/>
        <v>7.1030278186381004</v>
      </c>
      <c r="H40" s="13">
        <f t="shared" si="9"/>
        <v>0.13013128543653152</v>
      </c>
      <c r="I40" s="5"/>
      <c r="J40" s="217"/>
      <c r="K40" s="217"/>
      <c r="L40" s="217"/>
      <c r="M40" s="217"/>
      <c r="N40" s="217"/>
      <c r="O40" s="14"/>
      <c r="Q40" s="5"/>
      <c r="R40" s="5"/>
      <c r="S40" s="26"/>
      <c r="T40" s="26"/>
      <c r="U40" s="26"/>
      <c r="V40" s="26"/>
      <c r="W40" s="242"/>
      <c r="X40" s="242"/>
    </row>
    <row r="41" spans="2:24">
      <c r="B41" s="5" t="s">
        <v>434</v>
      </c>
      <c r="C41" s="207"/>
      <c r="D41" s="406">
        <f>D$18/D27</f>
        <v>1.7583514534128393</v>
      </c>
      <c r="E41" s="406">
        <f t="shared" si="8"/>
        <v>1.7732002106119054</v>
      </c>
      <c r="F41" s="406">
        <f t="shared" si="8"/>
        <v>1.6464975207733596</v>
      </c>
      <c r="G41" s="406">
        <f t="shared" si="8"/>
        <v>1.5030417777733598</v>
      </c>
      <c r="H41" s="13">
        <f t="shared" si="9"/>
        <v>-4.9421334020462337E-2</v>
      </c>
      <c r="I41" s="207"/>
      <c r="J41" s="13"/>
      <c r="K41" s="13"/>
      <c r="L41" s="13"/>
      <c r="M41" s="13"/>
      <c r="N41" s="13"/>
      <c r="O41" s="5"/>
      <c r="Q41" s="5"/>
      <c r="R41" s="5"/>
      <c r="S41" s="26"/>
      <c r="T41" s="26"/>
      <c r="U41" s="26"/>
      <c r="V41" s="26"/>
      <c r="W41" s="242"/>
      <c r="X41" s="242"/>
    </row>
    <row r="42" spans="2:24">
      <c r="B42" s="5" t="s">
        <v>493</v>
      </c>
      <c r="C42" s="207"/>
      <c r="D42" s="406">
        <f>D18/D28</f>
        <v>2.8773332701497432</v>
      </c>
      <c r="E42" s="406">
        <f>E18/E28</f>
        <v>2.6994329056827722</v>
      </c>
      <c r="F42" s="406">
        <f>F18/F28</f>
        <v>2.4688573117737116</v>
      </c>
      <c r="G42" s="406">
        <f>G18/G28</f>
        <v>2.2047316397414733</v>
      </c>
      <c r="H42" s="13">
        <f t="shared" si="9"/>
        <v>-1.4126189466505457E-2</v>
      </c>
      <c r="I42" s="208"/>
      <c r="J42" s="5"/>
      <c r="K42" s="5"/>
      <c r="L42" s="5"/>
      <c r="M42" s="5"/>
      <c r="N42" s="5"/>
      <c r="O42" s="5"/>
      <c r="Q42" s="5"/>
      <c r="R42" s="5"/>
      <c r="S42" s="26"/>
      <c r="T42" s="26"/>
      <c r="U42" s="26"/>
      <c r="V42" s="26"/>
      <c r="W42" s="242"/>
      <c r="X42" s="242"/>
    </row>
    <row r="43" spans="2:24">
      <c r="B43" s="5" t="s">
        <v>390</v>
      </c>
      <c r="C43" s="207"/>
      <c r="D43" s="406">
        <f>L26/D29</f>
        <v>14.346777777522561</v>
      </c>
      <c r="E43" s="406">
        <f>M26/E29</f>
        <v>10.478264099576649</v>
      </c>
      <c r="F43" s="406">
        <f>N26/F29</f>
        <v>9.089005985669333</v>
      </c>
      <c r="G43" s="406">
        <f>O26/G29</f>
        <v>8.2037581946650917</v>
      </c>
      <c r="H43" s="13">
        <f t="shared" si="9"/>
        <v>0.17831488890554947</v>
      </c>
      <c r="I43" s="207"/>
      <c r="J43" s="207"/>
      <c r="K43" s="207"/>
      <c r="L43" s="207"/>
      <c r="M43" s="207"/>
      <c r="N43" s="207"/>
      <c r="O43" s="14"/>
      <c r="Q43" s="5"/>
      <c r="R43" s="5"/>
      <c r="S43" s="26"/>
      <c r="T43" s="26"/>
      <c r="U43" s="26"/>
      <c r="V43" s="26"/>
      <c r="W43" s="242"/>
      <c r="X43" s="242"/>
    </row>
    <row r="44" spans="2:24">
      <c r="B44" s="5" t="s">
        <v>437</v>
      </c>
      <c r="C44" s="53"/>
      <c r="D44" s="406">
        <f>D11/D30</f>
        <v>18.665138818224058</v>
      </c>
      <c r="E44" s="406">
        <f>E11/E30</f>
        <v>13.11664223283022</v>
      </c>
      <c r="F44" s="406">
        <f>F11/F30</f>
        <v>10.866725627104834</v>
      </c>
      <c r="G44" s="406">
        <f>G11/G30</f>
        <v>9.6897163865353964</v>
      </c>
      <c r="H44" s="13">
        <f t="shared" si="9"/>
        <v>0.21780443696250695</v>
      </c>
      <c r="I44" s="207"/>
      <c r="J44" s="208"/>
      <c r="K44" s="208"/>
      <c r="L44" s="208"/>
      <c r="M44" s="208"/>
      <c r="N44" s="208"/>
      <c r="O44" s="208"/>
      <c r="Q44" s="5"/>
      <c r="R44" s="5"/>
      <c r="S44" s="26"/>
      <c r="T44" s="26"/>
      <c r="U44" s="26"/>
      <c r="V44" s="26"/>
      <c r="W44" s="255"/>
      <c r="X44" s="255"/>
    </row>
    <row r="45" spans="2:24">
      <c r="B45" s="5" t="s">
        <v>481</v>
      </c>
      <c r="C45" s="207"/>
      <c r="D45" s="208">
        <f>D31/D11</f>
        <v>3.2189285916327956E-2</v>
      </c>
      <c r="E45" s="208">
        <f>E31/E11</f>
        <v>5.6204845025061574E-2</v>
      </c>
      <c r="F45" s="208">
        <f>F31/F11</f>
        <v>6.7888282531513494E-2</v>
      </c>
      <c r="G45" s="208">
        <f>G31/G11</f>
        <v>7.9649623212690021E-2</v>
      </c>
      <c r="H45" s="13">
        <f t="shared" si="9"/>
        <v>0.32381803556164956</v>
      </c>
      <c r="I45" s="208"/>
      <c r="J45" s="207"/>
      <c r="K45" s="207"/>
      <c r="L45" s="207"/>
      <c r="M45" s="207"/>
      <c r="N45" s="207"/>
      <c r="O45" s="208"/>
      <c r="Q45" s="5"/>
      <c r="R45" s="5"/>
      <c r="S45" s="26"/>
      <c r="T45" s="26"/>
      <c r="U45" s="26"/>
      <c r="V45" s="26"/>
      <c r="W45" s="26"/>
      <c r="X45" s="26"/>
    </row>
    <row r="46" spans="2:24">
      <c r="B46" s="5" t="s">
        <v>505</v>
      </c>
      <c r="C46" s="207"/>
      <c r="D46" s="208">
        <f>(D31+D32)/D11</f>
        <v>4.5345700856504426E-2</v>
      </c>
      <c r="E46" s="208">
        <f>(E31+E32)/E11</f>
        <v>7.19745968969253E-2</v>
      </c>
      <c r="F46" s="208">
        <f>(F31+F32)/F11</f>
        <v>8.6013427131053602E-2</v>
      </c>
      <c r="G46" s="208">
        <f>(G31+G32)/G11</f>
        <v>0.10028517812616394</v>
      </c>
      <c r="H46" s="233">
        <f>((G31+G32)/(D31+D32))^(1/3)-1</f>
        <v>0.27517867991325606</v>
      </c>
      <c r="I46" s="207"/>
      <c r="J46" s="207"/>
      <c r="K46" s="207"/>
      <c r="L46" s="207"/>
      <c r="M46" s="207"/>
      <c r="N46" s="207"/>
      <c r="O46" s="14"/>
      <c r="Q46" s="5"/>
      <c r="R46" s="5"/>
      <c r="S46" s="26"/>
      <c r="T46" s="26"/>
      <c r="U46" s="26"/>
      <c r="V46" s="26"/>
      <c r="W46" s="26"/>
      <c r="X46" s="26"/>
    </row>
    <row r="47" spans="2:24">
      <c r="B47" s="5" t="s">
        <v>482</v>
      </c>
      <c r="C47" s="5"/>
      <c r="D47" s="208">
        <f>1/D43</f>
        <v>6.9702062407819815E-2</v>
      </c>
      <c r="E47" s="208">
        <f>1/E43</f>
        <v>9.5435655228465074E-2</v>
      </c>
      <c r="F47" s="208">
        <f>1/F43</f>
        <v>0.11002303239503895</v>
      </c>
      <c r="G47" s="208">
        <f>1/G43</f>
        <v>0.12189535287013951</v>
      </c>
      <c r="H47" s="13">
        <f>H29</f>
        <v>0.17831488890554947</v>
      </c>
      <c r="I47" s="13"/>
      <c r="J47" s="208"/>
      <c r="K47" s="208"/>
      <c r="L47" s="208"/>
      <c r="M47" s="208"/>
      <c r="N47" s="208"/>
      <c r="O47" s="208"/>
      <c r="Q47" s="5"/>
      <c r="R47" s="5"/>
      <c r="S47" s="26"/>
      <c r="T47" s="26"/>
      <c r="U47" s="26"/>
      <c r="V47" s="26"/>
      <c r="W47" s="26"/>
      <c r="X47" s="26"/>
    </row>
    <row r="48" spans="2:24">
      <c r="B48" s="5" t="s">
        <v>518</v>
      </c>
      <c r="C48" s="5"/>
      <c r="D48" s="248">
        <f>D31/D29</f>
        <v>0.47728945048179966</v>
      </c>
      <c r="E48" s="248">
        <f>E31/E29</f>
        <v>0.60905080510305409</v>
      </c>
      <c r="F48" s="248">
        <f>F31/F29</f>
        <v>0.63859141227261762</v>
      </c>
      <c r="G48" s="248">
        <f>G31/G29</f>
        <v>0.67683470606460849</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0"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405</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306</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274</v>
      </c>
      <c r="C9" s="241">
        <f>Prices!C100/100</f>
        <v>145.58000000000001</v>
      </c>
      <c r="D9" s="410">
        <v>0</v>
      </c>
      <c r="E9" s="410">
        <v>0</v>
      </c>
      <c r="F9" s="410">
        <v>0</v>
      </c>
      <c r="G9" s="410">
        <v>0</v>
      </c>
      <c r="H9" s="209"/>
      <c r="I9" s="209"/>
      <c r="J9" s="5" t="s">
        <v>225</v>
      </c>
      <c r="L9" s="406">
        <f>'EMEA CELLULAR'!D37</f>
        <v>2.6199275856048252</v>
      </c>
      <c r="M9" s="406">
        <f>'EMEA CELLULAR'!E37</f>
        <v>2.1019432698335514</v>
      </c>
      <c r="N9" s="406">
        <f>'EMEA CELLULAR'!F37</f>
        <v>1.7673158441321424</v>
      </c>
      <c r="O9" s="406">
        <f>'EMEA CELLULAR'!G37</f>
        <v>1.490977100486143</v>
      </c>
      <c r="P9" s="240">
        <f>'EMEA CELLULAR'!H37</f>
        <v>0.13657312279124967</v>
      </c>
    </row>
    <row r="10" spans="2:44">
      <c r="B10" s="5" t="s">
        <v>226</v>
      </c>
      <c r="C10" s="5"/>
      <c r="D10" s="408">
        <v>2073.6743333333334</v>
      </c>
      <c r="E10" s="408">
        <v>2069.5076666666669</v>
      </c>
      <c r="F10" s="408">
        <v>2065.3410000000003</v>
      </c>
      <c r="G10" s="408">
        <v>2061.1743333333338</v>
      </c>
      <c r="H10" s="209"/>
      <c r="I10" s="207"/>
      <c r="J10" s="5" t="s">
        <v>158</v>
      </c>
      <c r="L10" s="406">
        <f>'EMEA CELLULAR'!D38</f>
        <v>7.4049431236829459</v>
      </c>
      <c r="M10" s="406">
        <f>'EMEA CELLULAR'!E38</f>
        <v>6.1564377862490218</v>
      </c>
      <c r="N10" s="406">
        <f>'EMEA CELLULAR'!F38</f>
        <v>4.4837178583666226</v>
      </c>
      <c r="O10" s="406">
        <f>'EMEA CELLULAR'!G38</f>
        <v>3.6958642793873961</v>
      </c>
      <c r="P10" s="240">
        <f>'EMEA CELLULAR'!H38</f>
        <v>0.18738943723674595</v>
      </c>
    </row>
    <row r="11" spans="2:44">
      <c r="B11" s="25" t="s">
        <v>260</v>
      </c>
      <c r="C11" s="5"/>
      <c r="D11" s="409">
        <f>($C$9*D10)</f>
        <v>301885.50944666669</v>
      </c>
      <c r="E11" s="409">
        <f>($C$9*E10)</f>
        <v>301278.92611333338</v>
      </c>
      <c r="F11" s="409">
        <f>($C$9*F10)</f>
        <v>300672.34278000006</v>
      </c>
      <c r="G11" s="409">
        <f>($C$9*G10)</f>
        <v>300065.75944666675</v>
      </c>
      <c r="H11" s="209"/>
      <c r="I11" s="209"/>
      <c r="J11" s="5" t="s">
        <v>159</v>
      </c>
      <c r="L11" s="406">
        <f>'EMEA CELLULAR'!D39</f>
        <v>13.77606277730415</v>
      </c>
      <c r="M11" s="406">
        <f>'EMEA CELLULAR'!E39</f>
        <v>11.672285536375483</v>
      </c>
      <c r="N11" s="406">
        <f>'EMEA CELLULAR'!F39</f>
        <v>7.4496586865144394</v>
      </c>
      <c r="O11" s="406">
        <f>'EMEA CELLULAR'!G39</f>
        <v>5.9832990727504578</v>
      </c>
      <c r="P11" s="240">
        <f>'EMEA CELLULAR'!H39</f>
        <v>0.24371081525857741</v>
      </c>
    </row>
    <row r="12" spans="2:44">
      <c r="B12" s="5" t="s">
        <v>22</v>
      </c>
      <c r="C12" s="209"/>
      <c r="D12" s="410">
        <v>48813.072345182387</v>
      </c>
      <c r="E12" s="410">
        <v>75071.222738612327</v>
      </c>
      <c r="F12" s="410">
        <v>70271.855225444509</v>
      </c>
      <c r="G12" s="410">
        <v>65174.748468655067</v>
      </c>
      <c r="H12" s="207"/>
      <c r="I12" s="207"/>
      <c r="J12" s="5" t="s">
        <v>381</v>
      </c>
      <c r="L12" s="406">
        <f>'EMEA CELLULAR'!D40</f>
        <v>19.591583567499963</v>
      </c>
      <c r="M12" s="406">
        <f>'EMEA CELLULAR'!E40</f>
        <v>16.863939410662088</v>
      </c>
      <c r="N12" s="406">
        <f>'EMEA CELLULAR'!F40</f>
        <v>10.664588793239982</v>
      </c>
      <c r="O12" s="406">
        <f>'EMEA CELLULAR'!G40</f>
        <v>8.5573074542660397</v>
      </c>
      <c r="P12" s="240">
        <f>'EMEA CELLULAR'!H40</f>
        <v>0.24137238116561188</v>
      </c>
    </row>
    <row r="13" spans="2:44">
      <c r="B13" s="5" t="s">
        <v>433</v>
      </c>
      <c r="C13" s="216"/>
      <c r="D13" s="410">
        <v>59799.6022775819</v>
      </c>
      <c r="E13" s="410">
        <v>59799.6022775819</v>
      </c>
      <c r="F13" s="410">
        <v>59799.6022775819</v>
      </c>
      <c r="G13" s="410">
        <v>59799.6022775819</v>
      </c>
      <c r="H13" s="207"/>
      <c r="I13" s="207"/>
      <c r="J13" s="5" t="s">
        <v>434</v>
      </c>
      <c r="L13" s="406">
        <f>'EMEA CELLULAR'!D41</f>
        <v>2.4931198659149474</v>
      </c>
      <c r="M13" s="406">
        <f>'EMEA CELLULAR'!E41</f>
        <v>2.1495302617941814</v>
      </c>
      <c r="N13" s="406">
        <f>'EMEA CELLULAR'!F41</f>
        <v>2.0138651536880712</v>
      </c>
      <c r="O13" s="406">
        <f>'EMEA CELLULAR'!G41</f>
        <v>1.7818698478870838</v>
      </c>
      <c r="P13" s="240">
        <f>'EMEA CELLULAR'!H41</f>
        <v>5.3449376644030044E-2</v>
      </c>
    </row>
    <row r="14" spans="2:44">
      <c r="B14" s="5" t="s">
        <v>436</v>
      </c>
      <c r="C14" s="216"/>
      <c r="D14" s="410">
        <v>56797.96257007301</v>
      </c>
      <c r="E14" s="410">
        <f t="shared" ref="E14:G15" si="2">D14</f>
        <v>56797.96257007301</v>
      </c>
      <c r="F14" s="410">
        <f t="shared" si="2"/>
        <v>56797.96257007301</v>
      </c>
      <c r="G14" s="410">
        <f t="shared" si="2"/>
        <v>56797.96257007301</v>
      </c>
      <c r="H14" s="207"/>
      <c r="I14" s="207"/>
      <c r="J14" s="5" t="s">
        <v>493</v>
      </c>
      <c r="L14" s="406">
        <f>'EMEA CELLULAR'!D42</f>
        <v>3.2594845164113617</v>
      </c>
      <c r="M14" s="406">
        <f>'EMEA CELLULAR'!E42</f>
        <v>2.7593129191981953</v>
      </c>
      <c r="N14" s="406">
        <f>'EMEA CELLULAR'!F42</f>
        <v>2.4319311799132723</v>
      </c>
      <c r="O14" s="406">
        <f>'EMEA CELLULAR'!G42</f>
        <v>2.1027645091274914</v>
      </c>
      <c r="P14" s="240">
        <f>'EMEA CELLULAR'!H42</f>
        <v>9.004402418470403E-2</v>
      </c>
    </row>
    <row r="15" spans="2:44">
      <c r="B15" s="5" t="s">
        <v>435</v>
      </c>
      <c r="C15" s="228"/>
      <c r="D15" s="410">
        <v>18603.675267513041</v>
      </c>
      <c r="E15" s="410">
        <f t="shared" si="2"/>
        <v>18603.675267513041</v>
      </c>
      <c r="F15" s="410">
        <f t="shared" si="2"/>
        <v>18603.675267513041</v>
      </c>
      <c r="G15" s="410">
        <f t="shared" si="2"/>
        <v>18603.675267513041</v>
      </c>
      <c r="H15" s="207"/>
      <c r="I15" s="207"/>
      <c r="J15" s="5" t="s">
        <v>390</v>
      </c>
      <c r="L15" s="406">
        <f>'EMEA CELLULAR'!D43</f>
        <v>23.450165248936997</v>
      </c>
      <c r="M15" s="406">
        <f>'EMEA CELLULAR'!E43</f>
        <v>15.410353469940693</v>
      </c>
      <c r="N15" s="406">
        <f>'EMEA CELLULAR'!F43</f>
        <v>12.326327706891529</v>
      </c>
      <c r="O15" s="406">
        <f>'EMEA CELLULAR'!G43</f>
        <v>10.503745422567203</v>
      </c>
      <c r="P15" s="240">
        <f>'EMEA CELLULAR'!H43</f>
        <v>0.29920862771021017</v>
      </c>
    </row>
    <row r="16" spans="2:44">
      <c r="B16" s="5" t="s">
        <v>438</v>
      </c>
      <c r="C16" s="216"/>
      <c r="D16" s="410">
        <v>0</v>
      </c>
      <c r="E16" s="410">
        <v>15616.87055575374</v>
      </c>
      <c r="F16" s="410">
        <v>42794.112426298314</v>
      </c>
      <c r="G16" s="410">
        <v>76044.603762288112</v>
      </c>
      <c r="H16" s="207"/>
      <c r="I16" s="207"/>
      <c r="J16" s="5" t="s">
        <v>437</v>
      </c>
      <c r="L16" s="406">
        <f>'EMEA CELLULAR'!D44</f>
        <v>13.987504843658609</v>
      </c>
      <c r="M16" s="406">
        <f>'EMEA CELLULAR'!E44</f>
        <v>10.43067037532062</v>
      </c>
      <c r="N16" s="406">
        <f>'EMEA CELLULAR'!F44</f>
        <v>8.2767848489788651</v>
      </c>
      <c r="O16" s="406">
        <f>'EMEA CELLULAR'!G44</f>
        <v>7.004852314981683</v>
      </c>
      <c r="P16" s="240">
        <f>'EMEA CELLULAR'!H44</f>
        <v>0.25177251450443627</v>
      </c>
    </row>
    <row r="17" spans="2:24">
      <c r="B17" s="5" t="s">
        <v>4</v>
      </c>
      <c r="C17" s="216"/>
      <c r="D17" s="410">
        <v>0</v>
      </c>
      <c r="E17" s="410">
        <v>0</v>
      </c>
      <c r="F17" s="410">
        <v>0</v>
      </c>
      <c r="G17" s="410">
        <v>0</v>
      </c>
      <c r="H17" s="207"/>
      <c r="I17" s="207"/>
      <c r="J17" s="5" t="s">
        <v>481</v>
      </c>
      <c r="L17" s="208">
        <f>'EMEA CELLULAR'!D45</f>
        <v>3.0544287380878801E-2</v>
      </c>
      <c r="M17" s="208">
        <f>'EMEA CELLULAR'!E45</f>
        <v>4.395508539543818E-2</v>
      </c>
      <c r="N17" s="208">
        <f>'EMEA CELLULAR'!F45</f>
        <v>5.3871956178551617E-2</v>
      </c>
      <c r="O17" s="208">
        <f>'EMEA CELLULAR'!G45</f>
        <v>6.3557237996527752E-2</v>
      </c>
      <c r="P17" s="240">
        <f>'EMEA CELLULAR'!H45</f>
        <v>0.26908290905415133</v>
      </c>
      <c r="S17" s="72"/>
      <c r="T17" s="26"/>
      <c r="U17" s="26"/>
      <c r="V17" s="26"/>
      <c r="W17" s="26"/>
      <c r="X17" s="26"/>
    </row>
    <row r="18" spans="2:24" ht="12.6" thickBot="1">
      <c r="B18" s="25" t="s">
        <v>484</v>
      </c>
      <c r="C18" s="209"/>
      <c r="D18" s="411">
        <f>D11+D12+D13-D14+D15-D16-D17</f>
        <v>372303.89676687104</v>
      </c>
      <c r="E18" s="411">
        <f>E11+E12+E13-E14+E15-E16-E17</f>
        <v>382338.59327121382</v>
      </c>
      <c r="F18" s="411">
        <f>F11+F12+F13-F14+F15-F16-F17</f>
        <v>349755.40055416821</v>
      </c>
      <c r="G18" s="411">
        <f>G11+G12+G13-G14+G15-G16-G17</f>
        <v>310801.21912805556</v>
      </c>
      <c r="H18" s="230">
        <f>IF(D18=0,"nm",IF(G18=0,"nm",(G18/D18)^(1/3)-1))</f>
        <v>-5.8410275128917055E-2</v>
      </c>
      <c r="I18" s="214"/>
      <c r="J18" s="5" t="s">
        <v>33</v>
      </c>
      <c r="L18" s="208">
        <f>'EMEA CELLULAR'!D46</f>
        <v>2.6498586982557595E-2</v>
      </c>
      <c r="M18" s="208">
        <f>'EMEA CELLULAR'!E46</f>
        <v>1.0808246113551016E-2</v>
      </c>
      <c r="N18" s="208">
        <f>'EMEA CELLULAR'!F46</f>
        <v>5.7520239450434246E-2</v>
      </c>
      <c r="O18" s="208">
        <f>'EMEA CELLULAR'!G46</f>
        <v>6.7155888346752513E-2</v>
      </c>
      <c r="P18" s="240">
        <f>'EMEA CELLULAR'!H46</f>
        <v>0.35528963407723091</v>
      </c>
      <c r="S18" s="72"/>
      <c r="T18" s="26"/>
      <c r="U18" s="26"/>
      <c r="V18" s="26"/>
      <c r="W18" s="26"/>
      <c r="X18" s="26"/>
    </row>
    <row r="19" spans="2:24" ht="12.6" thickTop="1">
      <c r="B19" s="25"/>
      <c r="C19" s="209"/>
      <c r="D19" s="189"/>
      <c r="E19" s="189"/>
      <c r="F19" s="189"/>
      <c r="G19" s="189"/>
      <c r="H19" s="230"/>
      <c r="I19" s="214"/>
      <c r="J19" s="5" t="s">
        <v>482</v>
      </c>
      <c r="L19" s="208">
        <f>'EMEA CELLULAR'!D47</f>
        <v>4.2643622737171552E-2</v>
      </c>
      <c r="M19" s="208">
        <f>'EMEA CELLULAR'!E47</f>
        <v>6.4891438210719285E-2</v>
      </c>
      <c r="N19" s="208">
        <f>'EMEA CELLULAR'!F47</f>
        <v>8.1127163237831965E-2</v>
      </c>
      <c r="O19" s="208">
        <f>'EMEA CELLULAR'!G47</f>
        <v>9.5204135265074971E-2</v>
      </c>
      <c r="P19" s="240">
        <f>'EMEA CELLULAR'!H47</f>
        <v>0.29920862771021017</v>
      </c>
      <c r="S19" s="72"/>
      <c r="T19" s="26"/>
      <c r="U19" s="26"/>
      <c r="V19" s="26"/>
      <c r="W19" s="26"/>
      <c r="X19" s="26"/>
    </row>
    <row r="20" spans="2:24">
      <c r="H20" s="231"/>
      <c r="I20" s="13"/>
      <c r="J20" s="5" t="s">
        <v>504</v>
      </c>
      <c r="L20" s="248">
        <f>'EMEA CELLULAR'!D48</f>
        <v>0.71626858649262892</v>
      </c>
      <c r="M20" s="248">
        <f>'EMEA CELLULAR'!E48</f>
        <v>0.67736340274513018</v>
      </c>
      <c r="N20" s="248">
        <f>'EMEA CELLULAR'!F48</f>
        <v>0.66404338606812718</v>
      </c>
      <c r="O20" s="248">
        <f>'EMEA CELLULAR'!G48</f>
        <v>0.66758904767704264</v>
      </c>
      <c r="P20" s="240" t="str">
        <f>'EMEA CELLULAR'!H48</f>
        <v>nm</v>
      </c>
      <c r="S20" s="72"/>
      <c r="T20" s="26"/>
      <c r="U20" s="26"/>
      <c r="V20" s="26"/>
      <c r="W20" s="26"/>
      <c r="X20" s="26"/>
    </row>
    <row r="21" spans="2:24" ht="12.6" thickBot="1">
      <c r="B21" s="249" t="s">
        <v>756</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152227</v>
      </c>
      <c r="D23" s="416">
        <v>162901.93628776242</v>
      </c>
      <c r="E23" s="416">
        <v>239696.84831604373</v>
      </c>
      <c r="F23" s="416">
        <v>259751.50307070315</v>
      </c>
      <c r="G23" s="416">
        <v>278676.59742636129</v>
      </c>
      <c r="H23" s="233">
        <f t="shared" ref="H23:H32" si="4">IF(D23=0,"nm",IF(G23=0,"nm",(G23/D23)^(1/3)-1))</f>
        <v>0.19598229614095763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49446</v>
      </c>
      <c r="D24" s="416">
        <v>48174</v>
      </c>
      <c r="E24" s="416">
        <v>51180.712432659406</v>
      </c>
      <c r="F24" s="416">
        <v>90396.507714742824</v>
      </c>
      <c r="G24" s="416">
        <v>99495.281264866557</v>
      </c>
      <c r="H24" s="233">
        <f t="shared" si="4"/>
        <v>0.27349308738585476</v>
      </c>
      <c r="I24" s="209"/>
      <c r="J24" s="13"/>
      <c r="K24" s="13"/>
      <c r="L24" s="13"/>
      <c r="M24" s="13"/>
      <c r="N24" s="13"/>
      <c r="O24" s="208"/>
      <c r="S24" s="72"/>
      <c r="T24" s="26"/>
      <c r="U24" s="26"/>
      <c r="V24" s="26"/>
      <c r="W24" s="26" t="s">
        <v>307</v>
      </c>
      <c r="X24" s="26" t="s">
        <v>418</v>
      </c>
    </row>
    <row r="25" spans="2:24">
      <c r="B25" s="5" t="s">
        <v>157</v>
      </c>
      <c r="C25" s="422">
        <v>29152</v>
      </c>
      <c r="D25" s="416">
        <v>26223.473886116255</v>
      </c>
      <c r="E25" s="416">
        <v>16328.654101634107</v>
      </c>
      <c r="F25" s="416">
        <v>53147.344751721655</v>
      </c>
      <c r="G25" s="416">
        <v>60222.057130696907</v>
      </c>
      <c r="H25" s="233">
        <f t="shared" si="4"/>
        <v>0.31933511342100629</v>
      </c>
      <c r="I25" s="208"/>
      <c r="J25" s="207" t="s">
        <v>8</v>
      </c>
      <c r="K25" s="207"/>
      <c r="L25" s="252">
        <v>0</v>
      </c>
      <c r="M25" s="252">
        <v>0</v>
      </c>
      <c r="N25" s="252">
        <v>0</v>
      </c>
      <c r="O25" s="252">
        <v>0</v>
      </c>
      <c r="P25" s="233" t="str">
        <f>IF(L25=0,"nm",IF(O25=0,"nm",(O25/L25)^(1/3)-1))</f>
        <v>nm</v>
      </c>
      <c r="S25" s="72"/>
      <c r="T25" s="26"/>
      <c r="U25" s="26"/>
      <c r="V25" s="113" t="s">
        <v>225</v>
      </c>
      <c r="W25" s="242">
        <f>D37/L9</f>
        <v>0.87233248933231078</v>
      </c>
      <c r="X25" s="242">
        <v>1</v>
      </c>
    </row>
    <row r="26" spans="2:24">
      <c r="B26" s="5" t="s">
        <v>487</v>
      </c>
      <c r="C26" s="422">
        <v>20989.439999999999</v>
      </c>
      <c r="D26" s="416">
        <v>18880.901198003703</v>
      </c>
      <c r="E26" s="416">
        <v>11756.630953176556</v>
      </c>
      <c r="F26" s="416">
        <v>38266.088221239588</v>
      </c>
      <c r="G26" s="416">
        <v>43359.881134101772</v>
      </c>
      <c r="H26" s="233">
        <f t="shared" si="4"/>
        <v>0.31933511342100629</v>
      </c>
      <c r="I26" s="209"/>
      <c r="J26" s="209" t="s">
        <v>9</v>
      </c>
      <c r="K26" s="209"/>
      <c r="L26" s="235">
        <f>D11+L25</f>
        <v>301885.50944666669</v>
      </c>
      <c r="M26" s="235">
        <f>E11+M25</f>
        <v>301278.92611333338</v>
      </c>
      <c r="N26" s="235">
        <f>F11+N25</f>
        <v>300672.34278000006</v>
      </c>
      <c r="O26" s="235">
        <f>G11+O25</f>
        <v>300065.75944666675</v>
      </c>
      <c r="P26" s="233">
        <f>IF(L26=0,"nm",IF(O26=0,"nm",(O26/L26)^(1/3)-1))</f>
        <v>-2.0133667563781987E-3</v>
      </c>
      <c r="Q26" s="5"/>
      <c r="S26" s="72"/>
      <c r="T26" s="26"/>
      <c r="U26" s="26"/>
      <c r="V26" s="113" t="s">
        <v>158</v>
      </c>
      <c r="W26" s="242">
        <f t="shared" ref="W26:W33" si="6">D38/L10</f>
        <v>1.0436698713176893</v>
      </c>
      <c r="X26" s="242">
        <v>1</v>
      </c>
    </row>
    <row r="27" spans="2:24">
      <c r="B27" s="5" t="s">
        <v>488</v>
      </c>
      <c r="C27" s="423">
        <v>147361</v>
      </c>
      <c r="D27" s="416">
        <v>155631.51379665139</v>
      </c>
      <c r="E27" s="416">
        <v>219199.93408609554</v>
      </c>
      <c r="F27" s="416">
        <v>195366.80374871162</v>
      </c>
      <c r="G27" s="416">
        <v>195544.76763977075</v>
      </c>
      <c r="H27" s="233">
        <f t="shared" si="4"/>
        <v>7.9069836148184303E-2</v>
      </c>
      <c r="I27" s="209"/>
      <c r="J27" s="208"/>
      <c r="K27" s="208"/>
      <c r="L27" s="208"/>
      <c r="M27" s="208"/>
      <c r="N27" s="208"/>
      <c r="O27" s="208"/>
      <c r="Q27" s="25"/>
      <c r="S27" s="72"/>
      <c r="T27" s="26"/>
      <c r="U27" s="26"/>
      <c r="V27" s="113" t="s">
        <v>159</v>
      </c>
      <c r="W27" s="242">
        <f t="shared" si="6"/>
        <v>1.0305812705355322</v>
      </c>
      <c r="X27" s="242">
        <v>1</v>
      </c>
    </row>
    <row r="28" spans="2:24" ht="12.6" thickBot="1">
      <c r="B28" s="5" t="s">
        <v>492</v>
      </c>
      <c r="C28" s="422">
        <v>81138</v>
      </c>
      <c r="D28" s="416">
        <v>77091.53803043261</v>
      </c>
      <c r="E28" s="416">
        <v>122994.01670072059</v>
      </c>
      <c r="F28" s="416">
        <v>128064.26838040768</v>
      </c>
      <c r="G28" s="416">
        <v>133807.6259363243</v>
      </c>
      <c r="H28" s="233">
        <f t="shared" si="4"/>
        <v>0.20177929756402802</v>
      </c>
      <c r="I28" s="208"/>
      <c r="J28" s="249" t="s">
        <v>1073</v>
      </c>
      <c r="K28" s="249"/>
      <c r="L28" s="249"/>
      <c r="M28" s="249"/>
      <c r="N28" s="220"/>
      <c r="O28" s="220"/>
      <c r="P28" s="220"/>
      <c r="Q28" s="5"/>
      <c r="S28" s="72"/>
      <c r="T28" s="26"/>
      <c r="U28" s="26"/>
      <c r="V28" s="113" t="s">
        <v>381</v>
      </c>
      <c r="W28" s="242">
        <f t="shared" si="6"/>
        <v>1.0064803983512474</v>
      </c>
      <c r="X28" s="242">
        <v>1</v>
      </c>
    </row>
    <row r="29" spans="2:24" ht="12.6" thickTop="1">
      <c r="B29" s="5" t="s">
        <v>489</v>
      </c>
      <c r="C29" s="422">
        <v>15797</v>
      </c>
      <c r="D29" s="416">
        <v>16636.99530481761</v>
      </c>
      <c r="E29" s="416">
        <v>27976.544999533089</v>
      </c>
      <c r="F29" s="416">
        <v>32476.609383712406</v>
      </c>
      <c r="G29" s="416">
        <v>38847.598092779248</v>
      </c>
      <c r="H29" s="233">
        <f t="shared" si="4"/>
        <v>0.32667056238470837</v>
      </c>
      <c r="I29" s="212"/>
      <c r="J29" s="209"/>
      <c r="K29" s="209"/>
      <c r="L29" s="209"/>
      <c r="M29" s="209"/>
      <c r="N29" s="209"/>
      <c r="O29" s="211"/>
      <c r="Q29" s="5"/>
      <c r="S29" s="72"/>
      <c r="T29" s="26"/>
      <c r="U29" s="26"/>
      <c r="V29" s="113" t="s">
        <v>434</v>
      </c>
      <c r="W29" s="242">
        <f t="shared" si="6"/>
        <v>0.95952629512609788</v>
      </c>
      <c r="X29" s="242">
        <v>1</v>
      </c>
    </row>
    <row r="30" spans="2:24">
      <c r="B30" s="5" t="s">
        <v>490</v>
      </c>
      <c r="C30" s="423">
        <v>17108</v>
      </c>
      <c r="D30" s="416">
        <v>20148.035949684287</v>
      </c>
      <c r="E30" s="416">
        <v>34948.920647172519</v>
      </c>
      <c r="F30" s="416">
        <v>42714.074808592719</v>
      </c>
      <c r="G30" s="416">
        <v>50393.33186122778</v>
      </c>
      <c r="H30" s="233">
        <f t="shared" si="4"/>
        <v>0.35741752593832077</v>
      </c>
      <c r="I30" s="214"/>
      <c r="J30" s="208"/>
      <c r="K30" s="208"/>
      <c r="L30" s="208"/>
      <c r="M30" s="208"/>
      <c r="N30" s="208"/>
      <c r="O30" s="5"/>
      <c r="Q30" s="5"/>
      <c r="S30" s="72"/>
      <c r="T30" s="26"/>
      <c r="U30" s="26"/>
      <c r="V30" s="113" t="s">
        <v>493</v>
      </c>
      <c r="W30" s="242">
        <f t="shared" si="6"/>
        <v>1.4816374585862837</v>
      </c>
      <c r="X30" s="242">
        <v>1</v>
      </c>
    </row>
    <row r="31" spans="2:24">
      <c r="B31" s="5" t="s">
        <v>491</v>
      </c>
      <c r="C31" s="423">
        <v>12882.6142</v>
      </c>
      <c r="D31" s="416">
        <v>15273.463434815521</v>
      </c>
      <c r="E31" s="416">
        <v>26806.512507226493</v>
      </c>
      <c r="F31" s="416">
        <v>32857.174938651289</v>
      </c>
      <c r="G31" s="416">
        <v>38840.880405959499</v>
      </c>
      <c r="H31" s="233">
        <f t="shared" si="4"/>
        <v>0.36495136966083219</v>
      </c>
      <c r="I31" s="214"/>
      <c r="J31" s="212"/>
      <c r="K31" s="212"/>
      <c r="L31" s="212"/>
      <c r="M31" s="212"/>
      <c r="N31" s="212"/>
      <c r="O31" s="5"/>
      <c r="Q31" s="5"/>
      <c r="S31" s="72"/>
      <c r="T31" s="26"/>
      <c r="U31" s="26"/>
      <c r="V31" s="113" t="s">
        <v>390</v>
      </c>
      <c r="W31" s="242">
        <f t="shared" si="6"/>
        <v>0.7737870654405179</v>
      </c>
      <c r="X31" s="242">
        <v>1</v>
      </c>
    </row>
    <row r="32" spans="2:24">
      <c r="B32" s="5" t="s">
        <v>506</v>
      </c>
      <c r="C32" s="424">
        <v>-10417.017754077671</v>
      </c>
      <c r="D32" s="416">
        <v>-9500</v>
      </c>
      <c r="E32" s="416">
        <v>-43900</v>
      </c>
      <c r="F32" s="416">
        <v>-500</v>
      </c>
      <c r="G32" s="416">
        <v>-500</v>
      </c>
      <c r="H32" s="233">
        <f t="shared" si="4"/>
        <v>-0.6252438232156845</v>
      </c>
      <c r="I32" s="214"/>
      <c r="J32" s="214"/>
      <c r="K32" s="214"/>
      <c r="L32" s="214"/>
      <c r="M32" s="214"/>
      <c r="N32" s="214"/>
      <c r="O32" s="211"/>
      <c r="Q32" s="5"/>
      <c r="S32" s="72"/>
      <c r="T32" s="26"/>
      <c r="U32" s="26"/>
      <c r="V32" s="113" t="s">
        <v>437</v>
      </c>
      <c r="W32" s="242">
        <f t="shared" si="6"/>
        <v>1.0711968830512957</v>
      </c>
      <c r="X32" s="242">
        <v>1</v>
      </c>
    </row>
    <row r="33" spans="2:24">
      <c r="B33" s="5" t="s">
        <v>3</v>
      </c>
      <c r="C33" s="423">
        <v>-7018</v>
      </c>
      <c r="D33" s="416">
        <v>-7135.2244047078057</v>
      </c>
      <c r="E33" s="416">
        <v>-9860.5310261736067</v>
      </c>
      <c r="F33" s="416">
        <v>-10030.50928838101</v>
      </c>
      <c r="G33" s="416">
        <v>-9646.3638196425527</v>
      </c>
      <c r="H33" s="233">
        <f>IF(D33=0,"nm",IF(G33=0,"nm",(G33/D33)^(1/3)-1))</f>
        <v>0.10573740303541412</v>
      </c>
      <c r="I33" s="5"/>
      <c r="J33" s="214"/>
      <c r="K33" s="214"/>
      <c r="L33" s="214"/>
      <c r="M33" s="214"/>
      <c r="N33" s="214"/>
      <c r="O33" s="211"/>
      <c r="Q33" s="5"/>
      <c r="S33" s="72"/>
      <c r="T33" s="26"/>
      <c r="U33" s="26"/>
      <c r="V33" s="113" t="s">
        <v>481</v>
      </c>
      <c r="W33" s="242">
        <f t="shared" si="6"/>
        <v>1.6564001647002209</v>
      </c>
      <c r="X33" s="242">
        <v>1</v>
      </c>
    </row>
    <row r="34" spans="2:24">
      <c r="H34" s="231"/>
      <c r="I34" s="33"/>
      <c r="J34" s="214"/>
      <c r="K34" s="214"/>
      <c r="L34" s="214"/>
      <c r="M34" s="214"/>
      <c r="N34" s="214"/>
      <c r="O34" s="211"/>
      <c r="Q34" s="5"/>
      <c r="S34" s="72"/>
      <c r="T34" s="26"/>
      <c r="U34" s="26"/>
      <c r="V34" s="113" t="s">
        <v>482</v>
      </c>
      <c r="W34" s="242">
        <f>D47/L19</f>
        <v>1.292345200201426</v>
      </c>
      <c r="X34" s="242">
        <v>1</v>
      </c>
    </row>
    <row r="35" spans="2:24" ht="12.6" thickBot="1">
      <c r="B35" s="249" t="s">
        <v>430</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2.2854479526210478</v>
      </c>
      <c r="E37" s="406">
        <f t="shared" ref="E37:G41" si="8">E$18/E23</f>
        <v>1.5950922840966808</v>
      </c>
      <c r="F37" s="406">
        <f t="shared" si="8"/>
        <v>1.3465000064271675</v>
      </c>
      <c r="G37" s="406">
        <f t="shared" si="8"/>
        <v>1.1152756349057369</v>
      </c>
      <c r="H37" s="13">
        <f t="shared" ref="H37:H45" si="9">H23</f>
        <v>0.19598229614095763</v>
      </c>
      <c r="I37" s="5"/>
      <c r="J37" s="217"/>
      <c r="K37" s="217"/>
      <c r="L37" s="217"/>
      <c r="M37" s="217"/>
      <c r="N37" s="217"/>
      <c r="O37" s="14"/>
      <c r="Q37" s="5"/>
      <c r="R37" s="5"/>
      <c r="S37" s="26"/>
      <c r="T37" s="26"/>
      <c r="U37" s="26"/>
      <c r="V37" s="26"/>
      <c r="W37" s="26"/>
      <c r="X37" s="26"/>
    </row>
    <row r="38" spans="2:24">
      <c r="B38" s="5" t="s">
        <v>158</v>
      </c>
      <c r="C38" s="207"/>
      <c r="D38" s="406">
        <f>D$18/D24</f>
        <v>7.7283160370089892</v>
      </c>
      <c r="E38" s="406">
        <f t="shared" si="8"/>
        <v>7.4703648131954514</v>
      </c>
      <c r="F38" s="406">
        <f t="shared" si="8"/>
        <v>3.8691251398545607</v>
      </c>
      <c r="G38" s="406">
        <f t="shared" si="8"/>
        <v>3.1237784865462221</v>
      </c>
      <c r="H38" s="13">
        <f t="shared" si="9"/>
        <v>0.27349308738585476</v>
      </c>
      <c r="I38" s="217"/>
      <c r="J38" s="13"/>
      <c r="K38" s="13"/>
      <c r="L38" s="13"/>
      <c r="M38" s="13"/>
      <c r="N38" s="13"/>
      <c r="O38" s="5"/>
      <c r="Q38" s="5"/>
      <c r="R38" s="5"/>
      <c r="S38" s="26"/>
      <c r="T38" s="26"/>
      <c r="U38" s="26"/>
      <c r="V38" s="26"/>
      <c r="W38" s="26"/>
      <c r="X38" s="26"/>
    </row>
    <row r="39" spans="2:24">
      <c r="B39" s="5" t="s">
        <v>159</v>
      </c>
      <c r="C39" s="207"/>
      <c r="D39" s="406">
        <f>D$18/D25</f>
        <v>14.197352280011362</v>
      </c>
      <c r="E39" s="406">
        <f t="shared" si="8"/>
        <v>23.415193370588387</v>
      </c>
      <c r="F39" s="406">
        <f t="shared" si="8"/>
        <v>6.5808631115637857</v>
      </c>
      <c r="G39" s="406">
        <f t="shared" si="8"/>
        <v>5.160920000682462</v>
      </c>
      <c r="H39" s="13">
        <f t="shared" si="9"/>
        <v>0.31933511342100629</v>
      </c>
      <c r="I39" s="13"/>
      <c r="J39" s="5"/>
      <c r="K39" s="5"/>
      <c r="L39" s="5"/>
      <c r="M39" s="5"/>
      <c r="N39" s="5"/>
      <c r="O39" s="5"/>
      <c r="Q39" s="5"/>
      <c r="R39" s="5"/>
      <c r="S39" s="26"/>
      <c r="T39" s="26"/>
      <c r="U39" s="26"/>
      <c r="V39" s="26"/>
      <c r="W39" s="26"/>
      <c r="X39" s="26"/>
    </row>
    <row r="40" spans="2:24">
      <c r="B40" s="5" t="s">
        <v>381</v>
      </c>
      <c r="C40" s="207"/>
      <c r="D40" s="406">
        <f>D$18/D26</f>
        <v>19.718544833349114</v>
      </c>
      <c r="E40" s="406">
        <f t="shared" si="8"/>
        <v>32.521101903594982</v>
      </c>
      <c r="F40" s="406">
        <f t="shared" si="8"/>
        <v>9.1400876549497028</v>
      </c>
      <c r="G40" s="406">
        <f t="shared" si="8"/>
        <v>7.1679444453923091</v>
      </c>
      <c r="H40" s="13">
        <f t="shared" si="9"/>
        <v>0.31933511342100629</v>
      </c>
      <c r="I40" s="5"/>
      <c r="J40" s="217"/>
      <c r="K40" s="217"/>
      <c r="L40" s="217"/>
      <c r="M40" s="217"/>
      <c r="N40" s="217"/>
      <c r="O40" s="14"/>
      <c r="Q40" s="5"/>
      <c r="R40" s="5"/>
      <c r="S40" s="26"/>
      <c r="T40" s="26"/>
      <c r="U40" s="26"/>
      <c r="V40" s="26"/>
      <c r="W40" s="242"/>
      <c r="X40" s="242"/>
    </row>
    <row r="41" spans="2:24">
      <c r="B41" s="5" t="s">
        <v>434</v>
      </c>
      <c r="C41" s="207"/>
      <c r="D41" s="406">
        <f>D$18/D27</f>
        <v>2.3922140682466435</v>
      </c>
      <c r="E41" s="406">
        <f t="shared" si="8"/>
        <v>1.7442459317576346</v>
      </c>
      <c r="F41" s="406">
        <f t="shared" si="8"/>
        <v>1.7902498983606099</v>
      </c>
      <c r="G41" s="406">
        <f t="shared" si="8"/>
        <v>1.589412096674498</v>
      </c>
      <c r="H41" s="13">
        <f t="shared" si="9"/>
        <v>7.9069836148184303E-2</v>
      </c>
      <c r="I41" s="207"/>
      <c r="J41" s="13"/>
      <c r="K41" s="13"/>
      <c r="L41" s="13"/>
      <c r="M41" s="13"/>
      <c r="N41" s="13"/>
      <c r="O41" s="5"/>
      <c r="Q41" s="5"/>
      <c r="R41" s="5"/>
      <c r="S41" s="26"/>
      <c r="T41" s="26"/>
      <c r="U41" s="26"/>
      <c r="V41" s="26"/>
      <c r="W41" s="242"/>
      <c r="X41" s="242"/>
    </row>
    <row r="42" spans="2:24">
      <c r="B42" s="5" t="s">
        <v>493</v>
      </c>
      <c r="C42" s="207"/>
      <c r="D42" s="406">
        <f>D18/D28</f>
        <v>4.8293743551970723</v>
      </c>
      <c r="E42" s="406">
        <f>E18/E28</f>
        <v>3.1085950644375839</v>
      </c>
      <c r="F42" s="406">
        <f>F18/F28</f>
        <v>2.7310927940902263</v>
      </c>
      <c r="G42" s="406">
        <f>G18/G28</f>
        <v>2.3227466816873208</v>
      </c>
      <c r="H42" s="13">
        <f t="shared" si="9"/>
        <v>0.20177929756402802</v>
      </c>
      <c r="I42" s="208"/>
      <c r="J42" s="5"/>
      <c r="K42" s="5"/>
      <c r="L42" s="5"/>
      <c r="M42" s="5"/>
      <c r="N42" s="5"/>
      <c r="O42" s="5"/>
      <c r="Q42" s="5"/>
      <c r="R42" s="5"/>
      <c r="S42" s="26"/>
      <c r="T42" s="26"/>
      <c r="U42" s="26"/>
      <c r="V42" s="26"/>
      <c r="W42" s="242"/>
      <c r="X42" s="242"/>
    </row>
    <row r="43" spans="2:24">
      <c r="B43" s="5" t="s">
        <v>390</v>
      </c>
      <c r="C43" s="207"/>
      <c r="D43" s="406">
        <f>L26/D29</f>
        <v>18.145434552070171</v>
      </c>
      <c r="E43" s="406">
        <f>M26/E29</f>
        <v>10.768982593038617</v>
      </c>
      <c r="F43" s="406">
        <f>N26/F29</f>
        <v>9.258119874139096</v>
      </c>
      <c r="G43" s="406">
        <f>O26/G29</f>
        <v>7.7241779203446077</v>
      </c>
      <c r="H43" s="13">
        <f t="shared" si="9"/>
        <v>0.32667056238470837</v>
      </c>
      <c r="I43" s="207"/>
      <c r="J43" s="207"/>
      <c r="K43" s="207"/>
      <c r="L43" s="207"/>
      <c r="M43" s="207"/>
      <c r="N43" s="207"/>
      <c r="O43" s="14"/>
      <c r="Q43" s="5"/>
      <c r="R43" s="5"/>
      <c r="S43" s="26"/>
      <c r="T43" s="26"/>
      <c r="U43" s="26"/>
      <c r="V43" s="26"/>
      <c r="W43" s="242"/>
      <c r="X43" s="242"/>
    </row>
    <row r="44" spans="2:24">
      <c r="B44" s="5" t="s">
        <v>437</v>
      </c>
      <c r="C44" s="53"/>
      <c r="D44" s="406">
        <f>D11/D30</f>
        <v>14.983371590192004</v>
      </c>
      <c r="E44" s="406">
        <f>E11/E30</f>
        <v>8.6205502354393264</v>
      </c>
      <c r="F44" s="406">
        <f>F11/F30</f>
        <v>7.0391865942865817</v>
      </c>
      <c r="G44" s="406">
        <f>G11/G30</f>
        <v>5.9544735059984175</v>
      </c>
      <c r="H44" s="13">
        <f t="shared" si="9"/>
        <v>0.35741752593832077</v>
      </c>
      <c r="I44" s="207"/>
      <c r="J44" s="208"/>
      <c r="K44" s="208"/>
      <c r="L44" s="208"/>
      <c r="M44" s="208"/>
      <c r="N44" s="208"/>
      <c r="O44" s="208"/>
      <c r="Q44" s="5"/>
      <c r="R44" s="5"/>
      <c r="S44" s="26"/>
      <c r="T44" s="26"/>
      <c r="U44" s="26"/>
      <c r="V44" s="26"/>
      <c r="W44" s="255"/>
      <c r="X44" s="255"/>
    </row>
    <row r="45" spans="2:24">
      <c r="B45" s="5" t="s">
        <v>481</v>
      </c>
      <c r="C45" s="207"/>
      <c r="D45" s="208">
        <f>D31/D11</f>
        <v>5.0593562648338523E-2</v>
      </c>
      <c r="E45" s="208">
        <f>E31/E11</f>
        <v>8.8975730407186107E-2</v>
      </c>
      <c r="F45" s="208">
        <f>F31/F11</f>
        <v>0.10927900662513766</v>
      </c>
      <c r="G45" s="208">
        <f>G31/G11</f>
        <v>0.12944122807475147</v>
      </c>
      <c r="H45" s="13">
        <f t="shared" si="9"/>
        <v>0.36495136966083219</v>
      </c>
      <c r="I45" s="208"/>
      <c r="J45" s="207"/>
      <c r="K45" s="207"/>
      <c r="L45" s="207"/>
      <c r="M45" s="207"/>
      <c r="N45" s="207"/>
      <c r="O45" s="208"/>
      <c r="Q45" s="5"/>
      <c r="R45" s="5"/>
      <c r="S45" s="26"/>
      <c r="T45" s="26"/>
      <c r="U45" s="26"/>
      <c r="V45" s="26"/>
      <c r="W45" s="26"/>
      <c r="X45" s="26"/>
    </row>
    <row r="46" spans="2:24">
      <c r="B46" s="5" t="s">
        <v>505</v>
      </c>
      <c r="C46" s="207"/>
      <c r="D46" s="208">
        <f>(D31+D32)/D11</f>
        <v>1.9124678906906938E-2</v>
      </c>
      <c r="E46" s="208">
        <f>(E31+E32)/E11</f>
        <v>-5.6736419348306415E-2</v>
      </c>
      <c r="F46" s="208">
        <f>(F31+F32)/F11</f>
        <v>0.1076160668436565</v>
      </c>
      <c r="G46" s="208">
        <f>(G31+G32)/G11</f>
        <v>0.12777492665828188</v>
      </c>
      <c r="H46" s="233">
        <f>((G31+G32)/(D31+D32))^(1/3)-1</f>
        <v>0.87964234574834732</v>
      </c>
      <c r="I46" s="207"/>
      <c r="J46" s="207"/>
      <c r="K46" s="207"/>
      <c r="L46" s="207"/>
      <c r="M46" s="207"/>
      <c r="N46" s="207"/>
      <c r="O46" s="14"/>
      <c r="Q46" s="5"/>
      <c r="R46" s="5"/>
      <c r="S46" s="26"/>
      <c r="T46" s="26"/>
      <c r="U46" s="26"/>
      <c r="V46" s="26"/>
      <c r="W46" s="26"/>
      <c r="X46" s="26"/>
    </row>
    <row r="47" spans="2:24">
      <c r="B47" s="5" t="s">
        <v>482</v>
      </c>
      <c r="C47" s="5"/>
      <c r="D47" s="208">
        <f>1/D43</f>
        <v>5.5110281163584053E-2</v>
      </c>
      <c r="E47" s="208">
        <f>1/E43</f>
        <v>9.2859282793012324E-2</v>
      </c>
      <c r="F47" s="208">
        <f>1/F43</f>
        <v>0.10801329142359901</v>
      </c>
      <c r="G47" s="208">
        <f>1/G43</f>
        <v>0.12946361545687776</v>
      </c>
      <c r="H47" s="13">
        <f>H29</f>
        <v>0.32667056238470837</v>
      </c>
      <c r="I47" s="13"/>
      <c r="J47" s="208"/>
      <c r="K47" s="208"/>
      <c r="L47" s="208"/>
      <c r="M47" s="208"/>
      <c r="N47" s="208"/>
      <c r="O47" s="208"/>
      <c r="Q47" s="5"/>
      <c r="R47" s="5"/>
      <c r="S47" s="26"/>
      <c r="T47" s="26"/>
      <c r="U47" s="26"/>
      <c r="V47" s="26"/>
      <c r="W47" s="26"/>
      <c r="X47" s="26"/>
    </row>
    <row r="48" spans="2:24">
      <c r="B48" s="5" t="s">
        <v>518</v>
      </c>
      <c r="C48" s="5"/>
      <c r="D48" s="248">
        <f>D31/D29</f>
        <v>0.91804217979148872</v>
      </c>
      <c r="E48" s="248">
        <f>E31/E29</f>
        <v>0.95817809195788384</v>
      </c>
      <c r="F48" s="248">
        <f>F31/F29</f>
        <v>1.011718143062365</v>
      </c>
      <c r="G48" s="248">
        <f>G31/G29</f>
        <v>0.99982707587728581</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VODASOP!A1" display="Jump to Vodacom SOP" xr:uid="{00000000-0004-0000-7500-000001000000}"/>
  </hyperlinks>
  <pageMargins left="0.75" right="0.75" top="1" bottom="1" header="0.5" footer="0.5"/>
  <pageSetup scale="71"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4">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362</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801</v>
      </c>
      <c r="C9" s="221">
        <f>Prices!C36</f>
        <v>115.95</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22811.290590000001</v>
      </c>
      <c r="E10" s="408">
        <v>22675.635635714287</v>
      </c>
      <c r="F10" s="408">
        <v>22675.635635714287</v>
      </c>
      <c r="G10" s="408">
        <v>22675.635635714287</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802</v>
      </c>
      <c r="C11" s="5"/>
      <c r="D11" s="409">
        <f>$C$9/100*D10</f>
        <v>26449.691439105001</v>
      </c>
      <c r="E11" s="409">
        <f t="shared" ref="E11:G11" si="2">$C$9/100*E10</f>
        <v>26292.399519610713</v>
      </c>
      <c r="F11" s="409">
        <f t="shared" si="2"/>
        <v>26292.399519610713</v>
      </c>
      <c r="G11" s="409">
        <f t="shared" si="2"/>
        <v>26292.399519610713</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21751.226446537337</v>
      </c>
      <c r="E12" s="410">
        <v>21183.878986955548</v>
      </c>
      <c r="F12" s="410">
        <v>20603.303128889442</v>
      </c>
      <c r="G12" s="410">
        <v>19031.787500544993</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9980.5404975489382</v>
      </c>
      <c r="E13" s="410">
        <v>10113.419050630344</v>
      </c>
      <c r="F13" s="410">
        <v>9652.4572171524815</v>
      </c>
      <c r="G13" s="410">
        <v>9805.4338214610561</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10">
        <v>6571.0940294026705</v>
      </c>
      <c r="E14" s="410">
        <v>6571.0940294026705</v>
      </c>
      <c r="F14" s="410">
        <v>6571.0940294026705</v>
      </c>
      <c r="G14" s="410">
        <v>6571.0940294026705</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10">
        <v>7318.873192185355</v>
      </c>
      <c r="E15" s="410">
        <v>7318.873192185355</v>
      </c>
      <c r="F15" s="410">
        <v>7318.873192185355</v>
      </c>
      <c r="G15" s="410">
        <v>7318.873192185355</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913.90510500428684</v>
      </c>
      <c r="F16" s="410">
        <v>1843.8861311327457</v>
      </c>
      <c r="G16" s="410">
        <v>2792.4667777837735</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981.90090909090895</v>
      </c>
      <c r="E17" s="410">
        <v>980.975909090909</v>
      </c>
      <c r="F17" s="410">
        <v>980.975909090909</v>
      </c>
      <c r="G17" s="410">
        <v>980.975909090909</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803</v>
      </c>
      <c r="C18" s="209"/>
      <c r="D18" s="411">
        <f>D11+D12+D13-D14+D15-D16-D17</f>
        <v>57947.336636883047</v>
      </c>
      <c r="E18" s="411">
        <f>E11+E12+E13-E14+E15-E16-E17</f>
        <v>56442.595705884094</v>
      </c>
      <c r="F18" s="411">
        <f>F11+F12+F13-F14+F15-F16-F17</f>
        <v>54471.076988211658</v>
      </c>
      <c r="G18" s="411">
        <f>G11+G12+G13-G14+G15-G16-G17</f>
        <v>52103.957317524757</v>
      </c>
      <c r="H18" s="230">
        <f>IF(D18=0,"nm",IF(G18=0,"nm",(G18/D18)^(1/3)-1))</f>
        <v>-3.4810897463564139E-2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761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31521.428590719999</v>
      </c>
      <c r="D23" s="416">
        <v>34894.529415570425</v>
      </c>
      <c r="E23" s="416">
        <v>36384.042914135753</v>
      </c>
      <c r="F23" s="416">
        <v>36947.981358601392</v>
      </c>
      <c r="G23" s="416">
        <v>37482.624544328144</v>
      </c>
      <c r="H23" s="233">
        <f t="shared" ref="H23:H32" si="4">IF(D23=0,"nm",IF(G23=0,"nm",(G23/D23)^(1/3)-1))</f>
        <v>2.4135802876696921E-2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9201.8868124799992</v>
      </c>
      <c r="D24" s="416">
        <v>9986.5505871996756</v>
      </c>
      <c r="E24" s="416">
        <v>10595.815966856311</v>
      </c>
      <c r="F24" s="416">
        <v>11029.6252342732</v>
      </c>
      <c r="G24" s="416">
        <v>11511.196356488568</v>
      </c>
      <c r="H24" s="233">
        <f t="shared" si="4"/>
        <v>4.8499719491322812E-2</v>
      </c>
      <c r="I24" s="209"/>
      <c r="J24" s="13"/>
      <c r="K24" s="13"/>
      <c r="L24" s="13"/>
      <c r="M24" s="13"/>
      <c r="N24" s="13"/>
      <c r="O24" s="208"/>
      <c r="S24" s="72"/>
      <c r="T24" s="26"/>
      <c r="U24" s="26"/>
      <c r="V24" s="26"/>
      <c r="W24" s="26" t="s">
        <v>233</v>
      </c>
      <c r="X24" s="26" t="s">
        <v>210</v>
      </c>
    </row>
    <row r="25" spans="2:24">
      <c r="B25" s="5" t="s">
        <v>157</v>
      </c>
      <c r="C25" s="422">
        <v>3872.839482639999</v>
      </c>
      <c r="D25" s="416">
        <v>3752.6044059336482</v>
      </c>
      <c r="E25" s="416">
        <v>4190.5025575023301</v>
      </c>
      <c r="F25" s="416">
        <v>4590.0950035599153</v>
      </c>
      <c r="G25" s="416">
        <v>5108.5990566913442</v>
      </c>
      <c r="H25" s="233">
        <f t="shared" si="4"/>
        <v>0.10829747782754473</v>
      </c>
      <c r="I25" s="208"/>
      <c r="J25" s="207" t="s">
        <v>8</v>
      </c>
      <c r="K25" s="207"/>
      <c r="L25" s="252">
        <v>0</v>
      </c>
      <c r="M25" s="252">
        <v>0</v>
      </c>
      <c r="N25" s="252">
        <v>0</v>
      </c>
      <c r="O25" s="252">
        <v>0</v>
      </c>
      <c r="P25" s="233" t="str">
        <f>IF(L25=0,"nm",IF(O25=0,"nm",(O25/L25)^(1/3)-1))</f>
        <v>nm</v>
      </c>
      <c r="S25" s="72"/>
      <c r="T25" s="26"/>
      <c r="U25" s="26"/>
      <c r="V25" s="113" t="s">
        <v>225</v>
      </c>
      <c r="W25" s="242">
        <f>D37/L9</f>
        <v>1.233267590419435</v>
      </c>
      <c r="X25" s="242">
        <v>1</v>
      </c>
    </row>
    <row r="26" spans="2:24">
      <c r="B26" s="5" t="s">
        <v>487</v>
      </c>
      <c r="C26" s="422">
        <v>2893.4436186090879</v>
      </c>
      <c r="D26" s="416">
        <v>2776.9272603908998</v>
      </c>
      <c r="E26" s="416">
        <v>3100.9718925517241</v>
      </c>
      <c r="F26" s="416">
        <v>3396.6703026343371</v>
      </c>
      <c r="G26" s="416">
        <v>3780.3633019515946</v>
      </c>
      <c r="H26" s="233">
        <f t="shared" si="4"/>
        <v>0.10829747782754473</v>
      </c>
      <c r="I26" s="209"/>
      <c r="J26" s="209" t="s">
        <v>9</v>
      </c>
      <c r="K26" s="209"/>
      <c r="L26" s="235">
        <f>D11+L25</f>
        <v>26449.691439105001</v>
      </c>
      <c r="M26" s="235">
        <f>E11+M25</f>
        <v>26292.399519610713</v>
      </c>
      <c r="N26" s="235">
        <f>F11+N25</f>
        <v>26292.399519610713</v>
      </c>
      <c r="O26" s="235">
        <f>G11+O25</f>
        <v>26292.399519610713</v>
      </c>
      <c r="P26" s="233">
        <f>IF(L26=0,"nm",IF(O26=0,"nm",(O26/L26)^(1/3)-1))</f>
        <v>-1.9862203984811755E-3</v>
      </c>
      <c r="Q26" s="5"/>
      <c r="S26" s="72"/>
      <c r="T26" s="26"/>
      <c r="U26" s="26"/>
      <c r="V26" s="113" t="s">
        <v>158</v>
      </c>
      <c r="W26" s="242">
        <f t="shared" ref="W26:W33" si="6">D38/L10</f>
        <v>0.87028919021558337</v>
      </c>
      <c r="X26" s="242">
        <v>1</v>
      </c>
    </row>
    <row r="27" spans="2:24">
      <c r="B27" s="5" t="s">
        <v>488</v>
      </c>
      <c r="C27" s="422">
        <v>65221.276781759996</v>
      </c>
      <c r="D27" s="416">
        <v>68266.404109733543</v>
      </c>
      <c r="E27" s="416">
        <v>67845.770981227077</v>
      </c>
      <c r="F27" s="416">
        <v>67990.391806237691</v>
      </c>
      <c r="G27" s="416">
        <v>67650.271506498102</v>
      </c>
      <c r="H27" s="233">
        <f t="shared" si="4"/>
        <v>-3.017568105695867E-3</v>
      </c>
      <c r="I27" s="209"/>
      <c r="J27" s="208"/>
      <c r="K27" s="208"/>
      <c r="L27" s="208"/>
      <c r="M27" s="208"/>
      <c r="N27" s="208"/>
      <c r="O27" s="208"/>
      <c r="Q27" s="25"/>
      <c r="S27" s="72"/>
      <c r="T27" s="26"/>
      <c r="U27" s="26"/>
      <c r="V27" s="113" t="s">
        <v>159</v>
      </c>
      <c r="W27" s="242">
        <f t="shared" si="6"/>
        <v>0.98236828497258333</v>
      </c>
      <c r="X27" s="242">
        <v>1</v>
      </c>
    </row>
    <row r="28" spans="2:24" ht="12.6" thickBot="1">
      <c r="B28" s="5" t="s">
        <v>492</v>
      </c>
      <c r="C28" s="422">
        <v>25851.47711168</v>
      </c>
      <c r="D28" s="416">
        <v>26842.771496815851</v>
      </c>
      <c r="E28" s="416">
        <v>27207.776130523769</v>
      </c>
      <c r="F28" s="416">
        <v>27627.34789864262</v>
      </c>
      <c r="G28" s="416">
        <v>28078.282401351258</v>
      </c>
      <c r="H28" s="233">
        <f t="shared" si="4"/>
        <v>1.5113011332504867E-2</v>
      </c>
      <c r="I28" s="208"/>
      <c r="J28" s="249" t="s">
        <v>1073</v>
      </c>
      <c r="K28" s="249"/>
      <c r="L28" s="249"/>
      <c r="M28" s="249"/>
      <c r="N28" s="220"/>
      <c r="O28" s="220"/>
      <c r="P28" s="220"/>
      <c r="Q28" s="5"/>
      <c r="S28" s="72"/>
      <c r="T28" s="26"/>
      <c r="U28" s="26"/>
      <c r="V28" s="113" t="s">
        <v>381</v>
      </c>
      <c r="W28" s="242">
        <f t="shared" si="6"/>
        <v>0.98757813290726282</v>
      </c>
      <c r="X28" s="242">
        <v>1</v>
      </c>
    </row>
    <row r="29" spans="2:24" ht="12.6" thickTop="1">
      <c r="B29" s="5" t="s">
        <v>489</v>
      </c>
      <c r="C29" s="422">
        <v>1364.4583354399999</v>
      </c>
      <c r="D29" s="416">
        <v>1048.7908721734734</v>
      </c>
      <c r="E29" s="416">
        <v>1242.3414526850659</v>
      </c>
      <c r="F29" s="416">
        <v>1583.260471174028</v>
      </c>
      <c r="G29" s="416">
        <v>2046.0558053142738</v>
      </c>
      <c r="H29" s="233">
        <f t="shared" si="4"/>
        <v>0.24951898350140156</v>
      </c>
      <c r="I29" s="212"/>
      <c r="J29" s="209"/>
      <c r="K29" s="209"/>
      <c r="L29" s="209"/>
      <c r="M29" s="209"/>
      <c r="N29" s="209"/>
      <c r="O29" s="211"/>
      <c r="Q29" s="5"/>
      <c r="S29" s="72"/>
      <c r="T29" s="26"/>
      <c r="U29" s="26"/>
      <c r="V29" s="113" t="s">
        <v>434</v>
      </c>
      <c r="W29" s="242">
        <f t="shared" si="6"/>
        <v>0.70031981008672861</v>
      </c>
      <c r="X29" s="242">
        <v>1</v>
      </c>
    </row>
    <row r="30" spans="2:24">
      <c r="B30" s="5" t="s">
        <v>490</v>
      </c>
      <c r="C30" s="422">
        <v>2088.3535658400001</v>
      </c>
      <c r="D30" s="416">
        <v>2146.9034644044432</v>
      </c>
      <c r="E30" s="416">
        <v>2539.4294138561468</v>
      </c>
      <c r="F30" s="416">
        <v>2876.7793489901878</v>
      </c>
      <c r="G30" s="416">
        <v>3299.1720329735035</v>
      </c>
      <c r="H30" s="233">
        <f t="shared" si="4"/>
        <v>0.1539778737106412</v>
      </c>
      <c r="I30" s="214"/>
      <c r="J30" s="208"/>
      <c r="K30" s="208"/>
      <c r="L30" s="208"/>
      <c r="M30" s="208"/>
      <c r="N30" s="208"/>
      <c r="O30" s="5"/>
      <c r="Q30" s="5"/>
      <c r="S30" s="72"/>
      <c r="T30" s="26"/>
      <c r="U30" s="26"/>
      <c r="V30" s="113" t="s">
        <v>493</v>
      </c>
      <c r="W30" s="242">
        <f t="shared" si="6"/>
        <v>0.72043891148850125</v>
      </c>
      <c r="X30" s="242">
        <v>1</v>
      </c>
    </row>
    <row r="31" spans="2:24">
      <c r="B31" s="5" t="s">
        <v>491</v>
      </c>
      <c r="C31" s="422">
        <v>945.87540195167458</v>
      </c>
      <c r="D31" s="416">
        <v>909.15215062535208</v>
      </c>
      <c r="E31" s="416">
        <v>920.95208412721161</v>
      </c>
      <c r="F31" s="416">
        <v>939.37112580975588</v>
      </c>
      <c r="G31" s="416">
        <v>958.15854832595107</v>
      </c>
      <c r="H31" s="233">
        <f t="shared" si="4"/>
        <v>1.7654293856629977E-2</v>
      </c>
      <c r="I31" s="214"/>
      <c r="J31" s="212"/>
      <c r="K31" s="212"/>
      <c r="L31" s="212"/>
      <c r="M31" s="212"/>
      <c r="N31" s="212"/>
      <c r="O31" s="5"/>
      <c r="Q31" s="5"/>
      <c r="S31" s="72"/>
      <c r="T31" s="26"/>
      <c r="U31" s="26"/>
      <c r="V31" s="113" t="s">
        <v>390</v>
      </c>
      <c r="W31" s="242">
        <f t="shared" si="6"/>
        <v>1.2302899349552174</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0.52223467064920404</v>
      </c>
      <c r="X32" s="242">
        <v>1</v>
      </c>
    </row>
    <row r="33" spans="2:24">
      <c r="B33" s="5" t="s">
        <v>3</v>
      </c>
      <c r="C33" s="422">
        <v>898.13512888000002</v>
      </c>
      <c r="D33" s="416">
        <v>1480.1696674919999</v>
      </c>
      <c r="E33" s="416">
        <v>1534.0915128827614</v>
      </c>
      <c r="F33" s="416">
        <v>1545.7586234289236</v>
      </c>
      <c r="G33" s="416">
        <v>1573.0879744532074</v>
      </c>
      <c r="H33" s="233">
        <f>IF(D33=0,"nm",IF(G33=0,"nm",(G33/D33)^(1/3)-1))</f>
        <v>2.0501945456334658E-2</v>
      </c>
      <c r="I33" s="5"/>
      <c r="J33" s="214"/>
      <c r="K33" s="214"/>
      <c r="L33" s="214"/>
      <c r="M33" s="214"/>
      <c r="N33" s="214"/>
      <c r="O33" s="211"/>
      <c r="Q33" s="5"/>
      <c r="S33" s="72"/>
      <c r="T33" s="26"/>
      <c r="U33" s="26"/>
      <c r="V33" s="113" t="s">
        <v>481</v>
      </c>
      <c r="W33" s="242">
        <f t="shared" si="6"/>
        <v>0.89071479135742149</v>
      </c>
      <c r="X33" s="242">
        <v>1</v>
      </c>
    </row>
    <row r="34" spans="2:24">
      <c r="B34" s="5"/>
      <c r="C34" s="207"/>
      <c r="D34" s="13"/>
      <c r="E34" s="13"/>
      <c r="F34" s="222"/>
      <c r="G34" s="13"/>
      <c r="H34" s="231"/>
      <c r="I34" s="33"/>
      <c r="J34" s="214"/>
      <c r="K34" s="214"/>
      <c r="L34" s="214"/>
      <c r="M34" s="214"/>
      <c r="N34" s="214"/>
      <c r="O34" s="211"/>
      <c r="Q34" s="5"/>
      <c r="S34" s="72"/>
      <c r="T34" s="26"/>
      <c r="U34" s="26"/>
      <c r="V34" s="113" t="s">
        <v>482</v>
      </c>
      <c r="W34" s="242">
        <f>D47/L19</f>
        <v>0.81281653339413851</v>
      </c>
      <c r="X34" s="242">
        <v>1</v>
      </c>
    </row>
    <row r="35" spans="2:24" ht="12.6" thickBot="1">
      <c r="B35" s="249" t="s">
        <v>361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8">D$18/D23</f>
        <v>1.6606424447445374</v>
      </c>
      <c r="E37" s="406">
        <f t="shared" si="8"/>
        <v>1.5513008227009124</v>
      </c>
      <c r="F37" s="406">
        <f t="shared" si="8"/>
        <v>1.4742639512437379</v>
      </c>
      <c r="G37" s="406">
        <f t="shared" si="8"/>
        <v>1.3900829504589509</v>
      </c>
      <c r="H37" s="13">
        <f t="shared" ref="H37:H45" si="9">H23</f>
        <v>2.4135802876696921E-2</v>
      </c>
      <c r="I37" s="5"/>
      <c r="J37" s="217"/>
      <c r="K37" s="217"/>
      <c r="L37" s="217"/>
      <c r="M37" s="217"/>
      <c r="N37" s="217"/>
      <c r="O37" s="14"/>
      <c r="Q37" s="5"/>
      <c r="R37" s="5"/>
      <c r="S37" s="26"/>
      <c r="T37" s="26"/>
      <c r="U37" s="26"/>
      <c r="V37" s="26"/>
      <c r="W37" s="26"/>
      <c r="X37" s="26"/>
    </row>
    <row r="38" spans="2:24">
      <c r="B38" s="5" t="s">
        <v>158</v>
      </c>
      <c r="C38" s="207"/>
      <c r="D38" s="406">
        <f t="shared" si="8"/>
        <v>5.8025377362186914</v>
      </c>
      <c r="E38" s="406">
        <f t="shared" si="8"/>
        <v>5.326875804792798</v>
      </c>
      <c r="F38" s="406">
        <f t="shared" si="8"/>
        <v>4.9386153954668837</v>
      </c>
      <c r="G38" s="406">
        <f t="shared" si="8"/>
        <v>4.5263720384853903</v>
      </c>
      <c r="H38" s="13">
        <f t="shared" si="9"/>
        <v>4.8499719491322812E-2</v>
      </c>
      <c r="I38" s="217"/>
      <c r="J38" s="13"/>
      <c r="K38" s="13"/>
      <c r="L38" s="13"/>
      <c r="M38" s="13"/>
      <c r="N38" s="13"/>
      <c r="O38" s="5"/>
      <c r="Q38" s="5"/>
      <c r="R38" s="5"/>
      <c r="S38" s="26"/>
      <c r="T38" s="26"/>
      <c r="U38" s="26"/>
      <c r="V38" s="26"/>
      <c r="W38" s="26"/>
      <c r="X38" s="26"/>
    </row>
    <row r="39" spans="2:24">
      <c r="B39" s="5" t="s">
        <v>159</v>
      </c>
      <c r="C39" s="207"/>
      <c r="D39" s="406">
        <f t="shared" si="8"/>
        <v>15.441898577227127</v>
      </c>
      <c r="E39" s="406">
        <f t="shared" si="8"/>
        <v>13.469171043657742</v>
      </c>
      <c r="F39" s="406">
        <f t="shared" si="8"/>
        <v>11.867091410083194</v>
      </c>
      <c r="G39" s="406">
        <f t="shared" si="8"/>
        <v>10.199265344434883</v>
      </c>
      <c r="H39" s="13">
        <f t="shared" si="9"/>
        <v>0.10829747782754473</v>
      </c>
      <c r="I39" s="13"/>
      <c r="J39" s="5"/>
      <c r="K39" s="5"/>
      <c r="L39" s="5"/>
      <c r="M39" s="5"/>
      <c r="N39" s="5"/>
      <c r="O39" s="5"/>
      <c r="Q39" s="5"/>
      <c r="R39" s="5"/>
      <c r="S39" s="26"/>
      <c r="T39" s="26"/>
      <c r="U39" s="26"/>
      <c r="V39" s="26"/>
      <c r="W39" s="26"/>
      <c r="X39" s="26"/>
    </row>
    <row r="40" spans="2:24">
      <c r="B40" s="5" t="s">
        <v>381</v>
      </c>
      <c r="C40" s="207"/>
      <c r="D40" s="406">
        <f t="shared" si="8"/>
        <v>20.867430509766386</v>
      </c>
      <c r="E40" s="406">
        <f t="shared" si="8"/>
        <v>18.201582491429381</v>
      </c>
      <c r="F40" s="406">
        <f t="shared" si="8"/>
        <v>16.036610013625939</v>
      </c>
      <c r="G40" s="406">
        <f t="shared" si="8"/>
        <v>13.782791005993085</v>
      </c>
      <c r="H40" s="13">
        <f t="shared" si="9"/>
        <v>0.10829747782754473</v>
      </c>
      <c r="I40" s="5"/>
      <c r="J40" s="217"/>
      <c r="K40" s="217"/>
      <c r="L40" s="217"/>
      <c r="M40" s="217"/>
      <c r="N40" s="217"/>
      <c r="O40" s="14"/>
      <c r="Q40" s="5"/>
      <c r="R40" s="5"/>
      <c r="S40" s="26"/>
      <c r="T40" s="26"/>
      <c r="U40" s="26"/>
      <c r="V40" s="26"/>
      <c r="W40" s="242"/>
      <c r="X40" s="242"/>
    </row>
    <row r="41" spans="2:24">
      <c r="B41" s="5" t="s">
        <v>434</v>
      </c>
      <c r="C41" s="207"/>
      <c r="D41" s="406">
        <f t="shared" si="8"/>
        <v>0.84884120370155569</v>
      </c>
      <c r="E41" s="406">
        <f t="shared" si="8"/>
        <v>0.83192503953565156</v>
      </c>
      <c r="F41" s="406">
        <f t="shared" si="8"/>
        <v>0.80115845108594119</v>
      </c>
      <c r="G41" s="406">
        <f t="shared" si="8"/>
        <v>0.77019583450629525</v>
      </c>
      <c r="H41" s="13">
        <f t="shared" si="9"/>
        <v>-3.017568105695867E-3</v>
      </c>
      <c r="I41" s="207"/>
      <c r="J41" s="13"/>
      <c r="K41" s="13"/>
      <c r="L41" s="13"/>
      <c r="M41" s="13"/>
      <c r="N41" s="13"/>
      <c r="O41" s="5"/>
      <c r="Q41" s="5"/>
      <c r="R41" s="5"/>
      <c r="S41" s="26"/>
      <c r="T41" s="26"/>
      <c r="U41" s="26"/>
      <c r="V41" s="26"/>
      <c r="W41" s="242"/>
      <c r="X41" s="242"/>
    </row>
    <row r="42" spans="2:24">
      <c r="B42" s="5" t="s">
        <v>493</v>
      </c>
      <c r="C42" s="207"/>
      <c r="D42" s="406">
        <f>D18/D28</f>
        <v>2.1587687636411497</v>
      </c>
      <c r="E42" s="406">
        <f>E18/E28</f>
        <v>2.0745023567935954</v>
      </c>
      <c r="F42" s="406">
        <f>F18/F28</f>
        <v>1.9716361189663059</v>
      </c>
      <c r="G42" s="406">
        <f>G18/G28</f>
        <v>1.8556675430765406</v>
      </c>
      <c r="H42" s="13">
        <f t="shared" si="9"/>
        <v>1.5113011332504867E-2</v>
      </c>
      <c r="I42" s="208"/>
      <c r="J42" s="5"/>
      <c r="K42" s="5"/>
      <c r="L42" s="5"/>
      <c r="M42" s="5"/>
      <c r="N42" s="5"/>
      <c r="O42" s="5"/>
      <c r="Q42" s="5"/>
      <c r="R42" s="5"/>
      <c r="S42" s="26"/>
      <c r="T42" s="26"/>
      <c r="U42" s="26"/>
      <c r="V42" s="26"/>
      <c r="W42" s="242"/>
      <c r="X42" s="242"/>
    </row>
    <row r="43" spans="2:24">
      <c r="B43" s="5" t="s">
        <v>390</v>
      </c>
      <c r="C43" s="207"/>
      <c r="D43" s="406">
        <f>L26/D29</f>
        <v>25.219223527653028</v>
      </c>
      <c r="E43" s="406">
        <f>M26/E29</f>
        <v>21.163585472242829</v>
      </c>
      <c r="F43" s="406">
        <f>N26/F29</f>
        <v>16.606490213271243</v>
      </c>
      <c r="G43" s="406">
        <f>O26/G29</f>
        <v>12.850284655638806</v>
      </c>
      <c r="H43" s="13">
        <f t="shared" si="9"/>
        <v>0.24951898350140156</v>
      </c>
      <c r="I43" s="207"/>
      <c r="J43" s="207"/>
      <c r="K43" s="207"/>
      <c r="L43" s="207"/>
      <c r="M43" s="207"/>
      <c r="N43" s="207"/>
      <c r="O43" s="14"/>
      <c r="Q43" s="5"/>
      <c r="R43" s="5"/>
      <c r="S43" s="26"/>
      <c r="T43" s="26"/>
      <c r="U43" s="26"/>
      <c r="V43" s="26"/>
      <c r="W43" s="242"/>
      <c r="X43" s="242"/>
    </row>
    <row r="44" spans="2:24">
      <c r="B44" s="5" t="s">
        <v>437</v>
      </c>
      <c r="C44" s="53"/>
      <c r="D44" s="406">
        <f>D11/D30</f>
        <v>12.319925826959443</v>
      </c>
      <c r="E44" s="406">
        <f>E11/E30</f>
        <v>10.35366424289993</v>
      </c>
      <c r="F44" s="406">
        <f>F11/F30</f>
        <v>9.1395259524648349</v>
      </c>
      <c r="G44" s="406">
        <f>G11/G30</f>
        <v>7.9693933074213454</v>
      </c>
      <c r="H44" s="13">
        <f t="shared" si="9"/>
        <v>0.1539778737106412</v>
      </c>
      <c r="I44" s="207"/>
      <c r="J44" s="208"/>
      <c r="K44" s="208"/>
      <c r="L44" s="208"/>
      <c r="M44" s="208"/>
      <c r="N44" s="208"/>
      <c r="O44" s="208"/>
      <c r="Q44" s="5"/>
      <c r="R44" s="5"/>
      <c r="S44" s="26"/>
      <c r="T44" s="26"/>
      <c r="U44" s="26"/>
      <c r="V44" s="26"/>
      <c r="W44" s="255"/>
      <c r="X44" s="255"/>
    </row>
    <row r="45" spans="2:24">
      <c r="B45" s="5" t="s">
        <v>481</v>
      </c>
      <c r="C45" s="207"/>
      <c r="D45" s="208">
        <f>D31/D11</f>
        <v>3.43728830530401E-2</v>
      </c>
      <c r="E45" s="208">
        <f>E31/E11</f>
        <v>3.5027312111254851E-2</v>
      </c>
      <c r="F45" s="208">
        <f>F31/F11</f>
        <v>3.5727858353479948E-2</v>
      </c>
      <c r="G45" s="208">
        <f>G31/G11</f>
        <v>3.6442415520549554E-2</v>
      </c>
      <c r="H45" s="13">
        <f t="shared" si="9"/>
        <v>1.7654293856629977E-2</v>
      </c>
      <c r="I45" s="208"/>
      <c r="J45" s="207"/>
      <c r="K45" s="207"/>
      <c r="L45" s="207"/>
      <c r="M45" s="207"/>
      <c r="N45" s="207"/>
      <c r="O45" s="208"/>
      <c r="Q45" s="5"/>
      <c r="R45" s="5"/>
      <c r="S45" s="26"/>
      <c r="T45" s="26"/>
      <c r="U45" s="26"/>
      <c r="V45" s="26"/>
      <c r="W45" s="26"/>
      <c r="X45" s="26"/>
    </row>
    <row r="46" spans="2:24">
      <c r="B46" s="5" t="s">
        <v>505</v>
      </c>
      <c r="C46" s="207"/>
      <c r="D46" s="208">
        <f>(D31+D32)/D11</f>
        <v>3.43728830530401E-2</v>
      </c>
      <c r="E46" s="208">
        <f>(E31+E32)/E11</f>
        <v>3.5027312111254851E-2</v>
      </c>
      <c r="F46" s="208">
        <f>(F31+F32)/F11</f>
        <v>3.5727858353479948E-2</v>
      </c>
      <c r="G46" s="208">
        <f>(G31+G32)/G11</f>
        <v>3.6442415520549554E-2</v>
      </c>
      <c r="H46" s="233">
        <f>((G31+G32)/(D31+D32))^(1/3)-1</f>
        <v>1.7654293856629977E-2</v>
      </c>
      <c r="I46" s="207"/>
      <c r="J46" s="207"/>
      <c r="K46" s="207"/>
      <c r="L46" s="207"/>
      <c r="M46" s="207"/>
      <c r="N46" s="207"/>
      <c r="O46" s="14"/>
      <c r="Q46" s="5"/>
      <c r="R46" s="5"/>
      <c r="S46" s="26"/>
      <c r="T46" s="26"/>
      <c r="U46" s="26"/>
      <c r="V46" s="26"/>
      <c r="W46" s="26"/>
      <c r="X46" s="26"/>
    </row>
    <row r="47" spans="2:24">
      <c r="B47" s="5" t="s">
        <v>482</v>
      </c>
      <c r="C47" s="5"/>
      <c r="D47" s="208">
        <f>1/D43</f>
        <v>3.9652291392060272E-2</v>
      </c>
      <c r="E47" s="208">
        <f>1/E43</f>
        <v>4.7250972729150895E-2</v>
      </c>
      <c r="F47" s="208">
        <f>1/F43</f>
        <v>6.0217420246985121E-2</v>
      </c>
      <c r="G47" s="208">
        <f>1/G43</f>
        <v>7.781928780551893E-2</v>
      </c>
      <c r="H47" s="13">
        <f>H29</f>
        <v>0.24951898350140156</v>
      </c>
      <c r="I47" s="13"/>
      <c r="J47" s="208"/>
      <c r="K47" s="208"/>
      <c r="L47" s="208"/>
      <c r="M47" s="208"/>
      <c r="N47" s="208"/>
      <c r="O47" s="208"/>
      <c r="Q47" s="5"/>
      <c r="R47" s="5"/>
      <c r="S47" s="26"/>
      <c r="T47" s="26"/>
      <c r="U47" s="26"/>
      <c r="V47" s="26"/>
      <c r="W47" s="26"/>
      <c r="X47" s="26"/>
    </row>
    <row r="48" spans="2:24">
      <c r="B48" s="5" t="s">
        <v>518</v>
      </c>
      <c r="C48" s="5"/>
      <c r="D48" s="248">
        <f>D31/D29</f>
        <v>0.86685742100449492</v>
      </c>
      <c r="E48" s="248">
        <f>E31/E29</f>
        <v>0.74130351372946857</v>
      </c>
      <c r="F48" s="248">
        <f>F31/F29</f>
        <v>0.593314330088206</v>
      </c>
      <c r="G48" s="248">
        <f>G31/G29</f>
        <v>0.46829541297813138</v>
      </c>
      <c r="H48" s="233" t="s">
        <v>507</v>
      </c>
      <c r="I48" s="207"/>
      <c r="J48" s="207"/>
      <c r="K48" s="207"/>
      <c r="L48" s="207"/>
      <c r="M48" s="207"/>
      <c r="N48" s="207"/>
      <c r="O48" s="208"/>
      <c r="Q48" s="5"/>
      <c r="R48" s="5"/>
      <c r="S48" s="26"/>
      <c r="T48" s="26"/>
      <c r="U48" s="26"/>
      <c r="V48" s="26"/>
      <c r="W48" s="26"/>
      <c r="X48" s="26"/>
    </row>
  </sheetData>
  <phoneticPr fontId="7" type="noConversion"/>
  <hyperlinks>
    <hyperlink ref="C2" location="VODSOP!A1" display="Jump to VOD SOP" xr:uid="{00000000-0004-0000-7600-000001000000}"/>
  </hyperlinks>
  <pageMargins left="0.75" right="0.75" top="1" bottom="1" header="0.5" footer="0.5"/>
  <pageSetup scale="70"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5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329</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E6" s="218"/>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155</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96</v>
      </c>
      <c r="C9" s="221">
        <v>47.01</v>
      </c>
      <c r="D9" s="412">
        <v>0</v>
      </c>
      <c r="E9" s="413">
        <v>0</v>
      </c>
      <c r="F9" s="413">
        <v>0</v>
      </c>
      <c r="G9" s="413">
        <v>0</v>
      </c>
      <c r="H9" s="209"/>
      <c r="I9" s="209"/>
      <c r="J9" s="5" t="s">
        <v>225</v>
      </c>
      <c r="L9" s="406">
        <f>'US TELCO'!D37</f>
        <v>3.1912515933350361</v>
      </c>
      <c r="M9" s="406">
        <f>'US TELCO'!E37</f>
        <v>3.0787187231969964</v>
      </c>
      <c r="N9" s="406">
        <f>'US TELCO'!F37</f>
        <v>2.8503225545326361</v>
      </c>
      <c r="O9" s="406">
        <f>'US TELCO'!G37</f>
        <v>2.6431750462938113</v>
      </c>
      <c r="P9" s="14">
        <f>'US TELCO'!H37</f>
        <v>2.4384163316372609E-2</v>
      </c>
    </row>
    <row r="10" spans="2:44">
      <c r="B10" s="5" t="s">
        <v>226</v>
      </c>
      <c r="C10" s="5"/>
      <c r="D10" s="408">
        <v>4230</v>
      </c>
      <c r="E10" s="408">
        <v>4230</v>
      </c>
      <c r="F10" s="408">
        <v>4230</v>
      </c>
      <c r="G10" s="408">
        <v>4230</v>
      </c>
      <c r="H10" s="207"/>
      <c r="I10" s="207"/>
      <c r="J10" s="5" t="s">
        <v>158</v>
      </c>
      <c r="L10" s="406">
        <f>'US TELCO'!D38</f>
        <v>7.0076377857560876</v>
      </c>
      <c r="M10" s="406">
        <f>'US TELCO'!E38</f>
        <v>6.6721556234523973</v>
      </c>
      <c r="N10" s="406">
        <f>'US TELCO'!F38</f>
        <v>6.0644964269488959</v>
      </c>
      <c r="O10" s="406">
        <f>'US TELCO'!G38</f>
        <v>5.5379250833598066</v>
      </c>
      <c r="P10" s="14">
        <f>'US TELCO'!H38</f>
        <v>4.0541340228376743E-2</v>
      </c>
    </row>
    <row r="11" spans="2:44">
      <c r="B11" s="25" t="s">
        <v>227</v>
      </c>
      <c r="C11" s="5"/>
      <c r="D11" s="409">
        <f>$C$9*D10</f>
        <v>198852.3</v>
      </c>
      <c r="E11" s="409">
        <f>$C$9*E10</f>
        <v>198852.3</v>
      </c>
      <c r="F11" s="409">
        <f>$C$9*F10</f>
        <v>198852.3</v>
      </c>
      <c r="G11" s="409">
        <f>$C$9*G10</f>
        <v>198852.3</v>
      </c>
      <c r="H11" s="209"/>
      <c r="I11" s="209"/>
      <c r="J11" s="5" t="s">
        <v>159</v>
      </c>
      <c r="L11" s="406">
        <f>'US TELCO'!D39</f>
        <v>11.344474517594159</v>
      </c>
      <c r="M11" s="406">
        <f>'US TELCO'!E39</f>
        <v>10.541500567041032</v>
      </c>
      <c r="N11" s="406">
        <f>'US TELCO'!F39</f>
        <v>9.3775630727872166</v>
      </c>
      <c r="O11" s="406">
        <f>'US TELCO'!G39</f>
        <v>8.3578168223796521</v>
      </c>
      <c r="P11" s="14">
        <f>'US TELCO'!H39</f>
        <v>6.51603570146575E-2</v>
      </c>
    </row>
    <row r="12" spans="2:44">
      <c r="B12" s="5" t="s">
        <v>22</v>
      </c>
      <c r="C12" s="209"/>
      <c r="D12" s="410">
        <v>110356.55753623297</v>
      </c>
      <c r="E12" s="410">
        <v>103049.85187467972</v>
      </c>
      <c r="F12" s="410">
        <v>93003.96275849524</v>
      </c>
      <c r="G12" s="410">
        <v>81847.290640036037</v>
      </c>
      <c r="H12" s="207"/>
      <c r="I12" s="207"/>
      <c r="J12" s="5" t="s">
        <v>381</v>
      </c>
      <c r="L12" s="406">
        <f>'US TELCO'!D40</f>
        <v>16.709554745428136</v>
      </c>
      <c r="M12" s="406">
        <f>'US TELCO'!E40</f>
        <v>15.758627227570189</v>
      </c>
      <c r="N12" s="406">
        <f>'US TELCO'!F40</f>
        <v>13.535776633534837</v>
      </c>
      <c r="O12" s="406">
        <f>'US TELCO'!G40</f>
        <v>11.886437593885129</v>
      </c>
      <c r="P12" s="14">
        <f>'US TELCO'!H40</f>
        <v>7.7677635873599549E-2</v>
      </c>
    </row>
    <row r="13" spans="2:44">
      <c r="B13" s="5" t="s">
        <v>433</v>
      </c>
      <c r="C13" s="216"/>
      <c r="D13" s="410">
        <v>0</v>
      </c>
      <c r="E13" s="410">
        <v>0</v>
      </c>
      <c r="F13" s="410">
        <v>0</v>
      </c>
      <c r="G13" s="410">
        <v>0</v>
      </c>
      <c r="H13" s="207"/>
      <c r="I13" s="207"/>
      <c r="J13" s="5" t="s">
        <v>434</v>
      </c>
      <c r="L13" s="406">
        <f>'US TELCO'!D41</f>
        <v>1.8809025689809733</v>
      </c>
      <c r="M13" s="406">
        <f>'US TELCO'!E41</f>
        <v>1.766265670071739</v>
      </c>
      <c r="N13" s="406">
        <f>'US TELCO'!F41</f>
        <v>1.6623601249316389</v>
      </c>
      <c r="O13" s="406">
        <f>'US TELCO'!G41</f>
        <v>1.5673415756231237</v>
      </c>
      <c r="P13" s="14">
        <f>'US TELCO'!H41</f>
        <v>2.2316486738481522E-2</v>
      </c>
    </row>
    <row r="14" spans="2:44">
      <c r="B14" s="5" t="s">
        <v>436</v>
      </c>
      <c r="C14" s="216"/>
      <c r="D14" s="410">
        <v>799</v>
      </c>
      <c r="E14" s="410">
        <v>799</v>
      </c>
      <c r="F14" s="410">
        <v>799</v>
      </c>
      <c r="G14" s="410">
        <v>799</v>
      </c>
      <c r="H14" s="207"/>
      <c r="I14" s="207"/>
      <c r="J14" s="5" t="s">
        <v>493</v>
      </c>
      <c r="L14" s="406">
        <f>'US TELCO'!D42</f>
        <v>3.4905600577328242</v>
      </c>
      <c r="M14" s="406">
        <f>'US TELCO'!E42</f>
        <v>3.4580582032694864</v>
      </c>
      <c r="N14" s="406">
        <f>'US TELCO'!F42</f>
        <v>3.2809378565331038</v>
      </c>
      <c r="O14" s="406">
        <f>'US TELCO'!G42</f>
        <v>3.1198934529722759</v>
      </c>
      <c r="P14" s="14">
        <f>'US TELCO'!H42</f>
        <v>-1.2972016508007167E-3</v>
      </c>
    </row>
    <row r="15" spans="2:44">
      <c r="B15" s="5" t="s">
        <v>435</v>
      </c>
      <c r="C15" s="228"/>
      <c r="D15" s="410">
        <v>1303</v>
      </c>
      <c r="E15" s="410">
        <v>1303</v>
      </c>
      <c r="F15" s="410">
        <v>1303</v>
      </c>
      <c r="G15" s="410">
        <v>1303</v>
      </c>
      <c r="H15" s="207"/>
      <c r="I15" s="207"/>
      <c r="J15" s="5" t="s">
        <v>390</v>
      </c>
      <c r="L15" s="406">
        <f>'US TELCO'!D43</f>
        <v>12.725776470696086</v>
      </c>
      <c r="M15" s="406">
        <f>'US TELCO'!E43</f>
        <v>15.177275737851533</v>
      </c>
      <c r="N15" s="406">
        <f>'US TELCO'!F43</f>
        <v>13.991790816794484</v>
      </c>
      <c r="O15" s="406">
        <f>'US TELCO'!G43</f>
        <v>12.765983540061763</v>
      </c>
      <c r="P15" s="14">
        <f>'US TELCO'!H43</f>
        <v>-2.4379245025710983E-2</v>
      </c>
    </row>
    <row r="16" spans="2:44">
      <c r="B16" s="5" t="s">
        <v>438</v>
      </c>
      <c r="C16" s="216"/>
      <c r="D16" s="410">
        <v>11489.08</v>
      </c>
      <c r="E16" s="410">
        <v>23275.199999999997</v>
      </c>
      <c r="F16" s="410">
        <v>35272.919999999991</v>
      </c>
      <c r="G16" s="410">
        <v>47482.239999999991</v>
      </c>
      <c r="H16" s="207"/>
      <c r="I16" s="207"/>
      <c r="J16" s="5" t="s">
        <v>437</v>
      </c>
      <c r="L16" s="406">
        <f>'US TELCO'!D44</f>
        <v>13.266784878088224</v>
      </c>
      <c r="M16" s="406">
        <f>'US TELCO'!E44</f>
        <v>11.999390633171901</v>
      </c>
      <c r="N16" s="406">
        <f>'US TELCO'!F44</f>
        <v>10.690983801136143</v>
      </c>
      <c r="O16" s="406">
        <f>'US TELCO'!G44</f>
        <v>9.7423251474524637</v>
      </c>
      <c r="P16" s="14">
        <f>'US TELCO'!H44</f>
        <v>8.2526948023635915E-2</v>
      </c>
    </row>
    <row r="17" spans="2:24">
      <c r="B17" s="5" t="s">
        <v>4</v>
      </c>
      <c r="C17" s="216"/>
      <c r="D17" s="410">
        <v>0</v>
      </c>
      <c r="E17" s="410">
        <v>0</v>
      </c>
      <c r="F17" s="410">
        <v>0</v>
      </c>
      <c r="G17" s="410">
        <v>0</v>
      </c>
      <c r="H17" s="207"/>
      <c r="I17" s="207"/>
      <c r="J17" s="5" t="s">
        <v>481</v>
      </c>
      <c r="L17" s="14">
        <f>'US TELCO'!D45</f>
        <v>3.9302505739264929E-2</v>
      </c>
      <c r="M17" s="14">
        <f>'US TELCO'!E45</f>
        <v>4.1038330582823093E-2</v>
      </c>
      <c r="N17" s="14">
        <f>'US TELCO'!F45</f>
        <v>4.3684734283513924E-2</v>
      </c>
      <c r="O17" s="14">
        <f>'US TELCO'!G45</f>
        <v>4.5876932576331915E-2</v>
      </c>
      <c r="P17" s="14">
        <f>'US TELCO'!H45</f>
        <v>2.8321867991065286E-2</v>
      </c>
      <c r="R17" s="224"/>
      <c r="S17" s="72"/>
      <c r="T17" s="26"/>
      <c r="U17" s="26"/>
      <c r="V17" s="26"/>
      <c r="W17" s="26"/>
      <c r="X17" s="26"/>
    </row>
    <row r="18" spans="2:24" ht="12.6" thickBot="1">
      <c r="B18" s="25" t="s">
        <v>484</v>
      </c>
      <c r="C18" s="209"/>
      <c r="D18" s="411">
        <f>D11+D12+D13-D14+D15-D16-D17</f>
        <v>298223.77753623296</v>
      </c>
      <c r="E18" s="411">
        <f>E11+E12+E13-E14+E15-E16-E17</f>
        <v>279130.95187467971</v>
      </c>
      <c r="F18" s="411">
        <f>F11+F12+F13-F14+F15-F16-F17</f>
        <v>257087.34275849524</v>
      </c>
      <c r="G18" s="411">
        <f>G11+G12+G13-G14+G15-G16-G17</f>
        <v>233721.35064003605</v>
      </c>
      <c r="H18" s="230">
        <f>IF(D18=0,"nm",IF(G18=0,"nm",(G18/D18)^(1/3)-1))</f>
        <v>-7.8025930332206839E-2</v>
      </c>
      <c r="I18" s="214"/>
      <c r="J18" s="5" t="s">
        <v>33</v>
      </c>
      <c r="L18" s="14">
        <f>'US TELCO'!D46</f>
        <v>6.1272160434465234E-2</v>
      </c>
      <c r="M18" s="14">
        <f>'US TELCO'!E46</f>
        <v>6.3744410252143627E-2</v>
      </c>
      <c r="N18" s="14">
        <f>'US TELCO'!F46</f>
        <v>6.0125837151764457E-2</v>
      </c>
      <c r="O18" s="14">
        <f>'US TELCO'!G46</f>
        <v>6.3588969137866505E-2</v>
      </c>
      <c r="P18" s="14">
        <f>'US TELCO'!H46</f>
        <v>-1.1195219112098531E-2</v>
      </c>
      <c r="S18" s="72"/>
      <c r="T18" s="26"/>
      <c r="U18" s="26"/>
      <c r="V18" s="26"/>
      <c r="W18" s="26"/>
      <c r="X18" s="26"/>
    </row>
    <row r="19" spans="2:24" ht="12.6" thickTop="1">
      <c r="B19" s="25"/>
      <c r="C19" s="209"/>
      <c r="D19" s="189"/>
      <c r="E19" s="189"/>
      <c r="F19" s="189"/>
      <c r="G19" s="189"/>
      <c r="H19" s="230"/>
      <c r="I19" s="214"/>
      <c r="J19" s="5" t="s">
        <v>482</v>
      </c>
      <c r="L19" s="14">
        <f>'US TELCO'!D47</f>
        <v>7.8580666751669026E-2</v>
      </c>
      <c r="M19" s="14">
        <f>'US TELCO'!E47</f>
        <v>6.5887977346688054E-2</v>
      </c>
      <c r="N19" s="14">
        <f>'US TELCO'!F47</f>
        <v>7.1470479590052913E-2</v>
      </c>
      <c r="O19" s="14">
        <f>'US TELCO'!G47</f>
        <v>7.8333173222559394E-2</v>
      </c>
      <c r="P19" s="14">
        <f>'US TELCO'!H47</f>
        <v>-2.4379245025710983E-2</v>
      </c>
      <c r="S19" s="72"/>
      <c r="T19" s="26"/>
      <c r="U19" s="26"/>
      <c r="V19" s="26"/>
      <c r="W19" s="26"/>
      <c r="X19" s="26"/>
    </row>
    <row r="20" spans="2:24">
      <c r="H20" s="231"/>
      <c r="I20" s="13"/>
      <c r="J20" s="5" t="s">
        <v>504</v>
      </c>
      <c r="L20" s="425">
        <f>'US TELCO'!D48</f>
        <v>0.5001549027761355</v>
      </c>
      <c r="M20" s="425">
        <f>'US TELCO'!E48</f>
        <v>0.62285005907661151</v>
      </c>
      <c r="N20" s="425">
        <f>'US TELCO'!F48</f>
        <v>0.61122766398217732</v>
      </c>
      <c r="O20" s="425">
        <f>'US TELCO'!G48</f>
        <v>0.58566416613797645</v>
      </c>
      <c r="P20" s="14" t="str">
        <f>'US TELCO'!H48</f>
        <v>nm</v>
      </c>
      <c r="S20" s="72"/>
      <c r="T20" s="26"/>
      <c r="U20" s="26"/>
      <c r="V20" s="26"/>
      <c r="W20" s="26"/>
      <c r="X20" s="26"/>
    </row>
    <row r="21" spans="2:24" ht="12.6" thickBot="1">
      <c r="B21" s="249" t="s">
        <v>758</v>
      </c>
      <c r="C21" s="219"/>
      <c r="D21" s="219" t="str">
        <f>D5</f>
        <v>2025E</v>
      </c>
      <c r="E21" s="219" t="str">
        <f t="shared" ref="E21:H21" si="2">E5</f>
        <v>2026E</v>
      </c>
      <c r="F21" s="219" t="str">
        <f t="shared" si="2"/>
        <v>2027E</v>
      </c>
      <c r="G21" s="219" t="str">
        <f t="shared" si="2"/>
        <v>2028E</v>
      </c>
      <c r="H21" s="219" t="str">
        <f t="shared" si="2"/>
        <v>2025-28</v>
      </c>
      <c r="I21" s="33"/>
      <c r="J21" s="25"/>
      <c r="L21" s="211"/>
      <c r="M21" s="211"/>
      <c r="N21" s="211"/>
      <c r="O21" s="211"/>
      <c r="P21" s="14"/>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111571</v>
      </c>
      <c r="D23" s="410">
        <v>112970.30649572934</v>
      </c>
      <c r="E23" s="410">
        <v>114276.85977857921</v>
      </c>
      <c r="F23" s="410">
        <v>115911.4203971324</v>
      </c>
      <c r="G23" s="410">
        <v>117914.03882826604</v>
      </c>
      <c r="H23" s="233">
        <f t="shared" ref="H23:H33" si="3">IF(D23=0,"nm",IF(G23=0,"nm",(G23/D23)^(1/3)-1))</f>
        <v>1.437935736485918E-2</v>
      </c>
      <c r="I23" s="207"/>
      <c r="J23" s="249" t="s">
        <v>7</v>
      </c>
      <c r="K23" s="249"/>
      <c r="L23" s="219" t="str">
        <f>D21</f>
        <v>2025E</v>
      </c>
      <c r="M23" s="219" t="str">
        <f t="shared" ref="M23:P23" si="4">E21</f>
        <v>2026E</v>
      </c>
      <c r="N23" s="219" t="str">
        <f t="shared" si="4"/>
        <v>2027E</v>
      </c>
      <c r="O23" s="219" t="str">
        <f t="shared" si="4"/>
        <v>2028E</v>
      </c>
      <c r="P23" s="219" t="str">
        <f t="shared" si="4"/>
        <v>2025-28</v>
      </c>
      <c r="S23" s="72"/>
      <c r="T23" s="26"/>
      <c r="U23" s="26"/>
      <c r="V23" s="26"/>
      <c r="W23" s="26"/>
      <c r="X23" s="26"/>
    </row>
    <row r="24" spans="2:24" ht="12.6" thickTop="1">
      <c r="B24" s="5" t="s">
        <v>397</v>
      </c>
      <c r="C24" s="423">
        <v>48791</v>
      </c>
      <c r="D24" s="410">
        <v>50045.890371786249</v>
      </c>
      <c r="E24" s="410">
        <v>50596.131492119588</v>
      </c>
      <c r="F24" s="410">
        <v>51543.757911059838</v>
      </c>
      <c r="G24" s="410">
        <v>52729.380465711991</v>
      </c>
      <c r="H24" s="233">
        <f t="shared" si="3"/>
        <v>1.7563255651657173E-2</v>
      </c>
      <c r="I24" s="209"/>
      <c r="J24" s="13"/>
      <c r="K24" s="13"/>
      <c r="L24" s="13"/>
      <c r="M24" s="13"/>
      <c r="N24" s="13"/>
      <c r="O24" s="208"/>
      <c r="S24" s="72"/>
      <c r="T24" s="26"/>
      <c r="U24" s="26"/>
      <c r="V24" s="26"/>
      <c r="W24" s="26" t="s">
        <v>30</v>
      </c>
      <c r="X24" s="26" t="s">
        <v>214</v>
      </c>
    </row>
    <row r="25" spans="2:24">
      <c r="B25" s="5" t="s">
        <v>157</v>
      </c>
      <c r="C25" s="422">
        <v>31701</v>
      </c>
      <c r="D25" s="410">
        <v>32446.517406943298</v>
      </c>
      <c r="E25" s="410">
        <v>34596.131492119588</v>
      </c>
      <c r="F25" s="410">
        <v>35543.757911059838</v>
      </c>
      <c r="G25" s="410">
        <v>36729.380465711991</v>
      </c>
      <c r="H25" s="233">
        <f t="shared" si="3"/>
        <v>4.2193846308071992E-2</v>
      </c>
      <c r="I25" s="208"/>
      <c r="J25" s="207" t="s">
        <v>8</v>
      </c>
      <c r="K25" s="207"/>
      <c r="L25" s="252">
        <v>0</v>
      </c>
      <c r="M25" s="252">
        <v>0</v>
      </c>
      <c r="N25" s="252">
        <v>0</v>
      </c>
      <c r="O25" s="252">
        <v>0</v>
      </c>
      <c r="P25" s="233" t="str">
        <f>IF(L25=0,"nm",IF(O25=0,"nm",(O25/L25)^(1/3)-1))</f>
        <v>nm</v>
      </c>
      <c r="S25" s="72"/>
      <c r="T25" s="26"/>
      <c r="U25" s="26"/>
      <c r="V25" s="113" t="s">
        <v>225</v>
      </c>
      <c r="W25" s="242">
        <f>D37/L9</f>
        <v>0.82721217034585592</v>
      </c>
      <c r="X25" s="242">
        <v>1</v>
      </c>
    </row>
    <row r="26" spans="2:24">
      <c r="B26" s="5" t="s">
        <v>487</v>
      </c>
      <c r="C26" s="422">
        <v>19822</v>
      </c>
      <c r="D26" s="410">
        <v>19931.52246376704</v>
      </c>
      <c r="E26" s="410">
        <v>21671.825661553245</v>
      </c>
      <c r="F26" s="410">
        <v>23622.609116184474</v>
      </c>
      <c r="G26" s="410">
        <v>24944.992118459202</v>
      </c>
      <c r="H26" s="233">
        <f t="shared" si="3"/>
        <v>7.7658021396488808E-2</v>
      </c>
      <c r="I26" s="209"/>
      <c r="J26" s="209" t="s">
        <v>9</v>
      </c>
      <c r="K26" s="209"/>
      <c r="L26" s="235">
        <f>D11+L25</f>
        <v>198852.3</v>
      </c>
      <c r="M26" s="235">
        <f>E11+M25</f>
        <v>198852.3</v>
      </c>
      <c r="N26" s="235">
        <f>F11+N25</f>
        <v>198852.3</v>
      </c>
      <c r="O26" s="235">
        <f>G11+O25</f>
        <v>198852.3</v>
      </c>
      <c r="P26" s="233">
        <f>IF(L26=0,"nm",IF(O26=0,"nm",(O26/L26)^(1/3)-1))</f>
        <v>0</v>
      </c>
      <c r="Q26" s="5"/>
      <c r="S26" s="72"/>
      <c r="T26" s="26"/>
      <c r="U26" s="26"/>
      <c r="V26" s="113" t="s">
        <v>158</v>
      </c>
      <c r="W26" s="242">
        <f t="shared" ref="W26:W33" si="5">D38/L10</f>
        <v>0.85035878174490087</v>
      </c>
      <c r="X26" s="242">
        <v>1</v>
      </c>
    </row>
    <row r="27" spans="2:24">
      <c r="B27" s="5" t="s">
        <v>488</v>
      </c>
      <c r="C27" s="423">
        <v>0</v>
      </c>
      <c r="D27" s="410">
        <v>110756.55753623295</v>
      </c>
      <c r="E27" s="410">
        <v>103449.85187467972</v>
      </c>
      <c r="F27" s="410">
        <v>93403.96275849524</v>
      </c>
      <c r="G27" s="410">
        <v>82247.290640036037</v>
      </c>
      <c r="H27" s="233">
        <f t="shared" si="3"/>
        <v>-9.4439680794714986E-2</v>
      </c>
      <c r="I27" s="209"/>
      <c r="J27" s="208"/>
      <c r="K27" s="208"/>
      <c r="L27" s="208"/>
      <c r="M27" s="208"/>
      <c r="N27" s="208"/>
      <c r="O27" s="208"/>
      <c r="Q27" s="25"/>
      <c r="S27" s="72"/>
      <c r="T27" s="26"/>
      <c r="U27" s="26"/>
      <c r="V27" s="113" t="s">
        <v>159</v>
      </c>
      <c r="W27" s="242">
        <f t="shared" si="5"/>
        <v>0.81019543852591269</v>
      </c>
      <c r="X27" s="242">
        <v>1</v>
      </c>
    </row>
    <row r="28" spans="2:24" ht="12.6" thickBot="1">
      <c r="B28" s="5" t="s">
        <v>492</v>
      </c>
      <c r="C28" s="422">
        <v>0</v>
      </c>
      <c r="D28" s="410">
        <v>91915</v>
      </c>
      <c r="E28" s="410">
        <v>91915</v>
      </c>
      <c r="F28" s="410">
        <v>91915</v>
      </c>
      <c r="G28" s="410">
        <v>91915</v>
      </c>
      <c r="H28" s="233">
        <f t="shared" si="3"/>
        <v>0</v>
      </c>
      <c r="I28" s="208"/>
      <c r="J28" s="249" t="s">
        <v>1073</v>
      </c>
      <c r="K28" s="249"/>
      <c r="L28" s="249"/>
      <c r="M28" s="249"/>
      <c r="N28" s="220"/>
      <c r="O28" s="220"/>
      <c r="P28" s="220"/>
      <c r="Q28" s="5"/>
      <c r="S28" s="72"/>
      <c r="T28" s="26"/>
      <c r="U28" s="26"/>
      <c r="V28" s="113" t="s">
        <v>381</v>
      </c>
      <c r="W28" s="242">
        <f t="shared" si="5"/>
        <v>0.89544087691230223</v>
      </c>
      <c r="X28" s="242">
        <v>1</v>
      </c>
    </row>
    <row r="29" spans="2:24" ht="12.6" thickTop="1">
      <c r="B29" s="5" t="s">
        <v>489</v>
      </c>
      <c r="C29" s="422">
        <v>20183.121079607372</v>
      </c>
      <c r="D29" s="410">
        <v>20656.377429745633</v>
      </c>
      <c r="E29" s="410">
        <v>22233.360966280612</v>
      </c>
      <c r="F29" s="410">
        <v>23042.184916499245</v>
      </c>
      <c r="G29" s="410">
        <v>24226.281106904935</v>
      </c>
      <c r="H29" s="233">
        <f t="shared" si="3"/>
        <v>5.4575143233150936E-2</v>
      </c>
      <c r="I29" s="212"/>
      <c r="J29" s="209"/>
      <c r="K29" s="209"/>
      <c r="L29" s="209"/>
      <c r="M29" s="209"/>
      <c r="N29" s="209"/>
      <c r="O29" s="211"/>
      <c r="Q29" s="5"/>
      <c r="S29" s="72"/>
      <c r="T29" s="26"/>
      <c r="U29" s="26"/>
      <c r="V29" s="113" t="s">
        <v>434</v>
      </c>
      <c r="W29" s="242">
        <f t="shared" si="5"/>
        <v>1.4315499910291107</v>
      </c>
      <c r="X29" s="242">
        <v>1</v>
      </c>
    </row>
    <row r="30" spans="2:24">
      <c r="B30" s="5" t="s">
        <v>490</v>
      </c>
      <c r="C30" s="423">
        <v>19381.121079607368</v>
      </c>
      <c r="D30" s="410">
        <v>19754.765464274999</v>
      </c>
      <c r="E30" s="410">
        <v>20343.626216663884</v>
      </c>
      <c r="F30" s="410">
        <v>21227.782927011893</v>
      </c>
      <c r="G30" s="410">
        <v>22469.875039915984</v>
      </c>
      <c r="H30" s="233">
        <f t="shared" si="3"/>
        <v>4.386161132411015E-2</v>
      </c>
      <c r="I30" s="214"/>
      <c r="J30" s="208"/>
      <c r="K30" s="208"/>
      <c r="L30" s="208"/>
      <c r="M30" s="208"/>
      <c r="N30" s="208"/>
      <c r="O30" s="5"/>
      <c r="Q30" s="5"/>
      <c r="S30" s="72"/>
      <c r="T30" s="26"/>
      <c r="U30" s="26"/>
      <c r="V30" s="113" t="s">
        <v>493</v>
      </c>
      <c r="W30" s="242">
        <f t="shared" si="5"/>
        <v>0.92952432772989557</v>
      </c>
      <c r="X30" s="242">
        <v>1</v>
      </c>
    </row>
    <row r="31" spans="2:24">
      <c r="B31" s="5" t="s">
        <v>491</v>
      </c>
      <c r="C31" s="423">
        <v>11249</v>
      </c>
      <c r="D31" s="410">
        <v>11489.08</v>
      </c>
      <c r="E31" s="410">
        <v>11786.119999999999</v>
      </c>
      <c r="F31" s="410">
        <v>11997.719999999996</v>
      </c>
      <c r="G31" s="410">
        <v>12209.319999999996</v>
      </c>
      <c r="H31" s="233">
        <f t="shared" si="3"/>
        <v>2.0474306066839754E-2</v>
      </c>
      <c r="I31" s="214"/>
      <c r="J31" s="212"/>
      <c r="K31" s="212"/>
      <c r="L31" s="212"/>
      <c r="M31" s="212"/>
      <c r="N31" s="212"/>
      <c r="O31" s="5"/>
      <c r="Q31" s="5"/>
      <c r="S31" s="72"/>
      <c r="T31" s="26"/>
      <c r="U31" s="26"/>
      <c r="V31" s="113" t="s">
        <v>390</v>
      </c>
      <c r="W31" s="242">
        <f t="shared" si="5"/>
        <v>0.75647079805005935</v>
      </c>
      <c r="X31" s="242">
        <v>1</v>
      </c>
    </row>
    <row r="32" spans="2:24">
      <c r="B32" s="5" t="s">
        <v>506</v>
      </c>
      <c r="C32" s="424">
        <v>0</v>
      </c>
      <c r="D32" s="410">
        <v>0</v>
      </c>
      <c r="E32" s="410">
        <v>0</v>
      </c>
      <c r="F32" s="410">
        <v>0</v>
      </c>
      <c r="G32" s="410">
        <v>0</v>
      </c>
      <c r="H32" s="233" t="str">
        <f t="shared" si="3"/>
        <v>nm</v>
      </c>
      <c r="I32" s="214"/>
      <c r="J32" s="214"/>
      <c r="K32" s="214"/>
      <c r="L32" s="214"/>
      <c r="M32" s="214"/>
      <c r="N32" s="214"/>
      <c r="O32" s="211"/>
      <c r="Q32" s="5"/>
      <c r="S32" s="72"/>
      <c r="T32" s="26"/>
      <c r="U32" s="26"/>
      <c r="V32" s="113" t="s">
        <v>437</v>
      </c>
      <c r="W32" s="242">
        <f t="shared" si="5"/>
        <v>0.75874012807380764</v>
      </c>
      <c r="X32" s="242">
        <v>1</v>
      </c>
    </row>
    <row r="33" spans="2:24">
      <c r="B33" s="5" t="s">
        <v>3</v>
      </c>
      <c r="C33" s="423">
        <v>6649</v>
      </c>
      <c r="D33" s="410">
        <v>6570.0079516366714</v>
      </c>
      <c r="E33" s="410">
        <v>6370.8491231114258</v>
      </c>
      <c r="F33" s="410">
        <v>6047.2673357631074</v>
      </c>
      <c r="G33" s="410">
        <v>5604.7855654890154</v>
      </c>
      <c r="H33" s="233">
        <f t="shared" si="3"/>
        <v>-5.1586554862751544E-2</v>
      </c>
      <c r="I33" s="5"/>
      <c r="J33" s="214"/>
      <c r="K33" s="214"/>
      <c r="L33" s="214"/>
      <c r="M33" s="214"/>
      <c r="N33" s="214"/>
      <c r="O33" s="211"/>
      <c r="Q33" s="5"/>
      <c r="S33" s="72"/>
      <c r="T33" s="26"/>
      <c r="U33" s="26"/>
      <c r="V33" s="113" t="s">
        <v>481</v>
      </c>
      <c r="W33" s="242">
        <f t="shared" si="5"/>
        <v>1.4700577471661638</v>
      </c>
      <c r="X33" s="242">
        <v>1</v>
      </c>
    </row>
    <row r="34" spans="2:24">
      <c r="D34" s="5"/>
      <c r="E34" s="5"/>
      <c r="F34" s="5"/>
      <c r="G34" s="5"/>
      <c r="I34" s="33"/>
      <c r="J34" s="214"/>
      <c r="K34" s="214"/>
      <c r="L34" s="214"/>
      <c r="M34" s="214"/>
      <c r="N34" s="214"/>
      <c r="O34" s="211"/>
      <c r="Q34" s="5"/>
      <c r="S34" s="72"/>
      <c r="T34" s="26"/>
      <c r="U34" s="26"/>
      <c r="V34" s="113" t="s">
        <v>482</v>
      </c>
      <c r="W34" s="242">
        <f>D47/L19</f>
        <v>1.3219280936920252</v>
      </c>
      <c r="X34" s="242">
        <v>1</v>
      </c>
    </row>
    <row r="35" spans="2:24" ht="12.6" thickBot="1">
      <c r="B35" s="249" t="s">
        <v>546</v>
      </c>
      <c r="C35" s="219"/>
      <c r="D35" s="219" t="str">
        <f>D5</f>
        <v>2025E</v>
      </c>
      <c r="E35" s="219" t="str">
        <f t="shared" ref="E35:H35" si="6">E5</f>
        <v>2026E</v>
      </c>
      <c r="F35" s="219" t="str">
        <f t="shared" si="6"/>
        <v>2027E</v>
      </c>
      <c r="G35" s="219" t="str">
        <f t="shared" si="6"/>
        <v>2028E</v>
      </c>
      <c r="H35" s="219" t="str">
        <f t="shared" si="6"/>
        <v>2025-28</v>
      </c>
      <c r="I35" s="214"/>
      <c r="J35" s="5"/>
      <c r="K35" s="5"/>
      <c r="L35" s="5"/>
      <c r="M35" s="5"/>
      <c r="N35" s="5"/>
      <c r="O35" s="5"/>
      <c r="Q35" s="5"/>
      <c r="S35" s="72"/>
      <c r="T35" s="26"/>
      <c r="U35" s="26"/>
      <c r="V35" s="26"/>
      <c r="W35" s="26"/>
      <c r="X35" s="26"/>
    </row>
    <row r="36" spans="2:24" ht="12.6" thickTop="1">
      <c r="B36" s="25"/>
      <c r="C36" s="209"/>
      <c r="D36" s="237"/>
      <c r="E36" s="237"/>
      <c r="F36" s="237"/>
      <c r="G36" s="237"/>
      <c r="H36" s="237"/>
      <c r="I36" s="13"/>
      <c r="J36" s="33"/>
      <c r="K36" s="33"/>
      <c r="L36" s="33"/>
      <c r="M36" s="33"/>
      <c r="N36" s="33"/>
      <c r="O36" s="33"/>
      <c r="Q36" s="5"/>
      <c r="S36" s="72"/>
      <c r="T36" s="26"/>
      <c r="U36" s="26"/>
      <c r="V36" s="26"/>
      <c r="W36" s="26"/>
      <c r="X36" s="26"/>
    </row>
    <row r="37" spans="2:24">
      <c r="B37" s="5" t="s">
        <v>225</v>
      </c>
      <c r="C37" s="207"/>
      <c r="D37" s="406">
        <f>D$18/D23</f>
        <v>2.639842156642346</v>
      </c>
      <c r="E37" s="406">
        <f t="shared" ref="E37:G41" si="7">E$18/E23</f>
        <v>2.4425850729143139</v>
      </c>
      <c r="F37" s="406">
        <f t="shared" si="7"/>
        <v>2.2179638717019419</v>
      </c>
      <c r="G37" s="406">
        <f t="shared" si="7"/>
        <v>1.982133365649833</v>
      </c>
      <c r="H37" s="13">
        <f t="shared" ref="H37:H45" si="8">H23</f>
        <v>1.437935736485918E-2</v>
      </c>
      <c r="I37" s="5"/>
      <c r="J37" s="217"/>
      <c r="K37" s="217"/>
      <c r="L37" s="217"/>
      <c r="M37" s="217"/>
      <c r="N37" s="217"/>
      <c r="O37" s="14"/>
      <c r="Q37" s="5"/>
      <c r="R37" s="5"/>
      <c r="S37" s="26"/>
      <c r="T37" s="26"/>
      <c r="U37" s="26"/>
      <c r="V37" s="26"/>
      <c r="W37" s="26"/>
      <c r="X37" s="26"/>
    </row>
    <row r="38" spans="2:24">
      <c r="B38" s="5" t="s">
        <v>158</v>
      </c>
      <c r="C38" s="207"/>
      <c r="D38" s="406">
        <f>D$18/D24</f>
        <v>5.9590063304050815</v>
      </c>
      <c r="E38" s="406">
        <f t="shared" si="7"/>
        <v>5.5168437515456041</v>
      </c>
      <c r="F38" s="406">
        <f t="shared" si="7"/>
        <v>4.9877493061741145</v>
      </c>
      <c r="G38" s="406">
        <f t="shared" si="7"/>
        <v>4.4324691201713735</v>
      </c>
      <c r="H38" s="13">
        <f t="shared" si="8"/>
        <v>1.7563255651657173E-2</v>
      </c>
      <c r="I38" s="217"/>
      <c r="J38" s="13"/>
      <c r="K38" s="13"/>
      <c r="L38" s="13"/>
      <c r="M38" s="13"/>
      <c r="N38" s="13"/>
      <c r="O38" s="5"/>
      <c r="Q38" s="5"/>
      <c r="R38" s="5"/>
      <c r="S38" s="26"/>
      <c r="T38" s="26"/>
      <c r="U38" s="26"/>
      <c r="V38" s="26"/>
      <c r="W38" s="26"/>
      <c r="X38" s="26"/>
    </row>
    <row r="39" spans="2:24">
      <c r="B39" s="5" t="s">
        <v>159</v>
      </c>
      <c r="C39" s="207"/>
      <c r="D39" s="406">
        <f>D$18/D25</f>
        <v>9.1912415066282414</v>
      </c>
      <c r="E39" s="406">
        <f t="shared" si="7"/>
        <v>8.0682706370873003</v>
      </c>
      <c r="F39" s="406">
        <f t="shared" si="7"/>
        <v>7.2329814816373039</v>
      </c>
      <c r="G39" s="406">
        <f t="shared" si="7"/>
        <v>6.3633349562817196</v>
      </c>
      <c r="H39" s="13">
        <f t="shared" si="8"/>
        <v>4.2193846308071992E-2</v>
      </c>
      <c r="I39" s="13"/>
      <c r="J39" s="5"/>
      <c r="K39" s="5"/>
      <c r="L39" s="5"/>
      <c r="M39" s="5"/>
      <c r="N39" s="5"/>
      <c r="O39" s="5"/>
      <c r="Q39" s="5"/>
      <c r="R39" s="5"/>
      <c r="S39" s="26"/>
      <c r="T39" s="26"/>
      <c r="U39" s="26"/>
      <c r="V39" s="26"/>
      <c r="W39" s="26"/>
      <c r="X39" s="26"/>
    </row>
    <row r="40" spans="2:24">
      <c r="B40" s="5" t="s">
        <v>381</v>
      </c>
      <c r="C40" s="207"/>
      <c r="D40" s="406">
        <f>D$18/D26</f>
        <v>14.962418354060292</v>
      </c>
      <c r="E40" s="406">
        <f t="shared" si="7"/>
        <v>12.879900209324315</v>
      </c>
      <c r="F40" s="406">
        <f t="shared" si="7"/>
        <v>10.883105312120579</v>
      </c>
      <c r="G40" s="406">
        <f t="shared" si="7"/>
        <v>9.3694698130244394</v>
      </c>
      <c r="H40" s="13">
        <f t="shared" si="8"/>
        <v>7.7658021396488808E-2</v>
      </c>
      <c r="I40" s="5"/>
      <c r="J40" s="217"/>
      <c r="K40" s="217"/>
      <c r="L40" s="217"/>
      <c r="M40" s="217"/>
      <c r="N40" s="217"/>
      <c r="O40" s="14"/>
      <c r="Q40" s="5"/>
      <c r="R40" s="5"/>
      <c r="S40" s="26"/>
      <c r="T40" s="26"/>
      <c r="U40" s="26"/>
      <c r="V40" s="26"/>
      <c r="W40" s="242"/>
      <c r="X40" s="242"/>
    </row>
    <row r="41" spans="2:24">
      <c r="B41" s="5" t="s">
        <v>434</v>
      </c>
      <c r="C41" s="207"/>
      <c r="D41" s="406">
        <f>D$18/D27</f>
        <v>2.6926060557513436</v>
      </c>
      <c r="E41" s="406">
        <f t="shared" si="7"/>
        <v>2.6982247612381505</v>
      </c>
      <c r="F41" s="406">
        <f t="shared" si="7"/>
        <v>2.7524243636559493</v>
      </c>
      <c r="G41" s="406">
        <f t="shared" si="7"/>
        <v>2.841690575108939</v>
      </c>
      <c r="H41" s="13">
        <f t="shared" si="8"/>
        <v>-9.4439680794714986E-2</v>
      </c>
      <c r="I41" s="207"/>
      <c r="J41" s="13"/>
      <c r="K41" s="13"/>
      <c r="L41" s="13"/>
      <c r="M41" s="13"/>
      <c r="N41" s="13"/>
      <c r="O41" s="5"/>
      <c r="Q41" s="5"/>
      <c r="R41" s="5"/>
      <c r="S41" s="26"/>
      <c r="T41" s="26"/>
      <c r="U41" s="26"/>
      <c r="V41" s="26"/>
      <c r="W41" s="242"/>
      <c r="X41" s="242"/>
    </row>
    <row r="42" spans="2:24">
      <c r="B42" s="5" t="s">
        <v>493</v>
      </c>
      <c r="C42" s="207"/>
      <c r="D42" s="406">
        <f>D18/D28</f>
        <v>3.2445604910649291</v>
      </c>
      <c r="E42" s="406">
        <f>E18/E28</f>
        <v>3.0368378597038537</v>
      </c>
      <c r="F42" s="406">
        <f>F18/F28</f>
        <v>2.7970118343958577</v>
      </c>
      <c r="G42" s="406">
        <f>G18/G28</f>
        <v>2.5427987884462389</v>
      </c>
      <c r="H42" s="13">
        <f t="shared" si="8"/>
        <v>0</v>
      </c>
      <c r="I42" s="208"/>
      <c r="J42" s="5"/>
      <c r="K42" s="5"/>
      <c r="L42" s="5"/>
      <c r="M42" s="5"/>
      <c r="N42" s="5"/>
      <c r="O42" s="5"/>
      <c r="Q42" s="5"/>
      <c r="R42" s="5"/>
      <c r="S42" s="26"/>
      <c r="T42" s="26"/>
      <c r="U42" s="26"/>
      <c r="V42" s="26"/>
      <c r="W42" s="242"/>
      <c r="X42" s="242"/>
    </row>
    <row r="43" spans="2:24">
      <c r="B43" s="5" t="s">
        <v>390</v>
      </c>
      <c r="C43" s="207"/>
      <c r="D43" s="406">
        <f>L26/D29</f>
        <v>9.6266782825941366</v>
      </c>
      <c r="E43" s="406">
        <f>M26/E29</f>
        <v>8.9438704432308658</v>
      </c>
      <c r="F43" s="406">
        <f>N26/F29</f>
        <v>8.6299237993534526</v>
      </c>
      <c r="G43" s="406">
        <f>O26/G29</f>
        <v>8.2081231998634507</v>
      </c>
      <c r="H43" s="13">
        <f t="shared" si="8"/>
        <v>5.4575143233150936E-2</v>
      </c>
      <c r="I43" s="207"/>
      <c r="J43" s="207"/>
      <c r="K43" s="207"/>
      <c r="L43" s="207"/>
      <c r="M43" s="207"/>
      <c r="N43" s="207"/>
      <c r="O43" s="14"/>
      <c r="Q43" s="5"/>
      <c r="R43" s="5"/>
      <c r="S43" s="26"/>
      <c r="T43" s="26"/>
      <c r="U43" s="26"/>
      <c r="V43" s="26"/>
      <c r="W43" s="242"/>
      <c r="X43" s="242"/>
    </row>
    <row r="44" spans="2:24">
      <c r="B44" s="5" t="s">
        <v>437</v>
      </c>
      <c r="C44" s="53"/>
      <c r="D44" s="406">
        <f>D11/D30</f>
        <v>10.066042057528314</v>
      </c>
      <c r="E44" s="406">
        <f>E11/E30</f>
        <v>9.7746732997441708</v>
      </c>
      <c r="F44" s="406">
        <f>F11/F30</f>
        <v>9.3675491540364657</v>
      </c>
      <c r="G44" s="406">
        <f>G11/G30</f>
        <v>8.8497287878439188</v>
      </c>
      <c r="H44" s="13">
        <f t="shared" si="8"/>
        <v>4.386161132411015E-2</v>
      </c>
      <c r="I44" s="207"/>
      <c r="J44" s="208"/>
      <c r="K44" s="208"/>
      <c r="L44" s="208"/>
      <c r="M44" s="208"/>
      <c r="N44" s="208"/>
      <c r="O44" s="208"/>
      <c r="Q44" s="5"/>
      <c r="R44" s="5"/>
      <c r="S44" s="26"/>
      <c r="T44" s="26"/>
      <c r="U44" s="26"/>
      <c r="V44" s="26"/>
      <c r="W44" s="255"/>
      <c r="X44" s="255"/>
    </row>
    <row r="45" spans="2:24">
      <c r="B45" s="5" t="s">
        <v>481</v>
      </c>
      <c r="C45" s="207"/>
      <c r="D45" s="208">
        <f>D31/D11</f>
        <v>5.7776953045049019E-2</v>
      </c>
      <c r="E45" s="208">
        <f>E31/E11</f>
        <v>5.9270725055732318E-2</v>
      </c>
      <c r="F45" s="208">
        <f>F31/F11</f>
        <v>6.0334831430161967E-2</v>
      </c>
      <c r="G45" s="208">
        <f>G31/G11</f>
        <v>6.139893780459163E-2</v>
      </c>
      <c r="H45" s="13">
        <f t="shared" si="8"/>
        <v>2.0474306066839754E-2</v>
      </c>
      <c r="I45" s="208"/>
      <c r="J45" s="207"/>
      <c r="K45" s="207"/>
      <c r="L45" s="207"/>
      <c r="M45" s="207"/>
      <c r="N45" s="207"/>
      <c r="O45" s="208"/>
      <c r="Q45" s="5"/>
      <c r="R45" s="5"/>
      <c r="S45" s="26"/>
      <c r="T45" s="26"/>
      <c r="U45" s="26"/>
      <c r="V45" s="26"/>
      <c r="W45" s="26"/>
      <c r="X45" s="26"/>
    </row>
    <row r="46" spans="2:24">
      <c r="B46" s="5" t="s">
        <v>505</v>
      </c>
      <c r="C46" s="207"/>
      <c r="D46" s="208">
        <f>(D31+D32)/D11</f>
        <v>5.7776953045049019E-2</v>
      </c>
      <c r="E46" s="208">
        <f>(E31+E32)/E11</f>
        <v>5.9270725055732318E-2</v>
      </c>
      <c r="F46" s="208">
        <f>(F31+F32)/F11</f>
        <v>6.0334831430161967E-2</v>
      </c>
      <c r="G46" s="208">
        <f>(G31+G32)/G11</f>
        <v>6.139893780459163E-2</v>
      </c>
      <c r="H46" s="233">
        <f>((G31+G32)/(D31+D32))^(1/3)-1</f>
        <v>2.0474306066839754E-2</v>
      </c>
      <c r="I46" s="207"/>
      <c r="J46" s="207"/>
      <c r="K46" s="207"/>
      <c r="L46" s="207"/>
      <c r="M46" s="207"/>
      <c r="N46" s="207"/>
      <c r="O46" s="14"/>
      <c r="Q46" s="5"/>
      <c r="R46" s="5"/>
      <c r="S46" s="26"/>
      <c r="T46" s="26"/>
      <c r="U46" s="26"/>
      <c r="V46" s="26"/>
      <c r="W46" s="26"/>
      <c r="X46" s="26"/>
    </row>
    <row r="47" spans="2:24">
      <c r="B47" s="5" t="s">
        <v>482</v>
      </c>
      <c r="C47" s="5"/>
      <c r="D47" s="208">
        <f>1/D43</f>
        <v>0.10387799100008215</v>
      </c>
      <c r="E47" s="208">
        <f>1/E43</f>
        <v>0.11180841743485297</v>
      </c>
      <c r="F47" s="208">
        <f>1/F43</f>
        <v>0.1158758783101792</v>
      </c>
      <c r="G47" s="208">
        <f>1/G43</f>
        <v>0.12183053003110819</v>
      </c>
      <c r="H47" s="13">
        <f>H29</f>
        <v>5.4575143233150936E-2</v>
      </c>
      <c r="I47" s="13"/>
      <c r="J47" s="208"/>
      <c r="K47" s="208"/>
      <c r="L47" s="208"/>
      <c r="M47" s="208"/>
      <c r="N47" s="208"/>
      <c r="O47" s="208"/>
      <c r="Q47" s="5"/>
      <c r="R47" s="5"/>
      <c r="S47" s="26"/>
      <c r="T47" s="26"/>
      <c r="U47" s="26"/>
      <c r="V47" s="26"/>
      <c r="W47" s="26"/>
      <c r="X47" s="26"/>
    </row>
    <row r="48" spans="2:24">
      <c r="B48" s="5" t="s">
        <v>518</v>
      </c>
      <c r="C48" s="5"/>
      <c r="D48" s="248">
        <f>D31/D29</f>
        <v>0.55620013911323463</v>
      </c>
      <c r="E48" s="248">
        <f>E31/E29</f>
        <v>0.53010968597482733</v>
      </c>
      <c r="F48" s="248">
        <f>F31/F29</f>
        <v>0.52068499768913346</v>
      </c>
      <c r="G48" s="248">
        <f>G31/G29</f>
        <v>0.50397004584084171</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66CD-0E48-41E4-855F-3DE4F9968109}">
  <sheetPr codeName="Sheet25">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1311</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31</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1331</v>
      </c>
      <c r="C9" s="221">
        <f>Prices!C37/100/Prices!F133</f>
        <v>20.674304019828149</v>
      </c>
      <c r="D9" s="412">
        <v>0</v>
      </c>
      <c r="E9" s="413">
        <v>0</v>
      </c>
      <c r="F9" s="413">
        <v>0</v>
      </c>
      <c r="G9" s="413">
        <v>0</v>
      </c>
      <c r="H9" s="209"/>
      <c r="I9" s="209"/>
      <c r="J9" s="5" t="s">
        <v>225</v>
      </c>
      <c r="L9" s="406">
        <f>'W.EUR OTHER'!D37</f>
        <v>1.3465386244194999</v>
      </c>
      <c r="M9" s="406">
        <f>'W.EUR OTHER'!E37</f>
        <v>1.2702660024694201</v>
      </c>
      <c r="N9" s="406">
        <f>'W.EUR OTHER'!F37</f>
        <v>1.2208337889627725</v>
      </c>
      <c r="O9" s="406">
        <f>'W.EUR OTHER'!G37</f>
        <v>1.1536080915506541</v>
      </c>
      <c r="P9" s="233">
        <f>'W.EUR OTHER'!H37</f>
        <v>2.9241923321861041E-2</v>
      </c>
    </row>
    <row r="10" spans="2:44">
      <c r="B10" s="5" t="s">
        <v>226</v>
      </c>
      <c r="C10" s="5"/>
      <c r="D10" s="408">
        <v>223.01999999999998</v>
      </c>
      <c r="E10" s="408">
        <v>223.01999999999998</v>
      </c>
      <c r="F10" s="408">
        <v>223.01999999999998</v>
      </c>
      <c r="G10" s="408">
        <v>223.01999999999998</v>
      </c>
      <c r="H10" s="207"/>
      <c r="I10" s="207"/>
      <c r="J10" s="5" t="s">
        <v>158</v>
      </c>
      <c r="L10" s="406">
        <f>'W.EUR OTHER'!D38</f>
        <v>6.667367354960847</v>
      </c>
      <c r="M10" s="406">
        <f>'W.EUR OTHER'!E38</f>
        <v>6.1251275377702257</v>
      </c>
      <c r="N10" s="406">
        <f>'W.EUR OTHER'!F38</f>
        <v>5.693173880990817</v>
      </c>
      <c r="O10" s="406">
        <f>'W.EUR OTHER'!G38</f>
        <v>5.2531257055567684</v>
      </c>
      <c r="P10" s="233">
        <f>'W.EUR OTHER'!H38</f>
        <v>5.8382923375347229E-2</v>
      </c>
    </row>
    <row r="11" spans="2:44">
      <c r="B11" s="25" t="s">
        <v>227</v>
      </c>
      <c r="C11" s="5"/>
      <c r="D11" s="409">
        <f>$C$9*D10</f>
        <v>4610.7832825020732</v>
      </c>
      <c r="E11" s="409">
        <f t="shared" ref="E11:G11" si="2">$C$9*E10</f>
        <v>4610.7832825020732</v>
      </c>
      <c r="F11" s="409">
        <f t="shared" si="2"/>
        <v>4610.7832825020732</v>
      </c>
      <c r="G11" s="409">
        <f t="shared" si="2"/>
        <v>4610.7832825020732</v>
      </c>
      <c r="H11" s="209"/>
      <c r="I11" s="209"/>
      <c r="J11" s="5" t="s">
        <v>159</v>
      </c>
      <c r="L11" s="406">
        <f>'W.EUR OTHER'!D39</f>
        <v>15.71905243017703</v>
      </c>
      <c r="M11" s="406">
        <f>'W.EUR OTHER'!E39</f>
        <v>13.415100889859009</v>
      </c>
      <c r="N11" s="406">
        <f>'W.EUR OTHER'!F39</f>
        <v>12.045703081903499</v>
      </c>
      <c r="O11" s="406">
        <f>'W.EUR OTHER'!G39</f>
        <v>10.673746267054129</v>
      </c>
      <c r="P11" s="233">
        <f>'W.EUR OTHER'!H39</f>
        <v>0.11215962069465446</v>
      </c>
    </row>
    <row r="12" spans="2:44">
      <c r="B12" s="5" t="s">
        <v>22</v>
      </c>
      <c r="C12" s="209"/>
      <c r="D12" s="410">
        <v>2955.0031880632582</v>
      </c>
      <c r="E12" s="410">
        <v>2873.045481377208</v>
      </c>
      <c r="F12" s="410">
        <v>2591.9374738140814</v>
      </c>
      <c r="G12" s="410">
        <v>2365.5723035146052</v>
      </c>
      <c r="H12" s="207"/>
      <c r="I12" s="207"/>
      <c r="J12" s="5" t="s">
        <v>381</v>
      </c>
      <c r="L12" s="406">
        <f>'W.EUR OTHER'!D40</f>
        <v>21.129903360999098</v>
      </c>
      <c r="M12" s="406">
        <f>'W.EUR OTHER'!E40</f>
        <v>18.023434560619052</v>
      </c>
      <c r="N12" s="406">
        <f>'W.EUR OTHER'!F40</f>
        <v>16.210652780747434</v>
      </c>
      <c r="O12" s="406">
        <f>'W.EUR OTHER'!G40</f>
        <v>14.322076025505165</v>
      </c>
      <c r="P12" s="233">
        <f>'W.EUR OTHER'!H40</f>
        <v>0.11282738841201478</v>
      </c>
    </row>
    <row r="13" spans="2:44">
      <c r="B13" s="5" t="s">
        <v>433</v>
      </c>
      <c r="C13" s="216"/>
      <c r="D13" s="410">
        <v>1260.6449606711317</v>
      </c>
      <c r="E13" s="410">
        <v>1348.890107918111</v>
      </c>
      <c r="F13" s="410">
        <v>1443.3124154723789</v>
      </c>
      <c r="G13" s="410">
        <v>1544.3442845554455</v>
      </c>
      <c r="H13" s="207"/>
      <c r="I13" s="207"/>
      <c r="J13" s="5" t="s">
        <v>434</v>
      </c>
      <c r="L13" s="406">
        <f>'W.EUR OTHER'!D41</f>
        <v>1.2120765277172925</v>
      </c>
      <c r="M13" s="406">
        <f>'W.EUR OTHER'!E41</f>
        <v>1.1889933972002771</v>
      </c>
      <c r="N13" s="406">
        <f>'W.EUR OTHER'!F41</f>
        <v>1.1398416223606038</v>
      </c>
      <c r="O13" s="406">
        <f>'W.EUR OTHER'!G41</f>
        <v>1.1031258509246087</v>
      </c>
      <c r="P13" s="233">
        <f>'W.EUR OTHER'!H41</f>
        <v>8.7083597491850462E-3</v>
      </c>
    </row>
    <row r="14" spans="2:44">
      <c r="B14" s="5" t="s">
        <v>436</v>
      </c>
      <c r="C14" s="216"/>
      <c r="D14" s="494">
        <v>449.21761239473443</v>
      </c>
      <c r="E14" s="494">
        <v>449.21761239473443</v>
      </c>
      <c r="F14" s="494">
        <v>449.21761239473443</v>
      </c>
      <c r="G14" s="494">
        <v>449.21761239473443</v>
      </c>
      <c r="H14" s="207"/>
      <c r="I14" s="207"/>
      <c r="J14" s="5" t="s">
        <v>493</v>
      </c>
      <c r="L14" s="406">
        <f>'W.EUR OTHER'!D42</f>
        <v>2.9964633075980172</v>
      </c>
      <c r="M14" s="406">
        <f>'W.EUR OTHER'!E42</f>
        <v>2.89073467136717</v>
      </c>
      <c r="N14" s="406">
        <f>'W.EUR OTHER'!F42</f>
        <v>2.8500424120410317</v>
      </c>
      <c r="O14" s="406">
        <f>'W.EUR OTHER'!G42</f>
        <v>2.701072051718306</v>
      </c>
      <c r="P14" s="233">
        <f>'W.EUR OTHER'!H42</f>
        <v>1.1940300513105573E-2</v>
      </c>
    </row>
    <row r="15" spans="2:44">
      <c r="B15" s="5" t="s">
        <v>435</v>
      </c>
      <c r="C15" s="228"/>
      <c r="D15" s="494">
        <v>0</v>
      </c>
      <c r="E15" s="494">
        <v>0</v>
      </c>
      <c r="F15" s="494">
        <v>0</v>
      </c>
      <c r="G15" s="494">
        <v>0</v>
      </c>
      <c r="H15" s="207"/>
      <c r="I15" s="207"/>
      <c r="J15" s="5" t="s">
        <v>390</v>
      </c>
      <c r="L15" s="406">
        <f>'W.EUR OTHER'!D43</f>
        <v>20.498601842638831</v>
      </c>
      <c r="M15" s="406">
        <f>'W.EUR OTHER'!E43</f>
        <v>17.62770791050724</v>
      </c>
      <c r="N15" s="406">
        <f>'W.EUR OTHER'!F43</f>
        <v>16.39657294332843</v>
      </c>
      <c r="O15" s="406">
        <f>'W.EUR OTHER'!G43</f>
        <v>14.266559056525995</v>
      </c>
      <c r="P15" s="233">
        <f>'W.EUR OTHER'!H43</f>
        <v>0.12188256435252187</v>
      </c>
    </row>
    <row r="16" spans="2:44">
      <c r="B16" s="5" t="s">
        <v>438</v>
      </c>
      <c r="C16" s="216"/>
      <c r="D16" s="410">
        <v>0</v>
      </c>
      <c r="E16" s="410">
        <v>127.12139999999999</v>
      </c>
      <c r="F16" s="410">
        <v>279.66707999999994</v>
      </c>
      <c r="G16" s="410">
        <v>439.84004399999992</v>
      </c>
      <c r="H16" s="207"/>
      <c r="I16" s="207"/>
      <c r="J16" s="5" t="s">
        <v>437</v>
      </c>
      <c r="L16" s="406">
        <f>'W.EUR OTHER'!D44</f>
        <v>23.590784984926813</v>
      </c>
      <c r="M16" s="406">
        <f>'W.EUR OTHER'!E44</f>
        <v>17.037998851982447</v>
      </c>
      <c r="N16" s="406">
        <f>'W.EUR OTHER'!F44</f>
        <v>14.773708489368085</v>
      </c>
      <c r="O16" s="406">
        <f>'W.EUR OTHER'!G44</f>
        <v>12.780294126208146</v>
      </c>
      <c r="P16" s="233">
        <f>'W.EUR OTHER'!H44</f>
        <v>0.22673250703923764</v>
      </c>
    </row>
    <row r="17" spans="2:24">
      <c r="B17" s="5" t="s">
        <v>4</v>
      </c>
      <c r="C17" s="216"/>
      <c r="D17" s="410">
        <v>407.99530353470271</v>
      </c>
      <c r="E17" s="410">
        <v>436.55497478213192</v>
      </c>
      <c r="F17" s="410">
        <v>467.11382301688116</v>
      </c>
      <c r="G17" s="410">
        <v>499.81179062806285</v>
      </c>
      <c r="H17" s="207"/>
      <c r="I17" s="207"/>
      <c r="J17" s="5" t="s">
        <v>481</v>
      </c>
      <c r="L17" s="208">
        <f>'W.EUR OTHER'!D45</f>
        <v>3.8590223701861853E-2</v>
      </c>
      <c r="M17" s="208">
        <f>'W.EUR OTHER'!E45</f>
        <v>3.991085519827961E-2</v>
      </c>
      <c r="N17" s="208">
        <f>'W.EUR OTHER'!F45</f>
        <v>4.0904800170073315E-2</v>
      </c>
      <c r="O17" s="208">
        <f>'W.EUR OTHER'!G45</f>
        <v>4.3230152986554353E-2</v>
      </c>
      <c r="P17" s="233">
        <f>'W.EUR OTHER'!H45</f>
        <v>3.8610043639548675E-2</v>
      </c>
      <c r="S17" s="72"/>
      <c r="T17" s="26"/>
      <c r="U17" s="26"/>
      <c r="V17" s="26"/>
      <c r="W17" s="26"/>
      <c r="X17" s="26"/>
    </row>
    <row r="18" spans="2:24" ht="12.6" thickBot="1">
      <c r="B18" s="25" t="s">
        <v>484</v>
      </c>
      <c r="C18" s="209"/>
      <c r="D18" s="411">
        <f>D11+D12+D13-D14+D15-D16-D17</f>
        <v>7969.2185153070277</v>
      </c>
      <c r="E18" s="411">
        <f>E11+E12+E13-E14+E15-E16-E17</f>
        <v>7819.8248846205261</v>
      </c>
      <c r="F18" s="411">
        <f>F11+F12+F13-F14+F15-F16-F17</f>
        <v>7450.0346563769181</v>
      </c>
      <c r="G18" s="411">
        <f>G11+G12+G13-G14+G15-G16-G17</f>
        <v>7131.830423549326</v>
      </c>
      <c r="H18" s="230">
        <f>IF(D18=0,"nm",IF(G18=0,"nm",(G18/D18)^(1/3)-1))</f>
        <v>-3.6329811103423593E-2</v>
      </c>
      <c r="I18" s="214"/>
      <c r="J18" s="5" t="s">
        <v>33</v>
      </c>
      <c r="L18" s="208">
        <f>'W.EUR OTHER'!D46</f>
        <v>3.8590223701861853E-2</v>
      </c>
      <c r="M18" s="208">
        <f>'W.EUR OTHER'!E46</f>
        <v>3.991085519827961E-2</v>
      </c>
      <c r="N18" s="208">
        <f>'W.EUR OTHER'!F46</f>
        <v>4.0904800170073315E-2</v>
      </c>
      <c r="O18" s="208">
        <f>'W.EUR OTHER'!G46</f>
        <v>4.3230152986554353E-2</v>
      </c>
      <c r="P18" s="233">
        <f>'W.EUR OTHER'!H46</f>
        <v>3.8610043639548675E-2</v>
      </c>
      <c r="S18" s="72"/>
      <c r="T18" s="26"/>
      <c r="U18" s="26"/>
      <c r="V18" s="26"/>
      <c r="W18" s="26"/>
      <c r="X18" s="26"/>
    </row>
    <row r="19" spans="2:24" ht="12.6" thickTop="1">
      <c r="B19" s="25"/>
      <c r="C19" s="209"/>
      <c r="D19" s="189"/>
      <c r="E19" s="189"/>
      <c r="F19" s="189"/>
      <c r="G19" s="189"/>
      <c r="H19" s="230"/>
      <c r="I19" s="214"/>
      <c r="J19" s="5" t="s">
        <v>482</v>
      </c>
      <c r="L19" s="208">
        <f>'W.EUR OTHER'!D47</f>
        <v>4.8783814997563159E-2</v>
      </c>
      <c r="M19" s="208">
        <f>'W.EUR OTHER'!E47</f>
        <v>5.6728872810737699E-2</v>
      </c>
      <c r="N19" s="208">
        <f>'W.EUR OTHER'!F47</f>
        <v>6.0988354301615699E-2</v>
      </c>
      <c r="O19" s="208">
        <f>'W.EUR OTHER'!G47</f>
        <v>7.0093986646525455E-2</v>
      </c>
      <c r="P19" s="233">
        <f>'W.EUR OTHER'!H47</f>
        <v>0.12188256435252187</v>
      </c>
      <c r="S19" s="72"/>
      <c r="T19" s="26"/>
      <c r="U19" s="26"/>
      <c r="V19" s="26"/>
      <c r="W19" s="26"/>
      <c r="X19" s="26"/>
    </row>
    <row r="20" spans="2:24">
      <c r="H20" s="231"/>
      <c r="I20" s="13"/>
      <c r="J20" s="5" t="s">
        <v>504</v>
      </c>
      <c r="L20" s="248">
        <f>'W.EUR OTHER'!D48</f>
        <v>0.87902307367406518</v>
      </c>
      <c r="M20" s="248">
        <f>'W.EUR OTHER'!E48</f>
        <v>0.79495173962574728</v>
      </c>
      <c r="N20" s="248">
        <f>'W.EUR OTHER'!F48</f>
        <v>0.75813237303844561</v>
      </c>
      <c r="O20" s="248">
        <f>'W.EUR OTHER'!G48</f>
        <v>0.69745410320818402</v>
      </c>
      <c r="P20" s="233" t="str">
        <f>'W.EUR OTHER'!H48</f>
        <v>nm</v>
      </c>
      <c r="S20" s="72"/>
      <c r="T20" s="26"/>
      <c r="U20" s="26"/>
      <c r="V20" s="26"/>
      <c r="W20" s="26"/>
      <c r="X20" s="26"/>
    </row>
    <row r="21" spans="2:24" ht="12.6" thickBot="1">
      <c r="B21" s="249" t="s">
        <v>761</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33"/>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3629</v>
      </c>
      <c r="D23" s="416">
        <v>3608.0833865395243</v>
      </c>
      <c r="E23" s="416">
        <v>3627.568939367291</v>
      </c>
      <c r="F23" s="416">
        <v>3639.7835795465371</v>
      </c>
      <c r="G23" s="416">
        <v>3643.4857187678745</v>
      </c>
      <c r="H23" s="233">
        <f t="shared" ref="H23:H32" si="4">IF(D23=0,"nm",IF(G23=0,"nm",(G23/D23)^(1/3)-1))</f>
        <v>3.2600106380973326E-3</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2">
        <v>949</v>
      </c>
      <c r="D24" s="416">
        <v>897.88343753674189</v>
      </c>
      <c r="E24" s="416">
        <v>952.81787199025007</v>
      </c>
      <c r="F24" s="416">
        <v>983.88534615685057</v>
      </c>
      <c r="G24" s="416">
        <v>988.60028277935817</v>
      </c>
      <c r="H24" s="233">
        <f t="shared" si="4"/>
        <v>3.2603493272179707E-2</v>
      </c>
      <c r="I24" s="209"/>
      <c r="J24" s="13"/>
      <c r="K24" s="13"/>
      <c r="L24" s="13"/>
      <c r="M24" s="13"/>
      <c r="N24" s="13"/>
      <c r="O24" s="208"/>
      <c r="S24" s="72"/>
      <c r="T24" s="26"/>
      <c r="U24" s="26"/>
      <c r="V24" s="26"/>
      <c r="W24" s="26" t="s">
        <v>233</v>
      </c>
      <c r="X24" s="26" t="s">
        <v>210</v>
      </c>
    </row>
    <row r="25" spans="2:24">
      <c r="B25" s="5" t="s">
        <v>157</v>
      </c>
      <c r="C25" s="422">
        <v>624</v>
      </c>
      <c r="D25" s="416">
        <v>605.38343753674189</v>
      </c>
      <c r="E25" s="416">
        <v>651.54287199024998</v>
      </c>
      <c r="F25" s="416">
        <v>673.57209615685053</v>
      </c>
      <c r="G25" s="416">
        <v>668.97763527935808</v>
      </c>
      <c r="H25" s="233">
        <f t="shared" si="4"/>
        <v>3.3856719209723884E-2</v>
      </c>
      <c r="I25" s="208"/>
      <c r="J25" s="207" t="s">
        <v>8</v>
      </c>
      <c r="K25" s="207"/>
      <c r="L25" s="252">
        <v>0</v>
      </c>
      <c r="M25" s="252">
        <v>0</v>
      </c>
      <c r="N25" s="252">
        <v>0</v>
      </c>
      <c r="O25" s="252">
        <v>0</v>
      </c>
      <c r="P25" s="233" t="str">
        <f>IF(L25=0,"nm",IF(O25=0,"nm",(O25/L25)^(1/3)-1))</f>
        <v>nm</v>
      </c>
      <c r="S25" s="72"/>
      <c r="T25" s="26"/>
      <c r="U25" s="26"/>
      <c r="V25" s="113" t="s">
        <v>225</v>
      </c>
      <c r="W25" s="242">
        <f>D37/L9</f>
        <v>1.6402889302465349</v>
      </c>
      <c r="X25" s="242">
        <v>1</v>
      </c>
    </row>
    <row r="26" spans="2:24">
      <c r="B26" s="5" t="s">
        <v>487</v>
      </c>
      <c r="C26" s="422">
        <v>468</v>
      </c>
      <c r="D26" s="416">
        <v>454.03757815255642</v>
      </c>
      <c r="E26" s="416">
        <v>488.65715399268748</v>
      </c>
      <c r="F26" s="416">
        <v>505.17907211763793</v>
      </c>
      <c r="G26" s="416">
        <v>501.73322645951856</v>
      </c>
      <c r="H26" s="233">
        <f t="shared" si="4"/>
        <v>3.3856719209723884E-2</v>
      </c>
      <c r="I26" s="209"/>
      <c r="J26" s="209" t="s">
        <v>9</v>
      </c>
      <c r="K26" s="209"/>
      <c r="L26" s="235">
        <f>D11+L25</f>
        <v>4610.7832825020732</v>
      </c>
      <c r="M26" s="235">
        <f>E11+M25</f>
        <v>4610.7832825020732</v>
      </c>
      <c r="N26" s="235">
        <f>F11+N25</f>
        <v>4610.7832825020732</v>
      </c>
      <c r="O26" s="235">
        <f>G11+O25</f>
        <v>4610.7832825020732</v>
      </c>
      <c r="P26" s="233">
        <f>IF(L26=0,"nm",IF(O26=0,"nm",(O26/L26)^(1/3)-1))</f>
        <v>0</v>
      </c>
      <c r="Q26" s="5"/>
      <c r="S26" s="72"/>
      <c r="T26" s="26"/>
      <c r="U26" s="26"/>
      <c r="V26" s="113" t="s">
        <v>158</v>
      </c>
      <c r="W26" s="242">
        <f t="shared" ref="W26:W33" si="6">D38/L10</f>
        <v>1.3311941193290067</v>
      </c>
      <c r="X26" s="242">
        <v>1</v>
      </c>
    </row>
    <row r="27" spans="2:24">
      <c r="B27" s="5" t="s">
        <v>488</v>
      </c>
      <c r="C27" s="422">
        <v>3710</v>
      </c>
      <c r="D27" s="416">
        <v>2955.0031880632582</v>
      </c>
      <c r="E27" s="416">
        <v>2873.045481377208</v>
      </c>
      <c r="F27" s="416">
        <v>2591.9374738140814</v>
      </c>
      <c r="G27" s="416">
        <v>2365.5723035146052</v>
      </c>
      <c r="H27" s="233">
        <f t="shared" si="4"/>
        <v>-7.1476803827229318E-2</v>
      </c>
      <c r="I27" s="209"/>
      <c r="J27" s="208"/>
      <c r="K27" s="208"/>
      <c r="L27" s="208"/>
      <c r="M27" s="208"/>
      <c r="N27" s="208"/>
      <c r="O27" s="208"/>
      <c r="Q27" s="25"/>
      <c r="S27" s="72"/>
      <c r="T27" s="26"/>
      <c r="U27" s="26"/>
      <c r="V27" s="113" t="s">
        <v>159</v>
      </c>
      <c r="W27" s="242">
        <f t="shared" si="6"/>
        <v>0.83744990512806761</v>
      </c>
      <c r="X27" s="242">
        <v>1</v>
      </c>
    </row>
    <row r="28" spans="2:24" ht="12.6" thickBot="1">
      <c r="B28" s="5" t="s">
        <v>492</v>
      </c>
      <c r="C28" s="422">
        <v>0</v>
      </c>
      <c r="D28" s="416">
        <v>0</v>
      </c>
      <c r="E28" s="416">
        <v>0</v>
      </c>
      <c r="F28" s="416">
        <v>0</v>
      </c>
      <c r="G28" s="416">
        <v>0</v>
      </c>
      <c r="H28" s="233" t="str">
        <f t="shared" si="4"/>
        <v>nm</v>
      </c>
      <c r="I28" s="208"/>
      <c r="J28" s="249" t="s">
        <v>1073</v>
      </c>
      <c r="K28" s="249"/>
      <c r="L28" s="249"/>
      <c r="M28" s="249"/>
      <c r="N28" s="220"/>
      <c r="O28" s="220"/>
      <c r="P28" s="220"/>
      <c r="Q28" s="5"/>
      <c r="S28" s="72"/>
      <c r="T28" s="26"/>
      <c r="U28" s="26"/>
      <c r="V28" s="113" t="s">
        <v>381</v>
      </c>
      <c r="W28" s="242">
        <f t="shared" si="6"/>
        <v>0.83066598342974707</v>
      </c>
      <c r="X28" s="242">
        <v>1</v>
      </c>
    </row>
    <row r="29" spans="2:24" ht="12.6" thickTop="1">
      <c r="B29" s="5" t="s">
        <v>489</v>
      </c>
      <c r="C29" s="422">
        <v>0</v>
      </c>
      <c r="D29" s="416">
        <v>349.86248708976274</v>
      </c>
      <c r="E29" s="416">
        <v>344.65679913178241</v>
      </c>
      <c r="F29" s="416">
        <v>362.62181848006003</v>
      </c>
      <c r="G29" s="416">
        <v>348.43403438059488</v>
      </c>
      <c r="H29" s="233">
        <f t="shared" si="4"/>
        <v>-1.3628223078780977E-3</v>
      </c>
      <c r="I29" s="212"/>
      <c r="J29" s="209"/>
      <c r="K29" s="209"/>
      <c r="L29" s="209"/>
      <c r="M29" s="209"/>
      <c r="N29" s="209"/>
      <c r="O29" s="211"/>
      <c r="Q29" s="5"/>
      <c r="S29" s="72"/>
      <c r="T29" s="26"/>
      <c r="U29" s="26"/>
      <c r="V29" s="113" t="s">
        <v>434</v>
      </c>
      <c r="W29" s="242">
        <f t="shared" si="6"/>
        <v>2.2249883455404582</v>
      </c>
      <c r="X29" s="242">
        <v>1</v>
      </c>
    </row>
    <row r="30" spans="2:24">
      <c r="B30" s="5" t="s">
        <v>490</v>
      </c>
      <c r="C30" s="422">
        <v>-303.31083333333333</v>
      </c>
      <c r="D30" s="416">
        <v>-35.040274247443506</v>
      </c>
      <c r="E30" s="416">
        <v>67.623606171738516</v>
      </c>
      <c r="F30" s="416">
        <v>145.18571739697973</v>
      </c>
      <c r="G30" s="416">
        <v>203.14246597730738</v>
      </c>
      <c r="H30" s="233">
        <f t="shared" si="4"/>
        <v>-2.7964332075446734</v>
      </c>
      <c r="I30" s="214"/>
      <c r="J30" s="208"/>
      <c r="K30" s="208"/>
      <c r="L30" s="208"/>
      <c r="M30" s="208"/>
      <c r="N30" s="208"/>
      <c r="O30" s="5"/>
      <c r="Q30" s="5"/>
      <c r="S30" s="72"/>
      <c r="T30" s="26"/>
      <c r="U30" s="26"/>
      <c r="V30" s="113" t="s">
        <v>493</v>
      </c>
      <c r="W30" s="242" t="e">
        <f t="shared" si="6"/>
        <v>#VALUE!</v>
      </c>
      <c r="X30" s="242">
        <v>1</v>
      </c>
    </row>
    <row r="31" spans="2:24">
      <c r="B31" s="5" t="s">
        <v>491</v>
      </c>
      <c r="C31" s="422">
        <v>0</v>
      </c>
      <c r="D31" s="416">
        <v>111.50999999999999</v>
      </c>
      <c r="E31" s="416">
        <v>133.81199999999998</v>
      </c>
      <c r="F31" s="416">
        <v>140.5026</v>
      </c>
      <c r="G31" s="416">
        <v>182.65338</v>
      </c>
      <c r="H31" s="233">
        <f t="shared" si="4"/>
        <v>0.17879413343610695</v>
      </c>
      <c r="I31" s="214"/>
      <c r="J31" s="212"/>
      <c r="K31" s="212"/>
      <c r="L31" s="212"/>
      <c r="M31" s="212"/>
      <c r="N31" s="212"/>
      <c r="O31" s="5"/>
      <c r="Q31" s="5"/>
      <c r="S31" s="72"/>
      <c r="T31" s="26"/>
      <c r="U31" s="26"/>
      <c r="V31" s="113" t="s">
        <v>390</v>
      </c>
      <c r="W31" s="242">
        <f t="shared" si="6"/>
        <v>0.64291430761403234</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-5.5778241842983594</v>
      </c>
      <c r="X32" s="242">
        <v>1</v>
      </c>
    </row>
    <row r="33" spans="2:24">
      <c r="B33" s="5" t="s">
        <v>3</v>
      </c>
      <c r="C33" s="422">
        <v>252.49444444444441</v>
      </c>
      <c r="D33" s="416">
        <v>234.3578</v>
      </c>
      <c r="E33" s="416">
        <v>195.55786376126517</v>
      </c>
      <c r="F33" s="416">
        <v>190.91870962754416</v>
      </c>
      <c r="G33" s="416">
        <v>179.29654947628163</v>
      </c>
      <c r="H33" s="233">
        <f>IF(D33=0,"nm",IF(G33=0,"nm",(G33/D33)^(1/3)-1))</f>
        <v>-8.5400752435081717E-2</v>
      </c>
      <c r="I33" s="5"/>
      <c r="J33" s="214"/>
      <c r="K33" s="214"/>
      <c r="L33" s="214"/>
      <c r="M33" s="214"/>
      <c r="N33" s="214"/>
      <c r="O33" s="211"/>
      <c r="Q33" s="5"/>
      <c r="S33" s="72"/>
      <c r="T33" s="26"/>
      <c r="U33" s="26"/>
      <c r="V33" s="113" t="s">
        <v>481</v>
      </c>
      <c r="W33" s="242">
        <f t="shared" si="6"/>
        <v>0.62670305222269018</v>
      </c>
      <c r="X33" s="242">
        <v>1</v>
      </c>
    </row>
    <row r="34" spans="2:24">
      <c r="B34" s="5"/>
      <c r="C34" s="207"/>
      <c r="D34" s="13"/>
      <c r="E34" s="13"/>
      <c r="F34" s="222"/>
      <c r="G34" s="13"/>
      <c r="H34" s="231"/>
      <c r="I34" s="33"/>
      <c r="J34" s="214"/>
      <c r="K34" s="214"/>
      <c r="L34" s="214"/>
      <c r="M34" s="214"/>
      <c r="N34" s="214"/>
      <c r="O34" s="211"/>
      <c r="Q34" s="5"/>
      <c r="S34" s="72"/>
      <c r="T34" s="26"/>
      <c r="U34" s="26"/>
      <c r="V34" s="113" t="s">
        <v>482</v>
      </c>
      <c r="W34" s="242">
        <f>D47/L19</f>
        <v>1.555417243257776</v>
      </c>
      <c r="X34" s="242">
        <v>1</v>
      </c>
    </row>
    <row r="35" spans="2:24" ht="12.6" thickBot="1">
      <c r="B35" s="249" t="s">
        <v>361</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8">D$18/D23</f>
        <v>2.208712399784702</v>
      </c>
      <c r="E37" s="406">
        <f t="shared" si="8"/>
        <v>2.1556654098996764</v>
      </c>
      <c r="F37" s="406">
        <f t="shared" si="8"/>
        <v>2.0468345146238285</v>
      </c>
      <c r="G37" s="406">
        <f t="shared" si="8"/>
        <v>1.957419617925966</v>
      </c>
      <c r="H37" s="13">
        <f t="shared" ref="H37:H45" si="9">H23</f>
        <v>3.2600106380973326E-3</v>
      </c>
      <c r="I37" s="5"/>
      <c r="J37" s="217"/>
      <c r="K37" s="217"/>
      <c r="L37" s="217"/>
      <c r="M37" s="217"/>
      <c r="N37" s="217"/>
      <c r="O37" s="14"/>
      <c r="Q37" s="5"/>
      <c r="R37" s="5"/>
      <c r="S37" s="26"/>
      <c r="T37" s="26"/>
      <c r="U37" s="26"/>
      <c r="V37" s="26"/>
      <c r="W37" s="26"/>
      <c r="X37" s="26"/>
    </row>
    <row r="38" spans="2:24">
      <c r="B38" s="5" t="s">
        <v>158</v>
      </c>
      <c r="C38" s="207"/>
      <c r="D38" s="406">
        <f>D$18/D24</f>
        <v>8.8755602143300738</v>
      </c>
      <c r="E38" s="406">
        <f>E$18/E24</f>
        <v>8.2070510162518708</v>
      </c>
      <c r="F38" s="406">
        <f t="shared" si="8"/>
        <v>7.5720557130741497</v>
      </c>
      <c r="G38" s="406">
        <f t="shared" si="8"/>
        <v>7.214068767509195</v>
      </c>
      <c r="H38" s="13">
        <f t="shared" si="9"/>
        <v>3.2603493272179707E-2</v>
      </c>
      <c r="I38" s="217"/>
      <c r="J38" s="13"/>
      <c r="K38" s="13"/>
      <c r="L38" s="13"/>
      <c r="M38" s="13"/>
      <c r="N38" s="13"/>
      <c r="O38" s="5"/>
      <c r="Q38" s="5"/>
      <c r="R38" s="5"/>
      <c r="S38" s="26"/>
      <c r="T38" s="26"/>
      <c r="U38" s="26"/>
      <c r="V38" s="26"/>
      <c r="W38" s="26"/>
      <c r="X38" s="26"/>
    </row>
    <row r="39" spans="2:24">
      <c r="B39" s="5" t="s">
        <v>159</v>
      </c>
      <c r="C39" s="207"/>
      <c r="D39" s="406">
        <f t="shared" si="8"/>
        <v>13.163918966354874</v>
      </c>
      <c r="E39" s="406">
        <f t="shared" si="8"/>
        <v>12.00201125788319</v>
      </c>
      <c r="F39" s="406">
        <f t="shared" si="8"/>
        <v>11.060485876543904</v>
      </c>
      <c r="G39" s="406">
        <f t="shared" si="8"/>
        <v>10.660790506951923</v>
      </c>
      <c r="H39" s="13">
        <f t="shared" si="9"/>
        <v>3.3856719209723884E-2</v>
      </c>
      <c r="I39" s="13"/>
      <c r="J39" s="5"/>
      <c r="K39" s="5"/>
      <c r="L39" s="5"/>
      <c r="M39" s="5"/>
      <c r="N39" s="5"/>
      <c r="O39" s="5"/>
      <c r="Q39" s="5"/>
      <c r="R39" s="5"/>
      <c r="S39" s="26"/>
      <c r="T39" s="26"/>
      <c r="U39" s="26"/>
      <c r="V39" s="26"/>
      <c r="W39" s="26"/>
      <c r="X39" s="26"/>
    </row>
    <row r="40" spans="2:24">
      <c r="B40" s="5" t="s">
        <v>381</v>
      </c>
      <c r="C40" s="207"/>
      <c r="D40" s="406">
        <f t="shared" si="8"/>
        <v>17.551891955139833</v>
      </c>
      <c r="E40" s="406">
        <f t="shared" si="8"/>
        <v>16.002681677177588</v>
      </c>
      <c r="F40" s="406">
        <f t="shared" si="8"/>
        <v>14.747314502058538</v>
      </c>
      <c r="G40" s="406">
        <f t="shared" si="8"/>
        <v>14.214387342602564</v>
      </c>
      <c r="H40" s="13">
        <f t="shared" si="9"/>
        <v>3.3856719209723884E-2</v>
      </c>
      <c r="I40" s="5"/>
      <c r="J40" s="217"/>
      <c r="K40" s="217"/>
      <c r="L40" s="217"/>
      <c r="M40" s="217"/>
      <c r="N40" s="217"/>
      <c r="O40" s="14"/>
      <c r="Q40" s="5"/>
      <c r="R40" s="5"/>
      <c r="S40" s="26"/>
      <c r="T40" s="26"/>
      <c r="U40" s="26"/>
      <c r="V40" s="26"/>
      <c r="W40" s="242"/>
      <c r="X40" s="242"/>
    </row>
    <row r="41" spans="2:24">
      <c r="B41" s="5" t="s">
        <v>434</v>
      </c>
      <c r="C41" s="207"/>
      <c r="D41" s="406">
        <f t="shared" si="8"/>
        <v>2.6968561480741218</v>
      </c>
      <c r="E41" s="406">
        <f t="shared" si="8"/>
        <v>2.7217894514054319</v>
      </c>
      <c r="F41" s="406">
        <f t="shared" si="8"/>
        <v>2.8743111018855179</v>
      </c>
      <c r="G41" s="406">
        <f t="shared" si="8"/>
        <v>3.0148435594013936</v>
      </c>
      <c r="H41" s="13">
        <f t="shared" si="9"/>
        <v>-7.1476803827229318E-2</v>
      </c>
      <c r="I41" s="207"/>
      <c r="J41" s="13"/>
      <c r="K41" s="13"/>
      <c r="L41" s="13"/>
      <c r="M41" s="13"/>
      <c r="N41" s="13"/>
      <c r="O41" s="5"/>
      <c r="Q41" s="5"/>
      <c r="R41" s="5"/>
      <c r="S41" s="26"/>
      <c r="T41" s="26"/>
      <c r="U41" s="26"/>
      <c r="V41" s="26"/>
      <c r="W41" s="242"/>
      <c r="X41" s="242"/>
    </row>
    <row r="42" spans="2:24">
      <c r="B42" s="5" t="s">
        <v>493</v>
      </c>
      <c r="C42" s="207"/>
      <c r="D42" s="406" t="str">
        <f>IFERROR(D18/D28,"N/A")</f>
        <v>N/A</v>
      </c>
      <c r="E42" s="406" t="str">
        <f t="shared" ref="E42:G42" si="10">IFERROR(E18/E28,"N/A")</f>
        <v>N/A</v>
      </c>
      <c r="F42" s="406" t="str">
        <f t="shared" si="10"/>
        <v>N/A</v>
      </c>
      <c r="G42" s="406" t="str">
        <f t="shared" si="10"/>
        <v>N/A</v>
      </c>
      <c r="H42" s="13" t="str">
        <f t="shared" si="9"/>
        <v>nm</v>
      </c>
      <c r="I42" s="208"/>
      <c r="J42" s="5"/>
      <c r="K42" s="5"/>
      <c r="L42" s="5"/>
      <c r="M42" s="5"/>
      <c r="N42" s="5"/>
      <c r="O42" s="5"/>
      <c r="Q42" s="5"/>
      <c r="R42" s="5"/>
      <c r="S42" s="26"/>
      <c r="T42" s="26"/>
      <c r="U42" s="26"/>
      <c r="V42" s="26"/>
      <c r="W42" s="242"/>
      <c r="X42" s="242"/>
    </row>
    <row r="43" spans="2:24">
      <c r="B43" s="5" t="s">
        <v>390</v>
      </c>
      <c r="C43" s="207"/>
      <c r="D43" s="406">
        <f>L26/D29</f>
        <v>13.178844410715872</v>
      </c>
      <c r="E43" s="406">
        <f>M26/E29</f>
        <v>13.377897357942739</v>
      </c>
      <c r="F43" s="406">
        <f>N26/F29</f>
        <v>12.715129226995513</v>
      </c>
      <c r="G43" s="406">
        <f>O26/G29</f>
        <v>13.232872875632205</v>
      </c>
      <c r="H43" s="13">
        <f t="shared" si="9"/>
        <v>-1.3628223078780977E-3</v>
      </c>
      <c r="I43" s="207"/>
      <c r="J43" s="207"/>
      <c r="K43" s="207"/>
      <c r="L43" s="207"/>
      <c r="M43" s="207"/>
      <c r="N43" s="207"/>
      <c r="O43" s="14"/>
      <c r="Q43" s="5"/>
      <c r="R43" s="5"/>
      <c r="S43" s="26"/>
      <c r="T43" s="26"/>
      <c r="U43" s="26"/>
      <c r="V43" s="26"/>
      <c r="W43" s="242"/>
      <c r="X43" s="242"/>
    </row>
    <row r="44" spans="2:24">
      <c r="B44" s="5" t="s">
        <v>437</v>
      </c>
      <c r="C44" s="53"/>
      <c r="D44" s="406">
        <f>D11/D30</f>
        <v>-131.5852510155074</v>
      </c>
      <c r="E44" s="406">
        <f>E11/E30</f>
        <v>68.183043518744313</v>
      </c>
      <c r="F44" s="406">
        <f>F11/F30</f>
        <v>31.757829662368639</v>
      </c>
      <c r="G44" s="406">
        <f>G11/G30</f>
        <v>22.697289118352703</v>
      </c>
      <c r="H44" s="13">
        <f t="shared" si="9"/>
        <v>-2.7964332075446734</v>
      </c>
      <c r="I44" s="207"/>
      <c r="J44" s="208"/>
      <c r="K44" s="208"/>
      <c r="L44" s="208"/>
      <c r="M44" s="208"/>
      <c r="N44" s="208"/>
      <c r="O44" s="208"/>
      <c r="Q44" s="5"/>
      <c r="R44" s="5"/>
      <c r="S44" s="26"/>
      <c r="T44" s="26"/>
      <c r="U44" s="26"/>
      <c r="V44" s="26"/>
      <c r="W44" s="255"/>
      <c r="X44" s="255"/>
    </row>
    <row r="45" spans="2:24">
      <c r="B45" s="5" t="s">
        <v>481</v>
      </c>
      <c r="C45" s="207"/>
      <c r="D45" s="208">
        <f>D31/D11</f>
        <v>2.4184610979913226E-2</v>
      </c>
      <c r="E45" s="208">
        <f>E31/E11</f>
        <v>2.9021533175895873E-2</v>
      </c>
      <c r="F45" s="208">
        <f>F31/F11</f>
        <v>3.0472609834690668E-2</v>
      </c>
      <c r="G45" s="208">
        <f>G31/G11</f>
        <v>3.9614392785097867E-2</v>
      </c>
      <c r="H45" s="13">
        <f t="shared" si="9"/>
        <v>0.17879413343610695</v>
      </c>
      <c r="I45" s="208"/>
      <c r="J45" s="207"/>
      <c r="K45" s="207"/>
      <c r="L45" s="207"/>
      <c r="M45" s="207"/>
      <c r="N45" s="207"/>
      <c r="O45" s="208"/>
      <c r="Q45" s="5"/>
      <c r="R45" s="5"/>
      <c r="S45" s="26"/>
      <c r="T45" s="26"/>
      <c r="U45" s="26"/>
      <c r="V45" s="26"/>
      <c r="W45" s="26"/>
      <c r="X45" s="26"/>
    </row>
    <row r="46" spans="2:24">
      <c r="B46" s="5" t="s">
        <v>505</v>
      </c>
      <c r="C46" s="207"/>
      <c r="D46" s="208">
        <f>(D31+D32)/D11</f>
        <v>2.4184610979913226E-2</v>
      </c>
      <c r="E46" s="208">
        <f>(E31+E32)/E11</f>
        <v>2.9021533175895873E-2</v>
      </c>
      <c r="F46" s="208">
        <f>(F31+F32)/F11</f>
        <v>3.0472609834690668E-2</v>
      </c>
      <c r="G46" s="208">
        <f>(G31+G32)/G11</f>
        <v>3.9614392785097867E-2</v>
      </c>
      <c r="H46" s="233">
        <f>((G31+G32)/(D31+D32))^(1/3)-1</f>
        <v>0.17879413343610695</v>
      </c>
      <c r="I46" s="207"/>
      <c r="J46" s="207"/>
      <c r="K46" s="207"/>
      <c r="L46" s="207"/>
      <c r="M46" s="207"/>
      <c r="N46" s="207"/>
      <c r="O46" s="14"/>
      <c r="Q46" s="5"/>
      <c r="R46" s="5"/>
      <c r="S46" s="26"/>
      <c r="T46" s="26"/>
      <c r="U46" s="26"/>
      <c r="V46" s="26"/>
      <c r="W46" s="26"/>
      <c r="X46" s="26"/>
    </row>
    <row r="47" spans="2:24">
      <c r="B47" s="5" t="s">
        <v>482</v>
      </c>
      <c r="C47" s="5"/>
      <c r="D47" s="208">
        <f>1/D43</f>
        <v>7.5879187039107038E-2</v>
      </c>
      <c r="E47" s="208">
        <f>1/E43</f>
        <v>7.4750162394262867E-2</v>
      </c>
      <c r="F47" s="208">
        <f>1/F43</f>
        <v>7.8646467695892411E-2</v>
      </c>
      <c r="G47" s="208">
        <f>1/G43</f>
        <v>7.5569380088390259E-2</v>
      </c>
      <c r="H47" s="13">
        <f>H29</f>
        <v>-1.3628223078780977E-3</v>
      </c>
      <c r="I47" s="13"/>
      <c r="J47" s="208"/>
      <c r="K47" s="208"/>
      <c r="L47" s="208"/>
      <c r="M47" s="208"/>
      <c r="N47" s="208"/>
      <c r="O47" s="208"/>
      <c r="Q47" s="5"/>
      <c r="R47" s="5"/>
      <c r="S47" s="26"/>
      <c r="T47" s="26"/>
      <c r="U47" s="26"/>
      <c r="V47" s="26"/>
      <c r="W47" s="26"/>
      <c r="X47" s="26"/>
    </row>
    <row r="48" spans="2:24">
      <c r="B48" s="5" t="s">
        <v>518</v>
      </c>
      <c r="C48" s="5"/>
      <c r="D48" s="248">
        <f>D31/D29</f>
        <v>0.31872522523796709</v>
      </c>
      <c r="E48" s="248">
        <f>E31/E29</f>
        <v>0.38824709199726493</v>
      </c>
      <c r="F48" s="248">
        <f>F31/F29</f>
        <v>0.38746317193190627</v>
      </c>
      <c r="G48" s="248">
        <f>G31/G29</f>
        <v>0.52421222377056176</v>
      </c>
      <c r="H48" s="233" t="s">
        <v>507</v>
      </c>
      <c r="I48" s="207"/>
      <c r="J48" s="207"/>
      <c r="K48" s="207"/>
      <c r="L48" s="207"/>
      <c r="M48" s="207"/>
      <c r="N48" s="207"/>
      <c r="O48" s="208"/>
      <c r="Q48" s="5"/>
      <c r="R48" s="5"/>
      <c r="S48" s="26"/>
      <c r="T48" s="26"/>
      <c r="U48" s="26"/>
      <c r="V48" s="26"/>
      <c r="W48" s="26"/>
      <c r="X48" s="26"/>
    </row>
  </sheetData>
  <hyperlinks>
    <hyperlink ref="C2" location="VODSOP!A1" display="Jump to VOD SOP" xr:uid="{C652657F-3414-4A2D-B640-40F28815B9DF}"/>
  </hyperlinks>
  <pageMargins left="0.75" right="0.75" top="1" bottom="1" header="0.5" footer="0.5"/>
  <pageSetup scale="7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7">
    <pageSetUpPr fitToPage="1"/>
  </sheetPr>
  <dimension ref="B1:AR48"/>
  <sheetViews>
    <sheetView showGridLines="0" zoomScale="80" zoomScaleNormal="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8" width="8.6640625" style="5" customWidth="1"/>
    <col min="29" max="44" width="9.109375" style="5"/>
    <col min="45" max="16384" width="9.109375" style="23"/>
  </cols>
  <sheetData>
    <row r="1" spans="2:44" s="489" customFormat="1">
      <c r="T1" s="64"/>
      <c r="U1" s="64"/>
      <c r="V1" s="64"/>
      <c r="W1" s="64"/>
      <c r="X1" s="64"/>
      <c r="Y1" s="64"/>
      <c r="Z1" s="64"/>
      <c r="AA1" s="64"/>
      <c r="AB1" s="64"/>
      <c r="AC1" s="64"/>
      <c r="AD1" s="64"/>
      <c r="AE1" s="64"/>
      <c r="AF1" s="64"/>
      <c r="AG1" s="64"/>
      <c r="AH1" s="64"/>
      <c r="AI1" s="64"/>
      <c r="AJ1" s="64"/>
      <c r="AK1" s="64"/>
      <c r="AL1" s="64"/>
      <c r="AM1" s="64"/>
      <c r="AN1" s="64"/>
      <c r="AO1" s="64"/>
      <c r="AP1" s="64"/>
      <c r="AQ1" s="64"/>
      <c r="AR1" s="64"/>
    </row>
    <row r="2" spans="2:44" s="115" customFormat="1"/>
    <row r="3" spans="2:44" s="115" customFormat="1">
      <c r="H3" s="119"/>
      <c r="P3" s="119"/>
    </row>
    <row r="4" spans="2:44" s="122" customFormat="1" ht="21">
      <c r="B4" s="100" t="s">
        <v>193</v>
      </c>
      <c r="H4" s="182"/>
      <c r="P4" s="182"/>
    </row>
    <row r="5" spans="2:44"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44">
      <c r="I6" s="5"/>
      <c r="J6" s="5"/>
      <c r="K6" s="5"/>
      <c r="L6" s="5"/>
      <c r="M6" s="5"/>
      <c r="N6" s="5"/>
      <c r="O6" s="33"/>
    </row>
    <row r="7" spans="2:44" ht="12.6" thickBot="1">
      <c r="B7" s="249" t="s">
        <v>223</v>
      </c>
      <c r="C7" s="219"/>
      <c r="D7" s="219" t="str">
        <f>D5</f>
        <v>2025E</v>
      </c>
      <c r="E7" s="219" t="str">
        <f t="shared" ref="E7:H7" si="0">E5</f>
        <v>2026E</v>
      </c>
      <c r="F7" s="219" t="str">
        <f t="shared" si="0"/>
        <v>2027E</v>
      </c>
      <c r="G7" s="219" t="str">
        <f t="shared" si="0"/>
        <v>2028E</v>
      </c>
      <c r="H7" s="219" t="str">
        <f t="shared" si="0"/>
        <v>2025-28</v>
      </c>
      <c r="I7" s="33"/>
      <c r="J7" s="249" t="s">
        <v>63</v>
      </c>
      <c r="K7" s="249"/>
      <c r="L7" s="219" t="str">
        <f>L5</f>
        <v>2025E</v>
      </c>
      <c r="M7" s="219" t="str">
        <f t="shared" ref="M7:P7" si="1">M5</f>
        <v>2026E</v>
      </c>
      <c r="N7" s="219" t="str">
        <f t="shared" si="1"/>
        <v>2027E</v>
      </c>
      <c r="O7" s="219" t="str">
        <f t="shared" si="1"/>
        <v>2028E</v>
      </c>
      <c r="P7" s="219" t="str">
        <f t="shared" si="1"/>
        <v>2025-28</v>
      </c>
    </row>
    <row r="8" spans="2:44" ht="12.6" thickTop="1">
      <c r="B8" s="5"/>
      <c r="C8" s="5"/>
      <c r="D8" s="5"/>
      <c r="E8" s="5"/>
      <c r="F8" s="5"/>
      <c r="G8" s="5"/>
      <c r="H8" s="5"/>
      <c r="I8" s="5"/>
      <c r="J8" s="5"/>
      <c r="K8" s="5"/>
      <c r="L8" s="5"/>
      <c r="M8" s="5"/>
      <c r="N8" s="5"/>
    </row>
    <row r="9" spans="2:44">
      <c r="B9" s="25" t="s">
        <v>126</v>
      </c>
      <c r="C9" s="239">
        <f>Prices!C86</f>
        <v>3070</v>
      </c>
      <c r="D9" s="412">
        <v>0</v>
      </c>
      <c r="E9" s="413">
        <v>0</v>
      </c>
      <c r="F9" s="413">
        <v>0</v>
      </c>
      <c r="G9" s="413">
        <v>0</v>
      </c>
      <c r="H9" s="209"/>
      <c r="I9" s="209"/>
      <c r="J9" s="5" t="s">
        <v>225</v>
      </c>
      <c r="L9" s="406">
        <f>'AGG ASIA CELLULAR'!D37</f>
        <v>2.0742951866164758</v>
      </c>
      <c r="M9" s="406">
        <f>'AGG ASIA CELLULAR'!E37</f>
        <v>1.8677683033091426</v>
      </c>
      <c r="N9" s="406">
        <f>'AGG ASIA CELLULAR'!F37</f>
        <v>1.6809029559004356</v>
      </c>
      <c r="O9" s="406">
        <f>'AGG ASIA CELLULAR'!G37</f>
        <v>1.4669227281433177</v>
      </c>
      <c r="P9" s="240">
        <f>'AGG ASIA CELLULAR'!H37</f>
        <v>4.2453225639905945E-2</v>
      </c>
    </row>
    <row r="10" spans="2:44">
      <c r="B10" s="5" t="s">
        <v>226</v>
      </c>
      <c r="C10" s="5"/>
      <c r="D10" s="408">
        <v>17.105</v>
      </c>
      <c r="E10" s="408">
        <v>17.105</v>
      </c>
      <c r="F10" s="408">
        <v>17.105</v>
      </c>
      <c r="G10" s="408">
        <v>17.105</v>
      </c>
      <c r="H10" s="207"/>
      <c r="I10" s="207"/>
      <c r="J10" s="5" t="s">
        <v>158</v>
      </c>
      <c r="L10" s="406">
        <f>'AGG ASIA CELLULAR'!D38</f>
        <v>6.2116439026357435</v>
      </c>
      <c r="M10" s="406">
        <f>'AGG ASIA CELLULAR'!E38</f>
        <v>5.4575557200966758</v>
      </c>
      <c r="N10" s="406">
        <f>'AGG ASIA CELLULAR'!F38</f>
        <v>4.8293417829119329</v>
      </c>
      <c r="O10" s="406">
        <f>'AGG ASIA CELLULAR'!G38</f>
        <v>4.1544253148955823</v>
      </c>
      <c r="P10" s="240">
        <f>'AGG ASIA CELLULAR'!H38</f>
        <v>6.2023194374214885E-2</v>
      </c>
    </row>
    <row r="11" spans="2:44">
      <c r="B11" s="25" t="s">
        <v>730</v>
      </c>
      <c r="C11" s="5"/>
      <c r="D11" s="409">
        <f>$C$9*D10</f>
        <v>52512.35</v>
      </c>
      <c r="E11" s="409">
        <f>$C$9*E10</f>
        <v>52512.35</v>
      </c>
      <c r="F11" s="409">
        <f>$C$9*F10</f>
        <v>52512.35</v>
      </c>
      <c r="G11" s="409">
        <f>$C$9*G10</f>
        <v>52512.35</v>
      </c>
      <c r="H11" s="209"/>
      <c r="I11" s="209"/>
      <c r="J11" s="5" t="s">
        <v>159</v>
      </c>
      <c r="L11" s="406">
        <f>'AGG ASIA CELLULAR'!D39</f>
        <v>10.343988359211556</v>
      </c>
      <c r="M11" s="406">
        <f>'AGG ASIA CELLULAR'!E39</f>
        <v>8.731281272971696</v>
      </c>
      <c r="N11" s="406">
        <f>'AGG ASIA CELLULAR'!F39</f>
        <v>7.4511861518704707</v>
      </c>
      <c r="O11" s="406">
        <f>'AGG ASIA CELLULAR'!G39</f>
        <v>6.2342649923948379</v>
      </c>
      <c r="P11" s="240">
        <f>'AGG ASIA CELLULAR'!H39</f>
        <v>9.9519809908189316E-2</v>
      </c>
    </row>
    <row r="12" spans="2:44">
      <c r="B12" s="5" t="s">
        <v>22</v>
      </c>
      <c r="C12" s="209"/>
      <c r="D12" s="410">
        <v>64431.962064340383</v>
      </c>
      <c r="E12" s="410">
        <v>61640.471365057543</v>
      </c>
      <c r="F12" s="410">
        <v>58971.79106328456</v>
      </c>
      <c r="G12" s="410">
        <v>55492.010359384236</v>
      </c>
      <c r="H12" s="207"/>
      <c r="I12" s="207"/>
      <c r="J12" s="5" t="s">
        <v>381</v>
      </c>
      <c r="L12" s="406">
        <f>'AGG ASIA CELLULAR'!D40</f>
        <v>13.550029719375468</v>
      </c>
      <c r="M12" s="406">
        <f>'AGG ASIA CELLULAR'!E40</f>
        <v>11.571642147701958</v>
      </c>
      <c r="N12" s="406">
        <f>'AGG ASIA CELLULAR'!F40</f>
        <v>9.9061835621802476</v>
      </c>
      <c r="O12" s="406">
        <f>'AGG ASIA CELLULAR'!G40</f>
        <v>8.2913052284657685</v>
      </c>
      <c r="P12" s="240">
        <f>'AGG ASIA CELLULAR'!H40</f>
        <v>9.3976312177183274E-2</v>
      </c>
    </row>
    <row r="13" spans="2:44">
      <c r="B13" s="5" t="s">
        <v>433</v>
      </c>
      <c r="C13" s="216"/>
      <c r="D13" s="410">
        <v>0</v>
      </c>
      <c r="E13" s="410">
        <v>0</v>
      </c>
      <c r="F13" s="410">
        <v>0</v>
      </c>
      <c r="G13" s="410">
        <v>0</v>
      </c>
      <c r="H13" s="207"/>
      <c r="I13" s="207"/>
      <c r="J13" s="5" t="s">
        <v>434</v>
      </c>
      <c r="L13" s="406">
        <f>'AGG ASIA CELLULAR'!D41</f>
        <v>1.7274540206262605</v>
      </c>
      <c r="M13" s="406">
        <f>'AGG ASIA CELLULAR'!E41</f>
        <v>1.6339651186931874</v>
      </c>
      <c r="N13" s="406">
        <f>'AGG ASIA CELLULAR'!F41</f>
        <v>1.5115513246574039</v>
      </c>
      <c r="O13" s="406">
        <f>'AGG ASIA CELLULAR'!G41</f>
        <v>1.3925201480691802</v>
      </c>
      <c r="P13" s="240">
        <f>'AGG ASIA CELLULAR'!H41</f>
        <v>-2.0614341370516209E-3</v>
      </c>
    </row>
    <row r="14" spans="2:44">
      <c r="B14" s="5" t="s">
        <v>436</v>
      </c>
      <c r="C14" s="216"/>
      <c r="D14" s="410">
        <v>0</v>
      </c>
      <c r="E14" s="410">
        <f t="shared" ref="E14:G15" si="2">D14</f>
        <v>0</v>
      </c>
      <c r="F14" s="410">
        <f t="shared" si="2"/>
        <v>0</v>
      </c>
      <c r="G14" s="410">
        <f t="shared" si="2"/>
        <v>0</v>
      </c>
      <c r="H14" s="209"/>
      <c r="I14" s="207"/>
      <c r="J14" s="5" t="s">
        <v>493</v>
      </c>
      <c r="L14" s="406">
        <f>'AGG ASIA CELLULAR'!D42</f>
        <v>3.2612380643643633</v>
      </c>
      <c r="M14" s="406">
        <f>'AGG ASIA CELLULAR'!E42</f>
        <v>3.2192833435937476</v>
      </c>
      <c r="N14" s="406">
        <f>'AGG ASIA CELLULAR'!F42</f>
        <v>3.1876798143679874</v>
      </c>
      <c r="O14" s="406">
        <f>'AGG ASIA CELLULAR'!G42</f>
        <v>3.0645039076376084</v>
      </c>
      <c r="P14" s="240">
        <f>'AGG ASIA CELLULAR'!H42</f>
        <v>-5.1778981276664693E-2</v>
      </c>
    </row>
    <row r="15" spans="2:44">
      <c r="B15" s="5" t="s">
        <v>435</v>
      </c>
      <c r="C15" s="228"/>
      <c r="D15" s="410">
        <v>0</v>
      </c>
      <c r="E15" s="410">
        <f t="shared" si="2"/>
        <v>0</v>
      </c>
      <c r="F15" s="410">
        <f t="shared" si="2"/>
        <v>0</v>
      </c>
      <c r="G15" s="410">
        <f t="shared" si="2"/>
        <v>0</v>
      </c>
      <c r="H15" s="209"/>
      <c r="I15" s="207"/>
      <c r="J15" s="5" t="s">
        <v>390</v>
      </c>
      <c r="L15" s="406">
        <f>'AGG ASIA CELLULAR'!D43</f>
        <v>16.089349709345136</v>
      </c>
      <c r="M15" s="406">
        <f>'AGG ASIA CELLULAR'!E43</f>
        <v>13.569035215617561</v>
      </c>
      <c r="N15" s="406">
        <f>'AGG ASIA CELLULAR'!F43</f>
        <v>11.985779858898526</v>
      </c>
      <c r="O15" s="406">
        <f>'AGG ASIA CELLULAR'!G43</f>
        <v>10.778399739149165</v>
      </c>
      <c r="P15" s="240">
        <f>'AGG ASIA CELLULAR'!H43</f>
        <v>0.13833270138668818</v>
      </c>
    </row>
    <row r="16" spans="2:44">
      <c r="B16" s="5" t="s">
        <v>438</v>
      </c>
      <c r="C16" s="216"/>
      <c r="D16" s="410">
        <v>0</v>
      </c>
      <c r="E16" s="410">
        <v>0</v>
      </c>
      <c r="F16" s="410">
        <v>1677.17808862632</v>
      </c>
      <c r="G16" s="410">
        <v>4396.9227068331256</v>
      </c>
      <c r="H16" s="207"/>
      <c r="I16" s="207"/>
      <c r="J16" s="5" t="s">
        <v>437</v>
      </c>
      <c r="L16" s="406">
        <f>'AGG ASIA CELLULAR'!D44</f>
        <v>17.255412304636312</v>
      </c>
      <c r="M16" s="406">
        <f>'AGG ASIA CELLULAR'!E44</f>
        <v>15.150524737269549</v>
      </c>
      <c r="N16" s="406">
        <f>'AGG ASIA CELLULAR'!F44</f>
        <v>13.359478131845924</v>
      </c>
      <c r="O16" s="406">
        <f>'AGG ASIA CELLULAR'!G44</f>
        <v>11.885465840907804</v>
      </c>
      <c r="P16" s="240">
        <f>'AGG ASIA CELLULAR'!H44</f>
        <v>0.12716783491985639</v>
      </c>
    </row>
    <row r="17" spans="2:24">
      <c r="B17" s="5" t="s">
        <v>4</v>
      </c>
      <c r="C17" s="216"/>
      <c r="D17" s="410">
        <v>0</v>
      </c>
      <c r="E17" s="410">
        <v>0</v>
      </c>
      <c r="F17" s="410">
        <v>0</v>
      </c>
      <c r="G17" s="410">
        <v>0</v>
      </c>
      <c r="H17" s="207"/>
      <c r="I17" s="207"/>
      <c r="J17" s="5" t="s">
        <v>481</v>
      </c>
      <c r="L17" s="208">
        <f>'AGG ASIA CELLULAR'!D45</f>
        <v>4.2664240558129285E-2</v>
      </c>
      <c r="M17" s="208">
        <f>'AGG ASIA CELLULAR'!E45</f>
        <v>4.7269393732886626E-2</v>
      </c>
      <c r="N17" s="208">
        <f>'AGG ASIA CELLULAR'!F45</f>
        <v>5.1991158134955993E-2</v>
      </c>
      <c r="O17" s="208">
        <f>'AGG ASIA CELLULAR'!G45</f>
        <v>5.7038243608915094E-2</v>
      </c>
      <c r="P17" s="240">
        <f>'AGG ASIA CELLULAR'!H45</f>
        <v>9.6611807454481724E-2</v>
      </c>
      <c r="S17" s="72"/>
      <c r="T17" s="26"/>
      <c r="U17" s="26"/>
      <c r="V17" s="26"/>
      <c r="W17" s="26"/>
      <c r="X17" s="26"/>
    </row>
    <row r="18" spans="2:24" ht="12.6" thickBot="1">
      <c r="B18" s="25" t="s">
        <v>484</v>
      </c>
      <c r="C18" s="209"/>
      <c r="D18" s="411">
        <f>D11+D12+D13-D14+D15-D16-D17</f>
        <v>116944.31206434038</v>
      </c>
      <c r="E18" s="411">
        <f>E11+E12+E13-E14+E15-E16-E17</f>
        <v>114152.82136505755</v>
      </c>
      <c r="F18" s="411">
        <f>F11+F12+F13-F14+F15-F16-F17</f>
        <v>109806.96297465825</v>
      </c>
      <c r="G18" s="411">
        <f>G11+G12+G13-G14+G15-G16-G17</f>
        <v>103607.43765255112</v>
      </c>
      <c r="H18" s="230">
        <f>IF(D18=0,"nm",IF(G18=0,"nm",(G18/D18)^(1/3)-1))</f>
        <v>-3.955917991134128E-2</v>
      </c>
      <c r="I18" s="214"/>
      <c r="J18" s="5" t="s">
        <v>33</v>
      </c>
      <c r="L18" s="208">
        <f>'AGG ASIA CELLULAR'!D46</f>
        <v>4.4347328311475247E-2</v>
      </c>
      <c r="M18" s="208">
        <f>'AGG ASIA CELLULAR'!E46</f>
        <v>4.467046158803388E-2</v>
      </c>
      <c r="N18" s="208">
        <f>'AGG ASIA CELLULAR'!F46</f>
        <v>5.5098449809688733E-2</v>
      </c>
      <c r="O18" s="208">
        <f>'AGG ASIA CELLULAR'!G46</f>
        <v>6.4094381094146738E-2</v>
      </c>
      <c r="P18" s="240">
        <f>'AGG ASIA CELLULAR'!H46</f>
        <v>0.12547635490041653</v>
      </c>
      <c r="S18" s="72"/>
      <c r="T18" s="26"/>
      <c r="U18" s="26"/>
      <c r="V18" s="26"/>
      <c r="W18" s="26"/>
      <c r="X18" s="26"/>
    </row>
    <row r="19" spans="2:24" ht="12.6" thickTop="1">
      <c r="B19" s="25"/>
      <c r="C19" s="209"/>
      <c r="D19" s="189"/>
      <c r="E19" s="189"/>
      <c r="F19" s="189"/>
      <c r="G19" s="189"/>
      <c r="H19" s="230"/>
      <c r="I19" s="214"/>
      <c r="J19" s="5" t="s">
        <v>482</v>
      </c>
      <c r="L19" s="208">
        <f>'AGG ASIA CELLULAR'!D47</f>
        <v>6.2152915939117946E-2</v>
      </c>
      <c r="M19" s="208">
        <f>'AGG ASIA CELLULAR'!E47</f>
        <v>7.3697207215515911E-2</v>
      </c>
      <c r="N19" s="208">
        <f>'AGG ASIA CELLULAR'!F47</f>
        <v>8.3432201473112852E-2</v>
      </c>
      <c r="O19" s="208">
        <f>'AGG ASIA CELLULAR'!G47</f>
        <v>9.2778151135721271E-2</v>
      </c>
      <c r="P19" s="240">
        <f>'AGG ASIA CELLULAR'!H47</f>
        <v>0.13833270138668818</v>
      </c>
      <c r="S19" s="72"/>
      <c r="T19" s="26"/>
      <c r="U19" s="26"/>
      <c r="V19" s="26"/>
      <c r="W19" s="26"/>
      <c r="X19" s="26"/>
    </row>
    <row r="20" spans="2:24">
      <c r="H20" s="231"/>
      <c r="I20" s="13"/>
      <c r="J20" s="5" t="s">
        <v>504</v>
      </c>
      <c r="L20" s="248">
        <f>'AGG ASIA CELLULAR'!D48</f>
        <v>0.77544477455685379</v>
      </c>
      <c r="M20" s="248">
        <f>'AGG ASIA CELLULAR'!E48</f>
        <v>0.72413361320102743</v>
      </c>
      <c r="N20" s="248">
        <f>'AGG ASIA CELLULAR'!F48</f>
        <v>0.70312420435974721</v>
      </c>
      <c r="O20" s="248">
        <f>'AGG ASIA CELLULAR'!G48</f>
        <v>0.69326933436172999</v>
      </c>
      <c r="P20" s="240" t="str">
        <f>'AGG ASIA CELLULAR'!H48</f>
        <v>nm</v>
      </c>
      <c r="S20" s="72"/>
      <c r="T20" s="26"/>
      <c r="U20" s="26"/>
      <c r="V20" s="26"/>
      <c r="W20" s="26"/>
      <c r="X20" s="26"/>
    </row>
    <row r="21" spans="2:24" ht="12.6" thickBot="1">
      <c r="B21" s="249" t="s">
        <v>767</v>
      </c>
      <c r="C21" s="219"/>
      <c r="D21" s="219" t="str">
        <f>D5</f>
        <v>2025E</v>
      </c>
      <c r="E21" s="219" t="str">
        <f t="shared" ref="E21:H21" si="3">E5</f>
        <v>2026E</v>
      </c>
      <c r="F21" s="219" t="str">
        <f t="shared" si="3"/>
        <v>2027E</v>
      </c>
      <c r="G21" s="219" t="str">
        <f t="shared" si="3"/>
        <v>2028E</v>
      </c>
      <c r="H21" s="219" t="str">
        <f t="shared" si="3"/>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34391.597000000002</v>
      </c>
      <c r="D23" s="416">
        <v>42474.105831966364</v>
      </c>
      <c r="E23" s="416">
        <v>47281.52542977938</v>
      </c>
      <c r="F23" s="416">
        <v>49342.820741226758</v>
      </c>
      <c r="G23" s="416">
        <v>51491.024704882409</v>
      </c>
      <c r="H23" s="233">
        <f t="shared" ref="H23:H33" si="4">IF(D23=0,"nm",IF(G23=0,"nm",(G23/D23)^(1/3)-1))</f>
        <v>6.6274680322998991E-2</v>
      </c>
      <c r="I23" s="207"/>
      <c r="J23" s="249" t="s">
        <v>7</v>
      </c>
      <c r="K23" s="249"/>
      <c r="L23" s="219" t="str">
        <f>D21</f>
        <v>2025E</v>
      </c>
      <c r="M23" s="219" t="str">
        <f t="shared" ref="M23:P23" si="5">E21</f>
        <v>2026E</v>
      </c>
      <c r="N23" s="219" t="str">
        <f t="shared" si="5"/>
        <v>2027E</v>
      </c>
      <c r="O23" s="219" t="str">
        <f t="shared" si="5"/>
        <v>2028E</v>
      </c>
      <c r="P23" s="219" t="str">
        <f t="shared" si="5"/>
        <v>2025-28</v>
      </c>
      <c r="S23" s="72"/>
      <c r="T23" s="26"/>
      <c r="U23" s="26"/>
      <c r="V23" s="26"/>
      <c r="W23" s="26"/>
      <c r="X23" s="26"/>
    </row>
    <row r="24" spans="2:24" ht="12.6" thickTop="1">
      <c r="B24" s="5" t="s">
        <v>397</v>
      </c>
      <c r="C24" s="423">
        <v>17879</v>
      </c>
      <c r="D24" s="416">
        <v>18547.777952688124</v>
      </c>
      <c r="E24" s="416">
        <v>22026.102884302556</v>
      </c>
      <c r="F24" s="416">
        <v>24266.810115801967</v>
      </c>
      <c r="G24" s="416">
        <v>26620.859772424206</v>
      </c>
      <c r="H24" s="233">
        <f t="shared" si="4"/>
        <v>0.1280025027504621</v>
      </c>
      <c r="I24" s="209"/>
      <c r="J24" s="13"/>
      <c r="K24" s="13"/>
      <c r="L24" s="13"/>
      <c r="M24" s="13"/>
      <c r="N24" s="13"/>
      <c r="O24" s="208"/>
      <c r="S24" s="72"/>
      <c r="T24" s="26"/>
      <c r="U24" s="26"/>
      <c r="V24" s="26"/>
      <c r="W24" s="26" t="s">
        <v>289</v>
      </c>
      <c r="X24" s="26" t="s">
        <v>209</v>
      </c>
    </row>
    <row r="25" spans="2:24">
      <c r="B25" s="5" t="s">
        <v>157</v>
      </c>
      <c r="C25" s="422">
        <v>10497</v>
      </c>
      <c r="D25" s="416">
        <v>8353.9925530161963</v>
      </c>
      <c r="E25" s="416">
        <v>11624.167289751093</v>
      </c>
      <c r="F25" s="416">
        <v>13904.817760144348</v>
      </c>
      <c r="G25" s="416">
        <v>16322.654831447724</v>
      </c>
      <c r="H25" s="233">
        <f t="shared" si="4"/>
        <v>0.25015991906699364</v>
      </c>
      <c r="I25" s="208"/>
      <c r="J25" s="207" t="s">
        <v>8</v>
      </c>
      <c r="K25" s="207"/>
      <c r="L25" s="252">
        <v>0</v>
      </c>
      <c r="M25" s="252">
        <v>0</v>
      </c>
      <c r="N25" s="252">
        <v>0</v>
      </c>
      <c r="O25" s="252">
        <v>0</v>
      </c>
      <c r="P25" s="233" t="str">
        <f>IF(L25=0,"nm",IF(O25=0,"nm",(O25/L25)^(1/3)-1))</f>
        <v>nm</v>
      </c>
      <c r="S25" s="72"/>
      <c r="T25" s="26"/>
      <c r="U25" s="26"/>
      <c r="V25" s="113" t="s">
        <v>225</v>
      </c>
      <c r="W25" s="242">
        <f>D37/L9</f>
        <v>1.3273464695751247</v>
      </c>
      <c r="X25" s="242">
        <v>1</v>
      </c>
    </row>
    <row r="26" spans="2:24">
      <c r="B26" s="5" t="s">
        <v>487</v>
      </c>
      <c r="C26" s="422">
        <v>8187.66</v>
      </c>
      <c r="D26" s="416">
        <v>6516.1141913526335</v>
      </c>
      <c r="E26" s="416">
        <v>9066.8504860058529</v>
      </c>
      <c r="F26" s="416">
        <v>10845.757852912591</v>
      </c>
      <c r="G26" s="416">
        <v>12731.670768529226</v>
      </c>
      <c r="H26" s="233">
        <f t="shared" si="4"/>
        <v>0.25015991906699364</v>
      </c>
      <c r="I26" s="209"/>
      <c r="J26" s="209" t="s">
        <v>9</v>
      </c>
      <c r="K26" s="209"/>
      <c r="L26" s="235">
        <f>D11+L25</f>
        <v>52512.35</v>
      </c>
      <c r="M26" s="235">
        <f>E11+M25</f>
        <v>52512.35</v>
      </c>
      <c r="N26" s="235">
        <f>F11+N25</f>
        <v>52512.35</v>
      </c>
      <c r="O26" s="235">
        <f>G11+O25</f>
        <v>52512.35</v>
      </c>
      <c r="P26" s="233">
        <f>IF(L26=0,"nm",IF(O26=0,"nm",(O26/L26)^(1/3)-1))</f>
        <v>0</v>
      </c>
      <c r="Q26" s="5"/>
      <c r="S26" s="72"/>
      <c r="T26" s="26"/>
      <c r="U26" s="26"/>
      <c r="V26" s="113" t="s">
        <v>158</v>
      </c>
      <c r="W26" s="242">
        <f t="shared" ref="W26:W33" si="6">D38/L10</f>
        <v>1.0150341748526108</v>
      </c>
      <c r="X26" s="242">
        <v>1</v>
      </c>
    </row>
    <row r="27" spans="2:24">
      <c r="B27" s="5" t="s">
        <v>488</v>
      </c>
      <c r="C27" s="423">
        <v>70923.748999999996</v>
      </c>
      <c r="D27" s="416">
        <v>85029.69636033375</v>
      </c>
      <c r="E27" s="416">
        <v>83587.374998649408</v>
      </c>
      <c r="F27" s="416">
        <v>82595.872785502739</v>
      </c>
      <c r="G27" s="416">
        <v>81835.836699809224</v>
      </c>
      <c r="H27" s="233">
        <f t="shared" si="4"/>
        <v>-1.2680685653194024E-2</v>
      </c>
      <c r="I27" s="209"/>
      <c r="J27" s="208"/>
      <c r="K27" s="208"/>
      <c r="L27" s="208"/>
      <c r="M27" s="208"/>
      <c r="N27" s="208"/>
      <c r="O27" s="208"/>
      <c r="Q27" s="25"/>
      <c r="S27" s="72"/>
      <c r="T27" s="26"/>
      <c r="U27" s="26"/>
      <c r="V27" s="113" t="s">
        <v>159</v>
      </c>
      <c r="W27" s="242">
        <f t="shared" si="6"/>
        <v>1.3533090825383496</v>
      </c>
      <c r="X27" s="242">
        <v>1</v>
      </c>
    </row>
    <row r="28" spans="2:24" ht="12.6" thickBot="1">
      <c r="B28" s="5" t="s">
        <v>492</v>
      </c>
      <c r="C28" s="422">
        <v>59133.267739999996</v>
      </c>
      <c r="D28" s="416">
        <v>58091.732269071945</v>
      </c>
      <c r="E28" s="416">
        <v>57456.23873249974</v>
      </c>
      <c r="F28" s="416">
        <v>56901.545728982426</v>
      </c>
      <c r="G28" s="416">
        <v>56388.45698145224</v>
      </c>
      <c r="H28" s="233">
        <f t="shared" si="4"/>
        <v>-9.8705887501655543E-3</v>
      </c>
      <c r="I28" s="208"/>
      <c r="J28" s="249" t="s">
        <v>1073</v>
      </c>
      <c r="K28" s="249"/>
      <c r="L28" s="249"/>
      <c r="M28" s="249"/>
      <c r="N28" s="220"/>
      <c r="O28" s="220"/>
      <c r="P28" s="220"/>
      <c r="Q28" s="5"/>
      <c r="S28" s="72"/>
      <c r="T28" s="26"/>
      <c r="U28" s="26"/>
      <c r="V28" s="113" t="s">
        <v>381</v>
      </c>
      <c r="W28" s="242">
        <f t="shared" si="6"/>
        <v>1.3244945305075937</v>
      </c>
      <c r="X28" s="242">
        <v>1</v>
      </c>
    </row>
    <row r="29" spans="2:24" ht="12.6" thickTop="1">
      <c r="B29" s="5" t="s">
        <v>489</v>
      </c>
      <c r="C29" s="422">
        <v>382.18099999999868</v>
      </c>
      <c r="D29" s="416">
        <v>-18.89930582625766</v>
      </c>
      <c r="E29" s="416">
        <v>46.234433636978679</v>
      </c>
      <c r="F29" s="416">
        <v>1480.9193561105021</v>
      </c>
      <c r="G29" s="416">
        <v>3209.8574357454454</v>
      </c>
      <c r="H29" s="233">
        <f t="shared" si="4"/>
        <v>-6.5379193963432085</v>
      </c>
      <c r="I29" s="212"/>
      <c r="J29" s="209"/>
      <c r="K29" s="209"/>
      <c r="L29" s="209"/>
      <c r="M29" s="209"/>
      <c r="N29" s="209"/>
      <c r="O29" s="211"/>
      <c r="Q29" s="5"/>
      <c r="S29" s="72"/>
      <c r="T29" s="26"/>
      <c r="U29" s="26"/>
      <c r="V29" s="113" t="s">
        <v>434</v>
      </c>
      <c r="W29" s="242">
        <f t="shared" si="6"/>
        <v>0.79616297760356447</v>
      </c>
      <c r="X29" s="242">
        <v>1</v>
      </c>
    </row>
    <row r="30" spans="2:24">
      <c r="B30" s="5" t="s">
        <v>490</v>
      </c>
      <c r="C30" s="423">
        <v>1852.165</v>
      </c>
      <c r="D30" s="416">
        <v>595.05729599336428</v>
      </c>
      <c r="E30" s="416">
        <v>2349.1693375984923</v>
      </c>
      <c r="F30" s="416">
        <v>4104.35617725264</v>
      </c>
      <c r="G30" s="416">
        <v>5439.4892364136122</v>
      </c>
      <c r="H30" s="233">
        <f t="shared" si="4"/>
        <v>1.090899276893369</v>
      </c>
      <c r="I30" s="214"/>
      <c r="J30" s="208"/>
      <c r="K30" s="208"/>
      <c r="L30" s="208"/>
      <c r="M30" s="208"/>
      <c r="N30" s="208"/>
      <c r="O30" s="5"/>
      <c r="Q30" s="5"/>
      <c r="S30" s="72"/>
      <c r="T30" s="26"/>
      <c r="U30" s="26"/>
      <c r="V30" s="113" t="s">
        <v>493</v>
      </c>
      <c r="W30" s="242">
        <f t="shared" si="6"/>
        <v>0.61728009621587454</v>
      </c>
      <c r="X30" s="242">
        <v>1</v>
      </c>
    </row>
    <row r="31" spans="2:24">
      <c r="B31" s="5" t="s">
        <v>491</v>
      </c>
      <c r="C31" s="423">
        <v>1120.2655035305002</v>
      </c>
      <c r="D31" s="416">
        <v>2719.6950000000002</v>
      </c>
      <c r="E31" s="416">
        <v>0</v>
      </c>
      <c r="F31" s="416">
        <v>1677.17808862632</v>
      </c>
      <c r="G31" s="416">
        <v>2719.7446182068061</v>
      </c>
      <c r="H31" s="233">
        <f t="shared" si="4"/>
        <v>6.0813075319909871E-6</v>
      </c>
      <c r="I31" s="214"/>
      <c r="J31" s="212"/>
      <c r="K31" s="212"/>
      <c r="L31" s="212"/>
      <c r="M31" s="212"/>
      <c r="N31" s="212"/>
      <c r="O31" s="5"/>
      <c r="Q31" s="5"/>
      <c r="S31" s="72"/>
      <c r="T31" s="26"/>
      <c r="U31" s="26"/>
      <c r="V31" s="113" t="s">
        <v>390</v>
      </c>
      <c r="W31" s="242">
        <f t="shared" si="6"/>
        <v>-172.69394470462515</v>
      </c>
      <c r="X31" s="242">
        <v>1</v>
      </c>
    </row>
    <row r="32" spans="2:24">
      <c r="B32" s="5" t="s">
        <v>506</v>
      </c>
      <c r="C32" s="424">
        <v>0</v>
      </c>
      <c r="D32" s="416">
        <v>0</v>
      </c>
      <c r="E32" s="416">
        <v>0</v>
      </c>
      <c r="F32" s="416">
        <v>0</v>
      </c>
      <c r="G32" s="416">
        <v>0</v>
      </c>
      <c r="H32" s="233" t="str">
        <f t="shared" si="4"/>
        <v>nm</v>
      </c>
      <c r="I32" s="214"/>
      <c r="J32" s="214"/>
      <c r="K32" s="214"/>
      <c r="L32" s="214"/>
      <c r="M32" s="214"/>
      <c r="N32" s="214"/>
      <c r="O32" s="211"/>
      <c r="Q32" s="5"/>
      <c r="S32" s="72"/>
      <c r="T32" s="26"/>
      <c r="U32" s="26"/>
      <c r="V32" s="113" t="s">
        <v>437</v>
      </c>
      <c r="W32" s="242">
        <f t="shared" si="6"/>
        <v>5.1141955344016008</v>
      </c>
      <c r="X32" s="242">
        <v>1</v>
      </c>
    </row>
    <row r="33" spans="2:24">
      <c r="B33" s="5" t="s">
        <v>3</v>
      </c>
      <c r="C33" s="423">
        <v>-3032.5460000000003</v>
      </c>
      <c r="D33" s="416">
        <v>-3808.741764531238</v>
      </c>
      <c r="E33" s="416">
        <v>-4213.2010487903253</v>
      </c>
      <c r="F33" s="416">
        <v>-4045.737668540442</v>
      </c>
      <c r="G33" s="416">
        <v>-3855.104388475298</v>
      </c>
      <c r="H33" s="233">
        <f t="shared" si="4"/>
        <v>4.0412091879842293E-3</v>
      </c>
      <c r="I33" s="5"/>
      <c r="J33" s="214"/>
      <c r="K33" s="214"/>
      <c r="L33" s="214"/>
      <c r="M33" s="214"/>
      <c r="N33" s="214"/>
      <c r="O33" s="211"/>
      <c r="Q33" s="5"/>
      <c r="S33" s="72"/>
      <c r="T33" s="26"/>
      <c r="U33" s="26"/>
      <c r="V33" s="113" t="s">
        <v>481</v>
      </c>
      <c r="W33" s="242">
        <f t="shared" si="6"/>
        <v>1.2139330330762681</v>
      </c>
      <c r="X33" s="242">
        <v>1</v>
      </c>
    </row>
    <row r="34" spans="2:24">
      <c r="H34" s="231"/>
      <c r="I34" s="33"/>
      <c r="J34" s="214"/>
      <c r="K34" s="214"/>
      <c r="L34" s="214"/>
      <c r="M34" s="214"/>
      <c r="N34" s="214"/>
      <c r="O34" s="211"/>
      <c r="Q34" s="5"/>
      <c r="S34" s="72"/>
      <c r="T34" s="26"/>
      <c r="U34" s="26"/>
      <c r="V34" s="113" t="s">
        <v>482</v>
      </c>
      <c r="W34" s="242">
        <f>D47/L19</f>
        <v>-5.790590988644072E-3</v>
      </c>
      <c r="X34" s="242">
        <v>1</v>
      </c>
    </row>
    <row r="35" spans="2:24" ht="12.6" thickBot="1">
      <c r="B35" s="249" t="s">
        <v>194</v>
      </c>
      <c r="C35" s="219"/>
      <c r="D35" s="219" t="str">
        <f>D5</f>
        <v>2025E</v>
      </c>
      <c r="E35" s="219" t="str">
        <f t="shared" ref="E35:H35" si="7">E5</f>
        <v>2026E</v>
      </c>
      <c r="F35" s="219" t="str">
        <f t="shared" si="7"/>
        <v>2027E</v>
      </c>
      <c r="G35" s="219" t="str">
        <f t="shared" si="7"/>
        <v>2028E</v>
      </c>
      <c r="H35" s="219" t="str">
        <f t="shared" si="7"/>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 t="shared" ref="D37:G41" si="8">D$18/D23</f>
        <v>2.7533083928120536</v>
      </c>
      <c r="E37" s="406">
        <f t="shared" si="8"/>
        <v>2.4143218800034854</v>
      </c>
      <c r="F37" s="406">
        <f t="shared" si="8"/>
        <v>2.2253888473569305</v>
      </c>
      <c r="G37" s="406">
        <f t="shared" si="8"/>
        <v>2.0121455777268111</v>
      </c>
      <c r="H37" s="13">
        <f t="shared" ref="H37:H45" si="9">H23</f>
        <v>6.6274680322998991E-2</v>
      </c>
      <c r="I37" s="5"/>
      <c r="J37" s="217"/>
      <c r="K37" s="217"/>
      <c r="L37" s="217"/>
      <c r="M37" s="217"/>
      <c r="N37" s="217"/>
      <c r="O37" s="14"/>
      <c r="Q37" s="5"/>
      <c r="R37" s="5"/>
      <c r="S37" s="26"/>
      <c r="T37" s="26"/>
      <c r="U37" s="26"/>
      <c r="V37" s="26"/>
      <c r="W37" s="26"/>
      <c r="X37" s="26"/>
    </row>
    <row r="38" spans="2:24">
      <c r="B38" s="5" t="s">
        <v>158</v>
      </c>
      <c r="C38" s="207"/>
      <c r="D38" s="406">
        <f t="shared" si="8"/>
        <v>6.3050308431901234</v>
      </c>
      <c r="E38" s="406">
        <f t="shared" si="8"/>
        <v>5.1826154615127749</v>
      </c>
      <c r="F38" s="406">
        <f t="shared" si="8"/>
        <v>4.5249854616513678</v>
      </c>
      <c r="G38" s="406">
        <f t="shared" si="8"/>
        <v>3.8919643669764237</v>
      </c>
      <c r="H38" s="13">
        <f t="shared" si="9"/>
        <v>0.1280025027504621</v>
      </c>
      <c r="I38" s="217"/>
      <c r="J38" s="13"/>
      <c r="K38" s="13"/>
      <c r="L38" s="13"/>
      <c r="M38" s="13"/>
      <c r="N38" s="13"/>
      <c r="O38" s="5"/>
      <c r="Q38" s="5"/>
      <c r="R38" s="5"/>
      <c r="S38" s="26"/>
      <c r="T38" s="26"/>
      <c r="U38" s="26"/>
      <c r="V38" s="26"/>
      <c r="W38" s="26"/>
      <c r="X38" s="26"/>
    </row>
    <row r="39" spans="2:24">
      <c r="B39" s="5" t="s">
        <v>159</v>
      </c>
      <c r="C39" s="207"/>
      <c r="D39" s="406">
        <f t="shared" si="8"/>
        <v>13.998613396191958</v>
      </c>
      <c r="E39" s="406">
        <f t="shared" si="8"/>
        <v>9.820300974651742</v>
      </c>
      <c r="F39" s="406">
        <f t="shared" si="8"/>
        <v>7.8970443819407761</v>
      </c>
      <c r="G39" s="406">
        <f t="shared" si="8"/>
        <v>6.3474623903053979</v>
      </c>
      <c r="H39" s="13">
        <f t="shared" si="9"/>
        <v>0.25015991906699364</v>
      </c>
      <c r="I39" s="13"/>
      <c r="J39" s="5"/>
      <c r="K39" s="5"/>
      <c r="L39" s="5"/>
      <c r="M39" s="5"/>
      <c r="N39" s="5"/>
      <c r="O39" s="5"/>
      <c r="Q39" s="5"/>
      <c r="R39" s="5"/>
      <c r="S39" s="26"/>
      <c r="T39" s="26"/>
      <c r="U39" s="26"/>
      <c r="V39" s="26"/>
      <c r="W39" s="26"/>
      <c r="X39" s="26"/>
    </row>
    <row r="40" spans="2:24">
      <c r="B40" s="5" t="s">
        <v>381</v>
      </c>
      <c r="C40" s="207"/>
      <c r="D40" s="406">
        <f t="shared" si="8"/>
        <v>17.946940251528151</v>
      </c>
      <c r="E40" s="406">
        <f t="shared" si="8"/>
        <v>12.590129454681719</v>
      </c>
      <c r="F40" s="406">
        <f t="shared" si="8"/>
        <v>10.124415874283047</v>
      </c>
      <c r="G40" s="406">
        <f t="shared" si="8"/>
        <v>8.1377722952633302</v>
      </c>
      <c r="H40" s="13">
        <f t="shared" si="9"/>
        <v>0.25015991906699364</v>
      </c>
      <c r="I40" s="5"/>
      <c r="J40" s="217"/>
      <c r="K40" s="217"/>
      <c r="L40" s="217"/>
      <c r="M40" s="217"/>
      <c r="N40" s="217"/>
      <c r="O40" s="14"/>
      <c r="Q40" s="5"/>
      <c r="R40" s="5"/>
      <c r="S40" s="26"/>
      <c r="T40" s="26"/>
      <c r="U40" s="26"/>
      <c r="V40" s="26"/>
      <c r="W40" s="242"/>
      <c r="X40" s="242"/>
    </row>
    <row r="41" spans="2:24">
      <c r="B41" s="5" t="s">
        <v>434</v>
      </c>
      <c r="C41" s="207"/>
      <c r="D41" s="406">
        <f t="shared" si="8"/>
        <v>1.3753349367350529</v>
      </c>
      <c r="E41" s="406">
        <f t="shared" si="8"/>
        <v>1.3656706095496121</v>
      </c>
      <c r="F41" s="406">
        <f t="shared" si="8"/>
        <v>1.3294485459318448</v>
      </c>
      <c r="G41" s="406">
        <f t="shared" si="8"/>
        <v>1.2660399383781538</v>
      </c>
      <c r="H41" s="13">
        <f t="shared" si="9"/>
        <v>-1.2680685653194024E-2</v>
      </c>
      <c r="I41" s="207"/>
      <c r="J41" s="13"/>
      <c r="K41" s="13"/>
      <c r="L41" s="13"/>
      <c r="M41" s="13"/>
      <c r="N41" s="13"/>
      <c r="O41" s="5"/>
      <c r="Q41" s="5"/>
      <c r="R41" s="5"/>
      <c r="S41" s="26"/>
      <c r="T41" s="26"/>
      <c r="U41" s="26"/>
      <c r="V41" s="26"/>
      <c r="W41" s="242"/>
      <c r="X41" s="242"/>
    </row>
    <row r="42" spans="2:24">
      <c r="B42" s="5" t="s">
        <v>493</v>
      </c>
      <c r="C42" s="207"/>
      <c r="D42" s="406">
        <f>D18/D28</f>
        <v>2.0130973461537067</v>
      </c>
      <c r="E42" s="406">
        <f>E18/E28</f>
        <v>1.9867785271591014</v>
      </c>
      <c r="F42" s="406">
        <f>F18/F28</f>
        <v>1.9297711787595393</v>
      </c>
      <c r="G42" s="406">
        <f>G18/G28</f>
        <v>1.8373873519296784</v>
      </c>
      <c r="H42" s="13">
        <f t="shared" si="9"/>
        <v>-9.8705887501655543E-3</v>
      </c>
      <c r="I42" s="208"/>
      <c r="J42" s="5"/>
      <c r="K42" s="5"/>
      <c r="L42" s="5"/>
      <c r="M42" s="5"/>
      <c r="N42" s="5"/>
      <c r="O42" s="5"/>
      <c r="Q42" s="5"/>
      <c r="R42" s="5"/>
      <c r="S42" s="26"/>
      <c r="T42" s="26"/>
      <c r="U42" s="26"/>
      <c r="V42" s="26"/>
      <c r="W42" s="242"/>
      <c r="X42" s="242"/>
    </row>
    <row r="43" spans="2:24">
      <c r="B43" s="5" t="s">
        <v>390</v>
      </c>
      <c r="C43" s="207"/>
      <c r="D43" s="406">
        <f>L26/D29</f>
        <v>-2778.5332690390255</v>
      </c>
      <c r="E43" s="406">
        <f>M26/E29</f>
        <v>1135.784433141627</v>
      </c>
      <c r="F43" s="406">
        <f>N26/F29</f>
        <v>35.459290732696502</v>
      </c>
      <c r="G43" s="406">
        <f>O26/G29</f>
        <v>16.359714115404234</v>
      </c>
      <c r="H43" s="13">
        <f t="shared" si="9"/>
        <v>-6.5379193963432085</v>
      </c>
      <c r="I43" s="207"/>
      <c r="J43" s="207"/>
      <c r="K43" s="207"/>
      <c r="L43" s="207"/>
      <c r="M43" s="207"/>
      <c r="N43" s="207"/>
      <c r="O43" s="14"/>
      <c r="Q43" s="5"/>
      <c r="R43" s="5"/>
      <c r="S43" s="26"/>
      <c r="T43" s="26"/>
      <c r="U43" s="26"/>
      <c r="V43" s="26"/>
      <c r="W43" s="242"/>
      <c r="X43" s="242"/>
    </row>
    <row r="44" spans="2:24">
      <c r="B44" s="5" t="s">
        <v>437</v>
      </c>
      <c r="C44" s="53"/>
      <c r="D44" s="406">
        <f>D11/D30</f>
        <v>88.247552552629458</v>
      </c>
      <c r="E44" s="406">
        <f>E11/E30</f>
        <v>22.35358224694108</v>
      </c>
      <c r="F44" s="406">
        <f>F11/F30</f>
        <v>12.794296530850922</v>
      </c>
      <c r="G44" s="406">
        <f>G11/G30</f>
        <v>9.6539119240215037</v>
      </c>
      <c r="H44" s="13">
        <f t="shared" si="9"/>
        <v>1.090899276893369</v>
      </c>
      <c r="I44" s="207"/>
      <c r="J44" s="208"/>
      <c r="K44" s="208"/>
      <c r="L44" s="208"/>
      <c r="M44" s="208"/>
      <c r="N44" s="208"/>
      <c r="O44" s="208"/>
      <c r="Q44" s="5"/>
      <c r="R44" s="5"/>
      <c r="S44" s="26"/>
      <c r="T44" s="26"/>
      <c r="U44" s="26"/>
      <c r="V44" s="26"/>
      <c r="W44" s="255"/>
      <c r="X44" s="255"/>
    </row>
    <row r="45" spans="2:24">
      <c r="B45" s="5" t="s">
        <v>481</v>
      </c>
      <c r="C45" s="207"/>
      <c r="D45" s="208">
        <f>D31/D11</f>
        <v>5.1791530944625415E-2</v>
      </c>
      <c r="E45" s="208">
        <f>E31/E11</f>
        <v>0</v>
      </c>
      <c r="F45" s="208">
        <f>F31/F11</f>
        <v>3.1938736099723593E-2</v>
      </c>
      <c r="G45" s="208">
        <f>G31/G11</f>
        <v>5.1792475831053196E-2</v>
      </c>
      <c r="H45" s="13">
        <f t="shared" si="9"/>
        <v>6.0813075319909871E-6</v>
      </c>
      <c r="I45" s="208"/>
      <c r="J45" s="207"/>
      <c r="K45" s="207"/>
      <c r="L45" s="207"/>
      <c r="M45" s="207"/>
      <c r="N45" s="207"/>
      <c r="O45" s="208"/>
      <c r="Q45" s="5"/>
      <c r="R45" s="5"/>
      <c r="S45" s="26"/>
      <c r="T45" s="26"/>
      <c r="U45" s="26"/>
      <c r="V45" s="26"/>
      <c r="W45" s="26"/>
      <c r="X45" s="26"/>
    </row>
    <row r="46" spans="2:24">
      <c r="B46" s="5" t="s">
        <v>505</v>
      </c>
      <c r="C46" s="207"/>
      <c r="D46" s="208">
        <f>(D31+D32)/D11</f>
        <v>5.1791530944625415E-2</v>
      </c>
      <c r="E46" s="208">
        <f>(E31+E32)/E11</f>
        <v>0</v>
      </c>
      <c r="F46" s="208">
        <f>(F31+F32)/F11</f>
        <v>3.1938736099723593E-2</v>
      </c>
      <c r="G46" s="208">
        <f>(G31+G32)/G11</f>
        <v>5.1792475831053196E-2</v>
      </c>
      <c r="H46" s="233">
        <f>((G31+G32)/(D31+D32))^(1/3)-1</f>
        <v>6.0813075319909871E-6</v>
      </c>
      <c r="I46" s="207"/>
      <c r="J46" s="207"/>
      <c r="K46" s="207"/>
      <c r="L46" s="207"/>
      <c r="M46" s="207"/>
      <c r="N46" s="207"/>
      <c r="O46" s="14"/>
      <c r="Q46" s="5"/>
      <c r="R46" s="5"/>
      <c r="S46" s="26"/>
      <c r="T46" s="26"/>
      <c r="U46" s="26"/>
      <c r="V46" s="26"/>
      <c r="W46" s="26"/>
      <c r="X46" s="26"/>
    </row>
    <row r="47" spans="2:24">
      <c r="B47" s="5" t="s">
        <v>482</v>
      </c>
      <c r="C47" s="5"/>
      <c r="D47" s="208">
        <f>1/D43</f>
        <v>-3.5990211495500889E-4</v>
      </c>
      <c r="E47" s="208">
        <f>1/E43</f>
        <v>8.8044876370946409E-4</v>
      </c>
      <c r="F47" s="208">
        <f>1/F43</f>
        <v>2.8201353702709975E-2</v>
      </c>
      <c r="G47" s="208">
        <f>1/G43</f>
        <v>6.1125762525300151E-2</v>
      </c>
      <c r="H47" s="13">
        <f>H29</f>
        <v>-6.5379193963432085</v>
      </c>
      <c r="I47" s="13"/>
      <c r="J47" s="208"/>
      <c r="K47" s="208"/>
      <c r="L47" s="208"/>
      <c r="M47" s="208"/>
      <c r="N47" s="208"/>
      <c r="O47" s="208"/>
      <c r="Q47" s="5"/>
      <c r="R47" s="5"/>
      <c r="S47" s="26"/>
      <c r="T47" s="26"/>
      <c r="U47" s="26"/>
      <c r="V47" s="26"/>
      <c r="W47" s="26"/>
      <c r="X47" s="26"/>
    </row>
    <row r="48" spans="2:24">
      <c r="B48" s="5" t="s">
        <v>518</v>
      </c>
      <c r="C48" s="5"/>
      <c r="D48" s="248">
        <f>D31/D29</f>
        <v>-143.90449178410591</v>
      </c>
      <c r="E48" s="248">
        <f>E31/E29</f>
        <v>0</v>
      </c>
      <c r="F48" s="248">
        <f>F31/F29</f>
        <v>1.1325249289949679</v>
      </c>
      <c r="G48" s="248">
        <f>G31/G29</f>
        <v>0.84731009792501355</v>
      </c>
      <c r="H48" s="233" t="s">
        <v>507</v>
      </c>
      <c r="I48" s="207"/>
      <c r="J48" s="207"/>
      <c r="K48" s="207"/>
      <c r="L48" s="207"/>
      <c r="M48" s="207"/>
      <c r="N48" s="207"/>
      <c r="O48" s="208"/>
      <c r="Q48" s="5"/>
      <c r="R48" s="5"/>
      <c r="S48" s="26"/>
      <c r="T48" s="26"/>
      <c r="U48" s="26"/>
      <c r="V48" s="26"/>
      <c r="W48" s="26"/>
      <c r="X48" s="26"/>
    </row>
  </sheetData>
  <phoneticPr fontId="7" type="noConversion"/>
  <pageMargins left="0.75" right="0.75" top="1" bottom="1" header="0.5" footer="0.5"/>
  <pageSetup scale="71"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4">
    <pageSetUpPr fitToPage="1"/>
  </sheetPr>
  <dimension ref="B1:S69"/>
  <sheetViews>
    <sheetView showGridLines="0" zoomScale="80" zoomScaleNormal="80" workbookViewId="0"/>
  </sheetViews>
  <sheetFormatPr defaultColWidth="8.88671875" defaultRowHeight="12"/>
  <cols>
    <col min="1" max="1" width="2.33203125" style="23" customWidth="1"/>
    <col min="2" max="2" width="31.109375" style="23" customWidth="1"/>
    <col min="3" max="11" width="10" style="23" customWidth="1"/>
    <col min="12" max="12" width="10" style="134" customWidth="1"/>
    <col min="13" max="19" width="9.109375" style="199" customWidth="1"/>
    <col min="20" max="16384" width="8.88671875" style="23"/>
  </cols>
  <sheetData>
    <row r="1" spans="2:11" s="64" customFormat="1"/>
    <row r="2" spans="2:11" s="64" customFormat="1"/>
    <row r="3" spans="2:11" s="64" customFormat="1">
      <c r="C3" s="263"/>
      <c r="D3" s="263"/>
      <c r="E3" s="263"/>
      <c r="F3" s="263"/>
      <c r="G3" s="263"/>
      <c r="H3" s="265"/>
      <c r="I3" s="263"/>
      <c r="J3" s="263"/>
      <c r="K3" s="263"/>
    </row>
    <row r="4" spans="2:11" s="138" customFormat="1" ht="21">
      <c r="B4" s="266" t="s">
        <v>1141</v>
      </c>
      <c r="C4" s="267"/>
      <c r="D4" s="267"/>
      <c r="E4" s="267"/>
      <c r="F4" s="267"/>
      <c r="G4" s="267"/>
      <c r="H4" s="268"/>
      <c r="I4" s="267"/>
      <c r="J4" s="267"/>
      <c r="K4" s="267"/>
    </row>
    <row r="5" spans="2:11" s="64" customFormat="1">
      <c r="C5" s="265"/>
      <c r="D5" s="265"/>
      <c r="E5" s="265"/>
      <c r="F5" s="265"/>
      <c r="G5" s="265"/>
      <c r="H5" s="265"/>
      <c r="I5" s="265"/>
      <c r="J5" s="265"/>
      <c r="K5" s="265"/>
    </row>
    <row r="6" spans="2:11">
      <c r="B6" s="5"/>
      <c r="I6" s="5"/>
      <c r="J6" s="5"/>
      <c r="K6" s="5"/>
    </row>
    <row r="7" spans="2:11" ht="12.6" thickBot="1">
      <c r="B7" s="270" t="s">
        <v>219</v>
      </c>
      <c r="C7" s="262"/>
      <c r="D7" s="262"/>
      <c r="E7" s="262"/>
      <c r="F7" s="262"/>
      <c r="G7" s="262"/>
      <c r="H7" s="262"/>
      <c r="I7" s="262"/>
      <c r="J7" s="262"/>
      <c r="K7" s="262"/>
    </row>
    <row r="8" spans="2:11">
      <c r="B8" s="271"/>
      <c r="K8" s="231" t="s">
        <v>380</v>
      </c>
    </row>
    <row r="9" spans="2:11" ht="12.6" thickBot="1">
      <c r="B9" s="249" t="s">
        <v>223</v>
      </c>
      <c r="C9" s="219"/>
      <c r="D9" s="219"/>
      <c r="E9" s="219"/>
      <c r="F9" s="219"/>
      <c r="G9" s="219" t="str">
        <f>ADVANCED!D5</f>
        <v>2025E</v>
      </c>
      <c r="H9" s="219" t="str">
        <f>ADVANCED!E5</f>
        <v>2026E</v>
      </c>
      <c r="I9" s="219" t="str">
        <f>ADVANCED!F5</f>
        <v>2027E</v>
      </c>
      <c r="J9" s="219" t="str">
        <f>ADVANCED!G5</f>
        <v>2028E</v>
      </c>
      <c r="K9" s="219" t="str">
        <f>ADVANCED!H5</f>
        <v>2025-28</v>
      </c>
    </row>
    <row r="10" spans="2:11" ht="12.6" thickTop="1">
      <c r="B10" s="5"/>
      <c r="F10" s="5"/>
      <c r="G10" s="5"/>
      <c r="H10" s="5"/>
      <c r="I10" s="5"/>
      <c r="J10" s="5"/>
      <c r="K10" s="5"/>
    </row>
    <row r="11" spans="2:11">
      <c r="B11" s="25" t="s">
        <v>1103</v>
      </c>
      <c r="C11" s="221">
        <f>Prices!C26</f>
        <v>11.97</v>
      </c>
      <c r="G11" s="5"/>
      <c r="H11" s="209"/>
      <c r="I11" s="209"/>
      <c r="J11" s="209"/>
      <c r="K11" s="209"/>
    </row>
    <row r="12" spans="2:11">
      <c r="B12" s="5" t="s">
        <v>226</v>
      </c>
      <c r="F12" s="5"/>
      <c r="G12" s="258">
        <f>SUM(LBTY!D9:D10)</f>
        <v>334.803</v>
      </c>
      <c r="H12" s="258">
        <f>SUM(LBTY!E9:E10)</f>
        <v>338.29684199999997</v>
      </c>
      <c r="I12" s="258">
        <f>SUM(LBTY!F9:F10)</f>
        <v>341.79068399999994</v>
      </c>
      <c r="J12" s="258">
        <f>SUM(LBTY!G9:G10)</f>
        <v>345.28452599999991</v>
      </c>
      <c r="K12" s="207"/>
    </row>
    <row r="13" spans="2:11">
      <c r="B13" s="25" t="s">
        <v>227</v>
      </c>
      <c r="F13" s="5"/>
      <c r="G13" s="225">
        <f>$C$11*G12</f>
        <v>4007.5919100000001</v>
      </c>
      <c r="H13" s="225">
        <f t="shared" ref="H13:J13" si="0">$C$11*H12</f>
        <v>4049.4131987399996</v>
      </c>
      <c r="I13" s="225">
        <f t="shared" si="0"/>
        <v>4091.2344874799996</v>
      </c>
      <c r="J13" s="225">
        <f t="shared" si="0"/>
        <v>4133.0557762199996</v>
      </c>
      <c r="K13" s="209"/>
    </row>
    <row r="14" spans="2:11">
      <c r="B14" s="5" t="s">
        <v>632</v>
      </c>
      <c r="F14" s="209"/>
      <c r="G14" s="253">
        <v>27947.286825032352</v>
      </c>
      <c r="H14" s="253">
        <v>22413.780865660265</v>
      </c>
      <c r="I14" s="253">
        <v>22677.385140496408</v>
      </c>
      <c r="J14" s="253">
        <v>23033.795686435595</v>
      </c>
      <c r="K14" s="207"/>
    </row>
    <row r="15" spans="2:11">
      <c r="B15" s="5" t="s">
        <v>433</v>
      </c>
      <c r="F15" s="216"/>
      <c r="G15" s="253">
        <v>0</v>
      </c>
      <c r="H15" s="253">
        <v>0</v>
      </c>
      <c r="I15" s="253">
        <v>0</v>
      </c>
      <c r="J15" s="253">
        <v>0</v>
      </c>
      <c r="K15" s="207"/>
    </row>
    <row r="16" spans="2:11">
      <c r="B16" s="5" t="s">
        <v>436</v>
      </c>
      <c r="F16" s="216"/>
      <c r="G16" s="253">
        <v>2593.8000000000002</v>
      </c>
      <c r="H16" s="253">
        <v>2593.8000000000002</v>
      </c>
      <c r="I16" s="253">
        <v>2593.8000000000002</v>
      </c>
      <c r="J16" s="253">
        <v>2593.8000000000002</v>
      </c>
      <c r="K16" s="207"/>
    </row>
    <row r="17" spans="2:11">
      <c r="B17" s="5" t="s">
        <v>435</v>
      </c>
      <c r="F17" s="228"/>
      <c r="G17" s="253">
        <v>0</v>
      </c>
      <c r="H17" s="253">
        <v>0</v>
      </c>
      <c r="I17" s="253">
        <v>0</v>
      </c>
      <c r="J17" s="253">
        <v>0</v>
      </c>
      <c r="K17" s="207"/>
    </row>
    <row r="18" spans="2:11">
      <c r="B18" s="5" t="s">
        <v>438</v>
      </c>
      <c r="F18" s="216"/>
      <c r="G18" s="253">
        <v>0</v>
      </c>
      <c r="H18" s="253">
        <v>0</v>
      </c>
      <c r="I18" s="253">
        <v>0</v>
      </c>
      <c r="J18" s="253">
        <v>0</v>
      </c>
      <c r="K18" s="207"/>
    </row>
    <row r="19" spans="2:11">
      <c r="B19" s="5" t="s">
        <v>4</v>
      </c>
      <c r="F19" s="216"/>
      <c r="G19" s="253">
        <v>146.80063999999999</v>
      </c>
      <c r="H19" s="253">
        <v>146.80063999999999</v>
      </c>
      <c r="I19" s="253">
        <v>146.80063999999999</v>
      </c>
      <c r="J19" s="253">
        <v>146.80063999999999</v>
      </c>
      <c r="K19" s="207"/>
    </row>
    <row r="20" spans="2:11" ht="12.6" thickBot="1">
      <c r="B20" s="25" t="s">
        <v>484</v>
      </c>
      <c r="F20" s="209"/>
      <c r="G20" s="229">
        <f>G13+G14+G15-G16+G17-G18-G19</f>
        <v>29214.27809503235</v>
      </c>
      <c r="H20" s="229">
        <f t="shared" ref="H20:J20" si="1">H13+H14+H15-H16+H17-H18-H19</f>
        <v>23722.593424400264</v>
      </c>
      <c r="I20" s="229">
        <f t="shared" si="1"/>
        <v>24028.018987976408</v>
      </c>
      <c r="J20" s="229">
        <f t="shared" si="1"/>
        <v>24426.250822655595</v>
      </c>
      <c r="K20" s="230">
        <f>IF(G20=0,"nm",IF(J20=0,"nm",(J20/G20)^(1/3)-1))</f>
        <v>-5.7921228247112544E-2</v>
      </c>
    </row>
    <row r="21" spans="2:11" ht="12.6" thickTop="1">
      <c r="I21" s="5"/>
      <c r="J21" s="5"/>
      <c r="K21" s="5"/>
    </row>
    <row r="22" spans="2:11">
      <c r="I22" s="5"/>
      <c r="J22" s="5"/>
      <c r="K22" s="5"/>
    </row>
    <row r="23" spans="2:11">
      <c r="K23" s="231" t="s">
        <v>380</v>
      </c>
    </row>
    <row r="24" spans="2:11" ht="12.6" thickBot="1">
      <c r="B24" s="249" t="s">
        <v>349</v>
      </c>
      <c r="C24" s="219"/>
      <c r="D24" s="219"/>
      <c r="E24" s="219"/>
      <c r="F24" s="219"/>
      <c r="G24" s="219" t="str">
        <f>ADVANCED!D5</f>
        <v>2025E</v>
      </c>
      <c r="H24" s="219" t="str">
        <f>ADVANCED!E5</f>
        <v>2026E</v>
      </c>
      <c r="I24" s="219" t="str">
        <f>ADVANCED!F5</f>
        <v>2027E</v>
      </c>
      <c r="J24" s="219" t="str">
        <f>ADVANCED!G5</f>
        <v>2028E</v>
      </c>
      <c r="K24" s="219" t="str">
        <f>ADVANCED!H5</f>
        <v>2025-28</v>
      </c>
    </row>
    <row r="25" spans="2:11" ht="12.6" thickTop="1">
      <c r="B25" s="5"/>
      <c r="C25" s="216"/>
      <c r="G25" s="13"/>
      <c r="H25" s="13"/>
      <c r="I25" s="13"/>
      <c r="J25" s="13"/>
      <c r="K25" s="13"/>
    </row>
    <row r="26" spans="2:11">
      <c r="B26" s="5" t="s">
        <v>397</v>
      </c>
      <c r="C26" s="207"/>
      <c r="F26" s="80">
        <v>5414.0887971297061</v>
      </c>
      <c r="G26" s="253">
        <v>5109.0470046402443</v>
      </c>
      <c r="H26" s="253">
        <v>5402.9310664360855</v>
      </c>
      <c r="I26" s="253">
        <v>4203.1922504296308</v>
      </c>
      <c r="J26" s="253">
        <v>4275.8083565428678</v>
      </c>
      <c r="K26" s="233">
        <f>IF(G26=0,"nm",IF(J26=0,"nm",(J26/G26)^(1/3)-1))</f>
        <v>-5.7619890288270637E-2</v>
      </c>
    </row>
    <row r="27" spans="2:11">
      <c r="B27" s="5" t="s">
        <v>157</v>
      </c>
      <c r="C27" s="207"/>
      <c r="F27" s="80">
        <v>1934.0867747100001</v>
      </c>
      <c r="G27" s="253">
        <v>1690.8368839324999</v>
      </c>
      <c r="H27" s="253">
        <v>1553.1294548663677</v>
      </c>
      <c r="I27" s="253">
        <v>1153.2491614425126</v>
      </c>
      <c r="J27" s="253">
        <v>1253.94317791819</v>
      </c>
      <c r="K27" s="233">
        <f>IF(G27=0,"nm",IF(J27=0,"nm",(J27/G27)^(1/3)-1))</f>
        <v>-9.4839942508266328E-2</v>
      </c>
    </row>
    <row r="28" spans="2:11">
      <c r="B28" s="5" t="s">
        <v>487</v>
      </c>
      <c r="C28" s="207"/>
      <c r="F28" s="80">
        <v>1566.6102875151003</v>
      </c>
      <c r="G28" s="253">
        <v>1352.6695071459999</v>
      </c>
      <c r="H28" s="253">
        <v>1242.5035638930942</v>
      </c>
      <c r="I28" s="253">
        <v>922.59932915401009</v>
      </c>
      <c r="J28" s="253">
        <v>1003.154542334552</v>
      </c>
      <c r="K28" s="233">
        <f>IF(G28=0,"nm",IF(J28=0,"nm",(J28/G28)^(1/3)-1))</f>
        <v>-9.4839942508266217E-2</v>
      </c>
    </row>
    <row r="29" spans="2:11">
      <c r="B29" s="5"/>
      <c r="C29" s="207"/>
      <c r="G29" s="233"/>
      <c r="H29" s="233"/>
      <c r="I29" s="233"/>
      <c r="J29" s="233"/>
      <c r="K29" s="233"/>
    </row>
    <row r="30" spans="2:11">
      <c r="B30" s="5"/>
      <c r="C30" s="207"/>
      <c r="G30" s="13"/>
      <c r="H30" s="13"/>
      <c r="I30" s="13"/>
      <c r="J30" s="13"/>
      <c r="K30" s="231" t="s">
        <v>380</v>
      </c>
    </row>
    <row r="31" spans="2:11" ht="12.6" thickBot="1">
      <c r="B31" s="249" t="s">
        <v>350</v>
      </c>
      <c r="C31" s="219"/>
      <c r="D31" s="219"/>
      <c r="E31" s="219"/>
      <c r="F31" s="219"/>
      <c r="G31" s="219" t="str">
        <f>ADVANCED!D5</f>
        <v>2025E</v>
      </c>
      <c r="H31" s="219" t="str">
        <f>ADVANCED!E5</f>
        <v>2026E</v>
      </c>
      <c r="I31" s="219" t="str">
        <f>ADVANCED!F5</f>
        <v>2027E</v>
      </c>
      <c r="J31" s="219" t="str">
        <f>ADVANCED!G5</f>
        <v>2028E</v>
      </c>
      <c r="K31" s="219" t="str">
        <f>ADVANCED!H5</f>
        <v>2025-28</v>
      </c>
    </row>
    <row r="32" spans="2:11" ht="12.6" thickTop="1">
      <c r="B32" s="25"/>
      <c r="C32" s="209"/>
      <c r="G32" s="214"/>
      <c r="H32" s="214"/>
      <c r="I32" s="214"/>
      <c r="J32" s="214"/>
      <c r="K32" s="214"/>
    </row>
    <row r="33" spans="2:11">
      <c r="B33" s="25" t="s">
        <v>158</v>
      </c>
      <c r="C33" s="207"/>
      <c r="G33" s="222">
        <f t="shared" ref="G33:J33" si="2">G$20/G26</f>
        <v>5.718146274344071</v>
      </c>
      <c r="H33" s="222">
        <f t="shared" si="2"/>
        <v>4.3906896335896262</v>
      </c>
      <c r="I33" s="222">
        <f t="shared" si="2"/>
        <v>5.716611935968519</v>
      </c>
      <c r="J33" s="222">
        <f t="shared" si="2"/>
        <v>5.7126626793921664</v>
      </c>
      <c r="K33" s="13">
        <f>K26</f>
        <v>-5.7619890288270637E-2</v>
      </c>
    </row>
    <row r="34" spans="2:11">
      <c r="B34" s="25" t="s">
        <v>159</v>
      </c>
      <c r="C34" s="209"/>
      <c r="G34" s="222">
        <f t="shared" ref="G34:J34" si="3">G$20/G27</f>
        <v>17.277999062267096</v>
      </c>
      <c r="H34" s="222">
        <f t="shared" si="3"/>
        <v>15.274060607163857</v>
      </c>
      <c r="I34" s="222">
        <f t="shared" si="3"/>
        <v>20.835063047365729</v>
      </c>
      <c r="J34" s="222">
        <f t="shared" si="3"/>
        <v>19.479551587982098</v>
      </c>
      <c r="K34" s="13">
        <f>K27</f>
        <v>-9.4839942508266328E-2</v>
      </c>
    </row>
    <row r="35" spans="2:11">
      <c r="B35" s="25" t="s">
        <v>381</v>
      </c>
      <c r="C35" s="207"/>
      <c r="G35" s="222">
        <f t="shared" ref="G35:J35" si="4">G$20/G28</f>
        <v>21.597498827833871</v>
      </c>
      <c r="H35" s="222">
        <f t="shared" si="4"/>
        <v>19.092575758954823</v>
      </c>
      <c r="I35" s="222">
        <f t="shared" si="4"/>
        <v>26.043828809207159</v>
      </c>
      <c r="J35" s="222">
        <f t="shared" si="4"/>
        <v>24.349439484977619</v>
      </c>
      <c r="K35" s="13">
        <f>K28</f>
        <v>-9.4839942508266217E-2</v>
      </c>
    </row>
    <row r="36" spans="2:11">
      <c r="B36" s="25"/>
      <c r="C36" s="5"/>
      <c r="G36" s="210"/>
      <c r="H36" s="210"/>
      <c r="I36" s="210"/>
      <c r="J36" s="210"/>
      <c r="K36" s="13"/>
    </row>
    <row r="37" spans="2:11">
      <c r="B37" s="25"/>
      <c r="C37" s="5"/>
      <c r="G37" s="210"/>
      <c r="H37" s="257"/>
      <c r="I37" s="210"/>
      <c r="J37" s="210"/>
      <c r="K37" s="13"/>
    </row>
    <row r="38" spans="2:11">
      <c r="B38" s="5"/>
      <c r="C38" s="5"/>
      <c r="D38" s="5"/>
      <c r="E38" s="5"/>
      <c r="F38" s="5"/>
      <c r="G38" s="214"/>
      <c r="H38" s="214"/>
      <c r="I38" s="214"/>
      <c r="J38" s="214"/>
      <c r="K38" s="5"/>
    </row>
    <row r="39" spans="2:11">
      <c r="B39" s="25"/>
      <c r="C39" s="209"/>
      <c r="D39" s="209"/>
      <c r="E39" s="209"/>
      <c r="F39" s="209"/>
      <c r="G39" s="214"/>
      <c r="H39" s="214"/>
      <c r="I39" s="214"/>
      <c r="J39" s="214"/>
      <c r="K39" s="209"/>
    </row>
    <row r="40" spans="2:11">
      <c r="B40" s="5"/>
      <c r="C40" s="5"/>
      <c r="D40" s="5"/>
      <c r="E40" s="5"/>
      <c r="F40" s="5"/>
      <c r="G40" s="214"/>
      <c r="H40" s="214"/>
      <c r="I40" s="214"/>
      <c r="J40" s="214"/>
      <c r="K40" s="5"/>
    </row>
    <row r="41" spans="2:11" ht="12.6" thickBot="1">
      <c r="B41" s="270" t="s">
        <v>173</v>
      </c>
      <c r="C41" s="262"/>
      <c r="D41" s="262"/>
      <c r="E41" s="262"/>
      <c r="F41" s="262"/>
      <c r="G41" s="262"/>
      <c r="H41" s="262"/>
      <c r="I41" s="262"/>
      <c r="J41" s="262"/>
      <c r="K41" s="262"/>
    </row>
    <row r="42" spans="2:11">
      <c r="B42" s="271"/>
      <c r="K42" s="231" t="s">
        <v>380</v>
      </c>
    </row>
    <row r="43" spans="2:11" ht="12.6" thickBot="1">
      <c r="B43" s="249" t="s">
        <v>223</v>
      </c>
      <c r="C43" s="219"/>
      <c r="D43" s="219"/>
      <c r="E43" s="219"/>
      <c r="F43" s="219"/>
      <c r="G43" s="219" t="str">
        <f>ADVANCED!D5</f>
        <v>2025E</v>
      </c>
      <c r="H43" s="219" t="str">
        <f>ADVANCED!E5</f>
        <v>2026E</v>
      </c>
      <c r="I43" s="219" t="str">
        <f>ADVANCED!F5</f>
        <v>2027E</v>
      </c>
      <c r="J43" s="219" t="str">
        <f>ADVANCED!G5</f>
        <v>2028E</v>
      </c>
      <c r="K43" s="219" t="str">
        <f>ADVANCED!H5</f>
        <v>2025-28</v>
      </c>
    </row>
    <row r="44" spans="2:11" ht="12.6" thickTop="1">
      <c r="B44" s="5"/>
      <c r="F44" s="5"/>
      <c r="G44" s="5"/>
      <c r="H44" s="5"/>
      <c r="I44" s="5"/>
      <c r="J44" s="5"/>
      <c r="K44" s="5"/>
    </row>
    <row r="45" spans="2:11">
      <c r="B45" s="25" t="s">
        <v>174</v>
      </c>
      <c r="C45" s="221">
        <f>Prices!$C$61</f>
        <v>4.63</v>
      </c>
      <c r="G45" s="5">
        <v>0</v>
      </c>
      <c r="H45" s="209">
        <v>0</v>
      </c>
      <c r="I45" s="209">
        <v>0</v>
      </c>
      <c r="J45" s="209">
        <v>0</v>
      </c>
      <c r="K45" s="209">
        <v>36152.698909647115</v>
      </c>
    </row>
    <row r="46" spans="2:11">
      <c r="B46" s="5" t="s">
        <v>226</v>
      </c>
      <c r="F46" s="5"/>
      <c r="G46" s="250">
        <v>16555.546999999999</v>
      </c>
      <c r="H46" s="250">
        <v>16555.546999999999</v>
      </c>
      <c r="I46" s="250">
        <v>16555.546999999999</v>
      </c>
      <c r="J46" s="250">
        <v>16555.546999999999</v>
      </c>
      <c r="K46" s="207"/>
    </row>
    <row r="47" spans="2:11">
      <c r="B47" s="25" t="s">
        <v>227</v>
      </c>
      <c r="F47" s="5"/>
      <c r="G47" s="225">
        <f>$C$45*G46</f>
        <v>76652.182609999989</v>
      </c>
      <c r="H47" s="225">
        <f>$C$45*H46</f>
        <v>76652.182609999989</v>
      </c>
      <c r="I47" s="225">
        <f>$C$45*I46</f>
        <v>76652.182609999989</v>
      </c>
      <c r="J47" s="225">
        <f>$C$45*J46</f>
        <v>76652.182609999989</v>
      </c>
      <c r="K47" s="209"/>
    </row>
    <row r="48" spans="2:11">
      <c r="B48" s="5" t="s">
        <v>632</v>
      </c>
      <c r="F48" s="209"/>
      <c r="G48" s="251">
        <v>20940.032965407041</v>
      </c>
      <c r="H48" s="251">
        <v>18045.931711796675</v>
      </c>
      <c r="I48" s="251">
        <v>15571.932278168093</v>
      </c>
      <c r="J48" s="251">
        <v>12926.592308216448</v>
      </c>
      <c r="K48" s="207"/>
    </row>
    <row r="49" spans="2:11">
      <c r="B49" s="5" t="s">
        <v>433</v>
      </c>
      <c r="F49" s="216"/>
      <c r="G49" s="251">
        <v>0</v>
      </c>
      <c r="H49" s="251">
        <v>0</v>
      </c>
      <c r="I49" s="251">
        <v>0</v>
      </c>
      <c r="J49" s="251">
        <v>0</v>
      </c>
      <c r="K49" s="207"/>
    </row>
    <row r="50" spans="2:11">
      <c r="B50" s="5" t="s">
        <v>436</v>
      </c>
      <c r="F50" s="216"/>
      <c r="G50" s="188">
        <v>0</v>
      </c>
      <c r="H50" s="188">
        <v>0</v>
      </c>
      <c r="I50" s="188">
        <v>0</v>
      </c>
      <c r="J50" s="188">
        <v>0</v>
      </c>
      <c r="K50" s="207"/>
    </row>
    <row r="51" spans="2:11">
      <c r="B51" s="5" t="s">
        <v>435</v>
      </c>
      <c r="F51" s="228"/>
      <c r="G51" s="188">
        <v>0</v>
      </c>
      <c r="H51" s="188">
        <v>0</v>
      </c>
      <c r="I51" s="188">
        <v>0</v>
      </c>
      <c r="J51" s="188">
        <v>0</v>
      </c>
      <c r="K51" s="207"/>
    </row>
    <row r="52" spans="2:11">
      <c r="B52" s="5" t="s">
        <v>438</v>
      </c>
      <c r="F52" s="216"/>
      <c r="G52" s="251">
        <v>0</v>
      </c>
      <c r="H52" s="251">
        <v>1993.7381433939368</v>
      </c>
      <c r="I52" s="251">
        <v>4446.9844039645504</v>
      </c>
      <c r="J52" s="251">
        <v>7381.3199121186608</v>
      </c>
      <c r="K52" s="207"/>
    </row>
    <row r="53" spans="2:11">
      <c r="B53" s="5" t="s">
        <v>4</v>
      </c>
      <c r="F53" s="216"/>
      <c r="G53" s="251">
        <v>0</v>
      </c>
      <c r="H53" s="251">
        <v>0</v>
      </c>
      <c r="I53" s="251">
        <v>0</v>
      </c>
      <c r="J53" s="251">
        <v>0</v>
      </c>
      <c r="K53" s="207"/>
    </row>
    <row r="54" spans="2:11" ht="12.6" thickBot="1">
      <c r="B54" s="25" t="s">
        <v>484</v>
      </c>
      <c r="F54" s="209"/>
      <c r="G54" s="229">
        <f>G47+G48+G49-G50+G51-G52-G53</f>
        <v>97592.215575407026</v>
      </c>
      <c r="H54" s="229">
        <f>H47+H48+H49-H50+H51-H52-H53</f>
        <v>92704.37617840273</v>
      </c>
      <c r="I54" s="229">
        <f>I47+I48+I49-I50+I51-I52-I53</f>
        <v>87777.130484203532</v>
      </c>
      <c r="J54" s="229">
        <f>J47+J48+J49-J50+J51-J52-J53</f>
        <v>82197.455006097778</v>
      </c>
      <c r="K54" s="230">
        <f>IF(G54=0,"nm",IF(J54=0,"nm",(J54/G54)^(1/3)-1))</f>
        <v>-5.5617933951303322E-2</v>
      </c>
    </row>
    <row r="55" spans="2:11" ht="12.6" thickTop="1">
      <c r="I55" s="5"/>
      <c r="J55" s="5"/>
      <c r="K55" s="5"/>
    </row>
    <row r="56" spans="2:11">
      <c r="I56" s="5"/>
      <c r="J56" s="5"/>
      <c r="K56" s="5"/>
    </row>
    <row r="57" spans="2:11">
      <c r="K57" s="231" t="s">
        <v>380</v>
      </c>
    </row>
    <row r="58" spans="2:11" ht="12.6" thickBot="1">
      <c r="B58" s="249" t="s">
        <v>477</v>
      </c>
      <c r="C58" s="219"/>
      <c r="D58" s="219"/>
      <c r="E58" s="219"/>
      <c r="F58" s="219"/>
      <c r="G58" s="219" t="str">
        <f>ADVANCED!D5</f>
        <v>2025E</v>
      </c>
      <c r="H58" s="219" t="str">
        <f>ADVANCED!E5</f>
        <v>2026E</v>
      </c>
      <c r="I58" s="219" t="str">
        <f>ADVANCED!F5</f>
        <v>2027E</v>
      </c>
      <c r="J58" s="219" t="str">
        <f>ADVANCED!G5</f>
        <v>2028E</v>
      </c>
      <c r="K58" s="219" t="str">
        <f>ADVANCED!H5</f>
        <v>2025-28</v>
      </c>
    </row>
    <row r="59" spans="2:11" ht="12.6" thickTop="1">
      <c r="B59" s="5"/>
      <c r="C59" s="216"/>
      <c r="G59" s="13"/>
      <c r="H59" s="13"/>
      <c r="I59" s="13"/>
      <c r="J59" s="13"/>
      <c r="K59" s="13"/>
    </row>
    <row r="60" spans="2:11">
      <c r="B60" s="5" t="s">
        <v>397</v>
      </c>
      <c r="C60" s="207"/>
      <c r="F60" s="80">
        <v>10743.222652511426</v>
      </c>
      <c r="G60" s="253">
        <v>11365.504896144612</v>
      </c>
      <c r="H60" s="253">
        <v>12160.717457297642</v>
      </c>
      <c r="I60" s="253">
        <v>12927.705037247972</v>
      </c>
      <c r="J60" s="253">
        <v>13671.813065213368</v>
      </c>
      <c r="K60" s="233">
        <f>IF(G60=0,"nm",IF(J60=0,"nm",(J60/G60)^(1/3)-1))</f>
        <v>6.3520321580009309E-2</v>
      </c>
    </row>
    <row r="61" spans="2:11">
      <c r="B61" s="5" t="s">
        <v>157</v>
      </c>
      <c r="C61" s="207"/>
      <c r="F61" s="80">
        <v>5144.7257266621918</v>
      </c>
      <c r="G61" s="253">
        <v>5999.9668919542291</v>
      </c>
      <c r="H61" s="253">
        <v>7028.1598353357913</v>
      </c>
      <c r="I61" s="253">
        <v>7910.6603041938279</v>
      </c>
      <c r="J61" s="253">
        <v>8615.9775489313943</v>
      </c>
      <c r="K61" s="233">
        <f>IF(G61=0,"nm",IF(J61=0,"nm",(J61/G61)^(1/3)-1))</f>
        <v>0.12819776463667343</v>
      </c>
    </row>
    <row r="62" spans="2:11">
      <c r="B62" s="5" t="s">
        <v>487</v>
      </c>
      <c r="C62" s="207"/>
      <c r="F62" s="80">
        <v>4142.3070940310163</v>
      </c>
      <c r="G62" s="253">
        <v>4810.4725755495256</v>
      </c>
      <c r="H62" s="253">
        <v>5546.1786398951908</v>
      </c>
      <c r="I62" s="253">
        <v>6211.6242865899558</v>
      </c>
      <c r="J62" s="253">
        <v>7150.4301366448799</v>
      </c>
      <c r="K62" s="233">
        <f>IF(G62=0,"nm",IF(J62=0,"nm",(J62/G62)^(1/3)-1))</f>
        <v>0.14125179832231338</v>
      </c>
    </row>
    <row r="63" spans="2:11">
      <c r="B63" s="5"/>
      <c r="C63" s="207"/>
      <c r="G63" s="233"/>
      <c r="H63" s="233"/>
      <c r="I63" s="233"/>
      <c r="J63" s="233"/>
      <c r="K63" s="233"/>
    </row>
    <row r="64" spans="2:11">
      <c r="B64" s="5"/>
      <c r="C64" s="207"/>
      <c r="G64" s="13"/>
      <c r="H64" s="13"/>
      <c r="I64" s="13"/>
      <c r="J64" s="13"/>
      <c r="K64" s="231" t="s">
        <v>380</v>
      </c>
    </row>
    <row r="65" spans="2:11" ht="12.6" thickBot="1">
      <c r="B65" s="249" t="s">
        <v>202</v>
      </c>
      <c r="C65" s="219"/>
      <c r="D65" s="219"/>
      <c r="E65" s="219"/>
      <c r="F65" s="219"/>
      <c r="G65" s="219" t="str">
        <f>ADVANCED!D5</f>
        <v>2025E</v>
      </c>
      <c r="H65" s="219" t="str">
        <f>ADVANCED!E5</f>
        <v>2026E</v>
      </c>
      <c r="I65" s="219" t="str">
        <f>ADVANCED!F5</f>
        <v>2027E</v>
      </c>
      <c r="J65" s="219" t="str">
        <f>ADVANCED!G5</f>
        <v>2028E</v>
      </c>
      <c r="K65" s="219" t="str">
        <f>ADVANCED!H5</f>
        <v>2025-28</v>
      </c>
    </row>
    <row r="66" spans="2:11" ht="12.6" thickTop="1">
      <c r="B66" s="25"/>
      <c r="C66" s="209"/>
      <c r="G66" s="214"/>
      <c r="H66" s="214"/>
      <c r="I66" s="214"/>
      <c r="J66" s="214"/>
      <c r="K66" s="214"/>
    </row>
    <row r="67" spans="2:11">
      <c r="B67" s="25" t="s">
        <v>158</v>
      </c>
      <c r="C67" s="207"/>
      <c r="G67" s="222">
        <f t="shared" ref="G67:J69" si="5">G$54/G60</f>
        <v>8.5867030516622371</v>
      </c>
      <c r="H67" s="222">
        <f t="shared" si="5"/>
        <v>7.6232653627497013</v>
      </c>
      <c r="I67" s="222">
        <f t="shared" si="5"/>
        <v>6.7898463208508799</v>
      </c>
      <c r="J67" s="222">
        <f t="shared" si="5"/>
        <v>6.0121839447352752</v>
      </c>
      <c r="K67" s="13">
        <f>K60</f>
        <v>6.3520321580009309E-2</v>
      </c>
    </row>
    <row r="68" spans="2:11">
      <c r="B68" s="25" t="s">
        <v>159</v>
      </c>
      <c r="C68" s="209"/>
      <c r="G68" s="222">
        <f t="shared" si="5"/>
        <v>16.265459015494766</v>
      </c>
      <c r="H68" s="222">
        <f t="shared" si="5"/>
        <v>13.190419448389438</v>
      </c>
      <c r="I68" s="222">
        <f t="shared" si="5"/>
        <v>11.096056095047917</v>
      </c>
      <c r="J68" s="222">
        <f t="shared" si="5"/>
        <v>9.5401194512504741</v>
      </c>
      <c r="K68" s="13">
        <f>K61</f>
        <v>0.12819776463667343</v>
      </c>
    </row>
    <row r="69" spans="2:11">
      <c r="B69" s="25" t="s">
        <v>381</v>
      </c>
      <c r="C69" s="207"/>
      <c r="G69" s="222">
        <f t="shared" si="5"/>
        <v>20.287448695050205</v>
      </c>
      <c r="H69" s="222">
        <f t="shared" si="5"/>
        <v>16.715000038324515</v>
      </c>
      <c r="I69" s="222">
        <f t="shared" si="5"/>
        <v>14.131107490467882</v>
      </c>
      <c r="J69" s="222">
        <f t="shared" si="5"/>
        <v>11.495455998492758</v>
      </c>
      <c r="K69" s="13">
        <f>K62</f>
        <v>0.14125179832231338</v>
      </c>
    </row>
  </sheetData>
  <phoneticPr fontId="7" type="noConversion"/>
  <pageMargins left="0.75" right="0.75" top="1" bottom="1" header="0.5" footer="0.5"/>
  <pageSetup scale="33"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85">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592</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290</v>
      </c>
      <c r="C11" s="5"/>
      <c r="D11" s="225">
        <f>ATT!D11+VZN!D11+TMUS!D11</f>
        <v>605016.33659740188</v>
      </c>
      <c r="E11" s="225">
        <f>ATT!E11+VZN!E11+TMUS!E11</f>
        <v>592694.95608275256</v>
      </c>
      <c r="F11" s="225">
        <f>ATT!F11+VZN!F11+TMUS!F11</f>
        <v>575540.93115146877</v>
      </c>
      <c r="G11" s="225">
        <f>ATT!G11+VZN!G11+TMUS!G11</f>
        <v>563611.93799652148</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ATT!D12+VZN!D12+TMUS!D12</f>
        <v>310987.9937126601</v>
      </c>
      <c r="E12" s="188">
        <f>ATT!E12+VZN!E12+TMUS!E12</f>
        <v>337389.1124756888</v>
      </c>
      <c r="F12" s="188">
        <f>ATT!F12+VZN!F12+TMUS!F12</f>
        <v>332825.42644983222</v>
      </c>
      <c r="G12" s="188">
        <f>ATT!G12+VZN!G12+TMUS!G12</f>
        <v>327512.66621958086</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ATT!D13+VZN!D13+TMUS!D13</f>
        <v>0</v>
      </c>
      <c r="E13" s="188">
        <f>ATT!E13+VZN!E13+TMUS!E13</f>
        <v>0</v>
      </c>
      <c r="F13" s="188">
        <f>ATT!F13+VZN!F13+TMUS!F13</f>
        <v>0</v>
      </c>
      <c r="G13" s="188">
        <f>ATT!G13+VZN!G13+TMUS!G13</f>
        <v>0</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ATT!D14+VZN!D14+TMUS!D14</f>
        <v>799</v>
      </c>
      <c r="E14" s="188">
        <f>ATT!E14+VZN!E14+TMUS!E14</f>
        <v>799</v>
      </c>
      <c r="F14" s="188">
        <f>ATT!F14+VZN!F14+TMUS!F14</f>
        <v>799</v>
      </c>
      <c r="G14" s="188">
        <f>ATT!G14+VZN!G14+TMUS!G14</f>
        <v>799</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ATT!D15+VZN!D15+TMUS!D15</f>
        <v>22284</v>
      </c>
      <c r="E15" s="188">
        <f>ATT!E15+VZN!E15+TMUS!E15</f>
        <v>22284</v>
      </c>
      <c r="F15" s="188">
        <f>ATT!F15+VZN!F15+TMUS!F15</f>
        <v>22284</v>
      </c>
      <c r="G15" s="188">
        <f>ATT!G15+VZN!G15+TMUS!G15</f>
        <v>22284</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ATT!D16+VZN!D16+TMUS!D16</f>
        <v>23778.658041468429</v>
      </c>
      <c r="E16" s="188">
        <f>ATT!E16+VZN!E16+TMUS!E16</f>
        <v>48101.869583964246</v>
      </c>
      <c r="F16" s="188">
        <f>ATT!F16+VZN!F16+TMUS!F16</f>
        <v>73244.222230602332</v>
      </c>
      <c r="G16" s="188">
        <f>ATT!G16+VZN!G16+TMUS!G16</f>
        <v>99101.00910928451</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ATT!D17+VZN!D17+TMUS!D17</f>
        <v>0</v>
      </c>
      <c r="E17" s="188">
        <f>ATT!E17+VZN!E17+TMUS!E17</f>
        <v>0</v>
      </c>
      <c r="F17" s="188">
        <f>ATT!F17+VZN!F17+TMUS!F17</f>
        <v>0</v>
      </c>
      <c r="G17" s="188">
        <f>ATT!G17+VZN!G17+TMUS!G17</f>
        <v>0</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291</v>
      </c>
      <c r="C18" s="209"/>
      <c r="D18" s="229">
        <f>ATT!D18+VZN!D18+TMUS!D18</f>
        <v>913710.67226859368</v>
      </c>
      <c r="E18" s="229">
        <f>ATT!E18+VZN!E18+TMUS!E18</f>
        <v>903467.19897447713</v>
      </c>
      <c r="F18" s="229">
        <f>ATT!F18+VZN!F18+TMUS!F18</f>
        <v>856607.13537069864</v>
      </c>
      <c r="G18" s="229">
        <f>ATT!G18+VZN!G18+TMUS!G18</f>
        <v>813508.59510681778</v>
      </c>
      <c r="H18" s="230">
        <f>IF(D18=0,"nm",IF(G18=0,"nm",(G18/D18)^(1/3)-1))</f>
        <v>-3.7979154218927391E-2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26"/>
      <c r="U18" s="26"/>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26"/>
      <c r="U19" s="26"/>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P21" s="231"/>
      <c r="S21" s="26"/>
      <c r="T21" s="26"/>
      <c r="U21" s="26"/>
      <c r="V21" s="26"/>
      <c r="W21" s="26"/>
      <c r="X21" s="26"/>
    </row>
    <row r="22" spans="2:24" ht="12.6" thickTop="1">
      <c r="B22" s="5"/>
      <c r="C22" s="216"/>
      <c r="D22" s="13"/>
      <c r="E22" s="13"/>
      <c r="F22" s="13"/>
      <c r="G22" s="13"/>
      <c r="H22" s="13"/>
      <c r="I22" s="207"/>
      <c r="S22" s="26"/>
      <c r="T22" s="26"/>
      <c r="U22" s="26"/>
      <c r="V22" s="26"/>
      <c r="W22" s="26"/>
      <c r="X22" s="26"/>
    </row>
    <row r="23" spans="2:24" ht="12.6" thickBot="1">
      <c r="B23" s="5" t="s">
        <v>485</v>
      </c>
      <c r="C23" s="288">
        <f>ATT!C23+VZN!C23+TMUS!C23</f>
        <v>278843</v>
      </c>
      <c r="D23" s="188">
        <f>ATT!D23+VZN!D23+TMUS!D23</f>
        <v>286317.34150227718</v>
      </c>
      <c r="E23" s="188">
        <f>ATT!E23+VZN!E23+TMUS!E23</f>
        <v>293455.58337862731</v>
      </c>
      <c r="F23" s="188">
        <f>ATT!F23+VZN!F23+TMUS!F23</f>
        <v>300529.89406707883</v>
      </c>
      <c r="G23" s="188">
        <f>ATT!G23+VZN!G23+TMUS!G23</f>
        <v>307777.0411942628</v>
      </c>
      <c r="H23" s="233">
        <f t="shared" ref="H23:H33" si="0">IF(D23=0,"nm",IF(G23=0,"nm",(G23/D23)^(1/3)-1))</f>
        <v>2.4384163316372609E-2</v>
      </c>
      <c r="I23" s="209"/>
      <c r="J23" s="249" t="s">
        <v>7</v>
      </c>
      <c r="K23" s="249"/>
      <c r="L23" s="219" t="str">
        <f>L5</f>
        <v>2025E</v>
      </c>
      <c r="M23" s="219" t="str">
        <f>M5</f>
        <v>2026E</v>
      </c>
      <c r="N23" s="219" t="str">
        <f>N5</f>
        <v>2027E</v>
      </c>
      <c r="O23" s="219" t="str">
        <f>O5</f>
        <v>2028E</v>
      </c>
      <c r="P23" s="236" t="str">
        <f>P5</f>
        <v>2025-28</v>
      </c>
      <c r="S23" s="26"/>
      <c r="T23" s="26"/>
      <c r="U23" s="26"/>
      <c r="V23" s="26"/>
      <c r="W23" s="26" t="s">
        <v>401</v>
      </c>
      <c r="X23" s="26" t="s">
        <v>510</v>
      </c>
    </row>
    <row r="24" spans="2:24" ht="12.6" thickTop="1">
      <c r="B24" s="5" t="s">
        <v>397</v>
      </c>
      <c r="C24" s="288">
        <f>ATT!C24+VZN!C24+TMUS!C24</f>
        <v>125787</v>
      </c>
      <c r="D24" s="188">
        <f>ATT!D24+VZN!D24+TMUS!D24</f>
        <v>130387.82828156822</v>
      </c>
      <c r="E24" s="188">
        <f>ATT!E24+VZN!E24+TMUS!E24</f>
        <v>135408.59205963678</v>
      </c>
      <c r="F24" s="188">
        <f>ATT!F24+VZN!F24+TMUS!F24</f>
        <v>141249.5078015349</v>
      </c>
      <c r="G24" s="188">
        <f>ATT!G24+VZN!G24+TMUS!G24</f>
        <v>146897.72484485648</v>
      </c>
      <c r="H24" s="233">
        <f t="shared" si="0"/>
        <v>4.0541340228376743E-2</v>
      </c>
      <c r="I24" s="208"/>
      <c r="J24" s="13"/>
      <c r="K24" s="13"/>
      <c r="L24" s="13"/>
      <c r="M24" s="13"/>
      <c r="N24" s="13"/>
      <c r="O24" s="208"/>
      <c r="S24" s="26"/>
      <c r="T24" s="26"/>
      <c r="U24" s="26"/>
      <c r="V24" s="113" t="s">
        <v>225</v>
      </c>
      <c r="W24" s="242">
        <f t="shared" ref="W24:W31" si="1">E37/M9</f>
        <v>1.2936121803497009</v>
      </c>
      <c r="X24" s="242">
        <v>1</v>
      </c>
    </row>
    <row r="25" spans="2:24">
      <c r="B25" s="5" t="s">
        <v>157</v>
      </c>
      <c r="C25" s="288">
        <f>ATT!C25+VZN!C25+TMUS!C25</f>
        <v>77802</v>
      </c>
      <c r="D25" s="188">
        <f>ATT!D25+VZN!D25+TMUS!D25</f>
        <v>80542.353094585269</v>
      </c>
      <c r="E25" s="188">
        <f>ATT!E25+VZN!E25+TMUS!E25</f>
        <v>85705.748743139105</v>
      </c>
      <c r="F25" s="188">
        <f>ATT!F25+VZN!F25+TMUS!F25</f>
        <v>91346.454161048503</v>
      </c>
      <c r="G25" s="188">
        <f>ATT!G25+VZN!G25+TMUS!G25</f>
        <v>97335.059190157539</v>
      </c>
      <c r="H25" s="233">
        <f t="shared" si="0"/>
        <v>6.51603570146575E-2</v>
      </c>
      <c r="I25" s="209"/>
      <c r="J25" s="207" t="s">
        <v>8</v>
      </c>
      <c r="K25" s="207"/>
      <c r="L25" s="258">
        <f>ATT!L25+VZN!L25+TMUS!L25</f>
        <v>0</v>
      </c>
      <c r="M25" s="258">
        <f>ATT!M25+VZN!M25+TMUS!M25</f>
        <v>0</v>
      </c>
      <c r="N25" s="258">
        <f>ATT!N25+VZN!N25+TMUS!N25</f>
        <v>0</v>
      </c>
      <c r="O25" s="258">
        <f>ATT!O25+VZN!O25+TMUS!O25</f>
        <v>0</v>
      </c>
      <c r="P25" s="272" t="str">
        <f>IF(L25=0,"nm",IF(O25=0,"nm",(O25/L25)^(1/3)-1))</f>
        <v>nm</v>
      </c>
      <c r="Q25" s="5"/>
      <c r="S25" s="26"/>
      <c r="T25" s="26"/>
      <c r="U25" s="26"/>
      <c r="V25" s="113" t="s">
        <v>158</v>
      </c>
      <c r="W25" s="242">
        <f t="shared" si="1"/>
        <v>0.96918576810411661</v>
      </c>
      <c r="X25" s="242">
        <v>1</v>
      </c>
    </row>
    <row r="26" spans="2:24">
      <c r="B26" s="5" t="s">
        <v>487</v>
      </c>
      <c r="C26" s="288">
        <f>ATT!C26+VZN!C26+TMUS!C26</f>
        <v>52008</v>
      </c>
      <c r="D26" s="188">
        <f>ATT!D26+VZN!D26+TMUS!D26</f>
        <v>54681.928165595913</v>
      </c>
      <c r="E26" s="188">
        <f>ATT!E26+VZN!E26+TMUS!E26</f>
        <v>57331.59277946713</v>
      </c>
      <c r="F26" s="188">
        <f>ATT!F26+VZN!F26+TMUS!F26</f>
        <v>63284.668369043386</v>
      </c>
      <c r="G26" s="188">
        <f>ATT!G26+VZN!G26+TMUS!G26</f>
        <v>68440.067823627833</v>
      </c>
      <c r="H26" s="233">
        <f t="shared" si="0"/>
        <v>7.7677635873599549E-2</v>
      </c>
      <c r="I26" s="209"/>
      <c r="J26" s="209" t="s">
        <v>9</v>
      </c>
      <c r="K26" s="209"/>
      <c r="L26" s="189">
        <f>ATT!L26+VZN!L26+TMUS!L26</f>
        <v>605016.33659740188</v>
      </c>
      <c r="M26" s="189">
        <f>ATT!M26+VZN!M26+TMUS!M26</f>
        <v>592694.95608275256</v>
      </c>
      <c r="N26" s="189">
        <f>ATT!N26+VZN!N26+TMUS!N26</f>
        <v>575540.93115146877</v>
      </c>
      <c r="O26" s="189">
        <f>ATT!O26+VZN!O26+TMUS!O26</f>
        <v>563611.93799652148</v>
      </c>
      <c r="P26" s="272">
        <f>IF(L26=0,"nm",IF(O26=0,"nm",(O26/L26)^(1/3)-1))</f>
        <v>-2.3352834536940259E-2</v>
      </c>
      <c r="Q26" s="25"/>
      <c r="S26" s="26"/>
      <c r="T26" s="26"/>
      <c r="U26" s="26"/>
      <c r="V26" s="113" t="s">
        <v>159</v>
      </c>
      <c r="W26" s="242">
        <f t="shared" si="1"/>
        <v>0.88493965063075697</v>
      </c>
      <c r="X26" s="242">
        <v>1</v>
      </c>
    </row>
    <row r="27" spans="2:24">
      <c r="B27" s="5" t="s">
        <v>488</v>
      </c>
      <c r="C27" s="288">
        <f>ATT!C27+VZN!C27+TMUS!C27</f>
        <v>366904</v>
      </c>
      <c r="D27" s="188">
        <f>ATT!D27+VZN!D27+TMUS!D27</f>
        <v>485783.09548676922</v>
      </c>
      <c r="E27" s="188">
        <f>ATT!E27+VZN!E27+TMUS!E27</f>
        <v>511512.63045144378</v>
      </c>
      <c r="F27" s="188">
        <f>ATT!F27+VZN!F27+TMUS!F27</f>
        <v>515295.76685793331</v>
      </c>
      <c r="G27" s="188">
        <f>ATT!G27+VZN!G27+TMUS!G27</f>
        <v>519037.20781693258</v>
      </c>
      <c r="H27" s="233">
        <f t="shared" si="0"/>
        <v>2.2316486738481522E-2</v>
      </c>
      <c r="I27" s="208"/>
      <c r="J27" s="208"/>
      <c r="K27" s="208"/>
      <c r="L27" s="208"/>
      <c r="M27" s="208"/>
      <c r="N27" s="208"/>
      <c r="O27" s="208"/>
      <c r="Q27" s="5"/>
      <c r="S27" s="26"/>
      <c r="T27" s="26"/>
      <c r="U27" s="26"/>
      <c r="V27" s="113" t="s">
        <v>381</v>
      </c>
      <c r="W27" s="242">
        <f t="shared" si="1"/>
        <v>0.92695182021410483</v>
      </c>
      <c r="X27" s="242">
        <v>1</v>
      </c>
    </row>
    <row r="28" spans="2:24" ht="12.6" thickBot="1">
      <c r="B28" s="5" t="s">
        <v>492</v>
      </c>
      <c r="C28" s="288">
        <f>ATT!C28+VZN!C28+TMUS!C28</f>
        <v>167404</v>
      </c>
      <c r="D28" s="188">
        <f>ATT!D28+VZN!D28+TMUS!D28</f>
        <v>261766.2086187005</v>
      </c>
      <c r="E28" s="188">
        <f>ATT!E28+VZN!E28+TMUS!E28</f>
        <v>261264.3124746359</v>
      </c>
      <c r="F28" s="188">
        <f>ATT!F28+VZN!F28+TMUS!F28</f>
        <v>261086.05917816953</v>
      </c>
      <c r="G28" s="188">
        <f>ATT!G28+VZN!G28+TMUS!G28</f>
        <v>260748.83882069762</v>
      </c>
      <c r="H28" s="233">
        <f t="shared" si="0"/>
        <v>-1.2972016508007167E-3</v>
      </c>
      <c r="I28" s="212"/>
      <c r="J28" s="249" t="s">
        <v>628</v>
      </c>
      <c r="K28" s="249"/>
      <c r="L28" s="249"/>
      <c r="M28" s="249"/>
      <c r="N28" s="220"/>
      <c r="O28" s="220"/>
      <c r="P28" s="220"/>
      <c r="Q28" s="5"/>
      <c r="S28" s="26"/>
      <c r="T28" s="26"/>
      <c r="U28" s="26"/>
      <c r="V28" s="113" t="s">
        <v>434</v>
      </c>
      <c r="W28" s="242">
        <f t="shared" si="1"/>
        <v>1.1680119414820123</v>
      </c>
      <c r="X28" s="242">
        <v>1</v>
      </c>
    </row>
    <row r="29" spans="2:24" ht="12.6" thickTop="1">
      <c r="B29" s="5" t="s">
        <v>489</v>
      </c>
      <c r="C29" s="288">
        <f>ATT!C29+VZN!C29+TMUS!C29</f>
        <v>42125.583191722784</v>
      </c>
      <c r="D29" s="188">
        <f>ATT!D29+VZN!D29+TMUS!D29</f>
        <v>47542.587125476057</v>
      </c>
      <c r="E29" s="188">
        <f>ATT!E29+VZN!E29+TMUS!E29</f>
        <v>39051.471839876671</v>
      </c>
      <c r="F29" s="188">
        <f>ATT!F29+VZN!F29+TMUS!F29</f>
        <v>41134.186373101096</v>
      </c>
      <c r="G29" s="188">
        <f>ATT!G29+VZN!G29+TMUS!G29</f>
        <v>44149.511569383918</v>
      </c>
      <c r="H29" s="233">
        <f t="shared" si="0"/>
        <v>-2.4379245025710983E-2</v>
      </c>
      <c r="I29" s="214"/>
      <c r="J29" s="209"/>
      <c r="K29" s="209"/>
      <c r="L29" s="209"/>
      <c r="M29" s="209"/>
      <c r="N29" s="209"/>
      <c r="O29" s="211"/>
      <c r="Q29" s="5"/>
      <c r="S29" s="26"/>
      <c r="T29" s="26"/>
      <c r="U29" s="26"/>
      <c r="V29" s="113" t="s">
        <v>493</v>
      </c>
      <c r="W29" s="242">
        <f t="shared" si="1"/>
        <v>1.0024613645832223</v>
      </c>
      <c r="X29" s="242">
        <v>1</v>
      </c>
    </row>
    <row r="30" spans="2:24">
      <c r="B30" s="5" t="s">
        <v>490</v>
      </c>
      <c r="C30" s="288">
        <f>ATT!C30+VZN!C30+TMUS!C30</f>
        <v>44895.610367347006</v>
      </c>
      <c r="D30" s="188">
        <f>ATT!D30+VZN!D30+TMUS!D30</f>
        <v>45603.840128339085</v>
      </c>
      <c r="E30" s="188">
        <f>ATT!E30+VZN!E30+TMUS!E30</f>
        <v>49393.754583192567</v>
      </c>
      <c r="F30" s="188">
        <f>ATT!F30+VZN!F30+TMUS!F30</f>
        <v>53834.234702544898</v>
      </c>
      <c r="G30" s="188">
        <f>ATT!G30+VZN!G30+TMUS!G30</f>
        <v>57851.891562447112</v>
      </c>
      <c r="H30" s="233">
        <f t="shared" si="0"/>
        <v>8.2526948023635915E-2</v>
      </c>
      <c r="I30" s="214"/>
      <c r="J30" s="208"/>
      <c r="K30" s="208"/>
      <c r="L30" s="208"/>
      <c r="M30" s="208"/>
      <c r="N30" s="208"/>
      <c r="O30" s="5"/>
      <c r="Q30" s="5"/>
      <c r="S30" s="26"/>
      <c r="T30" s="26"/>
      <c r="U30" s="26"/>
      <c r="V30" s="113" t="s">
        <v>390</v>
      </c>
      <c r="W30" s="242">
        <f t="shared" si="1"/>
        <v>1.131278511670297</v>
      </c>
      <c r="X30" s="242">
        <v>1</v>
      </c>
    </row>
    <row r="31" spans="2:24">
      <c r="B31" s="5" t="s">
        <v>491</v>
      </c>
      <c r="C31" s="288">
        <f>ATT!C31+VZN!C31+TMUS!C31</f>
        <v>22757</v>
      </c>
      <c r="D31" s="188">
        <f>ATT!D31+VZN!D31+TMUS!D31</f>
        <v>23778.658041468429</v>
      </c>
      <c r="E31" s="188">
        <f>ATT!E31+VZN!E31+TMUS!E31</f>
        <v>24323.211542495814</v>
      </c>
      <c r="F31" s="188">
        <f>ATT!F31+VZN!F31+TMUS!F31</f>
        <v>25142.352646638094</v>
      </c>
      <c r="G31" s="188">
        <f>ATT!G31+VZN!G31+TMUS!G31</f>
        <v>25856.786878682178</v>
      </c>
      <c r="H31" s="233">
        <f t="shared" si="0"/>
        <v>2.8321867991065286E-2</v>
      </c>
      <c r="I31" s="214"/>
      <c r="J31" s="212"/>
      <c r="K31" s="212"/>
      <c r="L31" s="212"/>
      <c r="M31" s="212"/>
      <c r="N31" s="212"/>
      <c r="O31" s="5"/>
      <c r="Q31" s="5"/>
      <c r="S31" s="26"/>
      <c r="T31" s="26"/>
      <c r="U31" s="26"/>
      <c r="V31" s="113" t="s">
        <v>437</v>
      </c>
      <c r="W31" s="242">
        <f t="shared" si="1"/>
        <v>0.94810647578399354</v>
      </c>
      <c r="X31" s="242">
        <v>1</v>
      </c>
    </row>
    <row r="32" spans="2:24">
      <c r="B32" s="5" t="s">
        <v>506</v>
      </c>
      <c r="C32" s="288">
        <f>ATT!C32+VZN!C32+TMUS!C32</f>
        <v>3000</v>
      </c>
      <c r="D32" s="188">
        <f>ATT!D32+VZN!D32+TMUS!D32</f>
        <v>13292</v>
      </c>
      <c r="E32" s="188">
        <f>ATT!E32+VZN!E32+TMUS!E32</f>
        <v>13457.778892419416</v>
      </c>
      <c r="F32" s="188">
        <f>ATT!F32+VZN!F32+TMUS!F32</f>
        <v>9462.527653950001</v>
      </c>
      <c r="G32" s="188">
        <f>ATT!G32+VZN!G32+TMUS!G32</f>
        <v>9982.7152523117529</v>
      </c>
      <c r="H32" s="233">
        <f t="shared" si="0"/>
        <v>-9.1023231740063881E-2</v>
      </c>
      <c r="I32" s="5"/>
      <c r="J32" s="214"/>
      <c r="K32" s="214"/>
      <c r="L32" s="214"/>
      <c r="M32" s="214"/>
      <c r="N32" s="214"/>
      <c r="O32" s="211"/>
      <c r="Q32" s="5"/>
      <c r="S32" s="26"/>
      <c r="T32" s="26"/>
      <c r="U32" s="26"/>
      <c r="V32" s="113" t="s">
        <v>481</v>
      </c>
      <c r="W32" s="242">
        <f>M17/E45</f>
        <v>0.95099483455477463</v>
      </c>
      <c r="X32" s="242">
        <v>1</v>
      </c>
    </row>
    <row r="33" spans="2:24">
      <c r="B33" s="5" t="s">
        <v>3</v>
      </c>
      <c r="C33" s="288">
        <f>ATT!C33+VZN!C33+TMUS!C33</f>
        <v>16706</v>
      </c>
      <c r="D33" s="188">
        <f>ATT!D33+VZN!D33+TMUS!D33</f>
        <v>17025.645212088595</v>
      </c>
      <c r="E33" s="188">
        <f>ATT!E33+VZN!E33+TMUS!E33</f>
        <v>17393.359211676106</v>
      </c>
      <c r="F33" s="188">
        <f>ATT!F33+VZN!F33+TMUS!F33</f>
        <v>17358.623166195568</v>
      </c>
      <c r="G33" s="188">
        <f>ATT!G33+VZN!G33+TMUS!G33</f>
        <v>17149.040357248163</v>
      </c>
      <c r="H33" s="233">
        <f t="shared" si="0"/>
        <v>2.4100551796653047E-3</v>
      </c>
      <c r="I33" s="33"/>
      <c r="J33" s="214"/>
      <c r="K33" s="214"/>
      <c r="L33" s="214"/>
      <c r="M33" s="214"/>
      <c r="N33" s="214"/>
      <c r="O33" s="211"/>
      <c r="Q33" s="5"/>
      <c r="S33" s="26"/>
      <c r="T33" s="26"/>
      <c r="U33" s="26"/>
      <c r="V33" s="113" t="s">
        <v>218</v>
      </c>
      <c r="W33" s="242">
        <f>N19/F47</f>
        <v>0.82830034638318484</v>
      </c>
      <c r="X33" s="242">
        <v>1</v>
      </c>
    </row>
    <row r="34" spans="2:24">
      <c r="H34" s="231"/>
      <c r="I34" s="214"/>
      <c r="J34" s="214"/>
      <c r="K34" s="214"/>
      <c r="L34" s="214"/>
      <c r="M34" s="214"/>
      <c r="N34" s="214"/>
      <c r="O34" s="211"/>
      <c r="Q34" s="5"/>
      <c r="S34" s="26"/>
      <c r="T34" s="26"/>
      <c r="U34" s="26"/>
      <c r="V34" s="26"/>
      <c r="W34" s="26"/>
      <c r="X34" s="26"/>
    </row>
    <row r="35" spans="2:24" ht="12.6" thickBot="1">
      <c r="B35" s="249" t="s">
        <v>593</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3.1912515933350361</v>
      </c>
      <c r="E37" s="48">
        <f t="shared" si="2"/>
        <v>3.0787187231969964</v>
      </c>
      <c r="F37" s="48">
        <f t="shared" si="2"/>
        <v>2.8503225545326361</v>
      </c>
      <c r="G37" s="48">
        <f t="shared" si="2"/>
        <v>2.6431750462938113</v>
      </c>
      <c r="H37" s="13">
        <f t="shared" ref="H37:H45" si="3">H23</f>
        <v>2.4384163316372609E-2</v>
      </c>
      <c r="I37" s="217"/>
      <c r="J37" s="217"/>
      <c r="K37" s="217"/>
      <c r="L37" s="217"/>
      <c r="M37" s="217"/>
      <c r="N37" s="217"/>
      <c r="O37" s="14"/>
      <c r="Q37" s="5"/>
      <c r="R37" s="5"/>
      <c r="S37" s="26"/>
      <c r="T37" s="26"/>
      <c r="U37" s="26"/>
      <c r="V37" s="26"/>
      <c r="W37" s="26"/>
      <c r="X37" s="26"/>
    </row>
    <row r="38" spans="2:24">
      <c r="B38" s="5" t="s">
        <v>158</v>
      </c>
      <c r="C38" s="207"/>
      <c r="D38" s="48">
        <f t="shared" si="2"/>
        <v>7.0076377857560876</v>
      </c>
      <c r="E38" s="48">
        <f t="shared" si="2"/>
        <v>6.6721556234523973</v>
      </c>
      <c r="F38" s="48">
        <f t="shared" si="2"/>
        <v>6.0644964269488959</v>
      </c>
      <c r="G38" s="48">
        <f t="shared" si="2"/>
        <v>5.5379250833598066</v>
      </c>
      <c r="H38" s="13">
        <f t="shared" si="3"/>
        <v>4.0541340228376743E-2</v>
      </c>
      <c r="I38" s="13"/>
      <c r="J38" s="13"/>
      <c r="K38" s="13"/>
      <c r="L38" s="13"/>
      <c r="M38" s="13"/>
      <c r="N38" s="13"/>
      <c r="O38" s="5"/>
      <c r="Q38" s="5"/>
      <c r="R38" s="5"/>
      <c r="S38" s="26"/>
      <c r="T38" s="26"/>
      <c r="U38" s="26"/>
      <c r="V38" s="26"/>
      <c r="W38" s="26"/>
      <c r="X38" s="26"/>
    </row>
    <row r="39" spans="2:24">
      <c r="B39" s="5" t="s">
        <v>159</v>
      </c>
      <c r="C39" s="207"/>
      <c r="D39" s="48">
        <f t="shared" si="2"/>
        <v>11.344474517594159</v>
      </c>
      <c r="E39" s="48">
        <f t="shared" si="2"/>
        <v>10.541500567041032</v>
      </c>
      <c r="F39" s="48">
        <f t="shared" si="2"/>
        <v>9.3775630727872166</v>
      </c>
      <c r="G39" s="48">
        <f t="shared" si="2"/>
        <v>8.3578168223796521</v>
      </c>
      <c r="H39" s="13">
        <f t="shared" si="3"/>
        <v>6.51603570146575E-2</v>
      </c>
      <c r="I39" s="5"/>
      <c r="J39" s="5"/>
      <c r="K39" s="5"/>
      <c r="L39" s="5"/>
      <c r="M39" s="5"/>
      <c r="N39" s="5"/>
      <c r="O39" s="5"/>
      <c r="Q39" s="5"/>
      <c r="R39" s="5"/>
      <c r="S39" s="26"/>
      <c r="T39" s="26"/>
      <c r="U39" s="26"/>
      <c r="V39" s="26"/>
      <c r="W39" s="242"/>
      <c r="X39" s="242"/>
    </row>
    <row r="40" spans="2:24">
      <c r="B40" s="5" t="s">
        <v>381</v>
      </c>
      <c r="C40" s="207"/>
      <c r="D40" s="48">
        <f t="shared" si="2"/>
        <v>16.709554745428136</v>
      </c>
      <c r="E40" s="48">
        <f t="shared" si="2"/>
        <v>15.758627227570189</v>
      </c>
      <c r="F40" s="48">
        <f t="shared" si="2"/>
        <v>13.535776633534837</v>
      </c>
      <c r="G40" s="48">
        <f t="shared" si="2"/>
        <v>11.886437593885129</v>
      </c>
      <c r="H40" s="13">
        <f t="shared" si="3"/>
        <v>7.7677635873599549E-2</v>
      </c>
      <c r="I40" s="207"/>
      <c r="J40" s="217"/>
      <c r="K40" s="217"/>
      <c r="L40" s="217"/>
      <c r="M40" s="217"/>
      <c r="N40" s="217"/>
      <c r="O40" s="14"/>
      <c r="Q40" s="5"/>
      <c r="R40" s="5"/>
      <c r="S40" s="26"/>
      <c r="T40" s="26"/>
      <c r="U40" s="26"/>
      <c r="V40" s="26"/>
      <c r="W40" s="242"/>
      <c r="X40" s="242"/>
    </row>
    <row r="41" spans="2:24">
      <c r="B41" s="5" t="s">
        <v>434</v>
      </c>
      <c r="C41" s="207"/>
      <c r="D41" s="48">
        <f t="shared" si="2"/>
        <v>1.8809025689809733</v>
      </c>
      <c r="E41" s="48">
        <f t="shared" si="2"/>
        <v>1.766265670071739</v>
      </c>
      <c r="F41" s="48">
        <f t="shared" si="2"/>
        <v>1.6623601249316389</v>
      </c>
      <c r="G41" s="48">
        <f t="shared" si="2"/>
        <v>1.5673415756231237</v>
      </c>
      <c r="H41" s="13">
        <f t="shared" si="3"/>
        <v>2.2316486738481522E-2</v>
      </c>
      <c r="I41" s="208"/>
      <c r="J41" s="13"/>
      <c r="K41" s="13"/>
      <c r="L41" s="13"/>
      <c r="M41" s="13"/>
      <c r="N41" s="13"/>
      <c r="O41" s="5"/>
      <c r="Q41" s="5"/>
      <c r="R41" s="5"/>
      <c r="S41" s="26"/>
      <c r="T41" s="26"/>
      <c r="U41" s="26"/>
      <c r="V41" s="26"/>
      <c r="W41" s="242"/>
      <c r="X41" s="242"/>
    </row>
    <row r="42" spans="2:24">
      <c r="B42" s="5" t="s">
        <v>493</v>
      </c>
      <c r="C42" s="207"/>
      <c r="D42" s="48">
        <f>D18/D28</f>
        <v>3.4905600577328242</v>
      </c>
      <c r="E42" s="48">
        <f>E18/E28</f>
        <v>3.4580582032694864</v>
      </c>
      <c r="F42" s="48">
        <f>F18/F28</f>
        <v>3.2809378565331038</v>
      </c>
      <c r="G42" s="48">
        <f>G18/G28</f>
        <v>3.1198934529722759</v>
      </c>
      <c r="H42" s="13">
        <f t="shared" si="3"/>
        <v>-1.2972016508007167E-3</v>
      </c>
      <c r="I42" s="207"/>
      <c r="J42" s="5"/>
      <c r="K42" s="5"/>
      <c r="L42" s="5"/>
      <c r="M42" s="5"/>
      <c r="N42" s="5"/>
      <c r="O42" s="5"/>
      <c r="Q42" s="5"/>
      <c r="R42" s="5"/>
      <c r="S42" s="26"/>
      <c r="T42" s="26"/>
      <c r="U42" s="26"/>
      <c r="V42" s="26"/>
      <c r="W42" s="242"/>
      <c r="X42" s="242"/>
    </row>
    <row r="43" spans="2:24">
      <c r="B43" s="5" t="s">
        <v>390</v>
      </c>
      <c r="C43" s="207"/>
      <c r="D43" s="48">
        <f>L26/D29</f>
        <v>12.725776470696086</v>
      </c>
      <c r="E43" s="48">
        <f>M26/E29</f>
        <v>15.177275737851533</v>
      </c>
      <c r="F43" s="48">
        <f>N26/F29</f>
        <v>13.991790816794484</v>
      </c>
      <c r="G43" s="48">
        <f>O26/G29</f>
        <v>12.765983540061763</v>
      </c>
      <c r="H43" s="13">
        <f t="shared" si="3"/>
        <v>-2.4379245025710983E-2</v>
      </c>
      <c r="I43" s="207"/>
      <c r="J43" s="207"/>
      <c r="K43" s="207"/>
      <c r="L43" s="207"/>
      <c r="M43" s="207"/>
      <c r="N43" s="207"/>
      <c r="O43" s="14"/>
      <c r="Q43" s="5"/>
      <c r="R43" s="5"/>
      <c r="S43" s="26"/>
      <c r="T43" s="26"/>
      <c r="U43" s="26"/>
      <c r="V43" s="26"/>
      <c r="W43" s="255"/>
      <c r="X43" s="255"/>
    </row>
    <row r="44" spans="2:24">
      <c r="B44" s="5" t="s">
        <v>437</v>
      </c>
      <c r="C44" s="53"/>
      <c r="D44" s="48">
        <f>D11/D30</f>
        <v>13.266784878088224</v>
      </c>
      <c r="E44" s="48">
        <f>E11/E30</f>
        <v>11.999390633171901</v>
      </c>
      <c r="F44" s="48">
        <f>F11/F30</f>
        <v>10.690983801136143</v>
      </c>
      <c r="G44" s="48">
        <f>G11/G30</f>
        <v>9.7423251474524637</v>
      </c>
      <c r="H44" s="13">
        <f t="shared" si="3"/>
        <v>8.2526948023635915E-2</v>
      </c>
      <c r="I44" s="208"/>
      <c r="J44" s="208"/>
      <c r="K44" s="208"/>
      <c r="L44" s="208"/>
      <c r="M44" s="208"/>
      <c r="N44" s="208"/>
      <c r="O44" s="208"/>
      <c r="Q44" s="5"/>
      <c r="R44" s="5"/>
      <c r="S44" s="26"/>
      <c r="T44" s="26"/>
      <c r="U44" s="26"/>
      <c r="V44" s="26"/>
      <c r="W44" s="26"/>
      <c r="X44" s="26"/>
    </row>
    <row r="45" spans="2:24">
      <c r="B45" s="5" t="s">
        <v>481</v>
      </c>
      <c r="C45" s="207"/>
      <c r="D45" s="208">
        <f>D31/D11</f>
        <v>3.9302505739264929E-2</v>
      </c>
      <c r="E45" s="208">
        <f>E31/E11</f>
        <v>4.1038330582823093E-2</v>
      </c>
      <c r="F45" s="208">
        <f>F31/F11</f>
        <v>4.3684734283513924E-2</v>
      </c>
      <c r="G45" s="208">
        <f>G31/G11</f>
        <v>4.5876932576331915E-2</v>
      </c>
      <c r="H45" s="13">
        <f t="shared" si="3"/>
        <v>2.8321867991065286E-2</v>
      </c>
      <c r="I45" s="207"/>
      <c r="J45" s="207"/>
      <c r="K45" s="207"/>
      <c r="L45" s="207"/>
      <c r="M45" s="207"/>
      <c r="N45" s="207"/>
      <c r="O45" s="208"/>
      <c r="Q45" s="5"/>
      <c r="R45" s="5"/>
      <c r="S45" s="26"/>
      <c r="T45" s="26"/>
      <c r="U45" s="26"/>
      <c r="V45" s="26"/>
      <c r="W45" s="26"/>
      <c r="X45" s="26"/>
    </row>
    <row r="46" spans="2:24">
      <c r="B46" s="5" t="s">
        <v>505</v>
      </c>
      <c r="C46" s="207"/>
      <c r="D46" s="208">
        <f>(D31+D32)/D11</f>
        <v>6.1272160434465234E-2</v>
      </c>
      <c r="E46" s="208">
        <f>(E31+E32)/E11</f>
        <v>6.3744410252143627E-2</v>
      </c>
      <c r="F46" s="208">
        <f>(F31+F32)/F11</f>
        <v>6.0125837151764457E-2</v>
      </c>
      <c r="G46" s="208">
        <f>(G31+G32)/G11</f>
        <v>6.3588969137866505E-2</v>
      </c>
      <c r="H46" s="233">
        <f>((G31+G32)/(D31+D32))^(1/3)-1</f>
        <v>-1.1195219112098531E-2</v>
      </c>
      <c r="I46" s="13"/>
      <c r="J46" s="207"/>
      <c r="K46" s="207"/>
      <c r="L46" s="207"/>
      <c r="M46" s="207"/>
      <c r="N46" s="207"/>
      <c r="O46" s="14"/>
      <c r="Q46" s="5"/>
      <c r="R46" s="5"/>
      <c r="S46" s="26"/>
      <c r="T46" s="26"/>
      <c r="U46" s="26"/>
      <c r="V46" s="26"/>
      <c r="W46" s="26"/>
      <c r="X46" s="26"/>
    </row>
    <row r="47" spans="2:24">
      <c r="B47" s="5" t="s">
        <v>482</v>
      </c>
      <c r="C47" s="5"/>
      <c r="D47" s="208">
        <f>1/D43</f>
        <v>7.8580666751669026E-2</v>
      </c>
      <c r="E47" s="208">
        <f>1/E43</f>
        <v>6.5887977346688054E-2</v>
      </c>
      <c r="F47" s="208">
        <f>1/F43</f>
        <v>7.1470479590052913E-2</v>
      </c>
      <c r="G47" s="208">
        <f>1/G43</f>
        <v>7.8333173222559394E-2</v>
      </c>
      <c r="H47" s="13">
        <f>H29</f>
        <v>-2.4379245025710983E-2</v>
      </c>
      <c r="I47" s="207"/>
      <c r="J47" s="208"/>
      <c r="K47" s="208"/>
      <c r="L47" s="208"/>
      <c r="M47" s="208"/>
      <c r="N47" s="208"/>
      <c r="O47" s="208"/>
      <c r="Q47" s="5"/>
      <c r="R47" s="5"/>
      <c r="S47" s="5"/>
      <c r="T47" s="5"/>
      <c r="U47" s="5"/>
    </row>
    <row r="48" spans="2:24">
      <c r="B48" s="5" t="s">
        <v>518</v>
      </c>
      <c r="C48" s="5"/>
      <c r="D48" s="248">
        <f>D31/D29</f>
        <v>0.5001549027761355</v>
      </c>
      <c r="E48" s="248">
        <f>E31/E29</f>
        <v>0.62285005907661151</v>
      </c>
      <c r="F48" s="248">
        <f>F31/F29</f>
        <v>0.61122766398217732</v>
      </c>
      <c r="G48" s="248">
        <f>G31/G29</f>
        <v>0.58566416613797645</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86">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1271</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290</v>
      </c>
      <c r="C11" s="5"/>
      <c r="D11" s="225">
        <f>ATCUS!D11+CHTR!D11+CMCSA!D11+SATS!D11</f>
        <v>204590.69460788576</v>
      </c>
      <c r="E11" s="225">
        <f>ATCUS!E11+CHTR!E11+CMCSA!E11+SATS!E11</f>
        <v>197073.9656256568</v>
      </c>
      <c r="F11" s="225">
        <f>ATCUS!F11+CHTR!F11+CMCSA!F11+SATS!F11</f>
        <v>191960.39608604598</v>
      </c>
      <c r="G11" s="225">
        <f>ATCUS!G11+CHTR!G11+CMCSA!G11+SATS!G11</f>
        <v>189374.727188046</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ATCUS!D12+CHTR!D12+CMCSA!D12+SATS!D12</f>
        <v>231577.91776207546</v>
      </c>
      <c r="E12" s="188">
        <f>ATCUS!E12+CHTR!E12+CMCSA!E12+SATS!E12</f>
        <v>205312.07529708772</v>
      </c>
      <c r="F12" s="188">
        <f>ATCUS!F12+CHTR!F12+CMCSA!F12+SATS!F12</f>
        <v>194625.05766692958</v>
      </c>
      <c r="G12" s="188">
        <f>ATCUS!G12+CHTR!G12+CMCSA!G12+SATS!G12</f>
        <v>195891.35478388789</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ATCUS!D13+CHTR!D13+CMCSA!D13+SATS!D13</f>
        <v>1333.7951000000005</v>
      </c>
      <c r="E13" s="188">
        <f>ATCUS!E13+CHTR!E13+CMCSA!E13+SATS!E13</f>
        <v>1333.7951000000005</v>
      </c>
      <c r="F13" s="188">
        <f>ATCUS!F13+CHTR!F13+CMCSA!F13+SATS!F13</f>
        <v>1333.7951000000005</v>
      </c>
      <c r="G13" s="188">
        <f>ATCUS!G13+CHTR!G13+CMCSA!G13+SATS!G13</f>
        <v>1333.7951000000005</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ATCUS!D14+CHTR!D14+CMCSA!D14+SATS!D14</f>
        <v>9755.4549999999999</v>
      </c>
      <c r="E14" s="188">
        <f>ATCUS!E14+CHTR!E14+CMCSA!E14+SATS!E14</f>
        <v>9755.4549999999999</v>
      </c>
      <c r="F14" s="188">
        <f>ATCUS!F14+CHTR!F14+CMCSA!F14+SATS!F14</f>
        <v>9755.4549999999999</v>
      </c>
      <c r="G14" s="188">
        <f>ATCUS!G14+CHTR!G14+CMCSA!G14+SATS!G14</f>
        <v>9755.4549999999999</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ATCUS!D15+CHTR!D15+CMCSA!D15+SATS!D15</f>
        <v>529.053</v>
      </c>
      <c r="E15" s="188">
        <f>ATCUS!E15+CHTR!E15+CMCSA!E15+SATS!E15</f>
        <v>529.053</v>
      </c>
      <c r="F15" s="188">
        <f>ATCUS!F15+CHTR!F15+CMCSA!F15+SATS!F15</f>
        <v>529.053</v>
      </c>
      <c r="G15" s="188">
        <f>ATCUS!G15+CHTR!G15+CMCSA!G15+SATS!G15</f>
        <v>529.053</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ATCUS!D16+CHTR!D16+CMCSA!D16+SATS!D16</f>
        <v>38433.292988797475</v>
      </c>
      <c r="E16" s="188">
        <f>ATCUS!E16+CHTR!E16+CMCSA!E16+SATS!E16</f>
        <v>43462.775931233882</v>
      </c>
      <c r="F16" s="188">
        <f>ATCUS!F16+CHTR!F16+CMCSA!F16+SATS!F16</f>
        <v>43462.775931233882</v>
      </c>
      <c r="G16" s="188">
        <f>ATCUS!G16+CHTR!G16+CMCSA!G16+SATS!G16</f>
        <v>43462.775931233882</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ATCUS!D17+CHTR!D17+CMCSA!D17+SATS!D17</f>
        <v>0</v>
      </c>
      <c r="E17" s="188">
        <f>ATCUS!E17+CHTR!E17+CMCSA!E17+SATS!E17</f>
        <v>0</v>
      </c>
      <c r="F17" s="188">
        <f>ATCUS!F17+CHTR!F17+CMCSA!F17+SATS!F17</f>
        <v>0</v>
      </c>
      <c r="G17" s="188">
        <f>ATCUS!G17+CHTR!G17+CMCSA!G17+SATS!G17</f>
        <v>0</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291</v>
      </c>
      <c r="C18" s="209"/>
      <c r="D18" s="229">
        <f>ATCUS!D18+CHTR!D18+CMCSA!D18+SATS!D18</f>
        <v>389842.71248116379</v>
      </c>
      <c r="E18" s="229">
        <f>ATCUS!E18+CHTR!E18+CMCSA!E18+SATS!E18</f>
        <v>351030.65809151065</v>
      </c>
      <c r="F18" s="229">
        <f>ATCUS!F18+CHTR!F18+CMCSA!F18+SATS!F18</f>
        <v>335230.07092174172</v>
      </c>
      <c r="G18" s="229">
        <f>ATCUS!G18+CHTR!G18+CMCSA!G18+SATS!G18</f>
        <v>333910.69914069993</v>
      </c>
      <c r="H18" s="230">
        <f>IF(D18=0,"nm",IF(G18=0,"nm",(G18/D18)^(1/3)-1))</f>
        <v>-5.0313411524529839E-2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26"/>
      <c r="U18" s="26"/>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26"/>
      <c r="U19" s="26"/>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9">
        <f>ATCUS!C23+CHTR!C23+CMCSA!C23+SATS!C23</f>
        <v>200975.99116615747</v>
      </c>
      <c r="D23" s="273">
        <f>ATCUS!D23+CHTR!D23+CMCSA!D23+SATS!D23</f>
        <v>200443.65110131731</v>
      </c>
      <c r="E23" s="273">
        <f>ATCUS!E23+CHTR!E23+CMCSA!E23+SATS!E23</f>
        <v>202064.12476444626</v>
      </c>
      <c r="F23" s="273">
        <f>ATCUS!F23+CHTR!F23+CMCSA!F23+SATS!F23</f>
        <v>59583.628850715482</v>
      </c>
      <c r="G23" s="273">
        <f>ATCUS!G23+CHTR!G23+CMCSA!G23+SATS!G23</f>
        <v>59592.483921974235</v>
      </c>
      <c r="H23" s="233">
        <f t="shared" ref="H23:H33" si="0">IF(D23=0,"nm",IF(G23=0,"nm",(G23/D23)^(1/3)-1))</f>
        <v>-0.33257921460153206</v>
      </c>
      <c r="I23" s="209"/>
      <c r="J23" s="249" t="s">
        <v>7</v>
      </c>
      <c r="K23" s="249"/>
      <c r="L23" s="219" t="str">
        <f>L5</f>
        <v>2025E</v>
      </c>
      <c r="M23" s="219" t="str">
        <f>M5</f>
        <v>2026E</v>
      </c>
      <c r="N23" s="219" t="str">
        <f>N5</f>
        <v>2027E</v>
      </c>
      <c r="O23" s="219" t="str">
        <f>O5</f>
        <v>2028E</v>
      </c>
      <c r="P23" s="236" t="str">
        <f>P5</f>
        <v>2025-28</v>
      </c>
      <c r="S23" s="26"/>
      <c r="T23" s="26"/>
      <c r="U23" s="26"/>
      <c r="V23" s="26"/>
      <c r="W23" s="26" t="s">
        <v>402</v>
      </c>
      <c r="X23" s="26" t="s">
        <v>510</v>
      </c>
    </row>
    <row r="24" spans="2:24" ht="12.6" thickTop="1">
      <c r="B24" s="5" t="s">
        <v>397</v>
      </c>
      <c r="C24" s="289">
        <f>ATCUS!C24+CHTR!C24+CMCSA!C24+SATS!C24</f>
        <v>63622.476166157452</v>
      </c>
      <c r="D24" s="273">
        <f>ATCUS!D24+CHTR!D24+CMCSA!D24+SATS!D24</f>
        <v>64231.617671619395</v>
      </c>
      <c r="E24" s="273">
        <f>ATCUS!E24+CHTR!E24+CMCSA!E24+SATS!E24</f>
        <v>66099.086406459799</v>
      </c>
      <c r="F24" s="273">
        <f>ATCUS!F24+CHTR!F24+CMCSA!F24+SATS!F24</f>
        <v>18275.255356840469</v>
      </c>
      <c r="G24" s="273">
        <f>ATCUS!G24+CHTR!G24+CMCSA!G24+SATS!G24</f>
        <v>19024.090410790512</v>
      </c>
      <c r="H24" s="233">
        <f t="shared" si="0"/>
        <v>-0.33342091865491441</v>
      </c>
      <c r="I24" s="208"/>
      <c r="J24" s="13"/>
      <c r="K24" s="13"/>
      <c r="L24" s="13"/>
      <c r="M24" s="13"/>
      <c r="N24" s="13"/>
      <c r="O24" s="208"/>
      <c r="S24" s="26"/>
      <c r="T24" s="26"/>
      <c r="U24" s="26"/>
      <c r="V24" s="113" t="s">
        <v>225</v>
      </c>
      <c r="W24" s="242">
        <f t="shared" ref="W24:W31" si="1">E37/M9</f>
        <v>0.72994462922520698</v>
      </c>
      <c r="X24" s="242">
        <v>1</v>
      </c>
    </row>
    <row r="25" spans="2:24">
      <c r="B25" s="5" t="s">
        <v>157</v>
      </c>
      <c r="C25" s="289">
        <f>ATCUS!C25+CHTR!C25+CMCSA!C25+SATS!C25</f>
        <v>40162.31716615746</v>
      </c>
      <c r="D25" s="273">
        <f>ATCUS!D25+CHTR!D25+CMCSA!D25+SATS!D25</f>
        <v>38175.837722509881</v>
      </c>
      <c r="E25" s="273">
        <f>ATCUS!E25+CHTR!E25+CMCSA!E25+SATS!E25</f>
        <v>40441.627582353562</v>
      </c>
      <c r="F25" s="273">
        <f>ATCUS!F25+CHTR!F25+CMCSA!F25+SATS!F25</f>
        <v>12897.072909599989</v>
      </c>
      <c r="G25" s="273">
        <f>ATCUS!G25+CHTR!G25+CMCSA!G25+SATS!G25</f>
        <v>12751.565152522635</v>
      </c>
      <c r="H25" s="233">
        <f t="shared" si="0"/>
        <v>-0.30616164120376743</v>
      </c>
      <c r="I25" s="209"/>
      <c r="J25" s="207" t="s">
        <v>8</v>
      </c>
      <c r="K25" s="207"/>
      <c r="L25" s="258">
        <f>CHTR!L25+CMCSA!L25</f>
        <v>0</v>
      </c>
      <c r="M25" s="258">
        <f>CHTR!M25+CMCSA!M25</f>
        <v>0</v>
      </c>
      <c r="N25" s="258">
        <f>CHTR!N25+CMCSA!N25</f>
        <v>0</v>
      </c>
      <c r="O25" s="258">
        <f>CHTR!O25+CMCSA!O25</f>
        <v>0</v>
      </c>
      <c r="P25" s="272" t="str">
        <f>IF(L25=0,"nm",IF(O25=0,"nm",(O25/L25)^(1/3)-1))</f>
        <v>nm</v>
      </c>
      <c r="Q25" s="5"/>
      <c r="S25" s="26"/>
      <c r="T25" s="26"/>
      <c r="U25" s="26"/>
      <c r="V25" s="113" t="s">
        <v>158</v>
      </c>
      <c r="W25" s="242">
        <f t="shared" si="1"/>
        <v>0.7714192146670712</v>
      </c>
      <c r="X25" s="242">
        <v>1</v>
      </c>
    </row>
    <row r="26" spans="2:24">
      <c r="B26" s="5" t="s">
        <v>487</v>
      </c>
      <c r="C26" s="289">
        <f>ATCUS!C26+CHTR!C26+CMCSA!C26+SATS!C26</f>
        <v>25760.489258002344</v>
      </c>
      <c r="D26" s="273">
        <f>ATCUS!D26+CHTR!D26+CMCSA!D26+SATS!D26</f>
        <v>24185.732817417105</v>
      </c>
      <c r="E26" s="273">
        <f>ATCUS!E26+CHTR!E26+CMCSA!E26+SATS!E26</f>
        <v>26094.452954126336</v>
      </c>
      <c r="F26" s="273">
        <f>ATCUS!F26+CHTR!F26+CMCSA!F26+SATS!F26</f>
        <v>8253.9594590470169</v>
      </c>
      <c r="G26" s="273">
        <f>ATCUS!G26+CHTR!G26+CMCSA!G26+SATS!G26</f>
        <v>8123.1473330416902</v>
      </c>
      <c r="H26" s="233">
        <f t="shared" si="0"/>
        <v>-0.30488761506476691</v>
      </c>
      <c r="I26" s="209"/>
      <c r="J26" s="209" t="s">
        <v>9</v>
      </c>
      <c r="K26" s="209"/>
      <c r="L26" s="189">
        <f>CHTR!L26+CMCSA!L26</f>
        <v>162567.59815133977</v>
      </c>
      <c r="M26" s="189">
        <f>CHTR!M26+CMCSA!M26</f>
        <v>155042.77676661083</v>
      </c>
      <c r="N26" s="189">
        <f>CHTR!N26+CMCSA!N26</f>
        <v>149920.889792</v>
      </c>
      <c r="O26" s="189">
        <f>CHTR!O26+CMCSA!O26</f>
        <v>147330.40795399999</v>
      </c>
      <c r="P26" s="272">
        <f>IF(L26=0,"nm",IF(O26=0,"nm",(O26/L26)^(1/3)-1))</f>
        <v>-3.2273128182289224E-2</v>
      </c>
      <c r="Q26" s="25"/>
      <c r="S26" s="26"/>
      <c r="T26" s="26"/>
      <c r="U26" s="26"/>
      <c r="V26" s="113" t="s">
        <v>159</v>
      </c>
      <c r="W26" s="242">
        <f t="shared" si="1"/>
        <v>0.72866454910841461</v>
      </c>
      <c r="X26" s="242">
        <v>1</v>
      </c>
    </row>
    <row r="27" spans="2:24">
      <c r="B27" s="5" t="s">
        <v>488</v>
      </c>
      <c r="C27" s="289">
        <f>ATCUS!C27+CHTR!C27+CMCSA!C27+SATS!C27</f>
        <v>338505.73865928862</v>
      </c>
      <c r="D27" s="273">
        <f>ATCUS!D27+CHTR!D27+CMCSA!D27+SATS!D27</f>
        <v>343748.65467199998</v>
      </c>
      <c r="E27" s="273">
        <f>ATCUS!E27+CHTR!E27+CMCSA!E27+SATS!E27</f>
        <v>349187.16860000003</v>
      </c>
      <c r="F27" s="273">
        <f>ATCUS!F27+CHTR!F27+CMCSA!F27+SATS!F27</f>
        <v>349314.52</v>
      </c>
      <c r="G27" s="273">
        <f>ATCUS!G27+CHTR!G27+CMCSA!G27+SATS!G27</f>
        <v>361043.60723494441</v>
      </c>
      <c r="H27" s="233">
        <f t="shared" si="0"/>
        <v>1.6497272107954819E-2</v>
      </c>
      <c r="I27" s="208"/>
      <c r="J27" s="208"/>
      <c r="K27" s="208"/>
      <c r="L27" s="208"/>
      <c r="M27" s="208"/>
      <c r="N27" s="208"/>
      <c r="O27" s="208"/>
      <c r="Q27" s="5"/>
      <c r="S27" s="26"/>
      <c r="T27" s="26"/>
      <c r="U27" s="26"/>
      <c r="V27" s="113" t="s">
        <v>381</v>
      </c>
      <c r="W27" s="242">
        <f t="shared" si="1"/>
        <v>0.79128991520582326</v>
      </c>
      <c r="X27" s="242">
        <v>1</v>
      </c>
    </row>
    <row r="28" spans="2:24" ht="12.6" thickBot="1">
      <c r="B28" s="5" t="s">
        <v>492</v>
      </c>
      <c r="C28" s="289">
        <f>ATCUS!C28+CHTR!C28+CMCSA!C28+SATS!C28</f>
        <v>106902.516</v>
      </c>
      <c r="D28" s="273">
        <f>ATCUS!D28+CHTR!D28+CMCSA!D28+SATS!D28</f>
        <v>115801.317</v>
      </c>
      <c r="E28" s="273">
        <f>ATCUS!E28+CHTR!E28+CMCSA!E28+SATS!E28</f>
        <v>122982.622</v>
      </c>
      <c r="F28" s="273">
        <f>ATCUS!F28+CHTR!F28+CMCSA!F28+SATS!F28</f>
        <v>124444.413</v>
      </c>
      <c r="G28" s="273">
        <f>ATCUS!G28+CHTR!G28+CMCSA!G28+SATS!G28</f>
        <v>126359.97990047125</v>
      </c>
      <c r="H28" s="233">
        <f t="shared" si="0"/>
        <v>2.9513430354334069E-2</v>
      </c>
      <c r="I28" s="212"/>
      <c r="J28" s="249" t="s">
        <v>628</v>
      </c>
      <c r="K28" s="249"/>
      <c r="L28" s="249"/>
      <c r="M28" s="249"/>
      <c r="N28" s="220"/>
      <c r="O28" s="220"/>
      <c r="P28" s="220"/>
      <c r="Q28" s="5"/>
      <c r="S28" s="26"/>
      <c r="T28" s="26"/>
      <c r="U28" s="26"/>
      <c r="V28" s="113" t="s">
        <v>434</v>
      </c>
      <c r="W28" s="242">
        <f t="shared" si="1"/>
        <v>0.66478012492282268</v>
      </c>
      <c r="X28" s="242">
        <v>1</v>
      </c>
    </row>
    <row r="29" spans="2:24" ht="12.6" thickTop="1">
      <c r="B29" s="5" t="s">
        <v>489</v>
      </c>
      <c r="C29" s="289">
        <f>ATCUS!C29+CHTR!C29+CMCSA!C29+SATS!C29</f>
        <v>43556.71967413916</v>
      </c>
      <c r="D29" s="273">
        <f>ATCUS!D29+CHTR!D29+CMCSA!D29+SATS!D29</f>
        <v>43700.725029906433</v>
      </c>
      <c r="E29" s="273">
        <f>ATCUS!E29+CHTR!E29+CMCSA!E29+SATS!E29</f>
        <v>45099.804887099766</v>
      </c>
      <c r="F29" s="273">
        <f>ATCUS!F29+CHTR!F29+CMCSA!F29+SATS!F29</f>
        <v>5908.7433631405438</v>
      </c>
      <c r="G29" s="273">
        <f>ATCUS!G29+CHTR!G29+CMCSA!G29+SATS!G29</f>
        <v>6515.8818888996111</v>
      </c>
      <c r="H29" s="233">
        <f t="shared" si="0"/>
        <v>-0.46973269097347681</v>
      </c>
      <c r="I29" s="214"/>
      <c r="J29" s="209"/>
      <c r="K29" s="209"/>
      <c r="L29" s="209"/>
      <c r="M29" s="209"/>
      <c r="N29" s="209"/>
      <c r="O29" s="211"/>
      <c r="Q29" s="5"/>
      <c r="S29" s="26"/>
      <c r="T29" s="26"/>
      <c r="U29" s="26"/>
      <c r="V29" s="113" t="s">
        <v>493</v>
      </c>
      <c r="W29" s="242">
        <f t="shared" si="1"/>
        <v>0.82744025443801039</v>
      </c>
      <c r="X29" s="242">
        <v>1</v>
      </c>
    </row>
    <row r="30" spans="2:24">
      <c r="B30" s="5" t="s">
        <v>490</v>
      </c>
      <c r="C30" s="289">
        <f>ATCUS!C30+CHTR!C30+CMCSA!C30+SATS!C30</f>
        <v>21535.012674139154</v>
      </c>
      <c r="D30" s="273">
        <f>ATCUS!D30+CHTR!D30+CMCSA!D30+SATS!D30</f>
        <v>20983.29710422346</v>
      </c>
      <c r="E30" s="273">
        <f>ATCUS!E30+CHTR!E30+CMCSA!E30+SATS!E30</f>
        <v>22918.295632994566</v>
      </c>
      <c r="F30" s="273">
        <f>ATCUS!F30+CHTR!F30+CMCSA!F30+SATS!F30</f>
        <v>373.49283253883056</v>
      </c>
      <c r="G30" s="273">
        <f>ATCUS!G30+CHTR!G30+CMCSA!G30+SATS!G30</f>
        <v>796.50111523794681</v>
      </c>
      <c r="H30" s="233">
        <f t="shared" si="0"/>
        <v>-0.66392395881441313</v>
      </c>
      <c r="I30" s="214"/>
      <c r="J30" s="208"/>
      <c r="K30" s="208"/>
      <c r="L30" s="208"/>
      <c r="M30" s="208"/>
      <c r="N30" s="208"/>
      <c r="O30" s="5"/>
      <c r="Q30" s="5"/>
      <c r="S30" s="26"/>
      <c r="T30" s="26"/>
      <c r="U30" s="26"/>
      <c r="V30" s="113" t="s">
        <v>390</v>
      </c>
      <c r="W30" s="242">
        <f t="shared" si="1"/>
        <v>0.2562433410947485</v>
      </c>
      <c r="X30" s="242">
        <v>1</v>
      </c>
    </row>
    <row r="31" spans="2:24">
      <c r="B31" s="5" t="s">
        <v>491</v>
      </c>
      <c r="C31" s="289">
        <f>ATCUS!C31+CHTR!C31+CMCSA!C31+SATS!C31</f>
        <v>4741</v>
      </c>
      <c r="D31" s="273">
        <f>ATCUS!D31+CHTR!D31+CMCSA!D31+SATS!D31</f>
        <v>4790.2929887974715</v>
      </c>
      <c r="E31" s="273">
        <f>ATCUS!E31+CHTR!E31+CMCSA!E31+SATS!E31</f>
        <v>5029.4829424364088</v>
      </c>
      <c r="F31" s="273">
        <f>ATCUS!F31+CHTR!F31+CMCSA!F31+SATS!F31</f>
        <v>0</v>
      </c>
      <c r="G31" s="273">
        <f>ATCUS!G31+CHTR!G31+CMCSA!G31+SATS!G31</f>
        <v>0</v>
      </c>
      <c r="H31" s="233" t="str">
        <f t="shared" si="0"/>
        <v>nm</v>
      </c>
      <c r="I31" s="214"/>
      <c r="J31" s="212"/>
      <c r="K31" s="212"/>
      <c r="L31" s="212"/>
      <c r="M31" s="212"/>
      <c r="N31" s="212"/>
      <c r="O31" s="5"/>
      <c r="Q31" s="5"/>
      <c r="S31" s="26"/>
      <c r="T31" s="26"/>
      <c r="U31" s="26"/>
      <c r="V31" s="113" t="s">
        <v>437</v>
      </c>
      <c r="W31" s="242">
        <f t="shared" si="1"/>
        <v>0.67943021990822638</v>
      </c>
      <c r="X31" s="242">
        <v>1</v>
      </c>
    </row>
    <row r="32" spans="2:24">
      <c r="B32" s="5" t="s">
        <v>506</v>
      </c>
      <c r="C32" s="289">
        <f>ATCUS!C32+CHTR!C32+CMCSA!C32+SATS!C32</f>
        <v>23605</v>
      </c>
      <c r="D32" s="273">
        <f>ATCUS!D32+CHTR!D32+CMCSA!D32+SATS!D32</f>
        <v>18438.035303290708</v>
      </c>
      <c r="E32" s="273">
        <f>ATCUS!E32+CHTR!E32+CMCSA!E32+SATS!E32</f>
        <v>23281.799116981725</v>
      </c>
      <c r="F32" s="273">
        <f>ATCUS!F32+CHTR!F32+CMCSA!F32+SATS!F32</f>
        <v>-6.9720723069692792E-2</v>
      </c>
      <c r="G32" s="273">
        <f>ATCUS!G32+CHTR!G32+CMCSA!G32+SATS!G32</f>
        <v>0</v>
      </c>
      <c r="H32" s="233" t="str">
        <f t="shared" si="0"/>
        <v>nm</v>
      </c>
      <c r="I32" s="5"/>
      <c r="J32" s="214"/>
      <c r="K32" s="214"/>
      <c r="L32" s="214"/>
      <c r="M32" s="214"/>
      <c r="N32" s="214"/>
      <c r="O32" s="211"/>
      <c r="Q32" s="5"/>
      <c r="S32" s="26"/>
      <c r="T32" s="26"/>
      <c r="U32" s="26"/>
      <c r="V32" s="113" t="s">
        <v>481</v>
      </c>
      <c r="W32" s="242">
        <f>M17/E45</f>
        <v>1.5292333469814654</v>
      </c>
      <c r="X32" s="242">
        <v>1</v>
      </c>
    </row>
    <row r="33" spans="2:24">
      <c r="B33" s="5" t="s">
        <v>3</v>
      </c>
      <c r="C33" s="289">
        <f>ATCUS!C33+CHTR!C33+CMCSA!C33+SATS!C33</f>
        <v>-4116.848</v>
      </c>
      <c r="D33" s="273">
        <f>ATCUS!D33+CHTR!D33+CMCSA!D33+SATS!D33</f>
        <v>-3842.8264086044619</v>
      </c>
      <c r="E33" s="273">
        <f>ATCUS!E33+CHTR!E33+CMCSA!E33+SATS!E33</f>
        <v>-4307.0268812163395</v>
      </c>
      <c r="F33" s="273" t="e">
        <f>ATCUS!F33+CHTR!F33+CMCSA!F33+SATS!F33</f>
        <v>#DIV/0!</v>
      </c>
      <c r="G33" s="273">
        <f>ATCUS!G33+CHTR!G33+CMCSA!G33+SATS!G33</f>
        <v>83.791000000000054</v>
      </c>
      <c r="H33" s="233">
        <f t="shared" si="0"/>
        <v>-1.2793715660603437</v>
      </c>
      <c r="I33" s="33"/>
      <c r="J33" s="214"/>
      <c r="K33" s="214"/>
      <c r="L33" s="214"/>
      <c r="M33" s="214"/>
      <c r="N33" s="214"/>
      <c r="O33" s="211"/>
      <c r="Q33" s="5"/>
      <c r="S33" s="26"/>
      <c r="T33" s="26"/>
      <c r="U33" s="26"/>
      <c r="V33" s="113" t="s">
        <v>218</v>
      </c>
      <c r="W33" s="242">
        <f>N19/F47</f>
        <v>1.5020402237188684</v>
      </c>
      <c r="X33" s="242">
        <v>1</v>
      </c>
    </row>
    <row r="34" spans="2:24">
      <c r="H34" s="231"/>
      <c r="I34" s="214"/>
      <c r="J34" s="214"/>
      <c r="K34" s="214"/>
      <c r="L34" s="214"/>
      <c r="M34" s="214"/>
      <c r="N34" s="214"/>
      <c r="O34" s="211"/>
      <c r="Q34" s="5"/>
      <c r="S34" s="26"/>
      <c r="T34" s="26"/>
      <c r="U34" s="26"/>
      <c r="V34" s="26"/>
      <c r="W34" s="26"/>
      <c r="X34" s="26"/>
    </row>
    <row r="35" spans="2:24" ht="12.6" thickBot="1">
      <c r="B35" s="249" t="s">
        <v>594</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1.9448992788707078</v>
      </c>
      <c r="E37" s="48">
        <f t="shared" si="2"/>
        <v>1.7372240544961668</v>
      </c>
      <c r="F37" s="48">
        <f t="shared" si="2"/>
        <v>5.6262110480321352</v>
      </c>
      <c r="G37" s="48">
        <f t="shared" si="2"/>
        <v>5.6032351257231809</v>
      </c>
      <c r="H37" s="13">
        <f t="shared" ref="H37:H45" si="3">H23</f>
        <v>-0.33257921460153206</v>
      </c>
      <c r="I37" s="217"/>
      <c r="J37" s="217"/>
      <c r="K37" s="217"/>
      <c r="L37" s="217"/>
      <c r="M37" s="217"/>
      <c r="N37" s="217"/>
      <c r="O37" s="14"/>
      <c r="Q37" s="5"/>
      <c r="R37" s="5"/>
      <c r="S37" s="26"/>
      <c r="T37" s="26"/>
      <c r="U37" s="26"/>
      <c r="V37" s="26"/>
      <c r="W37" s="26"/>
      <c r="X37" s="26"/>
    </row>
    <row r="38" spans="2:24">
      <c r="B38" s="5" t="s">
        <v>158</v>
      </c>
      <c r="C38" s="207"/>
      <c r="D38" s="48">
        <f t="shared" si="2"/>
        <v>6.069327328391652</v>
      </c>
      <c r="E38" s="48">
        <f t="shared" si="2"/>
        <v>5.3106733719878578</v>
      </c>
      <c r="F38" s="48">
        <f t="shared" si="2"/>
        <v>18.343386419290955</v>
      </c>
      <c r="G38" s="48">
        <f t="shared" si="2"/>
        <v>17.551992864337155</v>
      </c>
      <c r="H38" s="13">
        <f t="shared" si="3"/>
        <v>-0.33342091865491441</v>
      </c>
      <c r="I38" s="13"/>
      <c r="J38" s="13"/>
      <c r="K38" s="13"/>
      <c r="L38" s="13"/>
      <c r="M38" s="13"/>
      <c r="N38" s="13"/>
      <c r="O38" s="5"/>
      <c r="Q38" s="5"/>
      <c r="R38" s="5"/>
      <c r="S38" s="26"/>
      <c r="T38" s="26"/>
      <c r="U38" s="26"/>
      <c r="V38" s="26"/>
      <c r="W38" s="26"/>
      <c r="X38" s="26"/>
    </row>
    <row r="39" spans="2:24">
      <c r="B39" s="5" t="s">
        <v>159</v>
      </c>
      <c r="C39" s="207"/>
      <c r="D39" s="48">
        <f t="shared" si="2"/>
        <v>10.211765759138748</v>
      </c>
      <c r="E39" s="48">
        <f t="shared" si="2"/>
        <v>8.6799339956505754</v>
      </c>
      <c r="F39" s="48">
        <f t="shared" si="2"/>
        <v>25.992725114565481</v>
      </c>
      <c r="G39" s="48">
        <f t="shared" si="2"/>
        <v>26.185859943211955</v>
      </c>
      <c r="H39" s="13">
        <f t="shared" si="3"/>
        <v>-0.30616164120376743</v>
      </c>
      <c r="I39" s="5"/>
      <c r="J39" s="5"/>
      <c r="K39" s="5"/>
      <c r="L39" s="5"/>
      <c r="M39" s="5"/>
      <c r="N39" s="5"/>
      <c r="O39" s="5"/>
      <c r="Q39" s="5"/>
      <c r="R39" s="5"/>
      <c r="S39" s="26"/>
      <c r="T39" s="26"/>
      <c r="U39" s="26"/>
      <c r="V39" s="26"/>
      <c r="W39" s="242"/>
      <c r="X39" s="242"/>
    </row>
    <row r="40" spans="2:24">
      <c r="B40" s="5" t="s">
        <v>381</v>
      </c>
      <c r="C40" s="207"/>
      <c r="D40" s="48">
        <f t="shared" si="2"/>
        <v>16.118705826454125</v>
      </c>
      <c r="E40" s="48">
        <f t="shared" si="2"/>
        <v>13.452309527569609</v>
      </c>
      <c r="F40" s="48">
        <f t="shared" si="2"/>
        <v>40.614455714863254</v>
      </c>
      <c r="G40" s="48">
        <f t="shared" si="2"/>
        <v>41.106074462355956</v>
      </c>
      <c r="H40" s="13">
        <f t="shared" si="3"/>
        <v>-0.30488761506476691</v>
      </c>
      <c r="I40" s="207"/>
      <c r="J40" s="217"/>
      <c r="K40" s="217"/>
      <c r="L40" s="217"/>
      <c r="M40" s="217"/>
      <c r="N40" s="217"/>
      <c r="O40" s="14"/>
      <c r="Q40" s="5"/>
      <c r="R40" s="5"/>
      <c r="S40" s="26"/>
      <c r="T40" s="26"/>
      <c r="U40" s="26"/>
      <c r="V40" s="26"/>
      <c r="W40" s="242"/>
      <c r="X40" s="242"/>
    </row>
    <row r="41" spans="2:24">
      <c r="B41" s="5" t="s">
        <v>434</v>
      </c>
      <c r="C41" s="207"/>
      <c r="D41" s="48">
        <f t="shared" si="2"/>
        <v>1.1340923293304117</v>
      </c>
      <c r="E41" s="48">
        <f t="shared" si="2"/>
        <v>1.005279373520229</v>
      </c>
      <c r="F41" s="48">
        <f t="shared" si="2"/>
        <v>0.95967974913193332</v>
      </c>
      <c r="G41" s="48">
        <f t="shared" si="2"/>
        <v>0.92484866772176888</v>
      </c>
      <c r="H41" s="13">
        <f t="shared" si="3"/>
        <v>1.6497272107954819E-2</v>
      </c>
      <c r="I41" s="208"/>
      <c r="J41" s="13"/>
      <c r="K41" s="13"/>
      <c r="L41" s="13"/>
      <c r="M41" s="13"/>
      <c r="N41" s="13"/>
      <c r="O41" s="5"/>
      <c r="Q41" s="5"/>
      <c r="R41" s="5"/>
      <c r="S41" s="26"/>
      <c r="T41" s="26"/>
      <c r="U41" s="26"/>
      <c r="V41" s="26"/>
      <c r="W41" s="242"/>
      <c r="X41" s="242"/>
    </row>
    <row r="42" spans="2:24">
      <c r="B42" s="5" t="s">
        <v>493</v>
      </c>
      <c r="C42" s="207"/>
      <c r="D42" s="48">
        <f>D18/D28</f>
        <v>3.3664790917806555</v>
      </c>
      <c r="E42" s="48">
        <f>E18/E28</f>
        <v>2.8543110594235879</v>
      </c>
      <c r="F42" s="48">
        <f>F18/F28</f>
        <v>2.6938137505758633</v>
      </c>
      <c r="G42" s="48">
        <f>G18/G28</f>
        <v>2.6425352346819628</v>
      </c>
      <c r="H42" s="13">
        <f t="shared" si="3"/>
        <v>2.9513430354334069E-2</v>
      </c>
      <c r="I42" s="207"/>
      <c r="J42" s="5"/>
      <c r="K42" s="5"/>
      <c r="L42" s="5"/>
      <c r="M42" s="5"/>
      <c r="N42" s="5"/>
      <c r="O42" s="5"/>
      <c r="Q42" s="5"/>
      <c r="R42" s="5"/>
      <c r="S42" s="26"/>
      <c r="T42" s="26"/>
      <c r="U42" s="26"/>
      <c r="V42" s="26"/>
      <c r="W42" s="242"/>
      <c r="X42" s="242"/>
    </row>
    <row r="43" spans="2:24">
      <c r="B43" s="5" t="s">
        <v>390</v>
      </c>
      <c r="C43" s="207"/>
      <c r="D43" s="48">
        <f>L26/D29</f>
        <v>3.7200206184242304</v>
      </c>
      <c r="E43" s="48">
        <f>M26/E29</f>
        <v>3.437770454988351</v>
      </c>
      <c r="F43" s="48">
        <f>N26/F29</f>
        <v>25.372719811664975</v>
      </c>
      <c r="G43" s="48">
        <f>O26/G29</f>
        <v>22.610969699280545</v>
      </c>
      <c r="H43" s="13">
        <f t="shared" si="3"/>
        <v>-0.46973269097347681</v>
      </c>
      <c r="I43" s="207"/>
      <c r="J43" s="207"/>
      <c r="K43" s="207"/>
      <c r="L43" s="207"/>
      <c r="M43" s="207"/>
      <c r="N43" s="207"/>
      <c r="O43" s="14"/>
      <c r="Q43" s="5"/>
      <c r="R43" s="5"/>
      <c r="S43" s="26"/>
      <c r="T43" s="26"/>
      <c r="U43" s="26"/>
      <c r="V43" s="26"/>
      <c r="W43" s="255"/>
      <c r="X43" s="255"/>
    </row>
    <row r="44" spans="2:24">
      <c r="B44" s="5" t="s">
        <v>437</v>
      </c>
      <c r="C44" s="53"/>
      <c r="D44" s="48">
        <f>D11/D30</f>
        <v>9.7501690793248272</v>
      </c>
      <c r="E44" s="48">
        <f>E11/E30</f>
        <v>8.598979993169177</v>
      </c>
      <c r="F44" s="48">
        <f>F11/F30</f>
        <v>513.96005321223572</v>
      </c>
      <c r="G44" s="48">
        <f>G11/G30</f>
        <v>237.75826996986964</v>
      </c>
      <c r="H44" s="13">
        <f t="shared" si="3"/>
        <v>-0.66392395881441313</v>
      </c>
      <c r="I44" s="208"/>
      <c r="J44" s="208"/>
      <c r="K44" s="208"/>
      <c r="L44" s="208"/>
      <c r="M44" s="208"/>
      <c r="N44" s="208"/>
      <c r="O44" s="208"/>
      <c r="Q44" s="5"/>
      <c r="R44" s="5"/>
      <c r="S44" s="26"/>
      <c r="T44" s="26"/>
      <c r="U44" s="26"/>
      <c r="V44" s="26"/>
      <c r="W44" s="26"/>
      <c r="X44" s="26"/>
    </row>
    <row r="45" spans="2:24">
      <c r="B45" s="5" t="s">
        <v>481</v>
      </c>
      <c r="C45" s="207"/>
      <c r="D45" s="208">
        <f>D31/D11</f>
        <v>2.3414031600891949E-2</v>
      </c>
      <c r="E45" s="208">
        <f>E31/E11</f>
        <v>2.5520788230292895E-2</v>
      </c>
      <c r="F45" s="208">
        <f>F31/F11</f>
        <v>0</v>
      </c>
      <c r="G45" s="208">
        <f>G31/G11</f>
        <v>0</v>
      </c>
      <c r="H45" s="13" t="str">
        <f t="shared" si="3"/>
        <v>nm</v>
      </c>
      <c r="I45" s="207"/>
      <c r="J45" s="207"/>
      <c r="K45" s="207"/>
      <c r="L45" s="207"/>
      <c r="M45" s="207"/>
      <c r="N45" s="207"/>
      <c r="O45" s="208"/>
      <c r="Q45" s="5"/>
      <c r="R45" s="5"/>
      <c r="S45" s="26"/>
      <c r="T45" s="26"/>
      <c r="U45" s="26"/>
      <c r="V45" s="26"/>
      <c r="W45" s="26"/>
      <c r="X45" s="26"/>
    </row>
    <row r="46" spans="2:24">
      <c r="B46" s="5" t="s">
        <v>505</v>
      </c>
      <c r="C46" s="207"/>
      <c r="D46" s="208">
        <f>(D31+D32)/D11</f>
        <v>0.1135356050117876</v>
      </c>
      <c r="E46" s="208">
        <f>(E31+E32)/E11</f>
        <v>0.1436581537776308</v>
      </c>
      <c r="F46" s="208">
        <f>(F31+F32)/F11</f>
        <v>-3.6320368415181106E-7</v>
      </c>
      <c r="G46" s="208">
        <f>(G31+G32)/G11</f>
        <v>0</v>
      </c>
      <c r="H46" s="233">
        <f>((G31+G32)/(D31+D32))^(1/3)-1</f>
        <v>-1</v>
      </c>
      <c r="I46" s="13"/>
      <c r="J46" s="207"/>
      <c r="K46" s="207"/>
      <c r="L46" s="207"/>
      <c r="M46" s="207"/>
      <c r="N46" s="207"/>
      <c r="O46" s="14"/>
      <c r="Q46" s="5"/>
      <c r="R46" s="5"/>
      <c r="S46" s="26"/>
      <c r="T46" s="26"/>
      <c r="U46" s="26"/>
      <c r="V46" s="26"/>
      <c r="W46" s="26"/>
      <c r="X46" s="26"/>
    </row>
    <row r="47" spans="2:24">
      <c r="B47" s="5" t="s">
        <v>482</v>
      </c>
      <c r="C47" s="5"/>
      <c r="D47" s="208">
        <f>1/D43</f>
        <v>0.26881571436654877</v>
      </c>
      <c r="E47" s="208">
        <f>1/E43</f>
        <v>0.29088620461815812</v>
      </c>
      <c r="F47" s="208">
        <f>1/F43</f>
        <v>3.9412408579873853E-2</v>
      </c>
      <c r="G47" s="208">
        <f>1/G43</f>
        <v>4.4226320821252475E-2</v>
      </c>
      <c r="H47" s="13">
        <f>H29</f>
        <v>-0.46973269097347681</v>
      </c>
      <c r="I47" s="207"/>
      <c r="J47" s="208"/>
      <c r="K47" s="208"/>
      <c r="L47" s="208"/>
      <c r="M47" s="208"/>
      <c r="N47" s="208"/>
      <c r="O47" s="208"/>
      <c r="Q47" s="5"/>
      <c r="R47" s="5"/>
      <c r="S47" s="5"/>
      <c r="T47" s="5"/>
      <c r="U47" s="5"/>
    </row>
    <row r="48" spans="2:24">
      <c r="B48" s="5" t="s">
        <v>518</v>
      </c>
      <c r="C48" s="5"/>
      <c r="D48" s="248">
        <f>D31/D29</f>
        <v>0.10961586988589439</v>
      </c>
      <c r="E48" s="248">
        <f>E31/E29</f>
        <v>0.1115189512466168</v>
      </c>
      <c r="F48" s="248">
        <f>F31/F29</f>
        <v>0</v>
      </c>
      <c r="G48" s="248">
        <f>G31/G29</f>
        <v>0</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B7C0-A85E-4188-8ACF-C86B6B6ACE46}">
  <sheetPr codeName="Sheet100">
    <pageSetUpPr fitToPage="1"/>
  </sheetPr>
  <dimension ref="B1:AA49"/>
  <sheetViews>
    <sheetView showGridLines="0" zoomScale="80" zoomScaleNormal="80" zoomScaleSheetLayoutView="80" workbookViewId="0"/>
  </sheetViews>
  <sheetFormatPr defaultColWidth="9.109375" defaultRowHeight="12"/>
  <cols>
    <col min="1" max="1" width="2.33203125" style="23" customWidth="1"/>
    <col min="2" max="2" width="26.5546875" style="23" customWidth="1"/>
    <col min="3" max="9" width="10" style="23" customWidth="1"/>
    <col min="10" max="10" width="26.6640625" style="23" customWidth="1"/>
    <col min="11" max="16" width="10" style="23" customWidth="1"/>
    <col min="17" max="19" width="8.6640625" style="23" customWidth="1"/>
    <col min="20" max="27" width="8.6640625" style="5" customWidth="1"/>
    <col min="28" max="28" width="8.6640625" style="23" customWidth="1"/>
    <col min="29" max="16384" width="9.109375" style="23"/>
  </cols>
  <sheetData>
    <row r="1" spans="2:27" s="489" customFormat="1">
      <c r="T1" s="64"/>
      <c r="U1" s="64"/>
      <c r="V1" s="64"/>
      <c r="W1" s="64"/>
      <c r="X1" s="64"/>
      <c r="Y1" s="64"/>
      <c r="Z1" s="64"/>
      <c r="AA1" s="64"/>
    </row>
    <row r="2" spans="2:27" s="115" customFormat="1"/>
    <row r="3" spans="2:27" s="115" customFormat="1">
      <c r="H3" s="119"/>
      <c r="P3" s="119"/>
    </row>
    <row r="4" spans="2:27" s="122" customFormat="1" ht="21">
      <c r="B4" s="100" t="s">
        <v>875</v>
      </c>
      <c r="H4" s="119"/>
      <c r="P4" s="182"/>
    </row>
    <row r="5" spans="2:27" s="115" customFormat="1">
      <c r="C5" s="119"/>
      <c r="D5" s="119" t="s">
        <v>1140</v>
      </c>
      <c r="E5" s="119" t="s">
        <v>1213</v>
      </c>
      <c r="F5" s="119" t="s">
        <v>1305</v>
      </c>
      <c r="G5" s="119" t="s">
        <v>1306</v>
      </c>
      <c r="H5" s="119" t="s">
        <v>1308</v>
      </c>
      <c r="I5" s="119"/>
      <c r="J5" s="119"/>
      <c r="K5" s="119"/>
      <c r="L5" s="119" t="str" cm="1">
        <f t="array" ref="L5:P5">headings</f>
        <v>2025E</v>
      </c>
      <c r="M5" s="119" t="str">
        <v>2026E</v>
      </c>
      <c r="N5" s="119" t="str">
        <v>2027E</v>
      </c>
      <c r="O5" s="119" t="str">
        <v>2028E</v>
      </c>
      <c r="P5" s="119" t="str">
        <v>2025-28</v>
      </c>
      <c r="Q5" s="128"/>
    </row>
    <row r="6" spans="2:27">
      <c r="I6" s="5"/>
      <c r="J6" s="5"/>
      <c r="K6" s="5"/>
      <c r="L6" s="5"/>
      <c r="M6" s="5"/>
      <c r="N6" s="5"/>
      <c r="O6" s="33"/>
    </row>
    <row r="7" spans="2:27" ht="12.6" thickBot="1">
      <c r="B7" s="249" t="s">
        <v>223</v>
      </c>
      <c r="C7" s="219"/>
      <c r="D7" s="219" t="str">
        <f>D5</f>
        <v>2025E</v>
      </c>
      <c r="E7" s="219" t="str">
        <f t="shared" ref="E7:H7" si="0">E5</f>
        <v>2026E</v>
      </c>
      <c r="F7" s="219" t="str">
        <f t="shared" si="0"/>
        <v>2027E</v>
      </c>
      <c r="G7" s="219" t="str">
        <f t="shared" si="0"/>
        <v>2028E</v>
      </c>
      <c r="H7" s="219" t="str">
        <f t="shared" si="0"/>
        <v>2025-28</v>
      </c>
      <c r="I7" s="33"/>
      <c r="J7" s="249" t="s">
        <v>306</v>
      </c>
      <c r="K7" s="249"/>
      <c r="L7" s="219" t="str">
        <f>L5</f>
        <v>2025E</v>
      </c>
      <c r="M7" s="219" t="str">
        <f t="shared" ref="M7:P7" si="1">M5</f>
        <v>2026E</v>
      </c>
      <c r="N7" s="219" t="str">
        <f t="shared" si="1"/>
        <v>2027E</v>
      </c>
      <c r="O7" s="219" t="str">
        <f t="shared" si="1"/>
        <v>2028E</v>
      </c>
      <c r="P7" s="219" t="str">
        <f t="shared" si="1"/>
        <v>2025-28</v>
      </c>
    </row>
    <row r="8" spans="2:27" ht="12.6" thickTop="1">
      <c r="B8" s="5"/>
      <c r="C8" s="5"/>
      <c r="D8" s="5"/>
      <c r="E8" s="5"/>
      <c r="F8" s="5"/>
      <c r="G8" s="5"/>
      <c r="H8" s="5"/>
      <c r="I8" s="5"/>
      <c r="J8" s="5"/>
      <c r="K8" s="5"/>
      <c r="L8" s="5"/>
      <c r="M8" s="5"/>
      <c r="N8" s="5"/>
    </row>
    <row r="9" spans="2:27">
      <c r="B9" s="25" t="s">
        <v>96</v>
      </c>
      <c r="C9" s="221">
        <f>Prices!C96/Prices!C133</f>
        <v>4.848486809648489</v>
      </c>
      <c r="D9" s="407">
        <v>0</v>
      </c>
      <c r="E9" s="407">
        <v>0</v>
      </c>
      <c r="F9" s="407">
        <v>0</v>
      </c>
      <c r="G9" s="407">
        <v>0</v>
      </c>
      <c r="H9" s="209"/>
      <c r="I9" s="209"/>
      <c r="J9" s="5" t="s">
        <v>225</v>
      </c>
      <c r="L9" s="406">
        <f>'EMEA CELLULAR'!D37</f>
        <v>2.6199275856048252</v>
      </c>
      <c r="M9" s="406">
        <f>'EMEA CELLULAR'!E37</f>
        <v>2.1019432698335514</v>
      </c>
      <c r="N9" s="406">
        <f>'EMEA CELLULAR'!F37</f>
        <v>1.7673158441321424</v>
      </c>
      <c r="O9" s="406">
        <f>'EMEA CELLULAR'!G37</f>
        <v>1.490977100486143</v>
      </c>
      <c r="P9" s="240">
        <f>'LATAM INCUMB'!H37</f>
        <v>5.0665939566617801E-2</v>
      </c>
      <c r="U9" s="412">
        <f t="shared" ref="U9:U11" si="2">-C31</f>
        <v>-229</v>
      </c>
      <c r="V9" s="412">
        <f>-D31</f>
        <v>-252.98390000000001</v>
      </c>
      <c r="W9" s="412">
        <f t="shared" ref="W9:Y9" si="3">-E31</f>
        <v>-287.35484699999995</v>
      </c>
      <c r="X9" s="412">
        <f t="shared" si="3"/>
        <v>-333.13961069999993</v>
      </c>
      <c r="Y9" s="412">
        <f t="shared" si="3"/>
        <v>-394.47390527999994</v>
      </c>
    </row>
    <row r="10" spans="2:27">
      <c r="B10" s="5" t="s">
        <v>226</v>
      </c>
      <c r="C10" s="5"/>
      <c r="D10" s="408">
        <v>3631</v>
      </c>
      <c r="E10" s="408">
        <v>3559</v>
      </c>
      <c r="F10" s="408">
        <v>3487</v>
      </c>
      <c r="G10" s="408">
        <v>3415</v>
      </c>
      <c r="H10" s="209"/>
      <c r="I10" s="207"/>
      <c r="J10" s="5" t="s">
        <v>158</v>
      </c>
      <c r="L10" s="406">
        <f>'EMEA CELLULAR'!D38</f>
        <v>7.4049431236829459</v>
      </c>
      <c r="M10" s="406">
        <f>'EMEA CELLULAR'!E38</f>
        <v>6.1564377862490218</v>
      </c>
      <c r="N10" s="406">
        <f>'EMEA CELLULAR'!F38</f>
        <v>4.4837178583666226</v>
      </c>
      <c r="O10" s="406">
        <f>'EMEA CELLULAR'!G38</f>
        <v>3.6958642793873961</v>
      </c>
      <c r="P10" s="240">
        <f>'LATAM INCUMB'!H38</f>
        <v>6.0875991046259958E-2</v>
      </c>
      <c r="U10" s="412">
        <f t="shared" si="2"/>
        <v>-120</v>
      </c>
      <c r="V10" s="412">
        <f t="shared" ref="V10:Y10" si="4">-D32</f>
        <v>-180</v>
      </c>
      <c r="W10" s="412">
        <f t="shared" si="4"/>
        <v>-180</v>
      </c>
      <c r="X10" s="412">
        <f t="shared" si="4"/>
        <v>-180</v>
      </c>
      <c r="Y10" s="412">
        <f t="shared" si="4"/>
        <v>-180</v>
      </c>
    </row>
    <row r="11" spans="2:27">
      <c r="B11" s="25" t="s">
        <v>260</v>
      </c>
      <c r="C11" s="5"/>
      <c r="D11" s="409">
        <f>($C$9*D10)</f>
        <v>17604.855605833665</v>
      </c>
      <c r="E11" s="409">
        <f>($C$9*E10)</f>
        <v>17255.764555538972</v>
      </c>
      <c r="F11" s="409">
        <f>($C$9*F10)</f>
        <v>16906.673505244282</v>
      </c>
      <c r="G11" s="409">
        <f>($C$9*G10)</f>
        <v>16557.582454949588</v>
      </c>
      <c r="H11" s="209"/>
      <c r="I11" s="209"/>
      <c r="J11" s="5" t="s">
        <v>159</v>
      </c>
      <c r="L11" s="406">
        <f>'EMEA CELLULAR'!D39</f>
        <v>13.77606277730415</v>
      </c>
      <c r="M11" s="406">
        <f>'EMEA CELLULAR'!E39</f>
        <v>11.672285536375483</v>
      </c>
      <c r="N11" s="406">
        <f>'EMEA CELLULAR'!F39</f>
        <v>7.4496586865144394</v>
      </c>
      <c r="O11" s="406">
        <f>'EMEA CELLULAR'!G39</f>
        <v>5.9832990727504578</v>
      </c>
      <c r="P11" s="240">
        <f>'LATAM INCUMB'!H39</f>
        <v>7.4245294052326605E-2</v>
      </c>
      <c r="U11" s="412">
        <f t="shared" si="2"/>
        <v>-644</v>
      </c>
      <c r="V11" s="412">
        <f t="shared" ref="V11:Y11" si="5">-D33</f>
        <v>-797.21427346288272</v>
      </c>
      <c r="W11" s="412">
        <f t="shared" si="5"/>
        <v>-650.60910886013778</v>
      </c>
      <c r="X11" s="412">
        <f t="shared" si="5"/>
        <v>-561.36693084543401</v>
      </c>
      <c r="Y11" s="412">
        <f t="shared" si="5"/>
        <v>-463.29201038688348</v>
      </c>
    </row>
    <row r="12" spans="2:27">
      <c r="B12" s="5" t="s">
        <v>22</v>
      </c>
      <c r="C12" s="209"/>
      <c r="D12" s="410">
        <v>1890.9949925471801</v>
      </c>
      <c r="E12" s="410">
        <v>1571.6639319597571</v>
      </c>
      <c r="F12" s="410">
        <v>1099.9045529999821</v>
      </c>
      <c r="G12" s="410">
        <v>566.5204742711835</v>
      </c>
      <c r="H12" s="207"/>
      <c r="I12" s="207"/>
      <c r="J12" s="5" t="s">
        <v>381</v>
      </c>
      <c r="L12" s="406">
        <f>'EMEA CELLULAR'!D40</f>
        <v>19.591583567499963</v>
      </c>
      <c r="M12" s="406">
        <f>'EMEA CELLULAR'!E40</f>
        <v>16.863939410662088</v>
      </c>
      <c r="N12" s="406">
        <f>'EMEA CELLULAR'!F40</f>
        <v>10.664588793239982</v>
      </c>
      <c r="O12" s="406">
        <f>'EMEA CELLULAR'!G40</f>
        <v>8.5573074542660397</v>
      </c>
      <c r="P12" s="240">
        <f>'LATAM INCUMB'!H40</f>
        <v>7.3569162293801948E-2</v>
      </c>
    </row>
    <row r="13" spans="2:27">
      <c r="B13" s="5" t="s">
        <v>433</v>
      </c>
      <c r="C13" s="216"/>
      <c r="D13" s="410">
        <v>1071</v>
      </c>
      <c r="E13" s="410">
        <v>1071</v>
      </c>
      <c r="F13" s="410">
        <v>1071</v>
      </c>
      <c r="G13" s="410">
        <v>1071</v>
      </c>
      <c r="H13" s="207"/>
      <c r="I13" s="207"/>
      <c r="J13" s="5" t="s">
        <v>434</v>
      </c>
      <c r="L13" s="406">
        <f>'EMEA CELLULAR'!D41</f>
        <v>2.4931198659149474</v>
      </c>
      <c r="M13" s="406">
        <f>'EMEA CELLULAR'!E41</f>
        <v>2.1495302617941814</v>
      </c>
      <c r="N13" s="406">
        <f>'EMEA CELLULAR'!F41</f>
        <v>2.0138651536880712</v>
      </c>
      <c r="O13" s="406">
        <f>'EMEA CELLULAR'!G41</f>
        <v>1.7818698478870838</v>
      </c>
      <c r="P13" s="240">
        <f>'LATAM INCUMB'!H41</f>
        <v>-5.2468040419312301E-3</v>
      </c>
    </row>
    <row r="14" spans="2:27">
      <c r="B14" s="5" t="s">
        <v>436</v>
      </c>
      <c r="C14" s="216"/>
      <c r="D14" s="410">
        <v>0</v>
      </c>
      <c r="E14" s="410">
        <v>0</v>
      </c>
      <c r="F14" s="410">
        <v>0</v>
      </c>
      <c r="G14" s="410">
        <v>0</v>
      </c>
      <c r="H14" s="207"/>
      <c r="I14" s="207"/>
      <c r="J14" s="5" t="s">
        <v>493</v>
      </c>
      <c r="L14" s="406">
        <f>'EMEA CELLULAR'!D42</f>
        <v>3.2594845164113617</v>
      </c>
      <c r="M14" s="406">
        <f>'EMEA CELLULAR'!E42</f>
        <v>2.7593129191981953</v>
      </c>
      <c r="N14" s="406">
        <f>'EMEA CELLULAR'!F42</f>
        <v>2.4319311799132723</v>
      </c>
      <c r="O14" s="406">
        <f>'EMEA CELLULAR'!G42</f>
        <v>2.1027645091274914</v>
      </c>
      <c r="P14" s="240">
        <f>'LATAM INCUMB'!H42</f>
        <v>-6.0690912550466325E-2</v>
      </c>
    </row>
    <row r="15" spans="2:27">
      <c r="B15" s="5" t="s">
        <v>435</v>
      </c>
      <c r="C15" s="228"/>
      <c r="D15" s="410">
        <v>4433.0651148729567</v>
      </c>
      <c r="E15" s="410">
        <v>4433.0651148729567</v>
      </c>
      <c r="F15" s="410">
        <v>4433.0651148729567</v>
      </c>
      <c r="G15" s="410">
        <v>4433.0651148729567</v>
      </c>
      <c r="H15" s="207"/>
      <c r="I15" s="207"/>
      <c r="J15" s="5" t="s">
        <v>390</v>
      </c>
      <c r="L15" s="406">
        <f>'EMEA CELLULAR'!D43</f>
        <v>23.450165248936997</v>
      </c>
      <c r="M15" s="406">
        <f>'EMEA CELLULAR'!E43</f>
        <v>15.410353469940693</v>
      </c>
      <c r="N15" s="406">
        <f>'EMEA CELLULAR'!F43</f>
        <v>12.326327706891529</v>
      </c>
      <c r="O15" s="406">
        <f>'EMEA CELLULAR'!G43</f>
        <v>10.503745422567203</v>
      </c>
      <c r="P15" s="240">
        <f>'LATAM INCUMB'!H43</f>
        <v>0.10462959461893884</v>
      </c>
    </row>
    <row r="16" spans="2:27">
      <c r="B16" s="5" t="s">
        <v>438</v>
      </c>
      <c r="C16" s="216"/>
      <c r="D16" s="410">
        <v>0</v>
      </c>
      <c r="E16" s="410">
        <v>284.12564699999996</v>
      </c>
      <c r="F16" s="410">
        <v>613.48709369999983</v>
      </c>
      <c r="G16" s="410">
        <v>1003.4272021799998</v>
      </c>
      <c r="H16" s="207"/>
      <c r="I16" s="207"/>
      <c r="J16" s="5" t="s">
        <v>437</v>
      </c>
      <c r="L16" s="406">
        <f>'EMEA CELLULAR'!D44</f>
        <v>13.987504843658609</v>
      </c>
      <c r="M16" s="406">
        <f>'EMEA CELLULAR'!E44</f>
        <v>10.43067037532062</v>
      </c>
      <c r="N16" s="406">
        <f>'EMEA CELLULAR'!F44</f>
        <v>8.2767848489788651</v>
      </c>
      <c r="O16" s="406">
        <f>'EMEA CELLULAR'!G44</f>
        <v>7.004852314981683</v>
      </c>
      <c r="P16" s="240">
        <f>'LATAM INCUMB'!H44</f>
        <v>0.16071026751292017</v>
      </c>
    </row>
    <row r="17" spans="2:24">
      <c r="B17" s="5" t="s">
        <v>4</v>
      </c>
      <c r="C17" s="216"/>
      <c r="D17" s="410">
        <v>0</v>
      </c>
      <c r="E17" s="410">
        <v>0</v>
      </c>
      <c r="F17" s="410">
        <v>0</v>
      </c>
      <c r="G17" s="410">
        <v>0</v>
      </c>
      <c r="H17" s="207"/>
      <c r="I17" s="207"/>
      <c r="J17" s="5" t="s">
        <v>481</v>
      </c>
      <c r="L17" s="208">
        <f>'EMEA CELLULAR'!D45</f>
        <v>3.0544287380878801E-2</v>
      </c>
      <c r="M17" s="208">
        <f>'EMEA CELLULAR'!E45</f>
        <v>4.395508539543818E-2</v>
      </c>
      <c r="N17" s="208">
        <f>'EMEA CELLULAR'!F45</f>
        <v>5.3871956178551617E-2</v>
      </c>
      <c r="O17" s="208">
        <f>'EMEA CELLULAR'!G45</f>
        <v>6.3557237996527752E-2</v>
      </c>
      <c r="P17" s="240">
        <f>'LATAM INCUMB'!H45</f>
        <v>0.19536350766533772</v>
      </c>
      <c r="S17" s="72"/>
      <c r="T17" s="26"/>
      <c r="U17" s="26"/>
      <c r="V17" s="26"/>
      <c r="W17" s="26"/>
      <c r="X17" s="26"/>
    </row>
    <row r="18" spans="2:24" ht="12.6" thickBot="1">
      <c r="B18" s="25" t="s">
        <v>76</v>
      </c>
      <c r="C18" s="209"/>
      <c r="D18" s="411">
        <f>D11+D12+D13-D14+D15-D16-D17</f>
        <v>24999.915713253802</v>
      </c>
      <c r="E18" s="411">
        <f>E11+E12+E13-E14+E15-E16-E17</f>
        <v>24047.367955371683</v>
      </c>
      <c r="F18" s="411">
        <f>F11+F12+F13-F14+F15-F16-F17</f>
        <v>22897.156079417218</v>
      </c>
      <c r="G18" s="411">
        <f>G11+G12+G13-G14+G15-G16-G17</f>
        <v>21624.740841913728</v>
      </c>
      <c r="H18" s="230">
        <f>IF(D18=0,"nm",IF(G18=0,"nm",(G18/D18)^(1/3)-1))</f>
        <v>-4.7194791984891404E-2</v>
      </c>
      <c r="I18" s="214"/>
      <c r="J18" s="5" t="s">
        <v>33</v>
      </c>
      <c r="L18" s="208">
        <f>'EMEA CELLULAR'!D46</f>
        <v>2.6498586982557595E-2</v>
      </c>
      <c r="M18" s="208">
        <f>'EMEA CELLULAR'!E46</f>
        <v>1.0808246113551016E-2</v>
      </c>
      <c r="N18" s="208">
        <f>'EMEA CELLULAR'!F46</f>
        <v>5.7520239450434246E-2</v>
      </c>
      <c r="O18" s="208">
        <f>'EMEA CELLULAR'!G46</f>
        <v>6.7155888346752513E-2</v>
      </c>
      <c r="P18" s="240">
        <f>'LATAM INCUMB'!H46</f>
        <v>0.20721494761880854</v>
      </c>
      <c r="S18" s="72"/>
      <c r="T18" s="26"/>
      <c r="U18" s="26"/>
      <c r="V18" s="26"/>
      <c r="W18" s="26"/>
      <c r="X18" s="26"/>
    </row>
    <row r="19" spans="2:24" ht="12.6" thickTop="1">
      <c r="B19" s="25"/>
      <c r="C19" s="209"/>
      <c r="D19" s="189"/>
      <c r="E19" s="189"/>
      <c r="F19" s="189"/>
      <c r="G19" s="189"/>
      <c r="H19" s="230"/>
      <c r="I19" s="214"/>
      <c r="J19" s="5" t="s">
        <v>482</v>
      </c>
      <c r="L19" s="208">
        <f>'EMEA CELLULAR'!D47</f>
        <v>4.2643622737171552E-2</v>
      </c>
      <c r="M19" s="208">
        <f>'EMEA CELLULAR'!E47</f>
        <v>6.4891438210719285E-2</v>
      </c>
      <c r="N19" s="208">
        <f>'EMEA CELLULAR'!F47</f>
        <v>8.1127163237831965E-2</v>
      </c>
      <c r="O19" s="208">
        <f>'EMEA CELLULAR'!G47</f>
        <v>9.5204135265074971E-2</v>
      </c>
      <c r="P19" s="240">
        <f>'LATAM INCUMB'!H47</f>
        <v>0.10462959461893884</v>
      </c>
      <c r="S19" s="72"/>
      <c r="T19" s="26"/>
      <c r="U19" s="26"/>
      <c r="V19" s="26"/>
      <c r="W19" s="26"/>
      <c r="X19" s="26"/>
    </row>
    <row r="20" spans="2:24">
      <c r="H20" s="231"/>
      <c r="I20" s="13"/>
      <c r="J20" s="5" t="s">
        <v>504</v>
      </c>
      <c r="L20" s="248">
        <f>'EMEA CELLULAR'!D48</f>
        <v>0.71626858649262892</v>
      </c>
      <c r="M20" s="248">
        <f>'EMEA CELLULAR'!E48</f>
        <v>0.67736340274513018</v>
      </c>
      <c r="N20" s="248">
        <f>'EMEA CELLULAR'!F48</f>
        <v>0.66404338606812718</v>
      </c>
      <c r="O20" s="248">
        <f>'EMEA CELLULAR'!G48</f>
        <v>0.66758904767704264</v>
      </c>
      <c r="P20" s="240" t="str">
        <f>'LATAM INCUMB'!H48</f>
        <v>nm</v>
      </c>
      <c r="S20" s="72"/>
      <c r="T20" s="26"/>
      <c r="U20" s="26"/>
      <c r="V20" s="26"/>
      <c r="W20" s="26"/>
      <c r="X20" s="26"/>
    </row>
    <row r="21" spans="2:24" ht="12.6" thickBot="1">
      <c r="B21" s="249" t="s">
        <v>758</v>
      </c>
      <c r="C21" s="219"/>
      <c r="D21" s="219" t="str">
        <f>D5</f>
        <v>2025E</v>
      </c>
      <c r="E21" s="219" t="str">
        <f t="shared" ref="E21:H21" si="6">E5</f>
        <v>2026E</v>
      </c>
      <c r="F21" s="219" t="str">
        <f t="shared" si="6"/>
        <v>2027E</v>
      </c>
      <c r="G21" s="219" t="str">
        <f t="shared" si="6"/>
        <v>2028E</v>
      </c>
      <c r="H21" s="219" t="str">
        <f t="shared" si="6"/>
        <v>2025-28</v>
      </c>
      <c r="I21" s="33"/>
      <c r="J21" s="25"/>
      <c r="L21" s="210"/>
      <c r="M21" s="210"/>
      <c r="N21" s="210"/>
      <c r="O21" s="210"/>
      <c r="P21" s="240"/>
      <c r="S21" s="72"/>
      <c r="T21" s="26"/>
      <c r="U21" s="26"/>
      <c r="V21" s="26"/>
      <c r="W21" s="26"/>
      <c r="X21" s="26"/>
    </row>
    <row r="22" spans="2:24" ht="12.6" thickTop="1">
      <c r="B22" s="5"/>
      <c r="C22" s="216"/>
      <c r="D22" s="13"/>
      <c r="E22" s="13"/>
      <c r="F22" s="13"/>
      <c r="G22" s="13"/>
      <c r="H22" s="13"/>
      <c r="I22" s="13"/>
      <c r="P22" s="231"/>
      <c r="S22" s="72"/>
      <c r="T22" s="26"/>
      <c r="U22" s="26"/>
      <c r="V22" s="26"/>
      <c r="W22" s="26"/>
      <c r="X22" s="26"/>
    </row>
    <row r="23" spans="2:24" ht="12.6" thickBot="1">
      <c r="B23" s="5" t="s">
        <v>485</v>
      </c>
      <c r="C23" s="422">
        <v>4955</v>
      </c>
      <c r="D23" s="416">
        <v>6154.9222097339461</v>
      </c>
      <c r="E23" s="416">
        <v>7242.5623784335148</v>
      </c>
      <c r="F23" s="416">
        <v>8130.501478887777</v>
      </c>
      <c r="G23" s="416">
        <v>8918.1083335099174</v>
      </c>
      <c r="H23" s="233">
        <f t="shared" ref="H23:H32" si="7">IF(D23=0,"nm",IF(G23=0,"nm",(G23/D23)^(1/3)-1))</f>
        <v>0.13157512450814335</v>
      </c>
      <c r="I23" s="207"/>
      <c r="J23" s="249" t="s">
        <v>7</v>
      </c>
      <c r="K23" s="249"/>
      <c r="L23" s="219" t="str">
        <f>D21</f>
        <v>2025E</v>
      </c>
      <c r="M23" s="219" t="str">
        <f t="shared" ref="M23:P23" si="8">E21</f>
        <v>2026E</v>
      </c>
      <c r="N23" s="219" t="str">
        <f t="shared" si="8"/>
        <v>2027E</v>
      </c>
      <c r="O23" s="219" t="str">
        <f t="shared" si="8"/>
        <v>2028E</v>
      </c>
      <c r="P23" s="219" t="str">
        <f t="shared" si="8"/>
        <v>2025-28</v>
      </c>
      <c r="S23" s="72"/>
      <c r="T23" s="26"/>
      <c r="U23" s="26"/>
      <c r="V23" s="26"/>
      <c r="W23" s="26"/>
      <c r="X23" s="26"/>
    </row>
    <row r="24" spans="2:24" ht="12.6" thickTop="1">
      <c r="B24" s="5" t="s">
        <v>397</v>
      </c>
      <c r="C24" s="423">
        <v>1675</v>
      </c>
      <c r="D24" s="416">
        <v>2207.7018486120737</v>
      </c>
      <c r="E24" s="416">
        <v>2957.1743354588889</v>
      </c>
      <c r="F24" s="416">
        <v>3485.5506954790703</v>
      </c>
      <c r="G24" s="416">
        <v>3977.2476461773217</v>
      </c>
      <c r="H24" s="233">
        <f t="shared" si="7"/>
        <v>0.21678562603739793</v>
      </c>
      <c r="I24" s="209"/>
      <c r="J24" s="13"/>
      <c r="K24" s="13"/>
      <c r="L24" s="13"/>
      <c r="M24" s="13"/>
      <c r="N24" s="13"/>
      <c r="O24" s="208"/>
      <c r="S24" s="72"/>
      <c r="T24" s="26"/>
      <c r="U24" s="26"/>
      <c r="V24" s="26"/>
      <c r="W24" s="26" t="s">
        <v>473</v>
      </c>
      <c r="X24" s="26" t="s">
        <v>417</v>
      </c>
    </row>
    <row r="25" spans="2:24">
      <c r="B25" s="5" t="s">
        <v>157</v>
      </c>
      <c r="C25" s="422">
        <v>882</v>
      </c>
      <c r="D25" s="416">
        <v>1191.5692603656348</v>
      </c>
      <c r="E25" s="416">
        <v>1759.464691137111</v>
      </c>
      <c r="F25" s="416">
        <v>2245.1544887486207</v>
      </c>
      <c r="G25" s="416">
        <v>2636.9354351829479</v>
      </c>
      <c r="H25" s="233">
        <f t="shared" si="7"/>
        <v>0.3031469796818087</v>
      </c>
      <c r="I25" s="208"/>
      <c r="J25" s="207" t="s">
        <v>8</v>
      </c>
      <c r="K25" s="207"/>
      <c r="L25" s="252">
        <v>0</v>
      </c>
      <c r="M25" s="252">
        <v>0</v>
      </c>
      <c r="N25" s="252">
        <v>0</v>
      </c>
      <c r="O25" s="252">
        <v>0</v>
      </c>
      <c r="P25" s="233" t="str">
        <f>IF(L25=0,"nm",IF(O25=0,"nm",(O25/L25)^(1/3)-1))</f>
        <v>nm</v>
      </c>
      <c r="S25" s="72"/>
      <c r="T25" s="26"/>
      <c r="U25" s="26"/>
      <c r="V25" s="113" t="s">
        <v>225</v>
      </c>
      <c r="W25" s="242">
        <f t="shared" ref="W25:W33" si="9">D37/L9</f>
        <v>1.5503390579526259</v>
      </c>
      <c r="X25" s="242">
        <v>1</v>
      </c>
    </row>
    <row r="26" spans="2:24">
      <c r="B26" s="5" t="s">
        <v>487</v>
      </c>
      <c r="C26" s="422">
        <v>617.4</v>
      </c>
      <c r="D26" s="416">
        <v>834.0984822559443</v>
      </c>
      <c r="E26" s="416">
        <v>1231.6252837959776</v>
      </c>
      <c r="F26" s="416">
        <v>1571.6081421240344</v>
      </c>
      <c r="G26" s="416">
        <v>1845.8548046280634</v>
      </c>
      <c r="H26" s="233">
        <f t="shared" si="7"/>
        <v>0.3031469796818087</v>
      </c>
      <c r="I26" s="209"/>
      <c r="J26" s="209" t="s">
        <v>9</v>
      </c>
      <c r="K26" s="209"/>
      <c r="L26" s="235">
        <f>D11+L25</f>
        <v>17604.855605833665</v>
      </c>
      <c r="M26" s="235">
        <f>E11+M25</f>
        <v>17255.764555538972</v>
      </c>
      <c r="N26" s="235">
        <f>F11+N25</f>
        <v>16906.673505244282</v>
      </c>
      <c r="O26" s="235">
        <f>G11+O25</f>
        <v>16557.582454949588</v>
      </c>
      <c r="P26" s="233">
        <f>IF(L26=0,"nm",IF(O26=0,"nm",(O26/L26)^(1/3)-1))</f>
        <v>-2.0235980886297522E-2</v>
      </c>
      <c r="Q26" s="5"/>
      <c r="S26" s="72"/>
      <c r="T26" s="26"/>
      <c r="U26" s="26"/>
      <c r="V26" s="113" t="s">
        <v>158</v>
      </c>
      <c r="W26" s="242">
        <f t="shared" si="9"/>
        <v>1.529242629637205</v>
      </c>
      <c r="X26" s="242">
        <v>1</v>
      </c>
    </row>
    <row r="27" spans="2:24">
      <c r="B27" s="5" t="s">
        <v>488</v>
      </c>
      <c r="C27" s="423">
        <v>4766</v>
      </c>
      <c r="D27" s="416">
        <v>5236.2414520202692</v>
      </c>
      <c r="E27" s="416">
        <v>5533.8418020479385</v>
      </c>
      <c r="F27" s="416">
        <v>5975.0346974429704</v>
      </c>
      <c r="G27" s="416">
        <v>6587.3694874117473</v>
      </c>
      <c r="H27" s="233">
        <f t="shared" si="7"/>
        <v>7.9520232819027425E-2</v>
      </c>
      <c r="I27" s="209"/>
      <c r="J27" s="208"/>
      <c r="K27" s="208"/>
      <c r="L27" s="208"/>
      <c r="M27" s="208"/>
      <c r="N27" s="208"/>
      <c r="O27" s="208"/>
      <c r="Q27" s="25"/>
      <c r="S27" s="72"/>
      <c r="T27" s="26"/>
      <c r="U27" s="26"/>
      <c r="V27" s="113" t="s">
        <v>159</v>
      </c>
      <c r="W27" s="242">
        <f t="shared" si="9"/>
        <v>1.5229797902526419</v>
      </c>
      <c r="X27" s="242">
        <v>1</v>
      </c>
    </row>
    <row r="28" spans="2:24" ht="12.6" thickBot="1">
      <c r="B28" s="5" t="s">
        <v>492</v>
      </c>
      <c r="C28" s="422">
        <v>6119</v>
      </c>
      <c r="D28" s="416">
        <v>6191.6913893658257</v>
      </c>
      <c r="E28" s="416">
        <v>6366.0054362158789</v>
      </c>
      <c r="F28" s="416">
        <v>6523.5737096745152</v>
      </c>
      <c r="G28" s="416">
        <v>6751.3208271491285</v>
      </c>
      <c r="H28" s="233">
        <f t="shared" si="7"/>
        <v>2.9263285647438408E-2</v>
      </c>
      <c r="I28" s="208"/>
      <c r="J28" s="249" t="s">
        <v>1073</v>
      </c>
      <c r="K28" s="249"/>
      <c r="L28" s="249"/>
      <c r="M28" s="249"/>
      <c r="N28" s="220"/>
      <c r="O28" s="220"/>
      <c r="P28" s="220"/>
      <c r="Q28" s="5"/>
      <c r="S28" s="72"/>
      <c r="T28" s="26"/>
      <c r="U28" s="26"/>
      <c r="V28" s="113" t="s">
        <v>381</v>
      </c>
      <c r="W28" s="242">
        <f t="shared" si="9"/>
        <v>1.5298599397323607</v>
      </c>
      <c r="X28" s="242">
        <v>1</v>
      </c>
    </row>
    <row r="29" spans="2:24" ht="12.6" thickTop="1">
      <c r="B29" s="5" t="s">
        <v>489</v>
      </c>
      <c r="C29" s="422">
        <v>537</v>
      </c>
      <c r="D29" s="416">
        <v>483.98890745282017</v>
      </c>
      <c r="E29" s="416">
        <v>1037.1859075874233</v>
      </c>
      <c r="F29" s="416">
        <v>1257.4489896597752</v>
      </c>
      <c r="G29" s="416">
        <v>1404.6629840087983</v>
      </c>
      <c r="H29" s="233">
        <f t="shared" si="7"/>
        <v>0.42641394707137947</v>
      </c>
      <c r="I29" s="212"/>
      <c r="J29" s="209"/>
      <c r="K29" s="209"/>
      <c r="L29" s="209"/>
      <c r="M29" s="209"/>
      <c r="N29" s="209"/>
      <c r="O29" s="211"/>
      <c r="Q29" s="5"/>
      <c r="S29" s="72"/>
      <c r="T29" s="26"/>
      <c r="U29" s="26"/>
      <c r="V29" s="113" t="s">
        <v>434</v>
      </c>
      <c r="W29" s="242">
        <f t="shared" si="9"/>
        <v>1.9150306126037047</v>
      </c>
      <c r="X29" s="242">
        <v>1</v>
      </c>
    </row>
    <row r="30" spans="2:24">
      <c r="B30" s="5" t="s">
        <v>490</v>
      </c>
      <c r="C30" s="423">
        <v>334</v>
      </c>
      <c r="D30" s="416">
        <v>1019.2303594730893</v>
      </c>
      <c r="E30" s="416">
        <v>1186.7862576150919</v>
      </c>
      <c r="F30" s="416">
        <v>1584.3142559256205</v>
      </c>
      <c r="G30" s="416">
        <v>1864.3311073109087</v>
      </c>
      <c r="H30" s="233">
        <f>IF(D30=0,"nm",IF(G30=0,"nm",(G30/D30)^(1/3)-1))</f>
        <v>0.22297308210976796</v>
      </c>
      <c r="I30" s="214"/>
      <c r="J30" s="208"/>
      <c r="K30" s="208"/>
      <c r="L30" s="208"/>
      <c r="M30" s="208"/>
      <c r="N30" s="208"/>
      <c r="O30" s="5"/>
      <c r="Q30" s="5"/>
      <c r="S30" s="72"/>
      <c r="T30" s="26"/>
      <c r="U30" s="26"/>
      <c r="V30" s="113" t="s">
        <v>493</v>
      </c>
      <c r="W30" s="242">
        <f t="shared" si="9"/>
        <v>1.2387404527779848</v>
      </c>
      <c r="X30" s="242">
        <v>1</v>
      </c>
    </row>
    <row r="31" spans="2:24">
      <c r="B31" s="5" t="s">
        <v>491</v>
      </c>
      <c r="C31" s="423">
        <v>229</v>
      </c>
      <c r="D31" s="416">
        <v>252.98390000000001</v>
      </c>
      <c r="E31" s="416">
        <v>287.35484699999995</v>
      </c>
      <c r="F31" s="416">
        <v>333.13961069999993</v>
      </c>
      <c r="G31" s="416">
        <v>394.47390527999994</v>
      </c>
      <c r="H31" s="233">
        <f t="shared" si="7"/>
        <v>0.15960069083240169</v>
      </c>
      <c r="I31" s="214"/>
      <c r="J31" s="212"/>
      <c r="K31" s="212"/>
      <c r="L31" s="212"/>
      <c r="M31" s="212"/>
      <c r="N31" s="212"/>
      <c r="O31" s="5"/>
      <c r="Q31" s="5"/>
      <c r="S31" s="72"/>
      <c r="T31" s="26"/>
      <c r="U31" s="26"/>
      <c r="V31" s="113" t="s">
        <v>390</v>
      </c>
      <c r="W31" s="242">
        <f t="shared" si="9"/>
        <v>1.5511405514407024</v>
      </c>
      <c r="X31" s="242">
        <v>1</v>
      </c>
    </row>
    <row r="32" spans="2:24">
      <c r="B32" s="5" t="s">
        <v>506</v>
      </c>
      <c r="C32" s="424">
        <v>120</v>
      </c>
      <c r="D32" s="416">
        <v>180</v>
      </c>
      <c r="E32" s="416">
        <v>180</v>
      </c>
      <c r="F32" s="416">
        <v>180</v>
      </c>
      <c r="G32" s="416">
        <v>180</v>
      </c>
      <c r="H32" s="233">
        <f t="shared" si="7"/>
        <v>0</v>
      </c>
      <c r="I32" s="214"/>
      <c r="J32" s="214"/>
      <c r="K32" s="214"/>
      <c r="L32" s="214"/>
      <c r="M32" s="214"/>
      <c r="N32" s="214"/>
      <c r="O32" s="211"/>
      <c r="Q32" s="5"/>
      <c r="S32" s="72"/>
      <c r="T32" s="26"/>
      <c r="U32" s="26"/>
      <c r="V32" s="113" t="s">
        <v>437</v>
      </c>
      <c r="W32" s="242">
        <f t="shared" si="9"/>
        <v>1.2348660934220543</v>
      </c>
      <c r="X32" s="242">
        <v>1</v>
      </c>
    </row>
    <row r="33" spans="2:24">
      <c r="B33" s="5" t="s">
        <v>3</v>
      </c>
      <c r="C33" s="423">
        <v>644</v>
      </c>
      <c r="D33" s="416">
        <v>797.21427346288272</v>
      </c>
      <c r="E33" s="416">
        <v>650.60910886013778</v>
      </c>
      <c r="F33" s="416">
        <v>561.36693084543401</v>
      </c>
      <c r="G33" s="416">
        <v>463.29201038688348</v>
      </c>
      <c r="H33" s="233">
        <f>IF(D33=0,"nm",IF(G33=0,"nm",(G33/D33)^(1/3)-1))</f>
        <v>-0.16549953762233904</v>
      </c>
      <c r="I33" s="5"/>
      <c r="J33" s="214"/>
      <c r="K33" s="214"/>
      <c r="L33" s="214"/>
      <c r="M33" s="214"/>
      <c r="N33" s="214"/>
      <c r="O33" s="211"/>
      <c r="Q33" s="5"/>
      <c r="S33" s="72"/>
      <c r="T33" s="26"/>
      <c r="U33" s="26"/>
      <c r="V33" s="113" t="s">
        <v>481</v>
      </c>
      <c r="W33" s="242">
        <f t="shared" si="9"/>
        <v>0.4704683570768135</v>
      </c>
      <c r="X33" s="242">
        <v>1</v>
      </c>
    </row>
    <row r="34" spans="2:24">
      <c r="H34" s="231"/>
      <c r="I34" s="33"/>
      <c r="J34" s="214"/>
      <c r="K34" s="214"/>
      <c r="L34" s="214"/>
      <c r="M34" s="214"/>
      <c r="N34" s="214"/>
      <c r="O34" s="211"/>
      <c r="Q34" s="5"/>
      <c r="S34" s="72"/>
      <c r="T34" s="26"/>
      <c r="U34" s="26"/>
      <c r="V34" s="113" t="s">
        <v>482</v>
      </c>
      <c r="W34" s="242">
        <f>D47/L19</f>
        <v>0.64468690414366259</v>
      </c>
      <c r="X34" s="242">
        <v>1</v>
      </c>
    </row>
    <row r="35" spans="2:24" ht="12.6" thickBot="1">
      <c r="B35" s="249" t="s">
        <v>1083</v>
      </c>
      <c r="C35" s="219"/>
      <c r="D35" s="219" t="str">
        <f>D5</f>
        <v>2025E</v>
      </c>
      <c r="E35" s="219" t="str">
        <f t="shared" ref="E35:H35" si="10">E5</f>
        <v>2026E</v>
      </c>
      <c r="F35" s="219" t="str">
        <f t="shared" si="10"/>
        <v>2027E</v>
      </c>
      <c r="G35" s="219" t="str">
        <f t="shared" si="10"/>
        <v>2028E</v>
      </c>
      <c r="H35" s="219" t="str">
        <f t="shared" si="10"/>
        <v>2025-28</v>
      </c>
      <c r="I35" s="214"/>
      <c r="J35" s="5"/>
      <c r="K35" s="5"/>
      <c r="L35" s="5"/>
      <c r="M35" s="5"/>
      <c r="N35" s="5"/>
      <c r="O35" s="5"/>
      <c r="Q35" s="5"/>
      <c r="S35" s="72"/>
      <c r="T35" s="26"/>
      <c r="U35" s="26"/>
      <c r="V35" s="26"/>
      <c r="W35" s="26"/>
      <c r="X35" s="26"/>
    </row>
    <row r="36" spans="2:24" ht="12.6" thickTop="1">
      <c r="B36" s="25"/>
      <c r="C36" s="209"/>
      <c r="D36" s="214"/>
      <c r="E36" s="214"/>
      <c r="F36" s="214"/>
      <c r="G36" s="214"/>
      <c r="H36" s="214"/>
      <c r="I36" s="13"/>
      <c r="J36" s="33"/>
      <c r="K36" s="33"/>
      <c r="L36" s="33"/>
      <c r="M36" s="33"/>
      <c r="N36" s="33"/>
      <c r="O36" s="33"/>
      <c r="Q36" s="5"/>
      <c r="S36" s="72"/>
      <c r="T36" s="26"/>
      <c r="U36" s="26"/>
      <c r="V36" s="26"/>
      <c r="W36" s="26"/>
      <c r="X36" s="26"/>
    </row>
    <row r="37" spans="2:24">
      <c r="B37" s="5" t="s">
        <v>225</v>
      </c>
      <c r="C37" s="207"/>
      <c r="D37" s="406">
        <f>D$18/D23</f>
        <v>4.0617760649706822</v>
      </c>
      <c r="E37" s="406">
        <f t="shared" ref="E37:G41" si="11">E$18/E23</f>
        <v>3.32028454832209</v>
      </c>
      <c r="F37" s="406">
        <f t="shared" si="11"/>
        <v>2.8162046509521654</v>
      </c>
      <c r="G37" s="406">
        <f t="shared" si="11"/>
        <v>2.4248125312246387</v>
      </c>
      <c r="H37" s="13">
        <f t="shared" ref="H37:H45" si="12">H23</f>
        <v>0.13157512450814335</v>
      </c>
      <c r="I37" s="5"/>
      <c r="J37" s="217"/>
      <c r="K37" s="217"/>
      <c r="L37" s="217"/>
      <c r="M37" s="217"/>
      <c r="N37" s="217"/>
      <c r="O37" s="14"/>
      <c r="Q37" s="5"/>
      <c r="R37" s="5"/>
      <c r="S37" s="26"/>
      <c r="T37" s="26"/>
      <c r="U37" s="26"/>
      <c r="V37" s="26"/>
      <c r="W37" s="26"/>
      <c r="X37" s="26"/>
    </row>
    <row r="38" spans="2:24">
      <c r="B38" s="5" t="s">
        <v>158</v>
      </c>
      <c r="C38" s="207"/>
      <c r="D38" s="406">
        <f>D$18/D24</f>
        <v>11.323954694774848</v>
      </c>
      <c r="E38" s="406">
        <f t="shared" si="11"/>
        <v>8.1318736156419593</v>
      </c>
      <c r="F38" s="406">
        <f t="shared" si="11"/>
        <v>6.5691645538582897</v>
      </c>
      <c r="G38" s="406">
        <f t="shared" si="11"/>
        <v>5.4371119843890181</v>
      </c>
      <c r="H38" s="13">
        <f t="shared" si="12"/>
        <v>0.21678562603739793</v>
      </c>
      <c r="I38" s="217"/>
      <c r="J38" s="13"/>
      <c r="K38" s="13"/>
      <c r="L38" s="13"/>
      <c r="M38" s="13"/>
      <c r="N38" s="13"/>
      <c r="O38" s="5"/>
      <c r="Q38" s="5"/>
      <c r="R38" s="5"/>
      <c r="S38" s="26"/>
      <c r="T38" s="26"/>
      <c r="U38" s="26"/>
      <c r="V38" s="26"/>
      <c r="W38" s="26"/>
      <c r="X38" s="26"/>
    </row>
    <row r="39" spans="2:24">
      <c r="B39" s="5" t="s">
        <v>159</v>
      </c>
      <c r="C39" s="207"/>
      <c r="D39" s="406">
        <f>D$18/D25</f>
        <v>20.980665199085902</v>
      </c>
      <c r="E39" s="406">
        <f t="shared" si="11"/>
        <v>13.667434235256119</v>
      </c>
      <c r="F39" s="406">
        <f t="shared" si="11"/>
        <v>10.198476850552668</v>
      </c>
      <c r="G39" s="406">
        <f t="shared" si="11"/>
        <v>8.2007092602225296</v>
      </c>
      <c r="H39" s="13">
        <f t="shared" si="12"/>
        <v>0.3031469796818087</v>
      </c>
      <c r="I39" s="13"/>
      <c r="J39" s="5"/>
      <c r="K39" s="5"/>
      <c r="L39" s="5"/>
      <c r="M39" s="5"/>
      <c r="N39" s="5"/>
      <c r="O39" s="5"/>
      <c r="Q39" s="5"/>
      <c r="R39" s="5"/>
      <c r="S39" s="26"/>
      <c r="T39" s="26"/>
      <c r="U39" s="26"/>
      <c r="V39" s="26"/>
      <c r="W39" s="26"/>
      <c r="X39" s="26"/>
    </row>
    <row r="40" spans="2:24">
      <c r="B40" s="5" t="s">
        <v>381</v>
      </c>
      <c r="C40" s="207"/>
      <c r="D40" s="406">
        <f>D$18/D26</f>
        <v>29.972378855837004</v>
      </c>
      <c r="E40" s="406">
        <f t="shared" si="11"/>
        <v>19.524906050365885</v>
      </c>
      <c r="F40" s="406">
        <f t="shared" si="11"/>
        <v>14.569252643646669</v>
      </c>
      <c r="G40" s="406">
        <f t="shared" si="11"/>
        <v>11.715298943175043</v>
      </c>
      <c r="H40" s="13">
        <f t="shared" si="12"/>
        <v>0.3031469796818087</v>
      </c>
      <c r="I40" s="5"/>
      <c r="J40" s="217"/>
      <c r="K40" s="217"/>
      <c r="L40" s="217"/>
      <c r="M40" s="217"/>
      <c r="N40" s="217"/>
      <c r="O40" s="14"/>
      <c r="Q40" s="5"/>
      <c r="R40" s="5"/>
      <c r="S40" s="26"/>
      <c r="T40" s="26"/>
      <c r="U40" s="26"/>
      <c r="V40" s="26"/>
      <c r="W40" s="242"/>
      <c r="X40" s="242"/>
    </row>
    <row r="41" spans="2:24">
      <c r="B41" s="5" t="s">
        <v>434</v>
      </c>
      <c r="C41" s="207"/>
      <c r="D41" s="406">
        <f>D$18/D27</f>
        <v>4.7744008641175677</v>
      </c>
      <c r="E41" s="406">
        <f t="shared" si="11"/>
        <v>4.3455105540733641</v>
      </c>
      <c r="F41" s="406">
        <f t="shared" si="11"/>
        <v>3.8321377596712716</v>
      </c>
      <c r="G41" s="406">
        <f t="shared" si="11"/>
        <v>3.2827581454536467</v>
      </c>
      <c r="H41" s="13">
        <f t="shared" si="12"/>
        <v>7.9520232819027425E-2</v>
      </c>
      <c r="I41" s="207"/>
      <c r="J41" s="13"/>
      <c r="K41" s="13"/>
      <c r="L41" s="13"/>
      <c r="M41" s="13"/>
      <c r="N41" s="13"/>
      <c r="O41" s="5"/>
      <c r="Q41" s="5"/>
      <c r="R41" s="5"/>
      <c r="S41" s="26"/>
      <c r="T41" s="26"/>
      <c r="U41" s="26"/>
      <c r="V41" s="26"/>
      <c r="W41" s="242"/>
      <c r="X41" s="242"/>
    </row>
    <row r="42" spans="2:24">
      <c r="B42" s="5" t="s">
        <v>493</v>
      </c>
      <c r="C42" s="207"/>
      <c r="D42" s="406">
        <f>D18/D28</f>
        <v>4.0376553256822412</v>
      </c>
      <c r="E42" s="406">
        <f>E18/E28</f>
        <v>3.7774658215915804</v>
      </c>
      <c r="F42" s="406">
        <f>F18/F28</f>
        <v>3.5099099203034285</v>
      </c>
      <c r="G42" s="406">
        <f>G18/G28</f>
        <v>3.2030385454286252</v>
      </c>
      <c r="H42" s="13">
        <f t="shared" si="12"/>
        <v>2.9263285647438408E-2</v>
      </c>
      <c r="I42" s="208"/>
      <c r="J42" s="5"/>
      <c r="K42" s="5"/>
      <c r="L42" s="5"/>
      <c r="M42" s="5"/>
      <c r="N42" s="5"/>
      <c r="O42" s="5"/>
      <c r="Q42" s="5"/>
      <c r="R42" s="5"/>
      <c r="S42" s="26"/>
      <c r="T42" s="26"/>
      <c r="U42" s="26"/>
      <c r="V42" s="26"/>
      <c r="W42" s="242"/>
      <c r="X42" s="242"/>
    </row>
    <row r="43" spans="2:24">
      <c r="B43" s="5" t="s">
        <v>390</v>
      </c>
      <c r="C43" s="207"/>
      <c r="D43" s="406">
        <f>L26/D29</f>
        <v>36.374502255611731</v>
      </c>
      <c r="E43" s="406">
        <f>M26/E29</f>
        <v>16.637098932126111</v>
      </c>
      <c r="F43" s="406">
        <f>N26/F29</f>
        <v>13.445216183138115</v>
      </c>
      <c r="G43" s="406">
        <f>O26/G29</f>
        <v>11.787583671989093</v>
      </c>
      <c r="H43" s="13">
        <f t="shared" si="12"/>
        <v>0.42641394707137947</v>
      </c>
      <c r="I43" s="207"/>
      <c r="J43" s="207"/>
      <c r="K43" s="207"/>
      <c r="L43" s="207"/>
      <c r="M43" s="207"/>
      <c r="N43" s="207"/>
      <c r="O43" s="14"/>
      <c r="Q43" s="5"/>
      <c r="R43" s="5"/>
      <c r="S43" s="26"/>
      <c r="T43" s="26"/>
      <c r="U43" s="26"/>
      <c r="V43" s="26"/>
      <c r="W43" s="242"/>
      <c r="X43" s="242"/>
    </row>
    <row r="44" spans="2:24">
      <c r="B44" s="5" t="s">
        <v>437</v>
      </c>
      <c r="C44" s="53"/>
      <c r="D44" s="406">
        <f>D11/D30</f>
        <v>17.27269546301077</v>
      </c>
      <c r="E44" s="406">
        <f>E11/E30</f>
        <v>14.539909309546033</v>
      </c>
      <c r="F44" s="406">
        <f>F11/F30</f>
        <v>10.671287872346209</v>
      </c>
      <c r="G44" s="406">
        <f>G11/G30</f>
        <v>8.8812456060082958</v>
      </c>
      <c r="H44" s="13">
        <f t="shared" si="12"/>
        <v>0.22297308210976796</v>
      </c>
      <c r="I44" s="207"/>
      <c r="J44" s="208"/>
      <c r="K44" s="208"/>
      <c r="L44" s="208"/>
      <c r="M44" s="208"/>
      <c r="N44" s="208"/>
      <c r="O44" s="208"/>
      <c r="Q44" s="5"/>
      <c r="R44" s="5"/>
      <c r="S44" s="26"/>
      <c r="T44" s="26"/>
      <c r="U44" s="26"/>
      <c r="V44" s="26"/>
      <c r="W44" s="255"/>
      <c r="X44" s="255"/>
    </row>
    <row r="45" spans="2:24">
      <c r="B45" s="5" t="s">
        <v>481</v>
      </c>
      <c r="C45" s="207"/>
      <c r="D45" s="208">
        <f>D31/D11</f>
        <v>1.4370120702164096E-2</v>
      </c>
      <c r="E45" s="208">
        <f>E31/E11</f>
        <v>1.6652687052789047E-2</v>
      </c>
      <c r="F45" s="208">
        <f>F31/F11</f>
        <v>1.9704622000103294E-2</v>
      </c>
      <c r="G45" s="208">
        <f>G31/G11</f>
        <v>2.382436604820163E-2</v>
      </c>
      <c r="H45" s="13">
        <f t="shared" si="12"/>
        <v>0.15960069083240169</v>
      </c>
      <c r="I45" s="208"/>
      <c r="J45" s="207"/>
      <c r="K45" s="207"/>
      <c r="L45" s="207"/>
      <c r="M45" s="207"/>
      <c r="N45" s="207"/>
      <c r="O45" s="208"/>
      <c r="Q45" s="5"/>
      <c r="R45" s="5"/>
      <c r="S45" s="26"/>
      <c r="T45" s="26"/>
      <c r="U45" s="26"/>
      <c r="V45" s="26"/>
      <c r="W45" s="26"/>
      <c r="X45" s="26"/>
    </row>
    <row r="46" spans="2:24">
      <c r="B46" s="5" t="s">
        <v>505</v>
      </c>
      <c r="C46" s="207"/>
      <c r="D46" s="208">
        <f>(D31+D32)/D11</f>
        <v>2.4594572639182768E-2</v>
      </c>
      <c r="E46" s="208">
        <f>(E31+E32)/E11</f>
        <v>2.7083983760660582E-2</v>
      </c>
      <c r="F46" s="208">
        <f>(F31+F32)/F11</f>
        <v>3.0351305390787203E-2</v>
      </c>
      <c r="G46" s="208">
        <f>(G31+G32)/G11</f>
        <v>3.469551831271548E-2</v>
      </c>
      <c r="H46" s="233">
        <f>((G31+G32)/(D31+D32))^(1/3)-1</f>
        <v>9.883593283394454E-2</v>
      </c>
      <c r="I46" s="207"/>
      <c r="J46" s="207"/>
      <c r="K46" s="207"/>
      <c r="L46" s="207"/>
      <c r="M46" s="207"/>
      <c r="N46" s="207"/>
      <c r="O46" s="14"/>
      <c r="Q46" s="5"/>
      <c r="R46" s="5"/>
      <c r="S46" s="26"/>
      <c r="T46" s="26"/>
      <c r="U46" s="26"/>
      <c r="V46" s="26"/>
      <c r="W46" s="26"/>
      <c r="X46" s="26"/>
    </row>
    <row r="47" spans="2:24">
      <c r="B47" s="5" t="s">
        <v>482</v>
      </c>
      <c r="C47" s="5"/>
      <c r="D47" s="208">
        <f>1/D43</f>
        <v>2.7491785123897428E-2</v>
      </c>
      <c r="E47" s="208">
        <f>1/E43</f>
        <v>6.0106633018152437E-2</v>
      </c>
      <c r="F47" s="208">
        <f>1/F43</f>
        <v>7.4375895960238844E-2</v>
      </c>
      <c r="G47" s="208">
        <f>1/G43</f>
        <v>8.4835028774922383E-2</v>
      </c>
      <c r="H47" s="13">
        <f>H29</f>
        <v>0.42641394707137947</v>
      </c>
      <c r="I47" s="13"/>
      <c r="J47" s="208"/>
      <c r="K47" s="208"/>
      <c r="L47" s="208"/>
      <c r="M47" s="208"/>
      <c r="N47" s="208"/>
      <c r="O47" s="208"/>
      <c r="Q47" s="5"/>
      <c r="R47" s="5"/>
      <c r="S47" s="26"/>
      <c r="T47" s="26"/>
      <c r="U47" s="26"/>
      <c r="V47" s="26"/>
      <c r="W47" s="26"/>
      <c r="X47" s="26"/>
    </row>
    <row r="48" spans="2:24">
      <c r="B48" s="5" t="s">
        <v>518</v>
      </c>
      <c r="C48" s="5"/>
      <c r="D48" s="248">
        <f>D31/D29</f>
        <v>0.5227059878942808</v>
      </c>
      <c r="E48" s="248">
        <f>E31/E29</f>
        <v>0.27705240198298692</v>
      </c>
      <c r="F48" s="248">
        <f>F31/F29</f>
        <v>0.26493290259840813</v>
      </c>
      <c r="G48" s="248">
        <f>G31/G29</f>
        <v>0.28083170822527287</v>
      </c>
      <c r="H48" s="233" t="s">
        <v>507</v>
      </c>
      <c r="I48" s="207"/>
      <c r="J48" s="207"/>
      <c r="K48" s="207"/>
      <c r="L48" s="207"/>
      <c r="M48" s="207"/>
      <c r="N48" s="207"/>
      <c r="O48" s="208"/>
      <c r="Q48" s="5"/>
      <c r="R48" s="5"/>
      <c r="S48" s="26"/>
      <c r="T48" s="26"/>
      <c r="U48" s="26"/>
      <c r="V48" s="26"/>
      <c r="W48" s="26"/>
      <c r="X48" s="26"/>
    </row>
    <row r="49" spans="2:17">
      <c r="B49" s="25"/>
      <c r="C49" s="13"/>
      <c r="D49" s="13"/>
      <c r="E49" s="13"/>
      <c r="F49" s="13"/>
      <c r="G49" s="13"/>
      <c r="H49" s="13"/>
      <c r="I49" s="214"/>
      <c r="J49" s="13"/>
      <c r="K49" s="13"/>
      <c r="L49" s="13"/>
      <c r="M49" s="13"/>
      <c r="N49" s="13"/>
      <c r="O49" s="208"/>
      <c r="Q49" s="5"/>
    </row>
  </sheetData>
  <hyperlinks>
    <hyperlink ref="C2" location="AMXSOP!A1" display="Jump to AMXSop" xr:uid="{231034AE-3E8F-44E8-ACAD-80A8DB231252}"/>
  </hyperlinks>
  <pageMargins left="0.75" right="0.75" top="1" bottom="1" header="0.5" footer="0.5"/>
  <pageSetup scale="71"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90">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589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290</v>
      </c>
      <c r="C11" s="5"/>
      <c r="D11" s="225">
        <f>AMT!D11+CCI!D11+SBAC!D11</f>
        <v>144278.83671031683</v>
      </c>
      <c r="E11" s="225">
        <f>AMT!E11+CCI!E11+SBAC!E11</f>
        <v>144179.99651418751</v>
      </c>
      <c r="F11" s="225">
        <f>AMT!F11+CCI!F11+SBAC!F11</f>
        <v>143827.4671013703</v>
      </c>
      <c r="G11" s="225">
        <f>AMT!G11+CCI!G11+SBAC!G11</f>
        <v>143506.93382744858</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AMT!D12+CCI!D12+SBAC!D12</f>
        <v>68967.899541142542</v>
      </c>
      <c r="E12" s="188">
        <f>AMT!E12+CCI!E12+SBAC!E12</f>
        <v>62247.872272439126</v>
      </c>
      <c r="F12" s="188">
        <f>AMT!F12+CCI!F12+SBAC!F12</f>
        <v>62482.267835661434</v>
      </c>
      <c r="G12" s="188">
        <f>AMT!G12+CCI!G12+SBAC!G12</f>
        <v>62789.838941432201</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AMT!D13+CCI!D13+SBAC!D13</f>
        <v>0</v>
      </c>
      <c r="E13" s="188">
        <f>AMT!E13+CCI!E13+SBAC!E13</f>
        <v>0</v>
      </c>
      <c r="F13" s="188">
        <f>AMT!F13+CCI!F13+SBAC!F13</f>
        <v>0</v>
      </c>
      <c r="G13" s="188">
        <f>AMT!G13+CCI!G13+SBAC!G13</f>
        <v>0</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AMT!D14+CCI!D14+SBAC!D14</f>
        <v>0</v>
      </c>
      <c r="E14" s="188">
        <f>AMT!E14+CCI!E14+SBAC!E14</f>
        <v>0</v>
      </c>
      <c r="F14" s="188">
        <f>AMT!F14+CCI!F14+SBAC!F14</f>
        <v>0</v>
      </c>
      <c r="G14" s="188">
        <f>AMT!G14+CCI!G14+SBAC!G14</f>
        <v>0</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AMT!D15+CCI!D15+SBAC!D15</f>
        <v>0</v>
      </c>
      <c r="E15" s="188">
        <f>AMT!E15+CCI!E15+SBAC!E15</f>
        <v>0</v>
      </c>
      <c r="F15" s="188">
        <f>AMT!F15+CCI!F15+SBAC!F15</f>
        <v>0</v>
      </c>
      <c r="G15" s="188">
        <f>AMT!G15+CCI!G15+SBAC!G15</f>
        <v>0</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AMT!D16+CCI!D16+SBAC!D16</f>
        <v>11947.521482</v>
      </c>
      <c r="E16" s="188">
        <f>AMT!E16+CCI!E16+SBAC!E16</f>
        <v>17829.413803963573</v>
      </c>
      <c r="F16" s="188">
        <f>AMT!F16+CCI!F16+SBAC!F16</f>
        <v>24139.163021374505</v>
      </c>
      <c r="G16" s="188">
        <f>AMT!G16+CCI!G16+SBAC!G16</f>
        <v>30952.881647586823</v>
      </c>
      <c r="H16" s="207"/>
      <c r="I16" s="207"/>
      <c r="J16" s="5" t="s">
        <v>598</v>
      </c>
      <c r="L16" s="48" t="s">
        <v>95</v>
      </c>
      <c r="M16" s="48" t="s">
        <v>95</v>
      </c>
      <c r="N16" s="48" t="s">
        <v>95</v>
      </c>
      <c r="O16" s="48" t="s">
        <v>95</v>
      </c>
      <c r="P16" s="13">
        <f>'AGG DM'!H44</f>
        <v>2.7310327344825192E-2</v>
      </c>
    </row>
    <row r="17" spans="2:24">
      <c r="B17" s="5" t="s">
        <v>4</v>
      </c>
      <c r="C17" s="216"/>
      <c r="D17" s="188">
        <f>AMT!D17+CCI!D17+SBAC!D17</f>
        <v>0</v>
      </c>
      <c r="E17" s="188">
        <f>AMT!E17+CCI!E17+SBAC!E17</f>
        <v>0</v>
      </c>
      <c r="F17" s="188">
        <f>AMT!F17+CCI!F17+SBAC!F17</f>
        <v>0</v>
      </c>
      <c r="G17" s="188">
        <f>AMT!G17+CCI!G17+SBAC!G17</f>
        <v>0</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291</v>
      </c>
      <c r="C18" s="209"/>
      <c r="D18" s="229">
        <f>AMT!D18+CCI!D18+SBAC!D18</f>
        <v>201299.21476945933</v>
      </c>
      <c r="E18" s="229">
        <f>AMT!E18+CCI!E18+SBAC!E18</f>
        <v>188598.45498266307</v>
      </c>
      <c r="F18" s="229">
        <f>AMT!F18+CCI!F18+SBAC!F18</f>
        <v>182170.57191565723</v>
      </c>
      <c r="G18" s="229">
        <f>AMT!G18+CCI!G18+SBAC!G18</f>
        <v>175343.89112129397</v>
      </c>
      <c r="H18" s="230">
        <f>IF(D18=0,"nm",IF(G18=0,"nm",(G18/D18)^(1/3)-1))</f>
        <v>-4.4971820258862372E-2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26"/>
      <c r="U18" s="26"/>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26"/>
      <c r="U19" s="26"/>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9">
        <f>AMT!C23+CCI!C23+SBAC!C23</f>
        <v>17266.934000000001</v>
      </c>
      <c r="D23" s="188">
        <f>AMT!D23+CCI!D23+SBAC!D23</f>
        <v>17677.297410799074</v>
      </c>
      <c r="E23" s="188">
        <f>AMT!E23+CCI!E23+SBAC!E23</f>
        <v>17684.15213912863</v>
      </c>
      <c r="F23" s="188">
        <f>AMT!F23+CCI!F23+SBAC!F23</f>
        <v>17996.177438710303</v>
      </c>
      <c r="G23" s="188">
        <f>AMT!G23+CCI!G23+SBAC!G23</f>
        <v>18832.180867412098</v>
      </c>
      <c r="H23" s="233">
        <f t="shared" ref="H23:H33" si="0">IF(D23=0,"nm",IF(G23=0,"nm",(G23/D23)^(1/3)-1))</f>
        <v>2.1319402766994067E-2</v>
      </c>
      <c r="I23" s="209"/>
      <c r="J23" s="249" t="s">
        <v>7</v>
      </c>
      <c r="K23" s="249"/>
      <c r="L23" s="219" t="str">
        <f>L5</f>
        <v>2025E</v>
      </c>
      <c r="M23" s="219" t="str">
        <f>M5</f>
        <v>2026E</v>
      </c>
      <c r="N23" s="219" t="str">
        <f>N5</f>
        <v>2027E</v>
      </c>
      <c r="O23" s="219" t="str">
        <f>O5</f>
        <v>2028E</v>
      </c>
      <c r="P23" s="236" t="str">
        <f>P5</f>
        <v>2025-28</v>
      </c>
      <c r="S23" s="26"/>
      <c r="T23" s="26"/>
      <c r="U23" s="26"/>
      <c r="V23" s="26"/>
      <c r="W23" s="26" t="s">
        <v>596</v>
      </c>
      <c r="X23" s="26" t="s">
        <v>510</v>
      </c>
    </row>
    <row r="24" spans="2:24" ht="12.6" thickTop="1">
      <c r="B24" s="5" t="s">
        <v>397</v>
      </c>
      <c r="C24" s="289">
        <f>AMT!C24+CCI!C24+SBAC!C24</f>
        <v>11742.105999999998</v>
      </c>
      <c r="D24" s="188">
        <f>AMT!D24+CCI!D24+SBAC!D24</f>
        <v>11882.06966558006</v>
      </c>
      <c r="E24" s="188">
        <f>AMT!E24+CCI!E24+SBAC!E24</f>
        <v>11852.562955499096</v>
      </c>
      <c r="F24" s="188">
        <f>AMT!F24+CCI!F24+SBAC!F24</f>
        <v>12092.579081715079</v>
      </c>
      <c r="G24" s="188">
        <f>AMT!G24+CCI!G24+SBAC!G24</f>
        <v>12781.270322770106</v>
      </c>
      <c r="H24" s="233">
        <f t="shared" si="0"/>
        <v>2.4614840647188663E-2</v>
      </c>
      <c r="I24" s="208"/>
      <c r="J24" s="13"/>
      <c r="K24" s="13"/>
      <c r="L24" s="13"/>
      <c r="M24" s="13"/>
      <c r="N24" s="13"/>
      <c r="O24" s="208"/>
      <c r="S24" s="26"/>
      <c r="T24" s="26"/>
      <c r="U24" s="26"/>
      <c r="V24" s="113" t="s">
        <v>225</v>
      </c>
      <c r="W24" s="242">
        <f t="shared" ref="W24:W31" si="1">E37/M9</f>
        <v>4.4811344177379731</v>
      </c>
      <c r="X24" s="242">
        <v>1</v>
      </c>
    </row>
    <row r="25" spans="2:24">
      <c r="B25" s="5" t="s">
        <v>157</v>
      </c>
      <c r="C25" s="289">
        <f>AMT!C25+CCI!C25+SBAC!C25</f>
        <v>7800.0210000000006</v>
      </c>
      <c r="D25" s="188">
        <f>AMT!D25+CCI!D25+SBAC!D25</f>
        <v>8037.7164388767678</v>
      </c>
      <c r="E25" s="188">
        <f>AMT!E25+CCI!E25+SBAC!E25</f>
        <v>6768.0963282977882</v>
      </c>
      <c r="F25" s="188">
        <f>AMT!F25+CCI!F25+SBAC!F25</f>
        <v>7057.5264493212208</v>
      </c>
      <c r="G25" s="188">
        <f>AMT!G25+CCI!G25+SBAC!G25</f>
        <v>7489.867897577843</v>
      </c>
      <c r="H25" s="233">
        <f t="shared" si="0"/>
        <v>-2.3256584083791054E-2</v>
      </c>
      <c r="I25" s="209"/>
      <c r="J25" s="207" t="s">
        <v>8</v>
      </c>
      <c r="K25" s="207"/>
      <c r="L25" s="286">
        <f>AMT!L25+CCI!L25+SBAC!L25</f>
        <v>0</v>
      </c>
      <c r="M25" s="286">
        <f>AMT!M25+CCI!M25+SBAC!M25</f>
        <v>0</v>
      </c>
      <c r="N25" s="286">
        <f>AMT!N25+CCI!N25+SBAC!N25</f>
        <v>0</v>
      </c>
      <c r="O25" s="286">
        <f>AMT!O25+CCI!O25+SBAC!O25</f>
        <v>0</v>
      </c>
      <c r="P25" s="272" t="str">
        <f>IF(L25=0,"nm",IF(O25=0,"nm",(O25/L25)^(1/3)-1))</f>
        <v>nm</v>
      </c>
      <c r="Q25" s="5"/>
      <c r="S25" s="26"/>
      <c r="T25" s="26"/>
      <c r="U25" s="26"/>
      <c r="V25" s="113" t="s">
        <v>158</v>
      </c>
      <c r="W25" s="242">
        <f t="shared" si="1"/>
        <v>2.3113553563319194</v>
      </c>
      <c r="X25" s="242">
        <v>1</v>
      </c>
    </row>
    <row r="26" spans="2:24">
      <c r="B26" s="5" t="s">
        <v>487</v>
      </c>
      <c r="C26" s="289">
        <f>AMT!C26+CCI!C26+SBAC!C26</f>
        <v>7571.8720000000012</v>
      </c>
      <c r="D26" s="188">
        <f>AMT!D26+CCI!D26+SBAC!D26</f>
        <v>7798.871025182425</v>
      </c>
      <c r="E26" s="188">
        <f>AMT!E26+CCI!E26+SBAC!E26</f>
        <v>6547.3406588162434</v>
      </c>
      <c r="F26" s="188">
        <f>AMT!F26+CCI!F26+SBAC!F26</f>
        <v>6835.8702855484489</v>
      </c>
      <c r="G26" s="188">
        <f>AMT!G26+CCI!G26+SBAC!G26</f>
        <v>7265.8004770934094</v>
      </c>
      <c r="H26" s="233">
        <f t="shared" si="0"/>
        <v>-2.3323863631279806E-2</v>
      </c>
      <c r="I26" s="209"/>
      <c r="J26" s="209" t="s">
        <v>9</v>
      </c>
      <c r="K26" s="209"/>
      <c r="L26" s="225">
        <f>AMT!L26+CCI!L26+SBAC!L26</f>
        <v>144278.83671031683</v>
      </c>
      <c r="M26" s="225">
        <f>AMT!M26+CCI!M26+SBAC!M26</f>
        <v>144179.99651418751</v>
      </c>
      <c r="N26" s="225">
        <f>AMT!N26+CCI!N26+SBAC!N26</f>
        <v>143827.4671013703</v>
      </c>
      <c r="O26" s="225">
        <f>AMT!O26+CCI!O26+SBAC!O26</f>
        <v>143506.93382744858</v>
      </c>
      <c r="P26" s="272">
        <f>IF(L26=0,"nm",IF(O26=0,"nm",(O26/L26)^(1/3)-1))</f>
        <v>-1.7865488491105586E-3</v>
      </c>
      <c r="Q26" s="25"/>
      <c r="S26" s="26"/>
      <c r="T26" s="26"/>
      <c r="U26" s="26"/>
      <c r="V26" s="113" t="s">
        <v>159</v>
      </c>
      <c r="W26" s="242">
        <f t="shared" si="1"/>
        <v>2.3392832840354965</v>
      </c>
      <c r="X26" s="242">
        <v>1</v>
      </c>
    </row>
    <row r="27" spans="2:24">
      <c r="B27" s="5" t="s">
        <v>488</v>
      </c>
      <c r="C27" s="289">
        <f>AMT!C27+CCI!C27+SBAC!C27</f>
        <v>75274.75</v>
      </c>
      <c r="D27" s="188">
        <f>AMT!D27+CCI!D27+SBAC!D27</f>
        <v>93815.134345499595</v>
      </c>
      <c r="E27" s="188">
        <f>AMT!E27+CCI!E27+SBAC!E27</f>
        <v>78737.087533603582</v>
      </c>
      <c r="F27" s="188">
        <f>AMT!F27+CCI!F27+SBAC!F27</f>
        <v>80119.211005351768</v>
      </c>
      <c r="G27" s="188">
        <f>AMT!G27+CCI!G27+SBAC!G27</f>
        <v>81242.042185012426</v>
      </c>
      <c r="H27" s="233">
        <f t="shared" si="0"/>
        <v>-4.683231757630979E-2</v>
      </c>
      <c r="I27" s="208"/>
      <c r="J27" s="208"/>
      <c r="K27" s="208"/>
      <c r="L27" s="208"/>
      <c r="M27" s="208"/>
      <c r="N27" s="208"/>
      <c r="O27" s="208"/>
      <c r="Q27" s="5"/>
      <c r="S27" s="26"/>
      <c r="T27" s="26"/>
      <c r="U27" s="26"/>
      <c r="V27" s="113" t="s">
        <v>381</v>
      </c>
      <c r="W27" s="242">
        <f t="shared" si="1"/>
        <v>1.6943845080347932</v>
      </c>
      <c r="X27" s="242">
        <v>1</v>
      </c>
    </row>
    <row r="28" spans="2:24" ht="12.6" thickBot="1">
      <c r="B28" s="5" t="s">
        <v>492</v>
      </c>
      <c r="C28" s="289">
        <f>AMT!C28+CCI!C28+SBAC!C28</f>
        <v>37343.884000000005</v>
      </c>
      <c r="D28" s="188">
        <f>AMT!D28+CCI!D28+SBAC!D28</f>
        <v>30217.800156360263</v>
      </c>
      <c r="E28" s="188">
        <f>AMT!E28+CCI!E28+SBAC!E28</f>
        <v>30058.600819941094</v>
      </c>
      <c r="F28" s="188">
        <f>AMT!F28+CCI!F28+SBAC!F28</f>
        <v>29409.178123225953</v>
      </c>
      <c r="G28" s="188">
        <f>AMT!G28+CCI!G28+SBAC!G28</f>
        <v>28767.957588638397</v>
      </c>
      <c r="H28" s="233">
        <f t="shared" si="0"/>
        <v>-1.6256078937624263E-2</v>
      </c>
      <c r="I28" s="212"/>
      <c r="J28" s="249" t="s">
        <v>628</v>
      </c>
      <c r="K28" s="249"/>
      <c r="L28" s="249"/>
      <c r="M28" s="249"/>
      <c r="N28" s="220"/>
      <c r="O28" s="220"/>
      <c r="P28" s="220"/>
      <c r="Q28" s="5"/>
      <c r="S28" s="26"/>
      <c r="T28" s="26"/>
      <c r="U28" s="26"/>
      <c r="V28" s="113" t="s">
        <v>434</v>
      </c>
      <c r="W28" s="242">
        <f t="shared" si="1"/>
        <v>1.5839812607738495</v>
      </c>
      <c r="X28" s="242">
        <v>1</v>
      </c>
    </row>
    <row r="29" spans="2:24" ht="12.6" thickTop="1">
      <c r="B29" s="5" t="s">
        <v>489</v>
      </c>
      <c r="C29" s="289">
        <f>AMT!C29+CCI!C29+SBAC!C29</f>
        <v>7571.8720000000012</v>
      </c>
      <c r="D29" s="188">
        <f>AMT!D29+CCI!D29+SBAC!D29</f>
        <v>7798.871025182425</v>
      </c>
      <c r="E29" s="188">
        <f>AMT!E29+CCI!E29+SBAC!E29</f>
        <v>6547.3406588162434</v>
      </c>
      <c r="F29" s="188">
        <f>AMT!F29+CCI!F29+SBAC!F29</f>
        <v>6835.8702855484489</v>
      </c>
      <c r="G29" s="188">
        <f>AMT!G29+CCI!G29+SBAC!G29</f>
        <v>7265.8004770934094</v>
      </c>
      <c r="H29" s="233">
        <f t="shared" si="0"/>
        <v>-2.3323863631279806E-2</v>
      </c>
      <c r="I29" s="214"/>
      <c r="J29" s="209"/>
      <c r="K29" s="209"/>
      <c r="L29" s="209"/>
      <c r="M29" s="209"/>
      <c r="N29" s="209"/>
      <c r="O29" s="211"/>
      <c r="Q29" s="5"/>
      <c r="S29" s="26"/>
      <c r="T29" s="26"/>
      <c r="U29" s="26"/>
      <c r="V29" s="113" t="s">
        <v>493</v>
      </c>
      <c r="W29" s="242">
        <f t="shared" si="1"/>
        <v>1.8188827935691554</v>
      </c>
      <c r="X29" s="242">
        <v>1</v>
      </c>
    </row>
    <row r="30" spans="2:24">
      <c r="B30" s="5" t="s">
        <v>490</v>
      </c>
      <c r="C30" s="289">
        <f>AMT!C30+CCI!C30+SBAC!C30</f>
        <v>8955.4337105008217</v>
      </c>
      <c r="D30" s="188">
        <f>AMT!D30+CCI!D30+SBAC!D30</f>
        <v>7735.235807302075</v>
      </c>
      <c r="E30" s="188">
        <f>AMT!E30+CCI!E30+SBAC!E30</f>
        <v>8470.6646621224372</v>
      </c>
      <c r="F30" s="188">
        <f>AMT!F30+CCI!F30+SBAC!F30</f>
        <v>8646.8048367687188</v>
      </c>
      <c r="G30" s="188">
        <f>AMT!G30+CCI!G30+SBAC!G30</f>
        <v>9165.7771018548847</v>
      </c>
      <c r="H30" s="233">
        <f t="shared" si="0"/>
        <v>5.8193878007610333E-2</v>
      </c>
      <c r="I30" s="214"/>
      <c r="J30" s="208"/>
      <c r="K30" s="208"/>
      <c r="L30" s="208"/>
      <c r="M30" s="208"/>
      <c r="N30" s="208"/>
      <c r="O30" s="5"/>
      <c r="Q30" s="5"/>
      <c r="S30" s="26"/>
      <c r="T30" s="26"/>
      <c r="U30" s="26"/>
      <c r="V30" s="113" t="s">
        <v>390</v>
      </c>
      <c r="W30" s="242">
        <f t="shared" si="1"/>
        <v>1.6414051295767547</v>
      </c>
      <c r="X30" s="242">
        <v>1</v>
      </c>
    </row>
    <row r="31" spans="2:24">
      <c r="B31" s="5" t="s">
        <v>491</v>
      </c>
      <c r="C31" s="289">
        <f>AMT!C31+CCI!C31+SBAC!C31</f>
        <v>6228.0909999999994</v>
      </c>
      <c r="D31" s="188">
        <f>AMT!D31+CCI!D31+SBAC!D31</f>
        <v>5719.4304819999998</v>
      </c>
      <c r="E31" s="188">
        <f>AMT!E31+CCI!E31+SBAC!E31</f>
        <v>5881.8923219635726</v>
      </c>
      <c r="F31" s="188">
        <f>AMT!F31+CCI!F31+SBAC!F31</f>
        <v>6309.7492174109311</v>
      </c>
      <c r="G31" s="188">
        <f>AMT!G31+CCI!G31+SBAC!G31</f>
        <v>6813.7186262123205</v>
      </c>
      <c r="H31" s="233">
        <f t="shared" si="0"/>
        <v>6.0092600761919579E-2</v>
      </c>
      <c r="I31" s="214"/>
      <c r="J31" s="212"/>
      <c r="K31" s="212"/>
      <c r="L31" s="212"/>
      <c r="M31" s="212"/>
      <c r="N31" s="212"/>
      <c r="O31" s="5"/>
      <c r="Q31" s="5"/>
      <c r="S31" s="26"/>
      <c r="T31" s="26"/>
      <c r="U31" s="26"/>
      <c r="V31" s="113" t="s">
        <v>437</v>
      </c>
      <c r="W31" s="242" t="e">
        <f t="shared" si="1"/>
        <v>#VALUE!</v>
      </c>
      <c r="X31" s="242">
        <v>1</v>
      </c>
    </row>
    <row r="32" spans="2:24">
      <c r="B32" s="5" t="s">
        <v>506</v>
      </c>
      <c r="C32" s="289">
        <f>AMT!C32+CCI!C32+SBAC!C32</f>
        <v>-233.01900000000001</v>
      </c>
      <c r="D32" s="188">
        <f>AMT!D32+CCI!D32+SBAC!D32</f>
        <v>-404.53100000000001</v>
      </c>
      <c r="E32" s="188">
        <f>AMT!E32+CCI!E32+SBAC!E32</f>
        <v>-1550</v>
      </c>
      <c r="F32" s="188">
        <f>AMT!F32+CCI!F32+SBAC!F32</f>
        <v>-550</v>
      </c>
      <c r="G32" s="188">
        <f>AMT!G32+CCI!G32+SBAC!G32</f>
        <v>-550</v>
      </c>
      <c r="H32" s="233">
        <f t="shared" si="0"/>
        <v>0.1078227865686423</v>
      </c>
      <c r="I32" s="5"/>
      <c r="J32" s="214"/>
      <c r="K32" s="214"/>
      <c r="L32" s="214"/>
      <c r="M32" s="214"/>
      <c r="N32" s="214"/>
      <c r="O32" s="211"/>
      <c r="Q32" s="5"/>
      <c r="S32" s="26"/>
      <c r="T32" s="26"/>
      <c r="U32" s="26"/>
      <c r="V32" s="113" t="s">
        <v>481</v>
      </c>
      <c r="W32" s="242">
        <f>M17/E45</f>
        <v>0.95665596669521158</v>
      </c>
      <c r="X32" s="242">
        <v>1</v>
      </c>
    </row>
    <row r="33" spans="2:24">
      <c r="B33" s="5" t="s">
        <v>3</v>
      </c>
      <c r="C33" s="289">
        <f>AMT!C33+CCI!C33+SBAC!C33</f>
        <v>2567.7740000000003</v>
      </c>
      <c r="D33" s="188">
        <f>AMT!D33+CCI!D33+SBAC!D33</f>
        <v>2647.2290386252153</v>
      </c>
      <c r="E33" s="188">
        <f>AMT!E33+CCI!E33+SBAC!E33</f>
        <v>2580.2035697296965</v>
      </c>
      <c r="F33" s="188">
        <f>AMT!F33+CCI!F33+SBAC!F33</f>
        <v>2641.5370296447018</v>
      </c>
      <c r="G33" s="188">
        <f>AMT!G33+CCI!G33+SBAC!G33</f>
        <v>2792.3205046393023</v>
      </c>
      <c r="H33" s="233">
        <f t="shared" si="0"/>
        <v>1.7945630317865557E-2</v>
      </c>
      <c r="I33" s="33"/>
      <c r="J33" s="214"/>
      <c r="K33" s="214"/>
      <c r="L33" s="214"/>
      <c r="M33" s="214"/>
      <c r="N33" s="214"/>
      <c r="O33" s="211"/>
      <c r="Q33" s="5"/>
      <c r="S33" s="26"/>
      <c r="T33" s="26"/>
      <c r="U33" s="26"/>
      <c r="V33" s="113" t="s">
        <v>218</v>
      </c>
      <c r="W33" s="242">
        <f>N19/F47</f>
        <v>1.245553993476755</v>
      </c>
      <c r="X33" s="242">
        <v>1</v>
      </c>
    </row>
    <row r="34" spans="2:24">
      <c r="H34" s="231"/>
      <c r="I34" s="214"/>
      <c r="J34" s="214"/>
      <c r="K34" s="214"/>
      <c r="L34" s="214"/>
      <c r="M34" s="214"/>
      <c r="N34" s="214"/>
      <c r="O34" s="211"/>
      <c r="Q34" s="5"/>
      <c r="S34" s="26"/>
      <c r="T34" s="26"/>
      <c r="U34" s="26"/>
      <c r="V34" s="26"/>
      <c r="W34" s="26"/>
      <c r="X34" s="26"/>
    </row>
    <row r="35" spans="2:24" ht="12.6" thickBot="1">
      <c r="B35" s="249" t="s">
        <v>595</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11.387442893079657</v>
      </c>
      <c r="E37" s="48">
        <f t="shared" si="2"/>
        <v>10.664828796929593</v>
      </c>
      <c r="F37" s="48">
        <f t="shared" si="2"/>
        <v>10.122737038800418</v>
      </c>
      <c r="G37" s="48">
        <f t="shared" si="2"/>
        <v>9.3108648624289465</v>
      </c>
      <c r="H37" s="13">
        <f t="shared" ref="H37:H45" si="3">H23</f>
        <v>2.1319402766994067E-2</v>
      </c>
      <c r="I37" s="217"/>
      <c r="J37" s="217"/>
      <c r="K37" s="217"/>
      <c r="L37" s="217"/>
      <c r="M37" s="217"/>
      <c r="N37" s="217"/>
      <c r="O37" s="14"/>
      <c r="Q37" s="5"/>
      <c r="R37" s="5"/>
      <c r="S37" s="26"/>
      <c r="T37" s="26"/>
      <c r="U37" s="26"/>
      <c r="V37" s="26"/>
      <c r="W37" s="26"/>
      <c r="X37" s="26"/>
    </row>
    <row r="38" spans="2:24">
      <c r="B38" s="5" t="s">
        <v>158</v>
      </c>
      <c r="C38" s="207"/>
      <c r="D38" s="48">
        <f t="shared" si="2"/>
        <v>16.941426909201031</v>
      </c>
      <c r="E38" s="48">
        <f t="shared" si="2"/>
        <v>15.912039926787417</v>
      </c>
      <c r="F38" s="48">
        <f t="shared" si="2"/>
        <v>15.06465830693746</v>
      </c>
      <c r="G38" s="48">
        <f t="shared" si="2"/>
        <v>13.718815633600604</v>
      </c>
      <c r="H38" s="13">
        <f t="shared" si="3"/>
        <v>2.4614840647188663E-2</v>
      </c>
      <c r="I38" s="13"/>
      <c r="J38" s="13"/>
      <c r="K38" s="13"/>
      <c r="L38" s="13"/>
      <c r="M38" s="13"/>
      <c r="N38" s="13"/>
      <c r="O38" s="5"/>
      <c r="Q38" s="5"/>
      <c r="R38" s="5"/>
      <c r="S38" s="26"/>
      <c r="T38" s="26"/>
      <c r="U38" s="26"/>
      <c r="V38" s="26"/>
      <c r="W38" s="26"/>
      <c r="X38" s="26"/>
    </row>
    <row r="39" spans="2:24">
      <c r="B39" s="5" t="s">
        <v>159</v>
      </c>
      <c r="C39" s="207"/>
      <c r="D39" s="48">
        <f t="shared" si="2"/>
        <v>25.044328983269025</v>
      </c>
      <c r="E39" s="48">
        <f t="shared" si="2"/>
        <v>27.8658053659967</v>
      </c>
      <c r="F39" s="48">
        <f t="shared" si="2"/>
        <v>25.812240765059837</v>
      </c>
      <c r="G39" s="48">
        <f t="shared" si="2"/>
        <v>23.410812249171794</v>
      </c>
      <c r="H39" s="13">
        <f t="shared" si="3"/>
        <v>-2.3256584083791054E-2</v>
      </c>
      <c r="I39" s="5"/>
      <c r="J39" s="5"/>
      <c r="K39" s="5"/>
      <c r="L39" s="5"/>
      <c r="M39" s="5"/>
      <c r="N39" s="5"/>
      <c r="O39" s="5"/>
      <c r="Q39" s="5"/>
      <c r="R39" s="5"/>
      <c r="S39" s="26"/>
      <c r="T39" s="26"/>
      <c r="U39" s="26"/>
      <c r="V39" s="26"/>
      <c r="W39" s="242"/>
      <c r="X39" s="242"/>
    </row>
    <row r="40" spans="2:24">
      <c r="B40" s="5" t="s">
        <v>381</v>
      </c>
      <c r="C40" s="207"/>
      <c r="D40" s="48">
        <f t="shared" si="2"/>
        <v>25.811327577987573</v>
      </c>
      <c r="E40" s="48">
        <f t="shared" si="2"/>
        <v>28.805352403453771</v>
      </c>
      <c r="F40" s="48">
        <f t="shared" si="2"/>
        <v>26.649214263292812</v>
      </c>
      <c r="G40" s="48">
        <f t="shared" si="2"/>
        <v>24.132769909398622</v>
      </c>
      <c r="H40" s="13">
        <f t="shared" si="3"/>
        <v>-2.3323863631279806E-2</v>
      </c>
      <c r="I40" s="207"/>
      <c r="J40" s="217"/>
      <c r="K40" s="217"/>
      <c r="L40" s="217"/>
      <c r="M40" s="217"/>
      <c r="N40" s="217"/>
      <c r="O40" s="14"/>
      <c r="Q40" s="5"/>
      <c r="R40" s="5"/>
      <c r="S40" s="26"/>
      <c r="T40" s="26"/>
      <c r="U40" s="26"/>
      <c r="V40" s="26"/>
      <c r="W40" s="242"/>
      <c r="X40" s="242"/>
    </row>
    <row r="41" spans="2:24">
      <c r="B41" s="5" t="s">
        <v>434</v>
      </c>
      <c r="C41" s="207"/>
      <c r="D41" s="48">
        <f t="shared" si="2"/>
        <v>2.1457008634461956</v>
      </c>
      <c r="E41" s="48">
        <f t="shared" si="2"/>
        <v>2.3952937667674412</v>
      </c>
      <c r="F41" s="48">
        <f t="shared" si="2"/>
        <v>2.2737439576569054</v>
      </c>
      <c r="G41" s="48">
        <f t="shared" si="2"/>
        <v>2.1582900479284297</v>
      </c>
      <c r="H41" s="13">
        <f t="shared" si="3"/>
        <v>-4.683231757630979E-2</v>
      </c>
      <c r="I41" s="208"/>
      <c r="J41" s="13"/>
      <c r="K41" s="13"/>
      <c r="L41" s="13"/>
      <c r="M41" s="13"/>
      <c r="N41" s="13"/>
      <c r="O41" s="5"/>
      <c r="Q41" s="5"/>
      <c r="R41" s="5"/>
      <c r="S41" s="26"/>
      <c r="T41" s="26"/>
      <c r="U41" s="26"/>
      <c r="V41" s="26"/>
      <c r="W41" s="242"/>
      <c r="X41" s="242"/>
    </row>
    <row r="42" spans="2:24">
      <c r="B42" s="5" t="s">
        <v>493</v>
      </c>
      <c r="C42" s="207"/>
      <c r="D42" s="48">
        <f>D18/D28</f>
        <v>6.6616104987076543</v>
      </c>
      <c r="E42" s="48">
        <f>E18/E28</f>
        <v>6.2743590798659357</v>
      </c>
      <c r="F42" s="48">
        <f>F18/F28</f>
        <v>6.1943441993636563</v>
      </c>
      <c r="G42" s="48">
        <f>G18/G28</f>
        <v>6.0951108740004605</v>
      </c>
      <c r="H42" s="13">
        <f t="shared" si="3"/>
        <v>-1.6256078937624263E-2</v>
      </c>
      <c r="I42" s="207"/>
      <c r="J42" s="5"/>
      <c r="K42" s="5"/>
      <c r="L42" s="5"/>
      <c r="M42" s="5"/>
      <c r="N42" s="5"/>
      <c r="O42" s="5"/>
      <c r="Q42" s="5"/>
      <c r="R42" s="5"/>
      <c r="S42" s="26"/>
      <c r="T42" s="26"/>
      <c r="U42" s="26"/>
      <c r="V42" s="26"/>
      <c r="W42" s="242"/>
      <c r="X42" s="242"/>
    </row>
    <row r="43" spans="2:24">
      <c r="B43" s="5" t="s">
        <v>390</v>
      </c>
      <c r="C43" s="207"/>
      <c r="D43" s="48">
        <f>L26/D29</f>
        <v>18.49996444927001</v>
      </c>
      <c r="E43" s="48">
        <f>M26/E29</f>
        <v>22.021153935230735</v>
      </c>
      <c r="F43" s="48">
        <f>N26/F29</f>
        <v>21.040110636012585</v>
      </c>
      <c r="G43" s="48">
        <f>O26/G29</f>
        <v>19.751014947338149</v>
      </c>
      <c r="H43" s="13">
        <f t="shared" si="3"/>
        <v>-2.3323863631279806E-2</v>
      </c>
      <c r="I43" s="207"/>
      <c r="J43" s="207"/>
      <c r="K43" s="207"/>
      <c r="L43" s="207"/>
      <c r="M43" s="207"/>
      <c r="N43" s="207"/>
      <c r="O43" s="14"/>
      <c r="Q43" s="5"/>
      <c r="R43" s="5"/>
      <c r="S43" s="26"/>
      <c r="T43" s="26"/>
      <c r="U43" s="26"/>
      <c r="V43" s="26"/>
      <c r="W43" s="255"/>
      <c r="X43" s="255"/>
    </row>
    <row r="44" spans="2:24">
      <c r="B44" s="5" t="s">
        <v>598</v>
      </c>
      <c r="C44" s="53"/>
      <c r="D44" s="48">
        <f>D11/D30</f>
        <v>18.652157517178388</v>
      </c>
      <c r="E44" s="48">
        <f>E11/E30</f>
        <v>17.021096013740827</v>
      </c>
      <c r="F44" s="48">
        <f>F11/F30</f>
        <v>16.633597012595249</v>
      </c>
      <c r="G44" s="48">
        <f>G11/G30</f>
        <v>15.656821263786458</v>
      </c>
      <c r="H44" s="13">
        <f t="shared" si="3"/>
        <v>5.8193878007610333E-2</v>
      </c>
      <c r="I44" s="208"/>
      <c r="J44" s="208"/>
      <c r="K44" s="208"/>
      <c r="L44" s="208"/>
      <c r="M44" s="208"/>
      <c r="N44" s="208"/>
      <c r="O44" s="208"/>
      <c r="Q44" s="5"/>
      <c r="R44" s="5"/>
      <c r="S44" s="26"/>
      <c r="T44" s="26"/>
      <c r="U44" s="26"/>
      <c r="V44" s="26"/>
      <c r="W44" s="26"/>
      <c r="X44" s="26"/>
    </row>
    <row r="45" spans="2:24">
      <c r="B45" s="5" t="s">
        <v>481</v>
      </c>
      <c r="C45" s="207"/>
      <c r="D45" s="208">
        <f>D31/D11</f>
        <v>3.9641506768476914E-2</v>
      </c>
      <c r="E45" s="208">
        <f>E31/E11</f>
        <v>4.0795481094250033E-2</v>
      </c>
      <c r="F45" s="208">
        <f>F31/F11</f>
        <v>4.3870265844032343E-2</v>
      </c>
      <c r="G45" s="208">
        <f>G31/G11</f>
        <v>4.748006555840064E-2</v>
      </c>
      <c r="H45" s="13">
        <f t="shared" si="3"/>
        <v>6.0092600761919579E-2</v>
      </c>
      <c r="I45" s="207"/>
      <c r="J45" s="207"/>
      <c r="K45" s="207"/>
      <c r="L45" s="207"/>
      <c r="M45" s="207"/>
      <c r="N45" s="207"/>
      <c r="O45" s="208"/>
      <c r="Q45" s="5"/>
      <c r="R45" s="5"/>
      <c r="S45" s="26"/>
      <c r="T45" s="26"/>
      <c r="U45" s="26"/>
      <c r="V45" s="26"/>
      <c r="W45" s="26"/>
      <c r="X45" s="26"/>
    </row>
    <row r="46" spans="2:24">
      <c r="B46" s="5" t="s">
        <v>505</v>
      </c>
      <c r="C46" s="207"/>
      <c r="D46" s="208">
        <f>(D31+D32)/D11</f>
        <v>3.6837692922845361E-2</v>
      </c>
      <c r="E46" s="208">
        <f>(E31+E32)/E11</f>
        <v>3.0045030008981226E-2</v>
      </c>
      <c r="F46" s="208">
        <f>(F31+F32)/F11</f>
        <v>4.0046239661242392E-2</v>
      </c>
      <c r="G46" s="208">
        <f>(G31+G32)/G11</f>
        <v>4.3647498132346405E-2</v>
      </c>
      <c r="H46" s="233">
        <f>((G31+G32)/(D31+D32))^(1/3)-1</f>
        <v>5.6280011990409662E-2</v>
      </c>
      <c r="I46" s="13"/>
      <c r="J46" s="207"/>
      <c r="K46" s="207"/>
      <c r="L46" s="207"/>
      <c r="M46" s="207"/>
      <c r="N46" s="207"/>
      <c r="O46" s="14"/>
      <c r="Q46" s="5"/>
      <c r="R46" s="5"/>
      <c r="S46" s="26"/>
      <c r="T46" s="26"/>
      <c r="U46" s="26"/>
      <c r="V46" s="26"/>
      <c r="W46" s="26"/>
      <c r="X46" s="26"/>
    </row>
    <row r="47" spans="2:24">
      <c r="B47" s="5" t="s">
        <v>482</v>
      </c>
      <c r="C47" s="5"/>
      <c r="D47" s="208">
        <f>1/D43</f>
        <v>5.4054157927825586E-2</v>
      </c>
      <c r="E47" s="208">
        <f>1/E43</f>
        <v>4.5410880962061723E-2</v>
      </c>
      <c r="F47" s="208">
        <f>1/F43</f>
        <v>4.7528267189260127E-2</v>
      </c>
      <c r="G47" s="208">
        <f>1/G43</f>
        <v>5.063030951403185E-2</v>
      </c>
      <c r="H47" s="13">
        <f>H29</f>
        <v>-2.3323863631279806E-2</v>
      </c>
      <c r="I47" s="207"/>
      <c r="J47" s="208"/>
      <c r="K47" s="208"/>
      <c r="L47" s="208"/>
      <c r="M47" s="208"/>
      <c r="N47" s="208"/>
      <c r="O47" s="208"/>
      <c r="Q47" s="5"/>
      <c r="R47" s="5"/>
      <c r="S47" s="5"/>
      <c r="T47" s="5"/>
      <c r="U47" s="5"/>
    </row>
    <row r="48" spans="2:24">
      <c r="B48" s="5" t="s">
        <v>518</v>
      </c>
      <c r="C48" s="5"/>
      <c r="D48" s="248">
        <f>D31/D29</f>
        <v>0.73336646593231936</v>
      </c>
      <c r="E48" s="248">
        <f>E31/E29</f>
        <v>0.89836356903827519</v>
      </c>
      <c r="F48" s="248">
        <f>F31/F29</f>
        <v>0.9230352469897245</v>
      </c>
      <c r="G48" s="248">
        <f>G31/G29</f>
        <v>0.93777948454456617</v>
      </c>
      <c r="H48" s="13" t="s">
        <v>507</v>
      </c>
      <c r="I48" s="217"/>
      <c r="J48" s="207"/>
      <c r="K48" s="207"/>
      <c r="L48" s="207"/>
      <c r="M48" s="207"/>
      <c r="N48" s="207"/>
      <c r="O48" s="208"/>
      <c r="Q48" s="5"/>
      <c r="R48" s="5"/>
      <c r="S48" s="5"/>
      <c r="T48" s="5"/>
      <c r="U48" s="5"/>
    </row>
  </sheetData>
  <pageMargins left="0.75" right="0.75" top="1" bottom="1" header="0.5" footer="0.5"/>
  <pageSetup scale="21"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88">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591</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290</v>
      </c>
      <c r="C11" s="5"/>
      <c r="D11" s="225">
        <f>'US TELCO'!D11+'US OTHER'!D11+'US TOWERS'!D11</f>
        <v>953885.8679156045</v>
      </c>
      <c r="E11" s="225">
        <f>'US TELCO'!E11+'US OTHER'!E11+'US TOWERS'!E11</f>
        <v>933948.91822259687</v>
      </c>
      <c r="F11" s="225">
        <f>'US TELCO'!F11+'US OTHER'!F11+'US TOWERS'!F11</f>
        <v>911328.79433888511</v>
      </c>
      <c r="G11" s="225">
        <f>'US TELCO'!G11+'US OTHER'!G11+'US TOWERS'!G11</f>
        <v>896493.59901201609</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'US TELCO'!D12+'US OTHER'!D12+'US TOWERS'!D12</f>
        <v>611533.81101587811</v>
      </c>
      <c r="E12" s="188">
        <f>'US TELCO'!E12+'US OTHER'!E12+'US TOWERS'!E12</f>
        <v>604949.06004521553</v>
      </c>
      <c r="F12" s="188">
        <f>'US TELCO'!F12+'US OTHER'!F12+'US TOWERS'!F12</f>
        <v>589932.75195242325</v>
      </c>
      <c r="G12" s="188">
        <f>'US TELCO'!G12+'US OTHER'!G12+'US TOWERS'!G12</f>
        <v>586193.85994490096</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'US TELCO'!D13+'US OTHER'!D13+'US TOWERS'!D13</f>
        <v>1333.7951000000005</v>
      </c>
      <c r="E13" s="188">
        <f>'US TELCO'!E13+'US OTHER'!E13+'US TOWERS'!E13</f>
        <v>1333.7951000000005</v>
      </c>
      <c r="F13" s="188">
        <f>'US TELCO'!F13+'US OTHER'!F13+'US TOWERS'!F13</f>
        <v>1333.7951000000005</v>
      </c>
      <c r="G13" s="188">
        <f>'US TELCO'!G13+'US OTHER'!G13+'US TOWERS'!G13</f>
        <v>1333.7951000000005</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'US TELCO'!D14+'US OTHER'!D14+'US TOWERS'!D14</f>
        <v>10554.455</v>
      </c>
      <c r="E14" s="188">
        <f>'US TELCO'!E14+'US OTHER'!E14+'US TOWERS'!E14</f>
        <v>10554.455</v>
      </c>
      <c r="F14" s="188">
        <f>'US TELCO'!F14+'US OTHER'!F14+'US TOWERS'!F14</f>
        <v>10554.455</v>
      </c>
      <c r="G14" s="188">
        <f>'US TELCO'!G14+'US OTHER'!G14+'US TOWERS'!G14</f>
        <v>10554.455</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'US TELCO'!D15+'US OTHER'!D15+'US TOWERS'!D15</f>
        <v>22813.053</v>
      </c>
      <c r="E15" s="188">
        <f>'US TELCO'!E15+'US OTHER'!E15+'US TOWERS'!E15</f>
        <v>22813.053</v>
      </c>
      <c r="F15" s="188">
        <f>'US TELCO'!F15+'US OTHER'!F15+'US TOWERS'!F15</f>
        <v>22813.053</v>
      </c>
      <c r="G15" s="188">
        <f>'US TELCO'!G15+'US OTHER'!G15+'US TOWERS'!G15</f>
        <v>22813.053</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'US TELCO'!D16+'US OTHER'!D16+'US TOWERS'!D16</f>
        <v>74159.4725122659</v>
      </c>
      <c r="E16" s="188">
        <f>'US TELCO'!E16+'US OTHER'!E16+'US TOWERS'!E16</f>
        <v>109394.05931916169</v>
      </c>
      <c r="F16" s="188">
        <f>'US TELCO'!F16+'US OTHER'!F16+'US TOWERS'!F16</f>
        <v>140846.1611832107</v>
      </c>
      <c r="G16" s="188">
        <f>'US TELCO'!G16+'US OTHER'!G16+'US TOWERS'!G16</f>
        <v>173516.66668810521</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'US TELCO'!D17+'US OTHER'!D17+'US TOWERS'!D17</f>
        <v>0</v>
      </c>
      <c r="E17" s="188">
        <f>'US TELCO'!E17+'US OTHER'!E17+'US TOWERS'!E17</f>
        <v>0</v>
      </c>
      <c r="F17" s="188">
        <f>'US TELCO'!F17+'US OTHER'!F17+'US TOWERS'!F17</f>
        <v>0</v>
      </c>
      <c r="G17" s="188">
        <f>'US TELCO'!G17+'US OTHER'!G17+'US TOWERS'!G17</f>
        <v>0</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291</v>
      </c>
      <c r="C18" s="209"/>
      <c r="D18" s="229">
        <f>'US TELCO'!D18+'US OTHER'!D18+'US TOWERS'!D18</f>
        <v>1504852.5995192169</v>
      </c>
      <c r="E18" s="229">
        <f>'US TELCO'!E18+'US OTHER'!E18+'US TOWERS'!E18</f>
        <v>1443096.3120486508</v>
      </c>
      <c r="F18" s="229">
        <f>'US TELCO'!F18+'US OTHER'!F18+'US TOWERS'!F18</f>
        <v>1374007.7782080977</v>
      </c>
      <c r="G18" s="229">
        <f>'US TELCO'!G18+'US OTHER'!G18+'US TOWERS'!G18</f>
        <v>1322763.1853688117</v>
      </c>
      <c r="H18" s="230">
        <f>IF(D18=0,"nm",IF(G18=0,"nm",(G18/D18)^(1/3)-1))</f>
        <v>-4.2079695563097208E-2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26"/>
      <c r="U18" s="26"/>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26"/>
      <c r="U19" s="26"/>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'US TELCO'!C23+'US OTHER'!C23+'US TOWERS'!C23</f>
        <v>497085.92516615748</v>
      </c>
      <c r="D23" s="188">
        <f>'US TELCO'!D23+'US OTHER'!D23+'US TOWERS'!D23</f>
        <v>504438.29001439357</v>
      </c>
      <c r="E23" s="188">
        <f>'US TELCO'!E23+'US OTHER'!E23+'US TOWERS'!E23</f>
        <v>513203.86028220225</v>
      </c>
      <c r="F23" s="188">
        <f>'US TELCO'!F23+'US OTHER'!F23+'US TOWERS'!F23</f>
        <v>378109.70035650459</v>
      </c>
      <c r="G23" s="188">
        <f>'US TELCO'!G23+'US OTHER'!G23+'US TOWERS'!G23</f>
        <v>386201.70598364912</v>
      </c>
      <c r="H23" s="233">
        <f t="shared" ref="H23:H33" si="0">IF(D23=0,"nm",IF(G23=0,"nm",(G23/D23)^(1/3)-1))</f>
        <v>-8.5180568029651904E-2</v>
      </c>
      <c r="I23" s="209"/>
      <c r="J23" s="249" t="s">
        <v>7</v>
      </c>
      <c r="K23" s="249"/>
      <c r="L23" s="219" t="str">
        <f>L5</f>
        <v>2025E</v>
      </c>
      <c r="M23" s="219" t="str">
        <f>M5</f>
        <v>2026E</v>
      </c>
      <c r="N23" s="219" t="str">
        <f>N5</f>
        <v>2027E</v>
      </c>
      <c r="O23" s="219" t="str">
        <f>O5</f>
        <v>2028E</v>
      </c>
      <c r="P23" s="236" t="str">
        <f>P5</f>
        <v>2025-28</v>
      </c>
      <c r="S23" s="26"/>
      <c r="T23" s="26"/>
      <c r="U23" s="26"/>
      <c r="V23" s="26"/>
      <c r="W23" s="26" t="s">
        <v>597</v>
      </c>
      <c r="X23" s="26" t="s">
        <v>510</v>
      </c>
    </row>
    <row r="24" spans="2:24" ht="12.6" thickTop="1">
      <c r="B24" s="5" t="s">
        <v>397</v>
      </c>
      <c r="C24" s="288">
        <f>'US TELCO'!C24+'US OTHER'!C24+'US TOWERS'!C24</f>
        <v>201151.58216615746</v>
      </c>
      <c r="D24" s="188">
        <f>'US TELCO'!D24+'US OTHER'!D24+'US TOWERS'!D24</f>
        <v>206501.51561876768</v>
      </c>
      <c r="E24" s="188">
        <f>'US TELCO'!E24+'US OTHER'!E24+'US TOWERS'!E24</f>
        <v>213360.24142159568</v>
      </c>
      <c r="F24" s="188">
        <f>'US TELCO'!F24+'US OTHER'!F24+'US TOWERS'!F24</f>
        <v>171617.34224009045</v>
      </c>
      <c r="G24" s="188">
        <f>'US TELCO'!G24+'US OTHER'!G24+'US TOWERS'!G24</f>
        <v>178703.08557841711</v>
      </c>
      <c r="H24" s="233">
        <f t="shared" si="0"/>
        <v>-4.7051122988827743E-2</v>
      </c>
      <c r="I24" s="208"/>
      <c r="J24" s="13"/>
      <c r="K24" s="13"/>
      <c r="L24" s="13"/>
      <c r="M24" s="13"/>
      <c r="N24" s="13"/>
      <c r="O24" s="208"/>
      <c r="S24" s="26"/>
      <c r="T24" s="26"/>
      <c r="U24" s="26"/>
      <c r="V24" s="113" t="s">
        <v>225</v>
      </c>
      <c r="W24" s="242">
        <f t="shared" ref="W24:W31" si="1">E37/M9</f>
        <v>1.181515669322629</v>
      </c>
      <c r="X24" s="242">
        <v>1</v>
      </c>
    </row>
    <row r="25" spans="2:24">
      <c r="B25" s="5" t="s">
        <v>157</v>
      </c>
      <c r="C25" s="288">
        <f>'US TELCO'!C25+'US OTHER'!C25+'US TOWERS'!C25</f>
        <v>125764.33816615745</v>
      </c>
      <c r="D25" s="188">
        <f>'US TELCO'!D25+'US OTHER'!D25+'US TOWERS'!D25</f>
        <v>126755.90725597192</v>
      </c>
      <c r="E25" s="188">
        <f>'US TELCO'!E25+'US OTHER'!E25+'US TOWERS'!E25</f>
        <v>132915.47265379044</v>
      </c>
      <c r="F25" s="188">
        <f>'US TELCO'!F25+'US OTHER'!F25+'US TOWERS'!F25</f>
        <v>111301.0535199697</v>
      </c>
      <c r="G25" s="188">
        <f>'US TELCO'!G25+'US OTHER'!G25+'US TOWERS'!G25</f>
        <v>117576.49224025803</v>
      </c>
      <c r="H25" s="233">
        <f t="shared" si="0"/>
        <v>-2.4746695718171785E-2</v>
      </c>
      <c r="I25" s="209"/>
      <c r="J25" s="207" t="s">
        <v>8</v>
      </c>
      <c r="K25" s="207"/>
      <c r="L25" s="258">
        <f>'US TELCO'!L25+'US OTHER'!L25+'US TOWERS'!L25</f>
        <v>0</v>
      </c>
      <c r="M25" s="258">
        <f>'US TELCO'!M25+'US OTHER'!M25+'US TOWERS'!M25</f>
        <v>0</v>
      </c>
      <c r="N25" s="258">
        <f>'US TELCO'!N25+'US OTHER'!N25+'US TOWERS'!N25</f>
        <v>0</v>
      </c>
      <c r="O25" s="258">
        <f>'US TELCO'!O25+'US OTHER'!O25+'US TOWERS'!O25</f>
        <v>0</v>
      </c>
      <c r="P25" s="272" t="str">
        <f>IF(L25=0,"nm",IF(O25=0,"nm",(O25/L25)^(1/3)-1))</f>
        <v>nm</v>
      </c>
      <c r="Q25" s="5"/>
      <c r="S25" s="26"/>
      <c r="T25" s="26"/>
      <c r="U25" s="26"/>
      <c r="V25" s="113" t="s">
        <v>158</v>
      </c>
      <c r="W25" s="242">
        <f t="shared" si="1"/>
        <v>0.98247765893901451</v>
      </c>
      <c r="X25" s="242">
        <v>1</v>
      </c>
    </row>
    <row r="26" spans="2:24">
      <c r="B26" s="5" t="s">
        <v>487</v>
      </c>
      <c r="C26" s="288">
        <f>'US TELCO'!C26+'US OTHER'!C26+'US TOWERS'!C26</f>
        <v>85340.361258002347</v>
      </c>
      <c r="D26" s="188">
        <f>'US TELCO'!D26+'US OTHER'!D26+'US TOWERS'!D26</f>
        <v>86666.532008195441</v>
      </c>
      <c r="E26" s="188">
        <f>'US TELCO'!E26+'US OTHER'!E26+'US TOWERS'!E26</f>
        <v>89973.38639240971</v>
      </c>
      <c r="F26" s="188">
        <f>'US TELCO'!F26+'US OTHER'!F26+'US TOWERS'!F26</f>
        <v>78374.498113638852</v>
      </c>
      <c r="G26" s="188">
        <f>'US TELCO'!G26+'US OTHER'!G26+'US TOWERS'!G26</f>
        <v>83829.015633762931</v>
      </c>
      <c r="H26" s="233">
        <f t="shared" si="0"/>
        <v>-1.1034861749489644E-2</v>
      </c>
      <c r="I26" s="209"/>
      <c r="J26" s="209" t="s">
        <v>9</v>
      </c>
      <c r="K26" s="209"/>
      <c r="L26" s="189">
        <f>'US TELCO'!L26+'US OTHER'!L26+'US TOWERS'!L26</f>
        <v>911862.77145905851</v>
      </c>
      <c r="M26" s="189">
        <f>'US TELCO'!M26+'US OTHER'!M26+'US TOWERS'!M26</f>
        <v>891917.7293635509</v>
      </c>
      <c r="N26" s="189">
        <f>'US TELCO'!N26+'US OTHER'!N26+'US TOWERS'!N26</f>
        <v>869289.28804483905</v>
      </c>
      <c r="O26" s="189">
        <f>'US TELCO'!O26+'US OTHER'!O26+'US TOWERS'!O26</f>
        <v>854449.27977797017</v>
      </c>
      <c r="P26" s="272">
        <f>IF(L26=0,"nm",IF(O26=0,"nm",(O26/L26)^(1/3)-1))</f>
        <v>-2.144418745521548E-2</v>
      </c>
      <c r="Q26" s="25"/>
      <c r="S26" s="26"/>
      <c r="T26" s="26"/>
      <c r="U26" s="26"/>
      <c r="V26" s="113" t="s">
        <v>159</v>
      </c>
      <c r="W26" s="242">
        <f t="shared" si="1"/>
        <v>0.91144610829762041</v>
      </c>
      <c r="X26" s="242">
        <v>1</v>
      </c>
    </row>
    <row r="27" spans="2:24">
      <c r="B27" s="5" t="s">
        <v>488</v>
      </c>
      <c r="C27" s="288">
        <f>'US TELCO'!C27+'US OTHER'!C27+'US TOWERS'!C27</f>
        <v>780684.48865928862</v>
      </c>
      <c r="D27" s="188">
        <f>'US TELCO'!D27+'US OTHER'!D27+'US TOWERS'!D27</f>
        <v>923346.88450426876</v>
      </c>
      <c r="E27" s="188">
        <f>'US TELCO'!E27+'US OTHER'!E27+'US TOWERS'!E27</f>
        <v>939436.88658504735</v>
      </c>
      <c r="F27" s="188">
        <f>'US TELCO'!F27+'US OTHER'!F27+'US TOWERS'!F27</f>
        <v>944729.49786328501</v>
      </c>
      <c r="G27" s="188">
        <f>'US TELCO'!G27+'US OTHER'!G27+'US TOWERS'!G27</f>
        <v>961322.85723688942</v>
      </c>
      <c r="H27" s="233">
        <f t="shared" si="0"/>
        <v>1.3525765091564335E-2</v>
      </c>
      <c r="I27" s="208"/>
      <c r="J27" s="208"/>
      <c r="K27" s="208"/>
      <c r="L27" s="208"/>
      <c r="M27" s="208"/>
      <c r="N27" s="208"/>
      <c r="O27" s="208"/>
      <c r="Q27" s="5"/>
      <c r="S27" s="26"/>
      <c r="T27" s="26"/>
      <c r="U27" s="26"/>
      <c r="V27" s="113" t="s">
        <v>381</v>
      </c>
      <c r="W27" s="242">
        <f t="shared" si="1"/>
        <v>0.94345247781403374</v>
      </c>
      <c r="X27" s="242">
        <v>1</v>
      </c>
    </row>
    <row r="28" spans="2:24" ht="12.6" thickBot="1">
      <c r="B28" s="5" t="s">
        <v>492</v>
      </c>
      <c r="C28" s="288">
        <f>'US TELCO'!C28+'US OTHER'!C28+'US TOWERS'!C28</f>
        <v>311650.40000000002</v>
      </c>
      <c r="D28" s="188">
        <f>'US TELCO'!D28+'US OTHER'!D28+'US TOWERS'!D28</f>
        <v>407785.32577506074</v>
      </c>
      <c r="E28" s="188">
        <f>'US TELCO'!E28+'US OTHER'!E28+'US TOWERS'!E28</f>
        <v>414305.53529457696</v>
      </c>
      <c r="F28" s="188">
        <f>'US TELCO'!F28+'US OTHER'!F28+'US TOWERS'!F28</f>
        <v>414939.65030139545</v>
      </c>
      <c r="G28" s="188">
        <f>'US TELCO'!G28+'US OTHER'!G28+'US TOWERS'!G28</f>
        <v>415876.77630980732</v>
      </c>
      <c r="H28" s="233">
        <f t="shared" si="0"/>
        <v>6.5708713943974928E-3</v>
      </c>
      <c r="I28" s="212"/>
      <c r="J28" s="249" t="s">
        <v>628</v>
      </c>
      <c r="K28" s="249"/>
      <c r="L28" s="249"/>
      <c r="M28" s="249"/>
      <c r="N28" s="220"/>
      <c r="O28" s="220"/>
      <c r="P28" s="220"/>
      <c r="Q28" s="5"/>
      <c r="S28" s="26"/>
      <c r="T28" s="26"/>
      <c r="U28" s="26"/>
      <c r="V28" s="113" t="s">
        <v>434</v>
      </c>
      <c r="W28" s="242">
        <f t="shared" si="1"/>
        <v>1.0158251554286417</v>
      </c>
      <c r="X28" s="242">
        <v>1</v>
      </c>
    </row>
    <row r="29" spans="2:24" ht="12.6" thickTop="1">
      <c r="B29" s="5" t="s">
        <v>489</v>
      </c>
      <c r="C29" s="288">
        <f>'US TELCO'!C29+'US OTHER'!C29+'US TOWERS'!C29</f>
        <v>93254.174865861947</v>
      </c>
      <c r="D29" s="188">
        <f>'US TELCO'!D29+'US OTHER'!D29+'US TOWERS'!D29</f>
        <v>99042.183180564913</v>
      </c>
      <c r="E29" s="188">
        <f>'US TELCO'!E29+'US OTHER'!E29+'US TOWERS'!E29</f>
        <v>90698.617385792691</v>
      </c>
      <c r="F29" s="188">
        <f>'US TELCO'!F29+'US OTHER'!F29+'US TOWERS'!F29</f>
        <v>53878.800021790092</v>
      </c>
      <c r="G29" s="188">
        <f>'US TELCO'!G29+'US OTHER'!G29+'US TOWERS'!G29</f>
        <v>57931.193935376941</v>
      </c>
      <c r="H29" s="233">
        <f t="shared" si="0"/>
        <v>-0.16369615899599688</v>
      </c>
      <c r="I29" s="214"/>
      <c r="J29" s="209"/>
      <c r="K29" s="209"/>
      <c r="L29" s="209"/>
      <c r="M29" s="209"/>
      <c r="N29" s="209"/>
      <c r="O29" s="211"/>
      <c r="Q29" s="5"/>
      <c r="S29" s="26"/>
      <c r="T29" s="26"/>
      <c r="U29" s="26"/>
      <c r="V29" s="113" t="s">
        <v>493</v>
      </c>
      <c r="W29" s="242">
        <f t="shared" si="1"/>
        <v>1.009740849279416</v>
      </c>
      <c r="X29" s="242">
        <v>1</v>
      </c>
    </row>
    <row r="30" spans="2:24">
      <c r="B30" s="5" t="s">
        <v>490</v>
      </c>
      <c r="C30" s="288">
        <f>'US TELCO'!C30+'US OTHER'!C30+'US TOWERS'!C30</f>
        <v>75386.05675198698</v>
      </c>
      <c r="D30" s="188">
        <f>'US TELCO'!D30+'US OTHER'!D30+'US TOWERS'!D30</f>
        <v>74322.373039864615</v>
      </c>
      <c r="E30" s="188">
        <f>'US TELCO'!E30+'US OTHER'!E30+'US TOWERS'!E30</f>
        <v>80782.714878309576</v>
      </c>
      <c r="F30" s="188">
        <f>'US TELCO'!F30+'US OTHER'!F30+'US TOWERS'!F30</f>
        <v>62854.532371852445</v>
      </c>
      <c r="G30" s="188">
        <f>'US TELCO'!G30+'US OTHER'!G30+'US TOWERS'!G30</f>
        <v>67814.169779539938</v>
      </c>
      <c r="H30" s="233">
        <f t="shared" si="0"/>
        <v>-3.00851088072005E-2</v>
      </c>
      <c r="I30" s="214"/>
      <c r="J30" s="208"/>
      <c r="K30" s="208"/>
      <c r="L30" s="208"/>
      <c r="M30" s="208"/>
      <c r="N30" s="208"/>
      <c r="O30" s="5"/>
      <c r="Q30" s="5"/>
      <c r="S30" s="26"/>
      <c r="T30" s="26"/>
      <c r="U30" s="26"/>
      <c r="V30" s="113" t="s">
        <v>390</v>
      </c>
      <c r="W30" s="242">
        <f t="shared" si="1"/>
        <v>0.73299302775725883</v>
      </c>
      <c r="X30" s="242">
        <v>1</v>
      </c>
    </row>
    <row r="31" spans="2:24">
      <c r="B31" s="5" t="s">
        <v>491</v>
      </c>
      <c r="C31" s="288">
        <f>'US TELCO'!C31+'US OTHER'!C31+'US TOWERS'!C31</f>
        <v>33726.091</v>
      </c>
      <c r="D31" s="188">
        <f>'US TELCO'!D31+'US OTHER'!D31+'US TOWERS'!D31</f>
        <v>34288.3815122659</v>
      </c>
      <c r="E31" s="188">
        <f>'US TELCO'!E31+'US OTHER'!E31+'US TOWERS'!E31</f>
        <v>35234.586806895793</v>
      </c>
      <c r="F31" s="188">
        <f>'US TELCO'!F31+'US OTHER'!F31+'US TOWERS'!F31</f>
        <v>31452.101864049026</v>
      </c>
      <c r="G31" s="188">
        <f>'US TELCO'!G31+'US OTHER'!G31+'US TOWERS'!G31</f>
        <v>32670.5055048945</v>
      </c>
      <c r="H31" s="233">
        <f t="shared" si="0"/>
        <v>-1.5982196335127208E-2</v>
      </c>
      <c r="I31" s="214"/>
      <c r="J31" s="212"/>
      <c r="K31" s="212"/>
      <c r="L31" s="212"/>
      <c r="M31" s="212"/>
      <c r="N31" s="212"/>
      <c r="O31" s="5"/>
      <c r="Q31" s="5"/>
      <c r="S31" s="26"/>
      <c r="T31" s="26"/>
      <c r="U31" s="26"/>
      <c r="V31" s="113" t="s">
        <v>437</v>
      </c>
      <c r="W31" s="242">
        <f t="shared" si="1"/>
        <v>0.91348748137437186</v>
      </c>
      <c r="X31" s="242">
        <v>1</v>
      </c>
    </row>
    <row r="32" spans="2:24">
      <c r="B32" s="5" t="s">
        <v>506</v>
      </c>
      <c r="C32" s="288">
        <f>'US TELCO'!C32+'US OTHER'!C32+'US TOWERS'!C32</f>
        <v>26371.981</v>
      </c>
      <c r="D32" s="188">
        <f>'US TELCO'!D32+'US OTHER'!D32+'US TOWERS'!D32</f>
        <v>31325.504303290709</v>
      </c>
      <c r="E32" s="188">
        <f>'US TELCO'!E32+'US OTHER'!E32+'US TOWERS'!E32</f>
        <v>35189.578009401142</v>
      </c>
      <c r="F32" s="188">
        <f>'US TELCO'!F32+'US OTHER'!F32+'US TOWERS'!F32</f>
        <v>8912.4579332269313</v>
      </c>
      <c r="G32" s="188">
        <f>'US TELCO'!G32+'US OTHER'!G32+'US TOWERS'!G32</f>
        <v>9432.7152523117529</v>
      </c>
      <c r="H32" s="233">
        <f t="shared" si="0"/>
        <v>-0.32973550037937149</v>
      </c>
      <c r="I32" s="5"/>
      <c r="J32" s="214"/>
      <c r="K32" s="214"/>
      <c r="L32" s="214"/>
      <c r="M32" s="214"/>
      <c r="N32" s="214"/>
      <c r="O32" s="211"/>
      <c r="Q32" s="5"/>
      <c r="S32" s="26"/>
      <c r="T32" s="26"/>
      <c r="U32" s="26"/>
      <c r="V32" s="113" t="s">
        <v>481</v>
      </c>
      <c r="W32" s="242">
        <f>M17/E45</f>
        <v>1.0344792506116876</v>
      </c>
      <c r="X32" s="242">
        <v>1</v>
      </c>
    </row>
    <row r="33" spans="2:24">
      <c r="B33" s="5" t="s">
        <v>3</v>
      </c>
      <c r="C33" s="288">
        <f>'US TELCO'!C33+'US OTHER'!C33+'US TOWERS'!C33</f>
        <v>15156.925999999999</v>
      </c>
      <c r="D33" s="188">
        <f>'US TELCO'!D33+'US OTHER'!D33+'US TOWERS'!D33</f>
        <v>15830.047842109348</v>
      </c>
      <c r="E33" s="188">
        <f>'US TELCO'!E33+'US OTHER'!E33+'US TOWERS'!E33</f>
        <v>15666.535900189463</v>
      </c>
      <c r="F33" s="188" t="e">
        <f>'US TELCO'!F33+'US OTHER'!F33+'US TOWERS'!F33</f>
        <v>#DIV/0!</v>
      </c>
      <c r="G33" s="188">
        <f>'US TELCO'!G33+'US OTHER'!G33+'US TOWERS'!G33</f>
        <v>20025.151861887465</v>
      </c>
      <c r="H33" s="233">
        <f t="shared" si="0"/>
        <v>8.1511637426585182E-2</v>
      </c>
      <c r="I33" s="33"/>
      <c r="J33" s="214"/>
      <c r="K33" s="214"/>
      <c r="L33" s="214"/>
      <c r="M33" s="214"/>
      <c r="N33" s="214"/>
      <c r="O33" s="211"/>
      <c r="Q33" s="5"/>
      <c r="S33" s="26"/>
      <c r="T33" s="26"/>
      <c r="U33" s="26"/>
      <c r="V33" s="113" t="s">
        <v>218</v>
      </c>
      <c r="W33" s="242">
        <f>N19/F47</f>
        <v>0.95512662747390042</v>
      </c>
      <c r="X33" s="242">
        <v>1</v>
      </c>
    </row>
    <row r="34" spans="2:24">
      <c r="H34" s="231"/>
      <c r="I34" s="214"/>
      <c r="J34" s="214"/>
      <c r="K34" s="214"/>
      <c r="L34" s="214"/>
      <c r="M34" s="214"/>
      <c r="N34" s="214"/>
      <c r="O34" s="211"/>
      <c r="Q34" s="5"/>
      <c r="S34" s="26"/>
      <c r="T34" s="26"/>
      <c r="U34" s="26"/>
      <c r="V34" s="26"/>
      <c r="W34" s="26"/>
      <c r="X34" s="26"/>
    </row>
    <row r="35" spans="2:24" ht="12.6" thickBot="1">
      <c r="B35" s="249" t="s">
        <v>590</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2.9832243691815656</v>
      </c>
      <c r="E37" s="48">
        <f t="shared" si="2"/>
        <v>2.8119358090079762</v>
      </c>
      <c r="F37" s="48">
        <f t="shared" si="2"/>
        <v>3.6338866125693161</v>
      </c>
      <c r="G37" s="48">
        <f t="shared" si="2"/>
        <v>3.425057851569445</v>
      </c>
      <c r="H37" s="13">
        <f t="shared" ref="H37:H45" si="3">H23</f>
        <v>-8.5180568029651904E-2</v>
      </c>
      <c r="I37" s="217"/>
      <c r="J37" s="217"/>
      <c r="K37" s="217"/>
      <c r="L37" s="217"/>
      <c r="M37" s="217"/>
      <c r="N37" s="217"/>
      <c r="O37" s="14"/>
      <c r="Q37" s="5"/>
      <c r="R37" s="5"/>
      <c r="S37" s="26"/>
      <c r="T37" s="26"/>
      <c r="U37" s="26"/>
      <c r="V37" s="26"/>
      <c r="W37" s="26"/>
      <c r="X37" s="26"/>
    </row>
    <row r="38" spans="2:24">
      <c r="B38" s="5" t="s">
        <v>158</v>
      </c>
      <c r="C38" s="207"/>
      <c r="D38" s="48">
        <f t="shared" si="2"/>
        <v>7.2873683033755414</v>
      </c>
      <c r="E38" s="48">
        <f t="shared" si="2"/>
        <v>6.7636608509320189</v>
      </c>
      <c r="F38" s="48">
        <f t="shared" si="2"/>
        <v>8.0062292089681613</v>
      </c>
      <c r="G38" s="48">
        <f t="shared" si="2"/>
        <v>7.4020164849832266</v>
      </c>
      <c r="H38" s="13">
        <f t="shared" si="3"/>
        <v>-4.7051122988827743E-2</v>
      </c>
      <c r="I38" s="13"/>
      <c r="J38" s="13"/>
      <c r="K38" s="13"/>
      <c r="L38" s="13"/>
      <c r="M38" s="13"/>
      <c r="N38" s="13"/>
      <c r="O38" s="5"/>
      <c r="Q38" s="5"/>
      <c r="R38" s="5"/>
      <c r="S38" s="26"/>
      <c r="T38" s="26"/>
      <c r="U38" s="26"/>
      <c r="V38" s="26"/>
      <c r="W38" s="26"/>
      <c r="X38" s="26"/>
    </row>
    <row r="39" spans="2:24">
      <c r="B39" s="5" t="s">
        <v>159</v>
      </c>
      <c r="C39" s="207"/>
      <c r="D39" s="48">
        <f t="shared" si="2"/>
        <v>11.872051031754324</v>
      </c>
      <c r="E39" s="48">
        <f t="shared" si="2"/>
        <v>10.857248469540744</v>
      </c>
      <c r="F39" s="48">
        <f t="shared" si="2"/>
        <v>12.34496650978755</v>
      </c>
      <c r="G39" s="48">
        <f t="shared" si="2"/>
        <v>11.250235146204671</v>
      </c>
      <c r="H39" s="13">
        <f t="shared" si="3"/>
        <v>-2.4746695718171785E-2</v>
      </c>
      <c r="I39" s="5"/>
      <c r="J39" s="5"/>
      <c r="K39" s="5"/>
      <c r="L39" s="5"/>
      <c r="M39" s="5"/>
      <c r="N39" s="5"/>
      <c r="O39" s="5"/>
      <c r="Q39" s="5"/>
      <c r="R39" s="5"/>
      <c r="S39" s="26"/>
      <c r="T39" s="26"/>
      <c r="U39" s="26"/>
      <c r="V39" s="26"/>
      <c r="W39" s="242"/>
      <c r="X39" s="242"/>
    </row>
    <row r="40" spans="2:24">
      <c r="B40" s="5" t="s">
        <v>381</v>
      </c>
      <c r="C40" s="207"/>
      <c r="D40" s="48">
        <f t="shared" si="2"/>
        <v>17.363710819499662</v>
      </c>
      <c r="E40" s="48">
        <f t="shared" si="2"/>
        <v>16.039146351063568</v>
      </c>
      <c r="F40" s="48">
        <f t="shared" si="2"/>
        <v>17.531311986404805</v>
      </c>
      <c r="G40" s="48">
        <f t="shared" si="2"/>
        <v>15.779299987820163</v>
      </c>
      <c r="H40" s="13">
        <f t="shared" si="3"/>
        <v>-1.1034861749489644E-2</v>
      </c>
      <c r="I40" s="207"/>
      <c r="J40" s="217"/>
      <c r="K40" s="217"/>
      <c r="L40" s="217"/>
      <c r="M40" s="217"/>
      <c r="N40" s="217"/>
      <c r="O40" s="14"/>
      <c r="Q40" s="5"/>
      <c r="R40" s="5"/>
      <c r="S40" s="26"/>
      <c r="T40" s="26"/>
      <c r="U40" s="26"/>
      <c r="V40" s="26"/>
      <c r="W40" s="242"/>
      <c r="X40" s="242"/>
    </row>
    <row r="41" spans="2:24">
      <c r="B41" s="5" t="s">
        <v>434</v>
      </c>
      <c r="C41" s="207"/>
      <c r="D41" s="48">
        <f t="shared" si="2"/>
        <v>1.6297803401666862</v>
      </c>
      <c r="E41" s="48">
        <f t="shared" si="2"/>
        <v>1.5361290712082414</v>
      </c>
      <c r="F41" s="48">
        <f t="shared" si="2"/>
        <v>1.4543927984843499</v>
      </c>
      <c r="G41" s="48">
        <f t="shared" si="2"/>
        <v>1.3759822471825989</v>
      </c>
      <c r="H41" s="13">
        <f t="shared" si="3"/>
        <v>1.3525765091564335E-2</v>
      </c>
      <c r="I41" s="208"/>
      <c r="J41" s="13"/>
      <c r="K41" s="13"/>
      <c r="L41" s="13"/>
      <c r="M41" s="13"/>
      <c r="N41" s="13"/>
      <c r="O41" s="5"/>
      <c r="Q41" s="5"/>
      <c r="R41" s="5"/>
      <c r="S41" s="26"/>
      <c r="T41" s="26"/>
      <c r="U41" s="26"/>
      <c r="V41" s="26"/>
      <c r="W41" s="242"/>
      <c r="X41" s="242"/>
    </row>
    <row r="42" spans="2:24">
      <c r="B42" s="5" t="s">
        <v>493</v>
      </c>
      <c r="C42" s="207"/>
      <c r="D42" s="48">
        <f>D18/D28</f>
        <v>3.6903059144146635</v>
      </c>
      <c r="E42" s="48">
        <f>E18/E28</f>
        <v>3.4831692775299019</v>
      </c>
      <c r="F42" s="48">
        <f>F18/F28</f>
        <v>3.3113436549389141</v>
      </c>
      <c r="G42" s="48">
        <f>G18/G28</f>
        <v>3.1806613418187593</v>
      </c>
      <c r="H42" s="13">
        <f t="shared" si="3"/>
        <v>6.5708713943974928E-3</v>
      </c>
      <c r="I42" s="207"/>
      <c r="J42" s="5"/>
      <c r="K42" s="5"/>
      <c r="L42" s="5"/>
      <c r="M42" s="5"/>
      <c r="N42" s="5"/>
      <c r="O42" s="5"/>
      <c r="Q42" s="5"/>
      <c r="R42" s="5"/>
      <c r="S42" s="26"/>
      <c r="T42" s="26"/>
      <c r="U42" s="26"/>
      <c r="V42" s="26"/>
      <c r="W42" s="242"/>
      <c r="X42" s="242"/>
    </row>
    <row r="43" spans="2:24">
      <c r="B43" s="5" t="s">
        <v>390</v>
      </c>
      <c r="C43" s="207"/>
      <c r="D43" s="48">
        <f>L26/D29</f>
        <v>9.2068121095092508</v>
      </c>
      <c r="E43" s="48">
        <f>M26/E29</f>
        <v>9.8338624674918549</v>
      </c>
      <c r="F43" s="48">
        <f>N26/F29</f>
        <v>16.134162002369656</v>
      </c>
      <c r="G43" s="48">
        <f>O26/G29</f>
        <v>14.749381494383153</v>
      </c>
      <c r="H43" s="13">
        <f t="shared" si="3"/>
        <v>-0.16369615899599688</v>
      </c>
      <c r="I43" s="207"/>
      <c r="J43" s="207"/>
      <c r="K43" s="207"/>
      <c r="L43" s="207"/>
      <c r="M43" s="207"/>
      <c r="N43" s="207"/>
      <c r="O43" s="14"/>
      <c r="Q43" s="5"/>
      <c r="R43" s="5"/>
      <c r="S43" s="26"/>
      <c r="T43" s="26"/>
      <c r="U43" s="26"/>
      <c r="V43" s="26"/>
      <c r="W43" s="255"/>
      <c r="X43" s="255"/>
    </row>
    <row r="44" spans="2:24">
      <c r="B44" s="5" t="s">
        <v>437</v>
      </c>
      <c r="C44" s="53"/>
      <c r="D44" s="48">
        <f>D11/D30</f>
        <v>12.834437719096572</v>
      </c>
      <c r="E44" s="48">
        <f>E11/E30</f>
        <v>11.561246977518518</v>
      </c>
      <c r="F44" s="48">
        <f>F11/F30</f>
        <v>14.499014787786361</v>
      </c>
      <c r="G44" s="48">
        <f>G11/G30</f>
        <v>13.219856586410575</v>
      </c>
      <c r="H44" s="13">
        <f t="shared" si="3"/>
        <v>-3.00851088072005E-2</v>
      </c>
      <c r="I44" s="208"/>
      <c r="J44" s="208"/>
      <c r="K44" s="208"/>
      <c r="L44" s="208"/>
      <c r="M44" s="208"/>
      <c r="N44" s="208"/>
      <c r="O44" s="208"/>
      <c r="Q44" s="5"/>
      <c r="R44" s="5"/>
      <c r="S44" s="26"/>
      <c r="T44" s="26"/>
      <c r="U44" s="26"/>
      <c r="V44" s="26"/>
      <c r="W44" s="26"/>
      <c r="X44" s="26"/>
    </row>
    <row r="45" spans="2:24">
      <c r="B45" s="5" t="s">
        <v>481</v>
      </c>
      <c r="C45" s="207"/>
      <c r="D45" s="208">
        <f>D31/D11</f>
        <v>3.5946000109207593E-2</v>
      </c>
      <c r="E45" s="208">
        <f>E31/E11</f>
        <v>3.7726460322852477E-2</v>
      </c>
      <c r="F45" s="208">
        <f>F31/F11</f>
        <v>3.4512353894036299E-2</v>
      </c>
      <c r="G45" s="208">
        <f>G31/G11</f>
        <v>3.6442541855177937E-2</v>
      </c>
      <c r="H45" s="13">
        <f t="shared" si="3"/>
        <v>-1.5982196335127208E-2</v>
      </c>
      <c r="I45" s="207"/>
      <c r="J45" s="207"/>
      <c r="K45" s="207"/>
      <c r="L45" s="207"/>
      <c r="M45" s="207"/>
      <c r="N45" s="207"/>
      <c r="O45" s="208"/>
      <c r="Q45" s="5"/>
      <c r="R45" s="5"/>
      <c r="S45" s="26"/>
      <c r="T45" s="26"/>
      <c r="U45" s="26"/>
      <c r="V45" s="26"/>
      <c r="W45" s="26"/>
      <c r="X45" s="26"/>
    </row>
    <row r="46" spans="2:24">
      <c r="B46" s="5" t="s">
        <v>505</v>
      </c>
      <c r="C46" s="207"/>
      <c r="D46" s="208">
        <f>(D31+D32)/D11</f>
        <v>6.8785887308440374E-2</v>
      </c>
      <c r="E46" s="208">
        <f>(E31+E32)/E11</f>
        <v>7.5404728719341035E-2</v>
      </c>
      <c r="F46" s="208">
        <f>(F31+F32)/F11</f>
        <v>4.4291983363214202E-2</v>
      </c>
      <c r="G46" s="208">
        <f>(G31+G32)/G11</f>
        <v>4.6964329476090243E-2</v>
      </c>
      <c r="H46" s="233">
        <f>((G31+G32)/(D31+D32))^(1/3)-1</f>
        <v>-0.13747203069246305</v>
      </c>
      <c r="I46" s="13"/>
      <c r="J46" s="207"/>
      <c r="K46" s="207"/>
      <c r="L46" s="207"/>
      <c r="M46" s="207"/>
      <c r="N46" s="207"/>
      <c r="O46" s="14"/>
      <c r="Q46" s="5"/>
      <c r="R46" s="5"/>
      <c r="S46" s="26"/>
      <c r="T46" s="26"/>
      <c r="U46" s="26"/>
      <c r="V46" s="26"/>
      <c r="W46" s="26"/>
      <c r="X46" s="26"/>
    </row>
    <row r="47" spans="2:24">
      <c r="B47" s="5" t="s">
        <v>482</v>
      </c>
      <c r="C47" s="5"/>
      <c r="D47" s="208">
        <f>1/D43</f>
        <v>0.10861522838802701</v>
      </c>
      <c r="E47" s="208">
        <f>1/E43</f>
        <v>0.10168944331952325</v>
      </c>
      <c r="F47" s="208">
        <f>1/F43</f>
        <v>6.1980287532326005E-2</v>
      </c>
      <c r="G47" s="208">
        <f>1/G43</f>
        <v>6.7799453175770061E-2</v>
      </c>
      <c r="H47" s="13">
        <f>H29</f>
        <v>-0.16369615899599688</v>
      </c>
      <c r="I47" s="207"/>
      <c r="J47" s="208"/>
      <c r="K47" s="208"/>
      <c r="L47" s="208"/>
      <c r="M47" s="208"/>
      <c r="N47" s="208"/>
      <c r="O47" s="208"/>
      <c r="Q47" s="5"/>
      <c r="R47" s="5"/>
      <c r="S47" s="5"/>
      <c r="T47" s="5"/>
      <c r="U47" s="5"/>
    </row>
    <row r="48" spans="2:24">
      <c r="B48" s="5" t="s">
        <v>518</v>
      </c>
      <c r="C48" s="5"/>
      <c r="D48" s="248">
        <f>D31/D29</f>
        <v>0.34619977479448699</v>
      </c>
      <c r="E48" s="248">
        <f>E31/E29</f>
        <v>0.38847986686525882</v>
      </c>
      <c r="F48" s="248">
        <f>F31/F29</f>
        <v>0.58375653970260877</v>
      </c>
      <c r="G48" s="248">
        <f>G31/G29</f>
        <v>0.56395360229134772</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0">
    <tabColor theme="3" tint="0.59999389629810485"/>
    <pageSetUpPr fitToPage="1"/>
  </sheetPr>
  <dimension ref="B1:BK48"/>
  <sheetViews>
    <sheetView showGridLines="0" zoomScale="80" zoomScaleNormal="80" workbookViewId="0">
      <selection activeCell="E52" sqref="E52"/>
    </sheetView>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135</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372</v>
      </c>
      <c r="C11" s="5"/>
      <c r="D11" s="225">
        <f>(BT!D11/Prices!$F$133)+DT!D11+ORA!D11+KPN!D11+OTE!D11+(SWISS!D11/Prices!$F$128)+TI!D11+TEF!D11+(TNOR!D11/Prices!$F$137)+(TELIA!D11/Prices!$F$138)+PROX!D11</f>
        <v>346163.42809712875</v>
      </c>
      <c r="E11" s="225">
        <f>(BT!E11/Prices!$F$133)+DT!E11+ORA!E11+KPN!E11+OTE!E11+(SWISS!E11/Prices!$F$128)+TI!E11+TEF!E11+(TNOR!E11/Prices!$F$137)+(TELIA!E11/Prices!$F$138)+PROX!E11</f>
        <v>342899.68849603692</v>
      </c>
      <c r="F11" s="225">
        <f>(BT!F11/Prices!$F$133)+DT!F11+ORA!F11+KPN!F11+OTE!F11+(SWISS!F11/Prices!$F$128)+TI!F11+TEF!F11+(TNOR!F11/Prices!$F$137)+(TELIA!F11/Prices!$F$138)+PROX!F11</f>
        <v>341979.7053120865</v>
      </c>
      <c r="G11" s="225">
        <f>(BT!G11/Prices!$F$133)+DT!G11+ORA!G11+KPN!G11+OTE!G11+(SWISS!G11/Prices!$F$128)+TI!G11+TEF!G11+(TNOR!G11/Prices!$F$137)+(TELIA!G11/Prices!$F$138)+PROX!G11</f>
        <v>341056.84895625018</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(BT!D12/Prices!$F$133)+DT!D12+ORA!D12+KPN!D12+OTE!D12+(SWISS!D12/Prices!$F$128)+TI!D12+TEF!D12+(TNOR!D12/Prices!$F$137)+(TELIA!D12/Prices!$F$138)+PROX!D12</f>
        <v>220138.63910797337</v>
      </c>
      <c r="E12" s="188">
        <f>(BT!E12/Prices!$F$133)+DT!E12+ORA!E12+KPN!E12+OTE!E12+(SWISS!E12/Prices!$F$128)+TI!E12+TEF!E12+(TNOR!E12/Prices!$F$137)+(TELIA!E12/Prices!$F$138)+PROX!E12</f>
        <v>228338.77706416088</v>
      </c>
      <c r="F12" s="188">
        <f>(BT!F12/Prices!$F$133)+DT!F12+ORA!F12+KPN!F12+OTE!F12+(SWISS!F12/Prices!$F$128)+TI!F12+TEF!F12+(TNOR!F12/Prices!$F$137)+(TELIA!F12/Prices!$F$138)+PROX!F12</f>
        <v>221998.88754166503</v>
      </c>
      <c r="G12" s="188">
        <f>(BT!G12/Prices!$F$133)+DT!G12+ORA!G12+KPN!G12+OTE!G12+(SWISS!G12/Prices!$F$128)+TI!G12+TEF!G12+(TNOR!G12/Prices!$F$137)+(TELIA!G12/Prices!$F$138)+PROX!G12</f>
        <v>212351.50591299261</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(BT!D13/Prices!$F$133)+DT!D13+ORA!D13+KPN!D13+OTE!D13+(SWISS!D13/Prices!$F$128)+TI!D13+TEF!D13+(TNOR!D13/Prices!$F$137)+(TELIA!D13/Prices!$F$138)+PROX!D13</f>
        <v>54675.634554980003</v>
      </c>
      <c r="E13" s="188">
        <f>(BT!E13/Prices!$F$133)+DT!E13+ORA!E13+KPN!E13+OTE!E13+(SWISS!E13/Prices!$F$128)+TI!E13+TEF!E13+(TNOR!E13/Prices!$F$137)+(TELIA!E13/Prices!$F$138)+PROX!E13</f>
        <v>52705.141347073295</v>
      </c>
      <c r="F13" s="188">
        <f>(BT!F13/Prices!$F$133)+DT!F13+ORA!F13+KPN!F13+OTE!F13+(SWISS!F13/Prices!$F$128)+TI!F13+TEF!F13+(TNOR!F13/Prices!$F$137)+(TELIA!F13/Prices!$F$138)+PROX!F13</f>
        <v>50130.537297491523</v>
      </c>
      <c r="G13" s="188">
        <f>(BT!G13/Prices!$F$133)+DT!G13+ORA!G13+KPN!G13+OTE!G13+(SWISS!G13/Prices!$F$128)+TI!G13+TEF!G13+(TNOR!G13/Prices!$F$137)+(TELIA!G13/Prices!$F$138)+PROX!G13</f>
        <v>47715.434171021254</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(BT!D14/Prices!$F$133)+DT!D14+ORA!D14+KPN!D14+OTE!D14+(SWISS!D14/Prices!$F$128)+TI!D14+TEF!D14+(TNOR!D14/Prices!$F$137)+(TELIA!D14/Prices!$F$138)+PROX!D14</f>
        <v>13537.582448840207</v>
      </c>
      <c r="E14" s="188">
        <f>(BT!E14/Prices!$F$133)+DT!E14+ORA!E14+KPN!E14+OTE!E14+(SWISS!E14/Prices!$F$128)+TI!E14+TEF!E14+(TNOR!E14/Prices!$F$137)+(TELIA!E14/Prices!$F$138)+PROX!E14</f>
        <v>13537.582448840207</v>
      </c>
      <c r="F14" s="188">
        <f>(BT!F14/Prices!$F$133)+DT!F14+ORA!F14+KPN!F14+OTE!F14+(SWISS!F14/Prices!$F$128)+TI!F14+TEF!F14+(TNOR!F14/Prices!$F$137)+(TELIA!F14/Prices!$F$138)+PROX!F14</f>
        <v>13537.582448840207</v>
      </c>
      <c r="G14" s="188">
        <f>(BT!G14/Prices!$F$133)+DT!G14+ORA!G14+KPN!G14+OTE!G14+(SWISS!G14/Prices!$F$128)+TI!G14+TEF!G14+(TNOR!G14/Prices!$F$137)+(TELIA!G14/Prices!$F$138)+PROX!G14</f>
        <v>13537.582448840207</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(BT!D15/Prices!$F$133)+DT!D15+ORA!D15+KPN!D15+OTE!D15+(SWISS!D15/Prices!$F$128)+TI!D15+TEF!D15+(TNOR!D15/Prices!$F$137)+(TELIA!D15/Prices!$F$138)+PROX!D15</f>
        <v>126720.42561414381</v>
      </c>
      <c r="E15" s="188">
        <f>(BT!E15/Prices!$F$133)+DT!E15+ORA!E15+KPN!E15+OTE!E15+(SWISS!E15/Prices!$F$128)+TI!E15+TEF!E15+(TNOR!E15/Prices!$F$137)+(TELIA!E15/Prices!$F$138)+PROX!E15</f>
        <v>122900.89967619631</v>
      </c>
      <c r="F15" s="188">
        <f>(BT!F15/Prices!$F$133)+DT!F15+ORA!F15+KPN!F15+OTE!F15+(SWISS!F15/Prices!$F$128)+TI!F15+TEF!F15+(TNOR!F15/Prices!$F$137)+(TELIA!F15/Prices!$F$138)+PROX!F15</f>
        <v>121736.83544039165</v>
      </c>
      <c r="G15" s="188">
        <f>(BT!G15/Prices!$F$133)+DT!G15+ORA!G15+KPN!G15+OTE!G15+(SWISS!G15/Prices!$F$128)+TI!G15+TEF!G15+(TNOR!G15/Prices!$F$137)+(TELIA!G15/Prices!$F$138)+PROX!G15</f>
        <v>120337.99189017614</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(BT!D16/Prices!$F$133)+DT!D16+ORA!D16+KPN!D16+OTE!D16+(SWISS!D16/Prices!$F$128)+TI!D16+TEF!D16+(TNOR!D16/Prices!$F$137)+(TELIA!D16/Prices!$F$138)+PROX!D16</f>
        <v>279.3602740544988</v>
      </c>
      <c r="E16" s="188">
        <f>(BT!E16/Prices!$F$133)+DT!E16+ORA!E16+KPN!E16+OTE!E16+(SWISS!E16/Prices!$F$128)+TI!E16+TEF!E16+(TNOR!E16/Prices!$F$137)+(TELIA!E16/Prices!$F$138)+PROX!E16</f>
        <v>11935.710622990357</v>
      </c>
      <c r="F16" s="188">
        <f>(BT!F16/Prices!$F$133)+DT!F16+ORA!F16+KPN!F16+OTE!F16+(SWISS!F16/Prices!$F$128)+TI!F16+TEF!F16+(TNOR!F16/Prices!$F$137)+(TELIA!F16/Prices!$F$138)+PROX!F16</f>
        <v>26610.433517827361</v>
      </c>
      <c r="G16" s="188">
        <f>(BT!G16/Prices!$F$133)+DT!G16+ORA!G16+KPN!G16+OTE!G16+(SWISS!G16/Prices!$F$128)+TI!G16+TEF!G16+(TNOR!G16/Prices!$F$137)+(TELIA!G16/Prices!$F$138)+PROX!G16</f>
        <v>43130.640760331014</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(BT!D17/Prices!$F$133)+DT!D17+ORA!D17+KPN!D17+OTE!D17+(SWISS!D17/Prices!$F$128)+TI!D17+TEF!D17+(TNOR!D17/Prices!$F$137)+(TELIA!D17/Prices!$F$138)+PROX!D17</f>
        <v>4128.876202378684</v>
      </c>
      <c r="E17" s="188">
        <f>(BT!E17/Prices!$F$133)+DT!E17+ORA!E17+KPN!E17+OTE!E17+(SWISS!E17/Prices!$F$128)+TI!E17+TEF!E17+(TNOR!E17/Prices!$F$137)+(TELIA!E17/Prices!$F$138)+PROX!E17</f>
        <v>4227.820460032357</v>
      </c>
      <c r="F17" s="188">
        <f>(BT!F17/Prices!$F$133)+DT!F17+ORA!F17+KPN!F17+OTE!F17+(SWISS!F17/Prices!$F$128)+TI!F17+TEF!F17+(TNOR!F17/Prices!$F$137)+(TELIA!F17/Prices!$F$138)+PROX!F17</f>
        <v>4186.6837586502479</v>
      </c>
      <c r="G17" s="188">
        <f>(BT!G17/Prices!$F$133)+DT!G17+ORA!G17+KPN!G17+OTE!G17+(SWISS!G17/Prices!$F$128)+TI!G17+TEF!G17+(TNOR!G17/Prices!$F$137)+(TELIA!G17/Prices!$F$138)+PROX!G17</f>
        <v>4142.8320349769183</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371</v>
      </c>
      <c r="C18" s="209"/>
      <c r="D18" s="229">
        <f>(BT!D18/Prices!$F$133)+DT!D18+ORA!D18+KPN!D18+OTE!D18+(SWISS!D18/Prices!$F$128)+TI!D18+TEF!D18+(TNOR!D18/Prices!$F$137)+(TELIA!D18/Prices!$F$138)+PROX!D18</f>
        <v>729752.30844895239</v>
      </c>
      <c r="E18" s="229">
        <f>(BT!E18/Prices!$F$133)+DT!E18+ORA!E18+KPN!E18+OTE!E18+(SWISS!E18/Prices!$F$128)+TI!E18+TEF!E18+(TNOR!E18/Prices!$F$137)+(TELIA!E18/Prices!$F$138)+PROX!E18</f>
        <v>717143.39305160451</v>
      </c>
      <c r="F18" s="229">
        <f>(BT!F18/Prices!$F$133)+DT!F18+ORA!F18+KPN!F18+OTE!F18+(SWISS!F18/Prices!$F$128)+TI!F18+TEF!F18+(TNOR!F18/Prices!$F$137)+(TELIA!F18/Prices!$F$138)+PROX!F18</f>
        <v>691511.26586631685</v>
      </c>
      <c r="G18" s="229">
        <f>(BT!G18/Prices!$F$133)+DT!G18+ORA!G18+KPN!G18+OTE!G18+(SWISS!G18/Prices!$F$128)+TI!G18+TEF!G18+(TNOR!G18/Prices!$F$137)+(TELIA!G18/Prices!$F$138)+PROX!G18</f>
        <v>660650.72568629216</v>
      </c>
      <c r="H18" s="230">
        <f>IF(D18=0,"nm",IF(G18=0,"nm",(G18/D18)^(1/3)-1))</f>
        <v>-3.2616194136948051E-2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72"/>
      <c r="U19" s="72"/>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72"/>
      <c r="T20" s="72"/>
      <c r="U20" s="72"/>
      <c r="V20" s="26"/>
      <c r="W20" s="26"/>
      <c r="X20" s="26"/>
    </row>
    <row r="21" spans="2:24" ht="12.6" thickBot="1">
      <c r="B21" s="249" t="s">
        <v>136</v>
      </c>
      <c r="C21" s="219">
        <v>2020</v>
      </c>
      <c r="D21" s="219" t="str">
        <f>D5</f>
        <v>2025E</v>
      </c>
      <c r="E21" s="219" t="str">
        <f>E5</f>
        <v>2026E</v>
      </c>
      <c r="F21" s="219" t="str">
        <f>F5</f>
        <v>2027E</v>
      </c>
      <c r="G21" s="219" t="str">
        <f>G5</f>
        <v>2028E</v>
      </c>
      <c r="H21" s="236" t="str">
        <f>H5</f>
        <v>2025-28</v>
      </c>
      <c r="I21" s="13"/>
      <c r="S21" s="72"/>
      <c r="T21" s="72"/>
      <c r="U21" s="72"/>
      <c r="V21" s="26"/>
      <c r="W21" s="26"/>
      <c r="X21" s="26"/>
    </row>
    <row r="22" spans="2:24" ht="12.6" thickTop="1">
      <c r="B22" s="5"/>
      <c r="C22" s="216"/>
      <c r="D22" s="13"/>
      <c r="E22" s="13"/>
      <c r="F22" s="13"/>
      <c r="G22" s="13"/>
      <c r="H22" s="13"/>
      <c r="I22" s="207"/>
      <c r="P22" s="231"/>
      <c r="S22" s="72"/>
      <c r="T22" s="72"/>
      <c r="U22" s="72"/>
      <c r="V22" s="72"/>
      <c r="W22" s="72"/>
      <c r="X22" s="72"/>
    </row>
    <row r="23" spans="2:24" ht="12.6" thickBot="1">
      <c r="B23" s="5" t="s">
        <v>485</v>
      </c>
      <c r="C23" s="288">
        <f>(BT!C23/Prices!$F$133)+DT!C23+ORA!C23+KPN!C23+OTE!C23+(SWISS!C23/Prices!$F$128)+TI!C23+TEF!C23+(TNOR!C23/Prices!$F$137)+(TELIA!C23/Prices!$F$138)+PROX!C23</f>
        <v>282369.80358221731</v>
      </c>
      <c r="D23" s="188">
        <f>(BT!D23/Prices!$F$133)+DT!D23+ORA!D23+KPN!D23+OTE!D23+(SWISS!D23/Prices!$F$128)+TI!D23+TEF!D23+(TNOR!D23/Prices!$F$137)+(TELIA!D23/Prices!$F$138)+PROX!D23</f>
        <v>279434.87298369233</v>
      </c>
      <c r="E23" s="188">
        <f>(BT!E23/Prices!$F$133)+DT!E23+ORA!E23+KPN!E23+OTE!E23+(SWISS!E23/Prices!$F$128)+TI!E23+TEF!E23+(TNOR!E23/Prices!$F$137)+(TELIA!E23/Prices!$F$138)+PROX!E23</f>
        <v>290485.11405190447</v>
      </c>
      <c r="F23" s="188">
        <f>(BT!F23/Prices!$F$133)+DT!F23+ORA!F23+KPN!F23+OTE!F23+(SWISS!F23/Prices!$F$128)+TI!F23+TEF!F23+(TNOR!F23/Prices!$F$137)+(TELIA!F23/Prices!$F$138)+PROX!F23</f>
        <v>296697.8059542444</v>
      </c>
      <c r="G23" s="188">
        <f>(BT!G23/Prices!$F$133)+DT!G23+ORA!G23+KPN!G23+OTE!G23+(SWISS!G23/Prices!$F$128)+TI!G23+TEF!G23+(TNOR!G23/Prices!$F$137)+(TELIA!G23/Prices!$F$138)+PROX!G23</f>
        <v>302455.30054866243</v>
      </c>
      <c r="H23" s="233">
        <f t="shared" ref="H23:H33" si="0">IF(D23=0,"nm",IF(G23=0,"nm",(G23/D23)^(1/3)-1))</f>
        <v>2.6739330529638838E-2</v>
      </c>
      <c r="I23" s="209"/>
      <c r="J23" s="249" t="s">
        <v>7</v>
      </c>
      <c r="K23" s="249"/>
      <c r="L23" s="219" t="str">
        <f>L5</f>
        <v>2025E</v>
      </c>
      <c r="M23" s="219" t="str">
        <f>M5</f>
        <v>2026E</v>
      </c>
      <c r="N23" s="219" t="str">
        <f>N5</f>
        <v>2027E</v>
      </c>
      <c r="O23" s="219" t="str">
        <f>O5</f>
        <v>2028E</v>
      </c>
      <c r="P23" s="236" t="str">
        <f>P5</f>
        <v>2025-28</v>
      </c>
      <c r="S23" s="72"/>
      <c r="T23" s="26"/>
      <c r="U23" s="26"/>
      <c r="V23" s="26"/>
      <c r="W23" s="26" t="s">
        <v>467</v>
      </c>
      <c r="X23" s="26" t="s">
        <v>510</v>
      </c>
    </row>
    <row r="24" spans="2:24" ht="12.6" thickTop="1">
      <c r="B24" s="5" t="s">
        <v>397</v>
      </c>
      <c r="C24" s="288">
        <f>(BT!C24/Prices!$F$133)+DT!C24+ORA!C24+KPN!C24+OTE!C24+(SWISS!C24/Prices!$F$128)+TI!C24+TEF!C24+(TNOR!C24/Prices!$F$137)+(TELIA!C24/Prices!$F$138)+PROX!C24</f>
        <v>93766.260999811057</v>
      </c>
      <c r="D24" s="188">
        <f>(BT!D24/Prices!$F$133)+DT!D24+ORA!D24+KPN!D24+OTE!D24+(SWISS!D24/Prices!$F$128)+TI!D24+TEF!D24+(TNOR!D24/Prices!$F$137)+(TELIA!D24/Prices!$F$138)+PROX!D24</f>
        <v>94805.933668074402</v>
      </c>
      <c r="E24" s="188">
        <f>(BT!E24/Prices!$F$133)+DT!E24+ORA!E24+KPN!E24+OTE!E24+(SWISS!E24/Prices!$F$128)+TI!E24+TEF!E24+(TNOR!E24/Prices!$F$137)+(TELIA!E24/Prices!$F$138)+PROX!E24</f>
        <v>100641.21323831509</v>
      </c>
      <c r="F24" s="188">
        <f>(BT!F24/Prices!$F$133)+DT!F24+ORA!F24+KPN!F24+OTE!F24+(SWISS!F24/Prices!$F$128)+TI!F24+TEF!F24+(TNOR!F24/Prices!$F$137)+(TELIA!F24/Prices!$F$138)+PROX!F24</f>
        <v>105169.5847017557</v>
      </c>
      <c r="G24" s="188">
        <f>(BT!G24/Prices!$F$133)+DT!G24+ORA!G24+KPN!G24+OTE!G24+(SWISS!G24/Prices!$F$128)+TI!G24+TEF!G24+(TNOR!G24/Prices!$F$137)+(TELIA!G24/Prices!$F$138)+PROX!G24</f>
        <v>108855.01670374305</v>
      </c>
      <c r="H24" s="233">
        <f t="shared" si="0"/>
        <v>4.7138939293228432E-2</v>
      </c>
      <c r="I24" s="208"/>
      <c r="J24" s="13"/>
      <c r="K24" s="13"/>
      <c r="L24" s="13"/>
      <c r="M24" s="13"/>
      <c r="N24" s="13"/>
      <c r="O24" s="208"/>
      <c r="S24" s="72"/>
      <c r="T24" s="26"/>
      <c r="U24" s="26"/>
      <c r="V24" s="113" t="s">
        <v>225</v>
      </c>
      <c r="W24" s="242">
        <f t="shared" ref="W24:W31" si="1">E37/M9</f>
        <v>1.0373282446157301</v>
      </c>
      <c r="X24" s="242">
        <v>1</v>
      </c>
    </row>
    <row r="25" spans="2:24">
      <c r="B25" s="5" t="s">
        <v>157</v>
      </c>
      <c r="C25" s="288">
        <f>(BT!C25/Prices!$F$133)+DT!C25+ORA!C25+KPN!C25+OTE!C25+(SWISS!C25/Prices!$F$128)+TI!C25+TEF!C25+(TNOR!C25/Prices!$F$137)+(TELIA!C25/Prices!$F$138)+PROX!C25</f>
        <v>48208.73169762591</v>
      </c>
      <c r="D25" s="188">
        <f>(BT!D25/Prices!$F$133)+DT!D25+ORA!D25+KPN!D25+OTE!D25+(SWISS!D25/Prices!$F$128)+TI!D25+TEF!D25+(TNOR!D25/Prices!$F$137)+(TELIA!D25/Prices!$F$138)+PROX!D25</f>
        <v>49686.878964691139</v>
      </c>
      <c r="E25" s="188">
        <f>(BT!E25/Prices!$F$133)+DT!E25+ORA!E25+KPN!E25+OTE!E25+(SWISS!E25/Prices!$F$128)+TI!E25+TEF!E25+(TNOR!E25/Prices!$F$137)+(TELIA!E25/Prices!$F$138)+PROX!E25</f>
        <v>55818.515178277565</v>
      </c>
      <c r="F25" s="188">
        <f>(BT!F25/Prices!$F$133)+DT!F25+ORA!F25+KPN!F25+OTE!F25+(SWISS!F25/Prices!$F$128)+TI!F25+TEF!F25+(TNOR!F25/Prices!$F$137)+(TELIA!F25/Prices!$F$138)+PROX!F25</f>
        <v>61511.029251244036</v>
      </c>
      <c r="G25" s="188">
        <f>(BT!G25/Prices!$F$133)+DT!G25+ORA!G25+KPN!G25+OTE!G25+(SWISS!G25/Prices!$F$128)+TI!G25+TEF!G25+(TNOR!G25/Prices!$F$137)+(TELIA!G25/Prices!$F$138)+PROX!G25</f>
        <v>65496.740322687125</v>
      </c>
      <c r="H25" s="233">
        <f t="shared" si="0"/>
        <v>9.6459655096736707E-2</v>
      </c>
      <c r="I25" s="209"/>
      <c r="J25" s="207" t="s">
        <v>8</v>
      </c>
      <c r="K25" s="207"/>
      <c r="L25" s="258">
        <f>(BT!L25/Prices!$F$133)+DT!L25+ORA!L25+KPN!L25+OTE!L25+(SWISS!L25/Prices!$F$128)+TI!L25+TEF!L25+(TNOR!L25/Prices!$F$137)+(TELIA!L25/Prices!$F$138)+PROX!L25</f>
        <v>23147.335958245938</v>
      </c>
      <c r="M25" s="258">
        <f>(BT!M25/Prices!$F$133)+DT!M25+ORA!M25+KPN!M25+OTE!M25+(SWISS!M25/Prices!$F$128)+TI!M25+TEF!M25+(TNOR!M25/Prices!$F$137)+(TELIA!M25/Prices!$F$138)+PROX!M25</f>
        <v>23053.270634693996</v>
      </c>
      <c r="N25" s="258">
        <f>(BT!N25/Prices!$F$133)+DT!N25+ORA!N25+KPN!N25+OTE!N25+(SWISS!N25/Prices!$F$128)+TI!N25+TEF!N25+(TNOR!N25/Prices!$F$137)+(TELIA!N25/Prices!$F$138)+PROX!N25</f>
        <v>22951.817118798499</v>
      </c>
      <c r="O25" s="258">
        <f>(BT!O25/Prices!$F$133)+DT!O25+ORA!O25+KPN!O25+OTE!O25+(SWISS!O25/Prices!$F$128)+TI!O25+TEF!O25+(TNOR!O25/Prices!$F$137)+(TELIA!O25/Prices!$F$138)+PROX!O25</f>
        <v>22842.397965618286</v>
      </c>
      <c r="P25" s="272">
        <f>IF(L25=0,"nm",IF(O25=0,"nm",(O25/L25)^(1/3)-1))</f>
        <v>-4.4106867235880198E-3</v>
      </c>
      <c r="Q25" s="5"/>
      <c r="S25" s="72"/>
      <c r="T25" s="26"/>
      <c r="U25" s="26"/>
      <c r="V25" s="113" t="s">
        <v>158</v>
      </c>
      <c r="W25" s="242">
        <f t="shared" si="1"/>
        <v>1.0350730447305025</v>
      </c>
      <c r="X25" s="242">
        <v>1</v>
      </c>
    </row>
    <row r="26" spans="2:24">
      <c r="B26" s="5" t="s">
        <v>487</v>
      </c>
      <c r="C26" s="288">
        <f>(BT!C26/Prices!$F$133)+DT!C26+ORA!C26+KPN!C26+OTE!C26+(SWISS!C26/Prices!$F$128)+TI!C26+TEF!C26+(TNOR!C26/Prices!$F$137)+(TELIA!C26/Prices!$F$138)+PROX!C26</f>
        <v>35887.43049936508</v>
      </c>
      <c r="D26" s="188">
        <f>(BT!D26/Prices!$F$133)+DT!D26+ORA!D26+KPN!D26+OTE!D26+(SWISS!D26/Prices!$F$128)+TI!D26+TEF!D26+(TNOR!D26/Prices!$F$137)+(TELIA!D26/Prices!$F$138)+PROX!D26</f>
        <v>36799.863719856454</v>
      </c>
      <c r="E26" s="188">
        <f>(BT!E26/Prices!$F$133)+DT!E26+ORA!E26+KPN!E26+OTE!E26+(SWISS!E26/Prices!$F$128)+TI!E26+TEF!E26+(TNOR!E26/Prices!$F$137)+(TELIA!E26/Prices!$F$138)+PROX!E26</f>
        <v>41291.112121704849</v>
      </c>
      <c r="F26" s="188">
        <f>(BT!F26/Prices!$F$133)+DT!F26+ORA!F26+KPN!F26+OTE!F26+(SWISS!F26/Prices!$F$128)+TI!F26+TEF!F26+(TNOR!F26/Prices!$F$137)+(TELIA!F26/Prices!$F$138)+PROX!F26</f>
        <v>45600.828074590449</v>
      </c>
      <c r="G26" s="188">
        <f>(BT!G26/Prices!$F$133)+DT!G26+ORA!G26+KPN!G26+OTE!G26+(SWISS!G26/Prices!$F$128)+TI!G26+TEF!G26+(TNOR!G26/Prices!$F$137)+(TELIA!G26/Prices!$F$138)+PROX!G26</f>
        <v>48633.344318176787</v>
      </c>
      <c r="H26" s="233">
        <f t="shared" si="0"/>
        <v>9.7394152300127379E-2</v>
      </c>
      <c r="I26" s="209"/>
      <c r="J26" s="209" t="s">
        <v>9</v>
      </c>
      <c r="K26" s="209"/>
      <c r="L26" s="235">
        <f>(BT!L26/Prices!$F$133)+DT!L26+ORA!L26+KPN!L26+OTE!L26+(SWISS!L26/Prices!$F$128)+TI!L26+TEF!L26+(TNOR!L26/Prices!$F$137)+(TELIA!L26/Prices!$F$138)+PROX!L26</f>
        <v>369310.76405537466</v>
      </c>
      <c r="M26" s="235">
        <f>(BT!M26/Prices!$F$133)+DT!M26+ORA!M26+KPN!M26+OTE!M26+(SWISS!M26/Prices!$F$128)+TI!M26+TEF!M26+(TNOR!M26/Prices!$F$137)+(TELIA!M26/Prices!$F$138)+PROX!M26</f>
        <v>365952.95913073089</v>
      </c>
      <c r="N26" s="235">
        <f>(BT!N26/Prices!$F$133)+DT!N26+ORA!N26+KPN!N26+OTE!N26+(SWISS!N26/Prices!$F$128)+TI!N26+TEF!N26+(TNOR!N26/Prices!$F$137)+(TELIA!N26/Prices!$F$138)+PROX!N26</f>
        <v>364931.52243088494</v>
      </c>
      <c r="O26" s="235">
        <f>(BT!O26/Prices!$F$133)+DT!O26+ORA!O26+KPN!O26+OTE!O26+(SWISS!O26/Prices!$F$128)+TI!O26+TEF!O26+(TNOR!O26/Prices!$F$137)+(TELIA!O26/Prices!$F$138)+PROX!O26</f>
        <v>363899.24692186847</v>
      </c>
      <c r="P26" s="272">
        <f>IF(L26=0,"nm",IF(O26=0,"nm",(O26/L26)^(1/3)-1))</f>
        <v>-4.9083921020145471E-3</v>
      </c>
      <c r="Q26" s="25"/>
      <c r="S26" s="72"/>
      <c r="T26" s="26"/>
      <c r="U26" s="26"/>
      <c r="V26" s="113" t="s">
        <v>159</v>
      </c>
      <c r="W26" s="242">
        <f t="shared" si="1"/>
        <v>1.0785466645119102</v>
      </c>
      <c r="X26" s="242">
        <v>1</v>
      </c>
    </row>
    <row r="27" spans="2:24">
      <c r="B27" s="5" t="s">
        <v>488</v>
      </c>
      <c r="C27" s="288">
        <f>(BT!C27/Prices!$F$133)+DT!C27+ORA!C27+KPN!C27+OTE!C27+(SWISS!C27/Prices!$F$128)+TI!C27+TEF!C27+(TNOR!C27/Prices!$F$137)+(TELIA!C27/Prices!$F$138)+PROX!C27</f>
        <v>448490.75011458067</v>
      </c>
      <c r="D27" s="188">
        <f>(BT!D27/Prices!$F$133)+DT!D27+ORA!D27+KPN!D27+OTE!D27+(SWISS!D27/Prices!$F$128)+TI!D27+TEF!D27+(TNOR!D27/Prices!$F$137)+(TELIA!D27/Prices!$F$138)+PROX!D27</f>
        <v>442222.35310153442</v>
      </c>
      <c r="E27" s="188">
        <f>(BT!E27/Prices!$F$133)+DT!E27+ORA!E27+KPN!E27+OTE!E27+(SWISS!E27/Prices!$F$128)+TI!E27+TEF!E27+(TNOR!E27/Prices!$F$137)+(TELIA!E27/Prices!$F$138)+PROX!E27</f>
        <v>458649.63077874214</v>
      </c>
      <c r="F27" s="188">
        <f>(BT!F27/Prices!$F$133)+DT!F27+ORA!F27+KPN!F27+OTE!F27+(SWISS!F27/Prices!$F$128)+TI!F27+TEF!F27+(TNOR!F27/Prices!$F$137)+(TELIA!F27/Prices!$F$138)+PROX!F27</f>
        <v>463556.37688111793</v>
      </c>
      <c r="G27" s="188">
        <f>(BT!G27/Prices!$F$133)+DT!G27+ORA!G27+KPN!G27+OTE!G27+(SWISS!G27/Prices!$F$128)+TI!G27+TEF!G27+(TNOR!G27/Prices!$F$137)+(TELIA!G27/Prices!$F$138)+PROX!G27</f>
        <v>465880.52092302806</v>
      </c>
      <c r="H27" s="233">
        <f t="shared" si="0"/>
        <v>1.7523903552905118E-2</v>
      </c>
      <c r="I27" s="208"/>
      <c r="J27" s="208"/>
      <c r="K27" s="208"/>
      <c r="L27" s="208"/>
      <c r="M27" s="208"/>
      <c r="N27" s="208"/>
      <c r="O27" s="208"/>
      <c r="Q27" s="5"/>
      <c r="S27" s="72"/>
      <c r="T27" s="26"/>
      <c r="U27" s="26"/>
      <c r="V27" s="113" t="s">
        <v>381</v>
      </c>
      <c r="W27" s="242">
        <f t="shared" si="1"/>
        <v>1.0216172108374362</v>
      </c>
      <c r="X27" s="242">
        <v>1</v>
      </c>
    </row>
    <row r="28" spans="2:24" ht="12.6" thickBot="1">
      <c r="B28" s="5" t="s">
        <v>492</v>
      </c>
      <c r="C28" s="288">
        <f>(BT!C28/Prices!$F$133)+DT!C28+ORA!C28+KPN!C28+OTE!C28+(SWISS!C28/Prices!$F$128)+TI!C28+TEF!C28+(TNOR!C28/Prices!$F$137)+(TELIA!C28/Prices!$F$138)+PROX!C28</f>
        <v>195250.83209970946</v>
      </c>
      <c r="D28" s="188">
        <f>(BT!D28/Prices!$F$133)+DT!D28+ORA!D28+KPN!D28+OTE!D28+(SWISS!D28/Prices!$F$128)+TI!D28+TEF!D28+(TNOR!D28/Prices!$F$137)+(TELIA!D28/Prices!$F$138)+PROX!D28</f>
        <v>192693.97430090114</v>
      </c>
      <c r="E28" s="188">
        <f>(BT!E28/Prices!$F$133)+DT!E28+ORA!E28+KPN!E28+OTE!E28+(SWISS!E28/Prices!$F$128)+TI!E28+TEF!E28+(TNOR!E28/Prices!$F$137)+(TELIA!E28/Prices!$F$138)+PROX!E28</f>
        <v>200605.79378579129</v>
      </c>
      <c r="F28" s="188">
        <f>(BT!F28/Prices!$F$133)+DT!F28+ORA!F28+KPN!F28+OTE!F28+(SWISS!F28/Prices!$F$128)+TI!F28+TEF!F28+(TNOR!F28/Prices!$F$137)+(TELIA!F28/Prices!$F$138)+PROX!F28</f>
        <v>198050.96318067375</v>
      </c>
      <c r="G28" s="188">
        <f>(BT!G28/Prices!$F$133)+DT!G28+ORA!G28+KPN!G28+OTE!G28+(SWISS!G28/Prices!$F$128)+TI!G28+TEF!G28+(TNOR!G28/Prices!$F$137)+(TELIA!G28/Prices!$F$138)+PROX!G28</f>
        <v>191867.32920411581</v>
      </c>
      <c r="H28" s="233">
        <f t="shared" si="0"/>
        <v>-1.4320288778902901E-3</v>
      </c>
      <c r="I28" s="212"/>
      <c r="J28" s="249" t="s">
        <v>628</v>
      </c>
      <c r="K28" s="249"/>
      <c r="L28" s="249"/>
      <c r="M28" s="249"/>
      <c r="N28" s="220"/>
      <c r="O28" s="220"/>
      <c r="P28" s="220"/>
      <c r="Q28" s="5"/>
      <c r="S28" s="72"/>
      <c r="T28" s="26"/>
      <c r="U28" s="26"/>
      <c r="V28" s="113" t="s">
        <v>434</v>
      </c>
      <c r="W28" s="242">
        <f t="shared" si="1"/>
        <v>1.0339896902368815</v>
      </c>
      <c r="X28" s="242">
        <v>1</v>
      </c>
    </row>
    <row r="29" spans="2:24" ht="12.6" thickTop="1">
      <c r="B29" s="5" t="s">
        <v>489</v>
      </c>
      <c r="C29" s="288">
        <f>(BT!C29/Prices!$F$133)+DT!C29+ORA!C29+KPN!C29+OTE!C29+(SWISS!C29/Prices!$F$128)+TI!C29+TEF!C29+(TNOR!C29/Prices!$F$137)+(TELIA!C29/Prices!$F$138)+PROX!C29</f>
        <v>17729.171435313408</v>
      </c>
      <c r="D29" s="188">
        <f>(BT!D29/Prices!$F$133)+DT!D29+ORA!D29+KPN!D29+OTE!D29+(SWISS!D29/Prices!$F$128)+TI!D29+TEF!D29+(TNOR!D29/Prices!$F$137)+(TELIA!D29/Prices!$F$138)+PROX!D29</f>
        <v>20834.187123454565</v>
      </c>
      <c r="E29" s="188">
        <f>(BT!E29/Prices!$F$133)+DT!E29+ORA!E29+KPN!E29+OTE!E29+(SWISS!E29/Prices!$F$128)+TI!E29+TEF!E29+(TNOR!E29/Prices!$F$137)+(TELIA!E29/Prices!$F$138)+PROX!E29</f>
        <v>25167.921514488778</v>
      </c>
      <c r="F29" s="188">
        <f>(BT!F29/Prices!$F$133)+DT!F29+ORA!F29+KPN!F29+OTE!F29+(SWISS!F29/Prices!$F$128)+TI!F29+TEF!F29+(TNOR!F29/Prices!$F$137)+(TELIA!F29/Prices!$F$138)+PROX!F29</f>
        <v>26811.481201242452</v>
      </c>
      <c r="G29" s="188">
        <f>(BT!G29/Prices!$F$133)+DT!G29+ORA!G29+KPN!G29+OTE!G29+(SWISS!G29/Prices!$F$128)+TI!G29+TEF!G29+(TNOR!G29/Prices!$F$137)+(TELIA!G29/Prices!$F$138)+PROX!G29</f>
        <v>29379.030353654194</v>
      </c>
      <c r="H29" s="233">
        <f t="shared" si="0"/>
        <v>0.12138213373541618</v>
      </c>
      <c r="I29" s="214"/>
      <c r="J29" s="209"/>
      <c r="K29" s="209"/>
      <c r="L29" s="209"/>
      <c r="M29" s="209"/>
      <c r="N29" s="209"/>
      <c r="O29" s="211"/>
      <c r="Q29" s="5"/>
      <c r="S29" s="72"/>
      <c r="T29" s="26"/>
      <c r="U29" s="26"/>
      <c r="V29" s="113" t="s">
        <v>493</v>
      </c>
      <c r="W29" s="242">
        <f t="shared" si="1"/>
        <v>1.0363295329981308</v>
      </c>
      <c r="X29" s="242">
        <v>1</v>
      </c>
    </row>
    <row r="30" spans="2:24">
      <c r="B30" s="5" t="s">
        <v>490</v>
      </c>
      <c r="C30" s="288">
        <f>(BT!C30/Prices!$F$133)+DT!C30+ORA!C30+KPN!C30+OTE!C30+(SWISS!C30/Prices!$F$128)+TI!C30+TEF!C30+(TNOR!C30/Prices!$F$137)+(TELIA!C30/Prices!$F$138)+PROX!C30</f>
        <v>22393.467078626469</v>
      </c>
      <c r="D30" s="188">
        <f>(BT!D30/Prices!$F$133)+DT!D30+ORA!D30+KPN!D30+OTE!D30+(SWISS!D30/Prices!$F$128)+TI!D30+TEF!D30+(TNOR!D30/Prices!$F$137)+(TELIA!D30/Prices!$F$138)+PROX!D30</f>
        <v>24473.763409877221</v>
      </c>
      <c r="E30" s="188">
        <f>(BT!E30/Prices!$F$133)+DT!E30+ORA!E30+KPN!E30+OTE!E30+(SWISS!E30/Prices!$F$128)+TI!E30+TEF!E30+(TNOR!E30/Prices!$F$137)+(TELIA!E30/Prices!$F$138)+PROX!E30</f>
        <v>25831.193150403764</v>
      </c>
      <c r="F30" s="188">
        <f>(BT!F30/Prices!$F$133)+DT!F30+ORA!F30+KPN!F30+OTE!F30+(SWISS!F30/Prices!$F$128)+TI!F30+TEF!F30+(TNOR!F30/Prices!$F$137)+(TELIA!F30/Prices!$F$138)+PROX!F30</f>
        <v>26964.780826572452</v>
      </c>
      <c r="G30" s="188">
        <f>(BT!G30/Prices!$F$133)+DT!G30+ORA!G30+KPN!G30+OTE!G30+(SWISS!G30/Prices!$F$128)+TI!G30+TEF!G30+(TNOR!G30/Prices!$F$137)+(TELIA!G30/Prices!$F$138)+PROX!G30</f>
        <v>29411.928870164971</v>
      </c>
      <c r="H30" s="233">
        <f t="shared" si="0"/>
        <v>6.3181921560131027E-2</v>
      </c>
      <c r="I30" s="214"/>
      <c r="J30" s="208"/>
      <c r="K30" s="208"/>
      <c r="L30" s="208"/>
      <c r="M30" s="208"/>
      <c r="N30" s="208"/>
      <c r="O30" s="5"/>
      <c r="Q30" s="5"/>
      <c r="S30" s="72"/>
      <c r="T30" s="26"/>
      <c r="U30" s="26"/>
      <c r="V30" s="113" t="s">
        <v>390</v>
      </c>
      <c r="W30" s="242">
        <f t="shared" si="1"/>
        <v>1.0838111779675224</v>
      </c>
      <c r="X30" s="242">
        <v>1</v>
      </c>
    </row>
    <row r="31" spans="2:24">
      <c r="B31" s="5" t="s">
        <v>491</v>
      </c>
      <c r="C31" s="288">
        <f>(BT!C31/Prices!$F$133)+DT!C31+ORA!C31+KPN!C31+OTE!C31+(SWISS!C31/Prices!$F$128)+TI!C31+TEF!C31+(TNOR!C31/Prices!$F$137)+(TELIA!C31/Prices!$F$138)+PROX!C31</f>
        <v>13349.856846750768</v>
      </c>
      <c r="D31" s="188">
        <f>(BT!D31/Prices!$F$133)+DT!D31+ORA!D31+KPN!D31+OTE!D31+(SWISS!D31/Prices!$F$128)+TI!D31+TEF!D31+(TNOR!D31/Prices!$F$137)+(TELIA!D31/Prices!$F$138)+PROX!D31</f>
        <v>13304.388837090619</v>
      </c>
      <c r="E31" s="188">
        <f>(BT!E31/Prices!$F$133)+DT!E31+ORA!E31+KPN!E31+OTE!E31+(SWISS!E31/Prices!$F$128)+TI!E31+TEF!E31+(TNOR!E31/Prices!$F$137)+(TELIA!E31/Prices!$F$138)+PROX!E31</f>
        <v>14335.45978790062</v>
      </c>
      <c r="F31" s="188">
        <f>(BT!F31/Prices!$F$133)+DT!F31+ORA!F31+KPN!F31+OTE!F31+(SWISS!F31/Prices!$F$128)+TI!F31+TEF!F31+(TNOR!F31/Prices!$F$137)+(TELIA!F31/Prices!$F$138)+PROX!F31</f>
        <v>16281.64542197011</v>
      </c>
      <c r="G31" s="188">
        <f>(BT!G31/Prices!$F$133)+DT!G31+ORA!G31+KPN!G31+OTE!G31+(SWISS!G31/Prices!$F$128)+TI!G31+TEF!G31+(TNOR!G31/Prices!$F$137)+(TELIA!G31/Prices!$F$138)+PROX!G31</f>
        <v>16898.999040866773</v>
      </c>
      <c r="H31" s="233">
        <f t="shared" si="0"/>
        <v>8.2983942558335633E-2</v>
      </c>
      <c r="I31" s="214"/>
      <c r="J31" s="212"/>
      <c r="K31" s="212"/>
      <c r="L31" s="212"/>
      <c r="M31" s="212"/>
      <c r="N31" s="212"/>
      <c r="O31" s="5"/>
      <c r="Q31" s="5"/>
      <c r="S31" s="72"/>
      <c r="T31" s="26"/>
      <c r="U31" s="26"/>
      <c r="V31" s="113" t="s">
        <v>437</v>
      </c>
      <c r="W31" s="242">
        <f t="shared" si="1"/>
        <v>1.048867297736747</v>
      </c>
      <c r="X31" s="242">
        <v>1</v>
      </c>
    </row>
    <row r="32" spans="2:24">
      <c r="B32" s="5" t="s">
        <v>506</v>
      </c>
      <c r="C32" s="288">
        <f>(BT!C32/Prices!$F$133)+DT!C32+ORA!C32+KPN!C32+OTE!C32+(SWISS!C32/Prices!$F$128)+TI!C32+TEF!C32+(TNOR!C32/Prices!$F$137)+(TELIA!C32/Prices!$F$138)+PROX!C32</f>
        <v>0</v>
      </c>
      <c r="D32" s="188">
        <f>(BT!D32/Prices!$F$133)+DT!D32+ORA!D32+KPN!D32+OTE!D32+(SWISS!D32/Prices!$F$128)+TI!D32+TEF!D32+(TNOR!D32/Prices!$F$137)+(TELIA!D32/Prices!$F$138)+PROX!D32</f>
        <v>0</v>
      </c>
      <c r="E32" s="188">
        <f>(BT!E32/Prices!$F$133)+DT!E32+ORA!E32+KPN!E32+OTE!E32+(SWISS!E32/Prices!$F$128)+TI!E32+TEF!E32+(TNOR!E32/Prices!$F$137)+(TELIA!E32/Prices!$F$138)+PROX!E32</f>
        <v>0</v>
      </c>
      <c r="F32" s="188">
        <f>(BT!F32/Prices!$F$133)+DT!F32+ORA!F32+KPN!F32+OTE!F32+(SWISS!F32/Prices!$F$128)+TI!F32+TEF!F32+(TNOR!F32/Prices!$F$137)+(TELIA!F32/Prices!$F$138)+PROX!F32</f>
        <v>0</v>
      </c>
      <c r="G32" s="188">
        <f>(BT!G32/Prices!$F$133)+DT!G32+ORA!G32+KPN!G32+OTE!G32+(SWISS!G32/Prices!$F$128)+TI!G32+TEF!G32+(TNOR!G32/Prices!$F$137)+(TELIA!G32/Prices!$F$138)+PROX!G32</f>
        <v>0</v>
      </c>
      <c r="H32" s="233" t="str">
        <f t="shared" si="0"/>
        <v>nm</v>
      </c>
      <c r="I32" s="5"/>
      <c r="J32" s="214"/>
      <c r="K32" s="214"/>
      <c r="L32" s="214"/>
      <c r="M32" s="214"/>
      <c r="N32" s="214"/>
      <c r="O32" s="211"/>
      <c r="Q32" s="5"/>
      <c r="S32" s="72"/>
      <c r="T32" s="26"/>
      <c r="U32" s="26"/>
      <c r="V32" s="113" t="s">
        <v>481</v>
      </c>
      <c r="W32" s="242">
        <f>M17/E45</f>
        <v>0.9335193133009333</v>
      </c>
      <c r="X32" s="242">
        <v>1</v>
      </c>
    </row>
    <row r="33" spans="2:24">
      <c r="B33" s="5" t="s">
        <v>3</v>
      </c>
      <c r="C33" s="288">
        <f>(BT!C33/Prices!$F$133)+DT!C33+ORA!C33+KPN!C33+OTE!C33+(SWISS!C33/Prices!$F$128)+TI!C33+TEF!C33+(TNOR!C33/Prices!$F$137)+(TELIA!C33/Prices!$F$138)+PROX!C33</f>
        <v>11177.455966843803</v>
      </c>
      <c r="D33" s="188">
        <f>(BT!D33/Prices!$F$133)+DT!D33+ORA!D33+KPN!D33+OTE!D33+(SWISS!D33/Prices!$F$128)+TI!D33+TEF!D33+(TNOR!D33/Prices!$F$137)+(TELIA!D33/Prices!$F$138)+PROX!D33</f>
        <v>11478.458473721199</v>
      </c>
      <c r="E33" s="188">
        <f>(BT!E33/Prices!$F$133)+DT!E33+ORA!E33+KPN!E33+OTE!E33+(SWISS!E33/Prices!$F$128)+TI!E33+TEF!E33+(TNOR!E33/Prices!$F$137)+(TELIA!E33/Prices!$F$138)+PROX!E33</f>
        <v>11996.539357326215</v>
      </c>
      <c r="F33" s="188">
        <f>(BT!F33/Prices!$F$133)+DT!F33+ORA!F33+KPN!F33+OTE!F33+(SWISS!F33/Prices!$F$128)+TI!F33+TEF!F33+(TNOR!F33/Prices!$F$137)+(TELIA!F33/Prices!$F$138)+PROX!F33</f>
        <v>12331.984499839195</v>
      </c>
      <c r="G33" s="188">
        <f>(BT!G33/Prices!$F$133)+DT!G33+ORA!G33+KPN!G33+OTE!G33+(SWISS!G33/Prices!$F$128)+TI!G33+TEF!G33+(TNOR!G33/Prices!$F$137)+(TELIA!G33/Prices!$F$138)+PROX!G33</f>
        <v>12291.696067104074</v>
      </c>
      <c r="H33" s="233">
        <f t="shared" si="0"/>
        <v>2.3079576944605051E-2</v>
      </c>
      <c r="I33" s="33"/>
      <c r="J33" s="214"/>
      <c r="K33" s="214"/>
      <c r="L33" s="214"/>
      <c r="M33" s="214"/>
      <c r="N33" s="214"/>
      <c r="O33" s="211"/>
      <c r="Q33" s="5"/>
      <c r="S33" s="72"/>
      <c r="T33" s="26"/>
      <c r="U33" s="26"/>
      <c r="V33" s="113" t="s">
        <v>482</v>
      </c>
      <c r="W33" s="242">
        <f>M19/E47</f>
        <v>1.0838111779675224</v>
      </c>
      <c r="X33" s="242">
        <v>1</v>
      </c>
    </row>
    <row r="34" spans="2:24">
      <c r="H34" s="231"/>
      <c r="I34" s="214"/>
      <c r="J34" s="214"/>
      <c r="K34" s="214"/>
      <c r="L34" s="214"/>
      <c r="M34" s="214"/>
      <c r="N34" s="214"/>
      <c r="O34" s="211"/>
      <c r="Q34" s="5"/>
      <c r="S34" s="72"/>
      <c r="T34" s="26"/>
      <c r="U34" s="26"/>
      <c r="V34" s="26"/>
      <c r="W34" s="26"/>
      <c r="X34" s="26"/>
    </row>
    <row r="35" spans="2:24" ht="12.6" thickBot="1">
      <c r="B35" s="249" t="s">
        <v>67</v>
      </c>
      <c r="C35" s="219"/>
      <c r="D35" s="219" t="str">
        <f>D5</f>
        <v>2025E</v>
      </c>
      <c r="E35" s="219" t="str">
        <f>E5</f>
        <v>2026E</v>
      </c>
      <c r="F35" s="219" t="str">
        <f>F5</f>
        <v>2027E</v>
      </c>
      <c r="G35" s="219" t="str">
        <f>G5</f>
        <v>2028E</v>
      </c>
      <c r="H35" s="219" t="str">
        <f>H5</f>
        <v>2025-28</v>
      </c>
      <c r="I35" s="13"/>
      <c r="J35" s="5"/>
      <c r="K35" s="5"/>
      <c r="L35" s="5"/>
      <c r="M35" s="5"/>
      <c r="N35" s="5"/>
      <c r="O35" s="5"/>
      <c r="Q35" s="5"/>
      <c r="S35" s="72"/>
      <c r="T35" s="72"/>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2.6115291218198822</v>
      </c>
      <c r="E37" s="48">
        <f t="shared" si="2"/>
        <v>2.468778461823224</v>
      </c>
      <c r="F37" s="48">
        <f t="shared" si="2"/>
        <v>2.3306922127120786</v>
      </c>
      <c r="G37" s="48">
        <f t="shared" si="2"/>
        <v>2.1842921069257279</v>
      </c>
      <c r="H37" s="13">
        <f t="shared" ref="H37:H45" si="3">H23</f>
        <v>2.6739330529638838E-2</v>
      </c>
      <c r="I37" s="217"/>
      <c r="J37" s="217"/>
      <c r="K37" s="217"/>
      <c r="L37" s="217"/>
      <c r="M37" s="217"/>
      <c r="N37" s="217"/>
      <c r="O37" s="14"/>
      <c r="Q37" s="5"/>
      <c r="R37" s="5"/>
      <c r="S37" s="26"/>
      <c r="T37" s="26"/>
      <c r="U37" s="26"/>
      <c r="V37" s="26"/>
      <c r="W37" s="26"/>
      <c r="X37" s="26"/>
    </row>
    <row r="38" spans="2:24">
      <c r="B38" s="5" t="s">
        <v>158</v>
      </c>
      <c r="C38" s="207"/>
      <c r="D38" s="48">
        <f t="shared" si="2"/>
        <v>7.6973273740849635</v>
      </c>
      <c r="E38" s="48">
        <f t="shared" si="2"/>
        <v>7.1257427248361216</v>
      </c>
      <c r="F38" s="48">
        <f t="shared" si="2"/>
        <v>6.5752020208821156</v>
      </c>
      <c r="G38" s="48">
        <f t="shared" si="2"/>
        <v>6.0690884599678281</v>
      </c>
      <c r="H38" s="13">
        <f t="shared" si="3"/>
        <v>4.7138939293228432E-2</v>
      </c>
      <c r="I38" s="13"/>
      <c r="J38" s="13"/>
      <c r="K38" s="13"/>
      <c r="L38" s="13"/>
      <c r="M38" s="13"/>
      <c r="N38" s="13"/>
      <c r="O38" s="5"/>
      <c r="Q38" s="5"/>
      <c r="R38" s="5"/>
      <c r="S38" s="26"/>
      <c r="T38" s="26"/>
      <c r="U38" s="26"/>
      <c r="V38" s="26"/>
      <c r="W38" s="26"/>
      <c r="X38" s="26"/>
    </row>
    <row r="39" spans="2:24">
      <c r="B39" s="5" t="s">
        <v>159</v>
      </c>
      <c r="C39" s="207"/>
      <c r="D39" s="48">
        <f t="shared" si="2"/>
        <v>14.687022482686716</v>
      </c>
      <c r="E39" s="48">
        <f t="shared" si="2"/>
        <v>12.847769073776606</v>
      </c>
      <c r="F39" s="48">
        <f t="shared" si="2"/>
        <v>11.242069500118653</v>
      </c>
      <c r="G39" s="48">
        <f t="shared" si="2"/>
        <v>10.086772600154154</v>
      </c>
      <c r="H39" s="13">
        <f t="shared" si="3"/>
        <v>9.6459655096736707E-2</v>
      </c>
      <c r="I39" s="5"/>
      <c r="J39" s="5"/>
      <c r="K39" s="5"/>
      <c r="L39" s="5"/>
      <c r="M39" s="5"/>
      <c r="N39" s="5"/>
      <c r="O39" s="5"/>
      <c r="Q39" s="5"/>
      <c r="R39" s="5"/>
      <c r="S39" s="26"/>
      <c r="T39" s="26"/>
      <c r="U39" s="26"/>
      <c r="V39" s="26"/>
      <c r="W39" s="242"/>
      <c r="X39" s="242"/>
    </row>
    <row r="40" spans="2:24">
      <c r="B40" s="5" t="s">
        <v>381</v>
      </c>
      <c r="C40" s="207"/>
      <c r="D40" s="48">
        <f t="shared" si="2"/>
        <v>19.830299209917808</v>
      </c>
      <c r="E40" s="48">
        <f t="shared" si="2"/>
        <v>17.36798444512312</v>
      </c>
      <c r="F40" s="48">
        <f t="shared" si="2"/>
        <v>15.16444536347441</v>
      </c>
      <c r="G40" s="48">
        <f t="shared" si="2"/>
        <v>13.584316171309917</v>
      </c>
      <c r="H40" s="13">
        <f t="shared" si="3"/>
        <v>9.7394152300127379E-2</v>
      </c>
      <c r="I40" s="207"/>
      <c r="J40" s="217"/>
      <c r="K40" s="217"/>
      <c r="L40" s="217"/>
      <c r="M40" s="217"/>
      <c r="N40" s="217"/>
      <c r="O40" s="14"/>
      <c r="Q40" s="5"/>
      <c r="R40" s="5"/>
      <c r="S40" s="26"/>
      <c r="T40" s="26"/>
      <c r="U40" s="26"/>
      <c r="V40" s="26"/>
      <c r="W40" s="242"/>
      <c r="X40" s="242"/>
    </row>
    <row r="41" spans="2:24">
      <c r="B41" s="5" t="s">
        <v>434</v>
      </c>
      <c r="C41" s="207"/>
      <c r="D41" s="48">
        <f t="shared" si="2"/>
        <v>1.6501931739334781</v>
      </c>
      <c r="E41" s="48">
        <f t="shared" si="2"/>
        <v>1.5635974498310732</v>
      </c>
      <c r="F41" s="48">
        <f t="shared" si="2"/>
        <v>1.4917522449349445</v>
      </c>
      <c r="G41" s="48">
        <f t="shared" si="2"/>
        <v>1.4180690027077645</v>
      </c>
      <c r="H41" s="13">
        <f t="shared" si="3"/>
        <v>1.7523903552905118E-2</v>
      </c>
      <c r="I41" s="208"/>
      <c r="J41" s="13"/>
      <c r="K41" s="13"/>
      <c r="L41" s="13"/>
      <c r="M41" s="13"/>
      <c r="N41" s="13"/>
      <c r="O41" s="5"/>
      <c r="Q41" s="5"/>
      <c r="R41" s="5"/>
      <c r="S41" s="26"/>
      <c r="T41" s="26"/>
      <c r="U41" s="26"/>
      <c r="V41" s="26"/>
      <c r="W41" s="242"/>
      <c r="X41" s="242"/>
    </row>
    <row r="42" spans="2:24">
      <c r="B42" s="5" t="s">
        <v>493</v>
      </c>
      <c r="C42" s="207"/>
      <c r="D42" s="48">
        <f>D18/D28</f>
        <v>3.7871049735546385</v>
      </c>
      <c r="E42" s="48">
        <f>E18/E28</f>
        <v>3.5748887383450989</v>
      </c>
      <c r="F42" s="48">
        <f>F18/F28</f>
        <v>3.4915824430274522</v>
      </c>
      <c r="G42" s="48">
        <f>G18/G28</f>
        <v>3.4432684732035157</v>
      </c>
      <c r="H42" s="13">
        <f t="shared" si="3"/>
        <v>-1.4320288778902901E-3</v>
      </c>
      <c r="I42" s="207"/>
      <c r="J42" s="5"/>
      <c r="K42" s="5"/>
      <c r="L42" s="5"/>
      <c r="M42" s="5"/>
      <c r="N42" s="5"/>
      <c r="O42" s="5"/>
      <c r="Q42" s="5"/>
      <c r="R42" s="5"/>
      <c r="S42" s="26"/>
      <c r="T42" s="26"/>
      <c r="U42" s="26"/>
      <c r="V42" s="26"/>
      <c r="W42" s="242"/>
      <c r="X42" s="242"/>
    </row>
    <row r="43" spans="2:24">
      <c r="B43" s="5" t="s">
        <v>390</v>
      </c>
      <c r="C43" s="207"/>
      <c r="D43" s="48">
        <f>L26/D29</f>
        <v>17.726190221245282</v>
      </c>
      <c r="E43" s="48">
        <f>M26/E29</f>
        <v>14.540452175204754</v>
      </c>
      <c r="F43" s="48">
        <f>N26/F29</f>
        <v>13.611016851018805</v>
      </c>
      <c r="G43" s="48">
        <f>O26/G29</f>
        <v>12.386360017379072</v>
      </c>
      <c r="H43" s="13">
        <f t="shared" si="3"/>
        <v>0.12138213373541618</v>
      </c>
      <c r="I43" s="207"/>
      <c r="J43" s="207"/>
      <c r="K43" s="207"/>
      <c r="L43" s="207"/>
      <c r="M43" s="207"/>
      <c r="N43" s="207"/>
      <c r="O43" s="14"/>
      <c r="Q43" s="5"/>
      <c r="R43" s="5"/>
      <c r="S43" s="26"/>
      <c r="T43" s="26"/>
      <c r="U43" s="26"/>
      <c r="V43" s="26"/>
      <c r="W43" s="255"/>
      <c r="X43" s="255"/>
    </row>
    <row r="44" spans="2:24">
      <c r="B44" s="5" t="s">
        <v>437</v>
      </c>
      <c r="C44" s="53"/>
      <c r="D44" s="48">
        <f>D11/D30</f>
        <v>14.14426634350084</v>
      </c>
      <c r="E44" s="48">
        <f>E11/E30</f>
        <v>13.274636076602489</v>
      </c>
      <c r="F44" s="48">
        <f>F11/F30</f>
        <v>12.682458185422464</v>
      </c>
      <c r="G44" s="48">
        <f>G11/G30</f>
        <v>11.595868141181764</v>
      </c>
      <c r="H44" s="13">
        <f t="shared" si="3"/>
        <v>6.3181921560131027E-2</v>
      </c>
      <c r="I44" s="208"/>
      <c r="J44" s="208"/>
      <c r="K44" s="208"/>
      <c r="L44" s="208"/>
      <c r="M44" s="208"/>
      <c r="N44" s="208"/>
      <c r="O44" s="208"/>
      <c r="Q44" s="5"/>
      <c r="R44" s="5"/>
      <c r="S44" s="26"/>
      <c r="T44" s="26"/>
      <c r="U44" s="26"/>
      <c r="V44" s="26"/>
      <c r="W44" s="26"/>
      <c r="X44" s="26"/>
    </row>
    <row r="45" spans="2:24">
      <c r="B45" s="5" t="s">
        <v>481</v>
      </c>
      <c r="C45" s="207"/>
      <c r="D45" s="208">
        <f>D31/D11</f>
        <v>3.8433837191367275E-2</v>
      </c>
      <c r="E45" s="208">
        <f>E31/E11</f>
        <v>4.1806569876969436E-2</v>
      </c>
      <c r="F45" s="208">
        <f>F31/F11</f>
        <v>4.7609975589375048E-2</v>
      </c>
      <c r="G45" s="208">
        <f>G31/G11</f>
        <v>4.9548921514355894E-2</v>
      </c>
      <c r="H45" s="13">
        <f t="shared" si="3"/>
        <v>8.2983942558335633E-2</v>
      </c>
      <c r="I45" s="207"/>
      <c r="J45" s="207"/>
      <c r="K45" s="207"/>
      <c r="L45" s="207"/>
      <c r="M45" s="207"/>
      <c r="N45" s="207"/>
      <c r="O45" s="208"/>
      <c r="Q45" s="5"/>
      <c r="R45" s="5"/>
      <c r="S45" s="26"/>
      <c r="T45" s="26"/>
      <c r="U45" s="26"/>
      <c r="V45" s="26"/>
      <c r="W45" s="26"/>
      <c r="X45" s="26"/>
    </row>
    <row r="46" spans="2:24">
      <c r="B46" s="5" t="s">
        <v>505</v>
      </c>
      <c r="C46" s="207"/>
      <c r="D46" s="208">
        <f>(D31+D32)/D11</f>
        <v>3.8433837191367275E-2</v>
      </c>
      <c r="E46" s="208">
        <f>(E31+E32)/E11</f>
        <v>4.1806569876969436E-2</v>
      </c>
      <c r="F46" s="208">
        <f>(F31+F32)/F11</f>
        <v>4.7609975589375048E-2</v>
      </c>
      <c r="G46" s="208">
        <f>(G31+G32)/G11</f>
        <v>4.9548921514355894E-2</v>
      </c>
      <c r="H46" s="233">
        <f>((G31+G32)/(D31+D32))^(1/3)-1</f>
        <v>8.2983942558335633E-2</v>
      </c>
      <c r="I46" s="13"/>
      <c r="J46" s="207"/>
      <c r="K46" s="207"/>
      <c r="L46" s="207"/>
      <c r="M46" s="207"/>
      <c r="N46" s="207"/>
      <c r="O46" s="14"/>
      <c r="Q46" s="5"/>
      <c r="R46" s="5"/>
      <c r="S46" s="26"/>
      <c r="T46" s="26"/>
      <c r="U46" s="26"/>
      <c r="V46" s="26"/>
      <c r="W46" s="26"/>
      <c r="X46" s="26"/>
    </row>
    <row r="47" spans="2:24">
      <c r="B47" s="5" t="s">
        <v>482</v>
      </c>
      <c r="C47" s="5"/>
      <c r="D47" s="208">
        <f>1/D43</f>
        <v>5.6413701281478691E-2</v>
      </c>
      <c r="E47" s="208">
        <f>1/E43</f>
        <v>6.8773652149914544E-2</v>
      </c>
      <c r="F47" s="208">
        <f>1/F43</f>
        <v>7.3469896551127151E-2</v>
      </c>
      <c r="G47" s="208">
        <f>1/G43</f>
        <v>8.0733968542567675E-2</v>
      </c>
      <c r="H47" s="13">
        <f>H29</f>
        <v>0.12138213373541618</v>
      </c>
      <c r="I47" s="207"/>
      <c r="J47" s="208"/>
      <c r="K47" s="208"/>
      <c r="L47" s="208"/>
      <c r="M47" s="208"/>
      <c r="N47" s="208"/>
      <c r="O47" s="208"/>
      <c r="Q47" s="5"/>
      <c r="R47" s="5"/>
      <c r="S47" s="5"/>
      <c r="T47" s="5"/>
      <c r="U47" s="5"/>
    </row>
    <row r="48" spans="2:24">
      <c r="B48" s="5" t="s">
        <v>518</v>
      </c>
      <c r="C48" s="5"/>
      <c r="D48" s="248">
        <f>D31/D29</f>
        <v>0.63858449375799731</v>
      </c>
      <c r="E48" s="248">
        <f>E31/E29</f>
        <v>0.56959251798556032</v>
      </c>
      <c r="F48" s="248">
        <f>F31/F29</f>
        <v>0.60726392920118166</v>
      </c>
      <c r="G48" s="248">
        <f>G31/G29</f>
        <v>0.57520615341768278</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9">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1092</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372</v>
      </c>
      <c r="C11" s="5"/>
      <c r="D11" s="225">
        <f>(VOD!D11/Prices!$F$133)+ELISA!D11+ETL!D11+(TELE2!D11/Prices!$F$138)+OBEL!D11+(LBTY!D11/Prices!$C$135)+NOS!D11+UTDI!D11+(SUNN!D11/Prices!$F$128)+(ZEG!D11/Prices!$F$133)+BOUY!D11+SES!D11</f>
        <v>97320.870580146948</v>
      </c>
      <c r="E11" s="225">
        <f>(VOD!E11/Prices!$F$133)+ELISA!E11+ETL!E11+(TELE2!E11/Prices!$F$138)+OBEL!E11+(LBTY!E11/Prices!$C$135)+NOS!E11+UTDI!E11+(SUNN!E11/Prices!$F$128)+(ZEG!E11/Prices!$F$133)+BOUY!E11+SES!E11</f>
        <v>97204.398923690547</v>
      </c>
      <c r="F11" s="225">
        <f>(VOD!F11/Prices!$F$133)+ELISA!F11+ETL!F11+(TELE2!F11/Prices!$F$138)+OBEL!F11+(LBTY!F11/Prices!$C$135)+NOS!F11+UTDI!F11+(SUNN!F11/Prices!$F$128)+(ZEG!F11/Prices!$F$133)+BOUY!F11+SES!F11</f>
        <v>97268.514387484553</v>
      </c>
      <c r="G11" s="225">
        <f>(VOD!G11/Prices!$F$133)+ELISA!G11+ETL!G11+(TELE2!G11/Prices!$F$138)+OBEL!G11+(LBTY!G11/Prices!$C$135)+NOS!G11+UTDI!G11+(SUNN!G11/Prices!$F$128)+(ZEG!G11/Prices!$F$133)+BOUY!G11+SES!G11</f>
        <v>97331.644896916565</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(VOD!D12/Prices!$F$133)+ELISA!D12+ETL!D12+(TELE2!D12/Prices!$F$138)+OBEL!D12+(LBTY!D12/Prices!$C$135)+NOS!D12+UTDI!D12+(SUNN!D12/Prices!$F$128)+(ZEG!D12/Prices!$F$133)+BOUY!D12+SES!D12</f>
        <v>61128.190478647943</v>
      </c>
      <c r="E12" s="188">
        <f>(VOD!E12/Prices!$F$133)+ELISA!E12+ETL!E12+(TELE2!E12/Prices!$F$138)+OBEL!E12+(LBTY!E12/Prices!$C$135)+NOS!E12+UTDI!E12+(SUNN!E12/Prices!$F$128)+(ZEG!E12/Prices!$F$133)+BOUY!E12+SES!E12</f>
        <v>59556.039275337811</v>
      </c>
      <c r="F12" s="188">
        <f>(VOD!F12/Prices!$F$133)+ELISA!F12+ETL!F12+(TELE2!F12/Prices!$F$138)+OBEL!F12+(LBTY!F12/Prices!$C$135)+NOS!F12+UTDI!F12+(SUNN!F12/Prices!$F$128)+(ZEG!F12/Prices!$F$133)+BOUY!F12+SES!F12</f>
        <v>63664.831975453184</v>
      </c>
      <c r="G12" s="188">
        <f>(VOD!G12/Prices!$F$133)+ELISA!G12+ETL!G12+(TELE2!G12/Prices!$F$138)+OBEL!G12+(LBTY!G12/Prices!$C$135)+NOS!G12+UTDI!G12+(SUNN!G12/Prices!$F$128)+(ZEG!G12/Prices!$F$133)+BOUY!G12+SES!G12</f>
        <v>60670.132157013912</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(VOD!D13/Prices!$F$133)+ELISA!D13+ETL!D13+(TELE2!D13/Prices!$F$138)+OBEL!D13+(LBTY!D13/Prices!$C$135)+NOS!D13+UTDI!D13+(SUNN!D13/Prices!$F$128)+(ZEG!D13/Prices!$F$133)+BOUY!D13+SES!D13</f>
        <v>18172.492679672079</v>
      </c>
      <c r="E13" s="188">
        <f>(VOD!E13/Prices!$F$133)+ELISA!E13+ETL!E13+(TELE2!E13/Prices!$F$138)+OBEL!E13+(LBTY!E13/Prices!$C$135)+NOS!E13+UTDI!E13+(SUNN!E13/Prices!$F$128)+(ZEG!E13/Prices!$F$133)+BOUY!E13+SES!E13</f>
        <v>18290.883063526533</v>
      </c>
      <c r="F13" s="188">
        <f>(VOD!F13/Prices!$F$133)+ELISA!F13+ETL!F13+(TELE2!F13/Prices!$F$138)+OBEL!F13+(LBTY!F13/Prices!$C$135)+NOS!F13+UTDI!F13+(SUNN!F13/Prices!$F$128)+(ZEG!F13/Prices!$F$133)+BOUY!F13+SES!F13</f>
        <v>18653.300316886514</v>
      </c>
      <c r="G13" s="188">
        <f>(VOD!G13/Prices!$F$133)+ELISA!G13+ETL!G13+(TELE2!G13/Prices!$F$138)+OBEL!G13+(LBTY!G13/Prices!$C$135)+NOS!G13+UTDI!G13+(SUNN!G13/Prices!$F$128)+(ZEG!G13/Prices!$F$133)+BOUY!G13+SES!G13</f>
        <v>18844.407187467488</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(VOD!D14/Prices!$F$133)+ELISA!D14+ETL!D14+(TELE2!D14/Prices!$F$138)+OBEL!D14+(LBTY!D14/Prices!$C$135)+NOS!D14+UTDI!D14+(SUNN!D14/Prices!$F$128)+(ZEG!D14/Prices!$F$133)+BOUY!D14+SES!D14</f>
        <v>15533.978414194482</v>
      </c>
      <c r="E14" s="188">
        <f>(VOD!E14/Prices!$F$133)+ELISA!E14+ETL!E14+(TELE2!E14/Prices!$F$138)+OBEL!E14+(LBTY!E14/Prices!$C$135)+NOS!E14+UTDI!E14+(SUNN!E14/Prices!$F$128)+(ZEG!E14/Prices!$F$133)+BOUY!E14+SES!E14</f>
        <v>15533.978414194482</v>
      </c>
      <c r="F14" s="188">
        <f>(VOD!F14/Prices!$F$133)+ELISA!F14+ETL!F14+(TELE2!F14/Prices!$F$138)+OBEL!F14+(LBTY!F14/Prices!$C$135)+NOS!F14+UTDI!F14+(SUNN!F14/Prices!$F$128)+(ZEG!F14/Prices!$F$133)+BOUY!F14+SES!F14</f>
        <v>15533.978414194482</v>
      </c>
      <c r="G14" s="188">
        <f>(VOD!G14/Prices!$F$133)+ELISA!G14+ETL!G14+(TELE2!G14/Prices!$F$138)+OBEL!G14+(LBTY!G14/Prices!$C$135)+NOS!G14+UTDI!G14+(SUNN!G14/Prices!$F$128)+(ZEG!G14/Prices!$F$133)+BOUY!G14+SES!G14</f>
        <v>15533.978414194482</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(VOD!D15/Prices!$F$133)+ELISA!D15+ETL!D15+(TELE2!D15/Prices!$F$138)+OBEL!D15+(LBTY!D15/Prices!$C$135)+NOS!D15+UTDI!D15+(SUNN!D15/Prices!$F$128)+(ZEG!D15/Prices!$F$133)+BOUY!D15+SES!D15</f>
        <v>12780.35119995682</v>
      </c>
      <c r="E15" s="188">
        <f>(VOD!E15/Prices!$F$133)+ELISA!E15+ETL!E15+(TELE2!E15/Prices!$F$138)+OBEL!E15+(LBTY!E15/Prices!$C$135)+NOS!E15+UTDI!E15+(SUNN!E15/Prices!$F$128)+(ZEG!E15/Prices!$F$133)+BOUY!E15+SES!E15</f>
        <v>12780.35119995682</v>
      </c>
      <c r="F15" s="188">
        <f>(VOD!F15/Prices!$F$133)+ELISA!F15+ETL!F15+(TELE2!F15/Prices!$F$138)+OBEL!F15+(LBTY!F15/Prices!$C$135)+NOS!F15+UTDI!F15+(SUNN!F15/Prices!$F$128)+(ZEG!F15/Prices!$F$133)+BOUY!F15+SES!F15</f>
        <v>12780.35119995682</v>
      </c>
      <c r="G15" s="188">
        <f>(VOD!G15/Prices!$F$133)+ELISA!G15+ETL!G15+(TELE2!G15/Prices!$F$138)+OBEL!G15+(LBTY!G15/Prices!$C$135)+NOS!G15+UTDI!G15+(SUNN!G15/Prices!$F$128)+(ZEG!G15/Prices!$F$133)+BOUY!G15+SES!G15</f>
        <v>12780.35119995682</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(VOD!D16/Prices!$F$133)+ELISA!D16+ETL!D16+(TELE2!D16/Prices!$F$138)+OBEL!D16+(LBTY!D16/Prices!$C$135)+NOS!D16+UTDI!D16+(SUNN!D16/Prices!$F$128)+(ZEG!D16/Prices!$F$133)+BOUY!D16+SES!D16</f>
        <v>0</v>
      </c>
      <c r="E16" s="188">
        <f>(VOD!E16/Prices!$F$133)+ELISA!E16+ETL!E16+(TELE2!E16/Prices!$F$138)+OBEL!E16+(LBTY!E16/Prices!$C$135)+NOS!E16+UTDI!E16+(SUNN!E16/Prices!$F$128)+(ZEG!E16/Prices!$F$133)+BOUY!E16+SES!E16</f>
        <v>3649.3112272058411</v>
      </c>
      <c r="F16" s="188">
        <f>(VOD!F16/Prices!$F$133)+ELISA!F16+ETL!F16+(TELE2!F16/Prices!$F$138)+OBEL!F16+(LBTY!F16/Prices!$C$135)+NOS!F16+UTDI!F16+(SUNN!F16/Prices!$F$128)+(ZEG!F16/Prices!$F$133)+BOUY!F16+SES!F16</f>
        <v>7562.5750850504792</v>
      </c>
      <c r="G16" s="188">
        <f>(VOD!G16/Prices!$F$133)+ELISA!G16+ETL!G16+(TELE2!G16/Prices!$F$138)+OBEL!G16+(LBTY!G16/Prices!$C$135)+NOS!G16+UTDI!G16+(SUNN!G16/Prices!$F$128)+(ZEG!G16/Prices!$F$133)+BOUY!G16+SES!G16</f>
        <v>11575.166583124354</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(VOD!D17/Prices!$F$133)+ELISA!D17+ETL!D17+(TELE2!D17/Prices!$F$138)+OBEL!D17+(LBTY!D17/Prices!$C$135)+NOS!D17+UTDI!D17+(SUNN!D17/Prices!$F$128)+(ZEG!D17/Prices!$F$133)+BOUY!D17+SES!D17</f>
        <v>2238.9093177520454</v>
      </c>
      <c r="E17" s="188">
        <f>(VOD!E17/Prices!$F$133)+ELISA!E17+ETL!E17+(TELE2!E17/Prices!$F$138)+OBEL!E17+(LBTY!E17/Prices!$C$135)+NOS!E17+UTDI!E17+(SUNN!E17/Prices!$F$128)+(ZEG!E17/Prices!$F$133)+BOUY!E17+SES!E17</f>
        <v>2211.4580568148594</v>
      </c>
      <c r="F17" s="188">
        <f>(VOD!F17/Prices!$F$133)+ELISA!F17+ETL!F17+(TELE2!F17/Prices!$F$138)+OBEL!F17+(LBTY!F17/Prices!$C$135)+NOS!F17+UTDI!F17+(SUNN!F17/Prices!$F$128)+(ZEG!F17/Prices!$F$133)+BOUY!F17+SES!F17</f>
        <v>2206.8802694852711</v>
      </c>
      <c r="G17" s="188">
        <f>(VOD!G17/Prices!$F$133)+ELISA!G17+ETL!G17+(TELE2!G17/Prices!$F$138)+OBEL!G17+(LBTY!G17/Prices!$C$135)+NOS!G17+UTDI!G17+(SUNN!G17/Prices!$F$128)+(ZEG!G17/Prices!$F$133)+BOUY!G17+SES!G17</f>
        <v>2199.2757872351654</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371</v>
      </c>
      <c r="C18" s="209"/>
      <c r="D18" s="229">
        <f>(VOD!D18/Prices!$F$133)+ELISA!D18+ETL!D18+(TELE2!D18/Prices!$F$138)+OBEL!D18+(LBTY!D18/Prices!$C$135)+NOS!D18+UTDI!D18+(SUNN!D18/Prices!$F$128)+(ZEG!D18/Prices!$F$133)+BOUY!D18+SES!D18</f>
        <v>171629.01720647723</v>
      </c>
      <c r="E18" s="229">
        <f>(VOD!E18/Prices!$F$133)+ELISA!E18+ETL!E18+(TELE2!E18/Prices!$F$138)+OBEL!E18+(LBTY!E18/Prices!$C$135)+NOS!E18+UTDI!E18+(SUNN!E18/Prices!$F$128)+(ZEG!E18/Prices!$F$133)+BOUY!E18+SES!E18</f>
        <v>166436.92476429653</v>
      </c>
      <c r="F18" s="229">
        <f>(VOD!F18/Prices!$F$133)+ELISA!F18+ETL!F18+(TELE2!F18/Prices!$F$138)+OBEL!F18+(LBTY!F18/Prices!$C$135)+NOS!F18+UTDI!F18+(SUNN!F18/Prices!$F$128)+(ZEG!F18/Prices!$F$133)+BOUY!F18+SES!F18</f>
        <v>167063.56411105083</v>
      </c>
      <c r="G18" s="229">
        <f>(VOD!G18/Prices!$F$133)+ELISA!G18+ETL!G18+(TELE2!G18/Prices!$F$138)+OBEL!G18+(LBTY!G18/Prices!$C$135)+NOS!G18+UTDI!G18+(SUNN!G18/Prices!$F$128)+(ZEG!G18/Prices!$F$133)+BOUY!G18+SES!G18</f>
        <v>160318.11465680075</v>
      </c>
      <c r="H18" s="230">
        <f>IF(D18=0,"nm",IF(G18=0,"nm",(G18/D18)^(1/3)-1))</f>
        <v>-2.246880140956331E-2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72"/>
      <c r="U19" s="72"/>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72"/>
      <c r="T20" s="72"/>
      <c r="U20" s="72"/>
      <c r="V20" s="26"/>
      <c r="W20" s="26"/>
      <c r="X20" s="26"/>
    </row>
    <row r="21" spans="2:24" ht="12.6" thickBot="1">
      <c r="B21" s="249" t="s">
        <v>136</v>
      </c>
      <c r="C21" s="219">
        <v>2020</v>
      </c>
      <c r="D21" s="219" t="str">
        <f>D5</f>
        <v>2025E</v>
      </c>
      <c r="E21" s="219" t="str">
        <f>E5</f>
        <v>2026E</v>
      </c>
      <c r="F21" s="219" t="str">
        <f>F5</f>
        <v>2027E</v>
      </c>
      <c r="G21" s="219" t="str">
        <f>G5</f>
        <v>2028E</v>
      </c>
      <c r="H21" s="236" t="str">
        <f>H5</f>
        <v>2025-28</v>
      </c>
      <c r="I21" s="13"/>
      <c r="S21" s="72"/>
      <c r="T21" s="72"/>
      <c r="U21" s="72"/>
      <c r="V21" s="26"/>
      <c r="W21" s="26"/>
      <c r="X21" s="26"/>
    </row>
    <row r="22" spans="2:24" ht="12.6" thickTop="1">
      <c r="B22" s="5"/>
      <c r="C22" s="216"/>
      <c r="D22" s="13"/>
      <c r="E22" s="13"/>
      <c r="F22" s="13"/>
      <c r="G22" s="13"/>
      <c r="H22" s="13"/>
      <c r="I22" s="207"/>
      <c r="P22" s="231"/>
      <c r="S22" s="72"/>
      <c r="T22" s="72"/>
      <c r="U22" s="72"/>
      <c r="V22" s="72"/>
      <c r="W22" s="72"/>
      <c r="X22" s="72"/>
    </row>
    <row r="23" spans="2:24" ht="12.6" thickBot="1">
      <c r="B23" s="5" t="s">
        <v>485</v>
      </c>
      <c r="C23" s="288">
        <f>(VOD!C23/Prices!$F$133)+ELISA!C23+ETL!C23+(TELE2!C23/Prices!$F$138)+OBEL!C23+(LBTY!C23/Prices!$C$135)+NOS!C23+UTDI!C23+(SUNN!C23/Prices!$F$128)+(ZEG!C23/Prices!$F$133)+BOUY!C23+SES!C23</f>
        <v>122700.97674550617</v>
      </c>
      <c r="D23" s="188">
        <f>(VOD!D23/Prices!$F$133)+ELISA!D23+ETL!D23+(TELE2!D23/Prices!$F$138)+OBEL!D23+(LBTY!D23/Prices!$C$135)+NOS!D23+UTDI!D23+(SUNN!D23/Prices!$F$128)+(ZEG!D23/Prices!$F$133)+BOUY!D23+SES!D23</f>
        <v>127459.40895714553</v>
      </c>
      <c r="E23" s="188">
        <f>(VOD!E23/Prices!$F$133)+ELISA!E23+ETL!E23+(TELE2!E23/Prices!$F$138)+OBEL!E23+(LBTY!E23/Prices!$C$135)+NOS!E23+UTDI!E23+(SUNN!E23/Prices!$F$128)+(ZEG!E23/Prices!$F$133)+BOUY!E23+SES!E23</f>
        <v>131025.25332547682</v>
      </c>
      <c r="F23" s="188">
        <f>(VOD!F23/Prices!$F$133)+ELISA!F23+ETL!F23+(TELE2!F23/Prices!$F$138)+OBEL!F23+(LBTY!F23/Prices!$C$135)+NOS!F23+UTDI!F23+(SUNN!F23/Prices!$F$128)+(ZEG!F23/Prices!$F$133)+BOUY!F23+SES!F23</f>
        <v>136843.82396803499</v>
      </c>
      <c r="G23" s="188">
        <f>(VOD!G23/Prices!$F$133)+ELISA!G23+ETL!G23+(TELE2!G23/Prices!$F$138)+OBEL!G23+(LBTY!G23/Prices!$C$135)+NOS!G23+UTDI!G23+(SUNN!G23/Prices!$F$128)+(ZEG!G23/Prices!$F$133)+BOUY!G23+SES!G23</f>
        <v>138971.03863176337</v>
      </c>
      <c r="H23" s="233">
        <f t="shared" ref="H23:H33" si="0">IF(D23=0,"nm",IF(G23=0,"nm",(G23/D23)^(1/3)-1))</f>
        <v>2.9241923321861041E-2</v>
      </c>
      <c r="I23" s="209"/>
      <c r="J23" s="249" t="s">
        <v>7</v>
      </c>
      <c r="K23" s="249"/>
      <c r="L23" s="219" t="str">
        <f>L5</f>
        <v>2025E</v>
      </c>
      <c r="M23" s="219" t="str">
        <f>M5</f>
        <v>2026E</v>
      </c>
      <c r="N23" s="219" t="str">
        <f>N5</f>
        <v>2027E</v>
      </c>
      <c r="O23" s="219" t="str">
        <f>O5</f>
        <v>2028E</v>
      </c>
      <c r="P23" s="236" t="str">
        <f>P5</f>
        <v>2025-28</v>
      </c>
      <c r="S23" s="72"/>
      <c r="T23" s="26"/>
      <c r="U23" s="26"/>
      <c r="V23" s="26"/>
      <c r="W23" s="26" t="s">
        <v>468</v>
      </c>
      <c r="X23" s="26" t="s">
        <v>510</v>
      </c>
    </row>
    <row r="24" spans="2:24" ht="12.6" thickTop="1">
      <c r="B24" s="5" t="s">
        <v>397</v>
      </c>
      <c r="C24" s="288">
        <f>(VOD!C24/Prices!$F$133)+ELISA!C24+ETL!C24+(TELE2!C24/Prices!$F$138)+OBEL!C24+(LBTY!C24/Prices!$C$135)+NOS!C24+UTDI!C24+(SUNN!C24/Prices!$F$128)+(ZEG!C24/Prices!$F$133)+BOUY!C24+SES!C24</f>
        <v>24189.372369329529</v>
      </c>
      <c r="D24" s="188">
        <f>(VOD!D24/Prices!$F$133)+ELISA!D24+ETL!D24+(TELE2!D24/Prices!$F$138)+OBEL!D24+(LBTY!D24/Prices!$C$135)+NOS!D24+UTDI!D24+(SUNN!D24/Prices!$F$128)+(ZEG!D24/Prices!$F$133)+BOUY!D24+SES!D24</f>
        <v>25741.64705035742</v>
      </c>
      <c r="E24" s="188">
        <f>(VOD!E24/Prices!$F$133)+ELISA!E24+ETL!E24+(TELE2!E24/Prices!$F$138)+OBEL!E24+(LBTY!E24/Prices!$C$135)+NOS!E24+UTDI!E24+(SUNN!E24/Prices!$F$128)+(ZEG!E24/Prices!$F$133)+BOUY!E24+SES!E24</f>
        <v>27172.809666080157</v>
      </c>
      <c r="F24" s="188">
        <f>(VOD!F24/Prices!$F$133)+ELISA!F24+ETL!F24+(TELE2!F24/Prices!$F$138)+OBEL!F24+(LBTY!F24/Prices!$C$135)+NOS!F24+UTDI!F24+(SUNN!F24/Prices!$F$128)+(ZEG!F24/Prices!$F$133)+BOUY!F24+SES!F24</f>
        <v>29344.53919787459</v>
      </c>
      <c r="G24" s="188">
        <f>(VOD!G24/Prices!$F$133)+ELISA!G24+ETL!G24+(TELE2!G24/Prices!$F$138)+OBEL!G24+(LBTY!G24/Prices!$C$135)+NOS!G24+UTDI!G24+(SUNN!G24/Prices!$F$128)+(ZEG!G24/Prices!$F$133)+BOUY!G24+SES!G24</f>
        <v>30518.613801153831</v>
      </c>
      <c r="H24" s="233">
        <f t="shared" si="0"/>
        <v>5.8382923375347229E-2</v>
      </c>
      <c r="I24" s="208"/>
      <c r="J24" s="13"/>
      <c r="K24" s="13"/>
      <c r="L24" s="13"/>
      <c r="M24" s="13"/>
      <c r="N24" s="13"/>
      <c r="O24" s="208"/>
      <c r="S24" s="72"/>
      <c r="T24" s="26"/>
      <c r="U24" s="26"/>
      <c r="V24" s="113" t="s">
        <v>225</v>
      </c>
      <c r="W24" s="242">
        <f t="shared" ref="W24:W31" si="1">E37/M9</f>
        <v>0.53373877928419666</v>
      </c>
      <c r="X24" s="242">
        <v>1</v>
      </c>
    </row>
    <row r="25" spans="2:24">
      <c r="B25" s="5" t="s">
        <v>157</v>
      </c>
      <c r="C25" s="288">
        <f>(VOD!C25/Prices!$F$133)+ELISA!C25+ETL!C25+(TELE2!C25/Prices!$F$138)+OBEL!C25+(LBTY!C25/Prices!$C$135)+NOS!C25+UTDI!C25+(SUNN!C25/Prices!$F$128)+(ZEG!C25/Prices!$F$133)+BOUY!C25+SES!C25</f>
        <v>10845.074898101329</v>
      </c>
      <c r="D25" s="188">
        <f>(VOD!D25/Prices!$F$133)+ELISA!D25+ETL!D25+(TELE2!D25/Prices!$F$138)+OBEL!D25+(LBTY!D25/Prices!$C$135)+NOS!D25+UTDI!D25+(SUNN!D25/Prices!$F$128)+(ZEG!D25/Prices!$F$133)+BOUY!D25+SES!D25</f>
        <v>10918.534559817886</v>
      </c>
      <c r="E25" s="188">
        <f>(VOD!E25/Prices!$F$133)+ELISA!E25+ETL!E25+(TELE2!E25/Prices!$F$138)+OBEL!E25+(LBTY!E25/Prices!$C$135)+NOS!E25+UTDI!E25+(SUNN!E25/Prices!$F$128)+(ZEG!E25/Prices!$F$133)+BOUY!E25+SES!E25</f>
        <v>12406.684536387842</v>
      </c>
      <c r="F25" s="188">
        <f>(VOD!F25/Prices!$F$133)+ELISA!F25+ETL!F25+(TELE2!F25/Prices!$F$138)+OBEL!F25+(LBTY!F25/Prices!$C$135)+NOS!F25+UTDI!F25+(SUNN!F25/Prices!$F$128)+(ZEG!F25/Prices!$F$133)+BOUY!F25+SES!F25</f>
        <v>13869.141798956822</v>
      </c>
      <c r="G25" s="188">
        <f>(VOD!G25/Prices!$F$133)+ELISA!G25+ETL!G25+(TELE2!G25/Prices!$F$138)+OBEL!G25+(LBTY!G25/Prices!$C$135)+NOS!G25+UTDI!G25+(SUNN!G25/Prices!$F$128)+(ZEG!G25/Prices!$F$133)+BOUY!G25+SES!G25</f>
        <v>15019.85438342702</v>
      </c>
      <c r="H25" s="233">
        <f t="shared" si="0"/>
        <v>0.11215962069465446</v>
      </c>
      <c r="I25" s="209"/>
      <c r="J25" s="207" t="s">
        <v>8</v>
      </c>
      <c r="K25" s="207"/>
      <c r="L25" s="258">
        <f>(VOD!L25/Prices!$F$133)+ELISA!L25+(TELE2!L25/Prices!$F$138)+OBEL!L25+(LBTY!L25/Prices!$C$135)+NOS!L25+UTDI!L25+(SUNN!L25/Prices!$F$128)+BOUY!L25+SES!L25</f>
        <v>1622.6983575025067</v>
      </c>
      <c r="M25" s="258">
        <f>(VOD!M25/Prices!$F$133)+ELISA!M25+(TELE2!M25/Prices!$F$138)+OBEL!M25+(LBTY!M25/Prices!$C$135)+NOS!M25+UTDI!M25+(SUNN!M25/Prices!$F$128)+BOUY!M25+SES!M25</f>
        <v>185.16165809113733</v>
      </c>
      <c r="N25" s="258">
        <f>(VOD!N25/Prices!$F$133)+ELISA!N25+(TELE2!N25/Prices!$F$138)+OBEL!N25+(LBTY!N25/Prices!$C$135)+NOS!N25+UTDI!N25+(SUNN!N25/Prices!$F$128)+BOUY!N25+SES!N25</f>
        <v>145.32812751930575</v>
      </c>
      <c r="O25" s="258">
        <f>(VOD!O25/Prices!$F$133)+ELISA!O25+(TELE2!O25/Prices!$F$138)+OBEL!O25+(LBTY!O25/Prices!$C$135)+NOS!O25+UTDI!O25+(SUNN!O25/Prices!$F$128)+BOUY!O25+SES!O25</f>
        <v>100</v>
      </c>
      <c r="P25" s="233">
        <f>IF(L25=0,"nm",IF(O25=0,"nm",(O25/L25)^(1/3)-1))</f>
        <v>-0.60500881723819977</v>
      </c>
      <c r="Q25" s="5"/>
      <c r="S25" s="72"/>
      <c r="T25" s="26"/>
      <c r="U25" s="26"/>
      <c r="V25" s="113" t="s">
        <v>158</v>
      </c>
      <c r="W25" s="242">
        <f t="shared" si="1"/>
        <v>0.8897254159605209</v>
      </c>
      <c r="X25" s="242">
        <v>1</v>
      </c>
    </row>
    <row r="26" spans="2:24">
      <c r="B26" s="5" t="s">
        <v>487</v>
      </c>
      <c r="C26" s="288">
        <f>(VOD!C26/Prices!$F$133)+ELISA!C26+ETL!C26+(TELE2!C26/Prices!$F$138)+OBEL!C26+(LBTY!C26/Prices!$C$135)+NOS!C26+UTDI!C26+(SUNN!C26/Prices!$F$128)+(ZEG!C26/Prices!$F$133)+BOUY!C26+SES!C26</f>
        <v>8176.0230358713861</v>
      </c>
      <c r="D26" s="188">
        <f>(VOD!D26/Prices!$F$133)+ELISA!D26+ETL!D26+(TELE2!D26/Prices!$F$138)+OBEL!D26+(LBTY!D26/Prices!$C$135)+NOS!D26+UTDI!D26+(SUNN!D26/Prices!$F$128)+(ZEG!D26/Prices!$F$133)+BOUY!D26+SES!D26</f>
        <v>8122.5651757245896</v>
      </c>
      <c r="E26" s="188">
        <f>(VOD!E26/Prices!$F$133)+ELISA!E26+ETL!E26+(TELE2!E26/Prices!$F$138)+OBEL!E26+(LBTY!E26/Prices!$C$135)+NOS!E26+UTDI!E26+(SUNN!E26/Prices!$F$128)+(ZEG!E26/Prices!$F$133)+BOUY!E26+SES!E26</f>
        <v>9234.473274475602</v>
      </c>
      <c r="F26" s="188">
        <f>(VOD!F26/Prices!$F$133)+ELISA!F26+ETL!F26+(TELE2!F26/Prices!$F$138)+OBEL!F26+(LBTY!F26/Prices!$C$135)+NOS!F26+UTDI!F26+(SUNN!F26/Prices!$F$128)+(ZEG!F26/Prices!$F$133)+BOUY!F26+SES!F26</f>
        <v>10305.788814961461</v>
      </c>
      <c r="G26" s="188">
        <f>(VOD!G26/Prices!$F$133)+ELISA!G26+ETL!G26+(TELE2!G26/Prices!$F$138)+OBEL!G26+(LBTY!G26/Prices!$C$135)+NOS!G26+UTDI!G26+(SUNN!G26/Prices!$F$128)+(ZEG!G26/Prices!$F$133)+BOUY!G26+SES!G26</f>
        <v>11193.776263392378</v>
      </c>
      <c r="H26" s="233">
        <f t="shared" si="0"/>
        <v>0.11282738841201478</v>
      </c>
      <c r="I26" s="209"/>
      <c r="J26" s="209" t="s">
        <v>9</v>
      </c>
      <c r="K26" s="209"/>
      <c r="L26" s="235">
        <f>(VOD!L26/Prices!$F$133)+ELISA!L26+(TELE2!L26/Prices!$F$138)+OBEL!L26+(LBTY!L26/Prices!$C$135)+NOS!L26+UTDI!L26+(SUNN!L26/Prices!$F$128)+BOUY!L26</f>
        <v>87580.464895987418</v>
      </c>
      <c r="M26" s="235">
        <f>(VOD!M26/Prices!$F$133)+ELISA!M26+(TELE2!M26/Prices!$F$138)+OBEL!M26+(LBTY!M26/Prices!$C$135)+NOS!M26+UTDI!M26+(SUNN!M26/Prices!$F$128)+BOUY!M26</f>
        <v>86026.45654011966</v>
      </c>
      <c r="N26" s="235">
        <f>(VOD!N26/Prices!$F$133)+ELISA!N26+(TELE2!N26/Prices!$F$138)+OBEL!N26+(LBTY!N26/Prices!$C$135)+NOS!N26+UTDI!N26+(SUNN!N26/Prices!$F$128)+BOUY!N26</f>
        <v>86050.738473341844</v>
      </c>
      <c r="O26" s="235">
        <f>(VOD!O26/Prices!$F$133)+ELISA!O26+(TELE2!O26/Prices!$F$138)+OBEL!O26+(LBTY!O26/Prices!$C$135)+NOS!O26+UTDI!O26+(SUNN!O26/Prices!$F$128)+BOUY!O26</f>
        <v>86068.540855254541</v>
      </c>
      <c r="P26" s="233">
        <f>IF(L26=0,"nm",IF(O26=0,"nm",(O26/L26)^(1/3)-1))</f>
        <v>-5.787853493084083E-3</v>
      </c>
      <c r="Q26" s="25"/>
      <c r="S26" s="72"/>
      <c r="T26" s="26"/>
      <c r="U26" s="26"/>
      <c r="V26" s="113" t="s">
        <v>159</v>
      </c>
      <c r="W26" s="242">
        <f t="shared" si="1"/>
        <v>1.1261731305850036</v>
      </c>
      <c r="X26" s="242">
        <v>1</v>
      </c>
    </row>
    <row r="27" spans="2:24">
      <c r="B27" s="5" t="s">
        <v>488</v>
      </c>
      <c r="C27" s="288">
        <f>(VOD!C27/Prices!$F$133)+ELISA!C27+ETL!C27+(TELE2!C27/Prices!$F$138)+OBEL!C27+(LBTY!C27/Prices!$C$135)+NOS!C27+UTDI!C27+(SUNN!C27/Prices!$F$128)+(ZEG!C27/Prices!$F$133)+BOUY!C27+SES!C27</f>
        <v>136400.0342956525</v>
      </c>
      <c r="D27" s="188">
        <f>(VOD!D27/Prices!$F$133)+ELISA!D27+ETL!D27+(TELE2!D27/Prices!$F$138)+OBEL!D27+(LBTY!D27/Prices!$C$135)+NOS!D27+UTDI!D27+(SUNN!D27/Prices!$F$128)+(ZEG!D27/Prices!$F$133)+BOUY!D27+SES!D27</f>
        <v>141599.1591964137</v>
      </c>
      <c r="E27" s="188">
        <f>(VOD!E27/Prices!$F$133)+ELISA!E27+ETL!E27+(TELE2!E27/Prices!$F$138)+OBEL!E27+(LBTY!E27/Prices!$C$135)+NOS!E27+UTDI!E27+(SUNN!E27/Prices!$F$128)+(ZEG!E27/Prices!$F$133)+BOUY!E27+SES!E27</f>
        <v>139981.37008683613</v>
      </c>
      <c r="F27" s="188">
        <f>(VOD!F27/Prices!$F$133)+ELISA!F27+ETL!F27+(TELE2!F27/Prices!$F$138)+OBEL!F27+(LBTY!F27/Prices!$C$135)+NOS!F27+UTDI!F27+(SUNN!F27/Prices!$F$128)+(ZEG!F27/Prices!$F$133)+BOUY!F27+SES!F27</f>
        <v>146567.34833481812</v>
      </c>
      <c r="G27" s="188">
        <f>(VOD!G27/Prices!$F$133)+ELISA!G27+ETL!G27+(TELE2!G27/Prices!$F$138)+OBEL!G27+(LBTY!G27/Prices!$C$135)+NOS!G27+UTDI!G27+(SUNN!G27/Prices!$F$128)+(ZEG!G27/Prices!$F$133)+BOUY!G27+SES!G27</f>
        <v>145330.75670597935</v>
      </c>
      <c r="H27" s="233">
        <f t="shared" si="0"/>
        <v>8.7083597491850462E-3</v>
      </c>
      <c r="I27" s="208"/>
      <c r="J27" s="208"/>
      <c r="K27" s="208"/>
      <c r="L27" s="208"/>
      <c r="M27" s="208"/>
      <c r="N27" s="208"/>
      <c r="O27" s="208"/>
      <c r="Q27" s="5"/>
      <c r="S27" s="72"/>
      <c r="T27" s="26"/>
      <c r="U27" s="26"/>
      <c r="V27" s="113" t="s">
        <v>381</v>
      </c>
      <c r="W27" s="242">
        <f t="shared" si="1"/>
        <v>1.0601720080824357</v>
      </c>
      <c r="X27" s="242">
        <v>1</v>
      </c>
    </row>
    <row r="28" spans="2:24" ht="12.6" thickBot="1">
      <c r="B28" s="5" t="s">
        <v>492</v>
      </c>
      <c r="C28" s="288">
        <f>(VOD!C28/Prices!$F$133)+ELISA!C28+ETL!C28+(TELE2!C28/Prices!$F$138)+OBEL!C28+(LBTY!C28/Prices!$C$135)+NOS!C28+UTDI!C28+(SUNN!C28/Prices!$F$128)+(ZEG!C28/Prices!$F$133)+BOUY!C28+SES!C28</f>
        <v>55063.184239800641</v>
      </c>
      <c r="D28" s="188">
        <f>(VOD!D28/Prices!$F$133)+ELISA!D28+ETL!D28+(TELE2!D28/Prices!$F$138)+OBEL!D28+(LBTY!D28/Prices!$C$135)+NOS!D28+UTDI!D28+(SUNN!D28/Prices!$F$128)+(ZEG!D28/Prices!$F$133)+BOUY!D28+SES!D28</f>
        <v>57277.196343864489</v>
      </c>
      <c r="E28" s="188">
        <f>(VOD!E28/Prices!$F$133)+ELISA!E28+ETL!E28+(TELE2!E28/Prices!$F$138)+OBEL!E28+(LBTY!E28/Prices!$C$135)+NOS!E28+UTDI!E28+(SUNN!E28/Prices!$F$128)+(ZEG!E28/Prices!$F$133)+BOUY!E28+SES!E28</f>
        <v>57575.994923664286</v>
      </c>
      <c r="F28" s="188">
        <f>(VOD!F28/Prices!$F$133)+ELISA!F28+ETL!F28+(TELE2!F28/Prices!$F$138)+OBEL!F28+(LBTY!F28/Prices!$C$135)+NOS!F28+UTDI!F28+(SUNN!F28/Prices!$F$128)+(ZEG!F28/Prices!$F$133)+BOUY!F28+SES!F28</f>
        <v>58617.922107134465</v>
      </c>
      <c r="G28" s="188">
        <f>(VOD!G28/Prices!$F$133)+ELISA!G28+ETL!G28+(TELE2!G28/Prices!$F$138)+OBEL!G28+(LBTY!G28/Prices!$C$135)+NOS!G28+UTDI!G28+(SUNN!G28/Prices!$F$128)+(ZEG!G28/Prices!$F$133)+BOUY!G28+SES!G28</f>
        <v>59353.512822737641</v>
      </c>
      <c r="H28" s="233">
        <f t="shared" si="0"/>
        <v>1.1940300513105573E-2</v>
      </c>
      <c r="I28" s="212"/>
      <c r="J28" s="249" t="s">
        <v>628</v>
      </c>
      <c r="K28" s="249"/>
      <c r="L28" s="249"/>
      <c r="M28" s="249"/>
      <c r="N28" s="220"/>
      <c r="O28" s="220"/>
      <c r="P28" s="220"/>
      <c r="Q28" s="5"/>
      <c r="S28" s="72"/>
      <c r="T28" s="26"/>
      <c r="U28" s="26"/>
      <c r="V28" s="113" t="s">
        <v>434</v>
      </c>
      <c r="W28" s="242">
        <f t="shared" si="1"/>
        <v>0.78626817573642982</v>
      </c>
      <c r="X28" s="242">
        <v>1</v>
      </c>
    </row>
    <row r="29" spans="2:24" ht="12.6" thickTop="1">
      <c r="B29" s="5" t="s">
        <v>489</v>
      </c>
      <c r="C29" s="288">
        <f>(VOD!C29/Prices!$F$133)+ELISA!C29+ETL!C29+(TELE2!C29/Prices!$F$138)+OBEL!C29+(LBTY!C29/Prices!$C$135)+NOS!C29+UTDI!C29+(SUNN!C29/Prices!$F$128)+(ZEG!C29/Prices!$F$133)+BOUY!C29+SES!C29</f>
        <v>3450.0097346808357</v>
      </c>
      <c r="D29" s="188">
        <f>(VOD!D29/Prices!$F$133)+ELISA!D29+ETL!D29+(TELE2!D29/Prices!$F$138)+OBEL!D29+(LBTY!D29/Prices!$C$135)+NOS!D29+UTDI!D29+(SUNN!D29/Prices!$F$128)+(ZEG!D29/Prices!$F$133)+BOUY!D29+SES!D29</f>
        <v>4272.5091968864244</v>
      </c>
      <c r="E29" s="188">
        <f>(VOD!E29/Prices!$F$133)+ELISA!E29+ETL!E29+(TELE2!E29/Prices!$F$138)+OBEL!E29+(LBTY!E29/Prices!$C$135)+NOS!E29+UTDI!E29+(SUNN!E29/Prices!$F$128)+(ZEG!E29/Prices!$F$133)+BOUY!E29+SES!E29</f>
        <v>4880.1839114229024</v>
      </c>
      <c r="F29" s="188">
        <f>(VOD!F29/Prices!$F$133)+ELISA!F29+ETL!F29+(TELE2!F29/Prices!$F$138)+OBEL!F29+(LBTY!F29/Prices!$C$135)+NOS!F29+UTDI!F29+(SUNN!F29/Prices!$F$128)+(ZEG!F29/Prices!$F$133)+BOUY!F29+SES!F29</f>
        <v>5248.0929259278455</v>
      </c>
      <c r="G29" s="188">
        <f>(VOD!G29/Prices!$F$133)+ELISA!G29+ETL!G29+(TELE2!G29/Prices!$F$138)+OBEL!G29+(LBTY!G29/Prices!$C$135)+NOS!G29+UTDI!G29+(SUNN!G29/Prices!$F$128)+(ZEG!G29/Prices!$F$133)+BOUY!G29+SES!G29</f>
        <v>6032.8871533941428</v>
      </c>
      <c r="H29" s="233">
        <f t="shared" si="0"/>
        <v>0.12188256435252187</v>
      </c>
      <c r="I29" s="214"/>
      <c r="J29" s="209"/>
      <c r="K29" s="209"/>
      <c r="L29" s="209"/>
      <c r="M29" s="209"/>
      <c r="N29" s="209"/>
      <c r="O29" s="211"/>
      <c r="Q29" s="5"/>
      <c r="S29" s="72"/>
      <c r="T29" s="26"/>
      <c r="U29" s="26"/>
      <c r="V29" s="113" t="s">
        <v>493</v>
      </c>
      <c r="W29" s="242">
        <f t="shared" si="1"/>
        <v>0.83799914662134356</v>
      </c>
      <c r="X29" s="242">
        <v>1</v>
      </c>
    </row>
    <row r="30" spans="2:24">
      <c r="B30" s="5" t="s">
        <v>490</v>
      </c>
      <c r="C30" s="288">
        <f>(VOD!C30/Prices!$F$133)+ELISA!C30+ETL!C30+(TELE2!C30/Prices!$F$138)+OBEL!C30+(LBTY!C30/Prices!$C$135)+NOS!C30+UTDI!C30+(SUNN!C30/Prices!$F$128)+(ZEG!C30/Prices!$F$133)+BOUY!C30+SES!C30</f>
        <v>3734.1848536978505</v>
      </c>
      <c r="D30" s="188">
        <f>(VOD!D30/Prices!$F$133)+ELISA!D30+ETL!D30+(TELE2!D30/Prices!$F$138)+OBEL!D30+(LBTY!D30/Prices!$C$135)+NOS!D30+UTDI!D30+(SUNN!D30/Prices!$F$128)+(ZEG!D30/Prices!$F$133)+BOUY!D30+SES!D30</f>
        <v>4125.3765248731452</v>
      </c>
      <c r="E30" s="188">
        <f>(VOD!E30/Prices!$F$133)+ELISA!E30+ETL!E30+(TELE2!E30/Prices!$F$138)+OBEL!E30+(LBTY!E30/Prices!$C$135)+NOS!E30+UTDI!E30+(SUNN!E30/Prices!$F$128)+(ZEG!E30/Prices!$F$133)+BOUY!E30+SES!E30</f>
        <v>5705.153508234941</v>
      </c>
      <c r="F30" s="188">
        <f>(VOD!F30/Prices!$F$133)+ELISA!F30+ETL!F30+(TELE2!F30/Prices!$F$138)+OBEL!F30+(LBTY!F30/Prices!$C$135)+NOS!F30+UTDI!F30+(SUNN!F30/Prices!$F$128)+(ZEG!F30/Prices!$F$133)+BOUY!F30+SES!F30</f>
        <v>6583.8928971343885</v>
      </c>
      <c r="G30" s="188">
        <f>(VOD!G30/Prices!$F$133)+ELISA!G30+ETL!G30+(TELE2!G30/Prices!$F$138)+OBEL!G30+(LBTY!G30/Prices!$C$135)+NOS!G30+UTDI!G30+(SUNN!G30/Prices!$F$128)+(ZEG!G30/Prices!$F$133)+BOUY!G30+SES!G30</f>
        <v>7615.7593820412658</v>
      </c>
      <c r="H30" s="233">
        <f t="shared" si="0"/>
        <v>0.22673250703923764</v>
      </c>
      <c r="I30" s="214"/>
      <c r="J30" s="208"/>
      <c r="K30" s="208"/>
      <c r="L30" s="208"/>
      <c r="M30" s="208"/>
      <c r="N30" s="208"/>
      <c r="O30" s="5"/>
      <c r="Q30" s="5"/>
      <c r="S30" s="72"/>
      <c r="T30" s="26"/>
      <c r="U30" s="26"/>
      <c r="V30" s="113" t="s">
        <v>390</v>
      </c>
      <c r="W30" s="242">
        <f t="shared" si="1"/>
        <v>1.3139279745325547</v>
      </c>
      <c r="X30" s="242">
        <v>1</v>
      </c>
    </row>
    <row r="31" spans="2:24">
      <c r="B31" s="5" t="s">
        <v>491</v>
      </c>
      <c r="C31" s="288">
        <f>(VOD!C31/Prices!$F$133)+ELISA!C31+ETL!C31+(TELE2!C31/Prices!$F$138)+OBEL!C31+(LBTY!C31/Prices!$C$135)+NOS!C31+UTDI!C31+(SUNN!C31/Prices!$F$128)+(ZEG!C31/Prices!$F$133)+BOUY!C31+SES!C31</f>
        <v>3344.1457458295999</v>
      </c>
      <c r="D31" s="188">
        <f>(VOD!D31/Prices!$F$133)+ELISA!D31+ETL!D31+(TELE2!D31/Prices!$F$138)+OBEL!D31+(LBTY!D31/Prices!$C$135)+NOS!D31+UTDI!D31+(SUNN!D31/Prices!$F$128)+(ZEG!D31/Prices!$F$133)+BOUY!D31+SES!D31</f>
        <v>3755.6341665478167</v>
      </c>
      <c r="E31" s="188">
        <f>(VOD!E31/Prices!$F$133)+ELISA!E31+ETL!E31+(TELE2!E31/Prices!$F$138)+OBEL!E31+(LBTY!E31/Prices!$C$135)+NOS!E31+UTDI!E31+(SUNN!E31/Prices!$F$128)+(ZEG!E31/Prices!$F$133)+BOUY!E31+SES!E31</f>
        <v>3879.5106900792198</v>
      </c>
      <c r="F31" s="188">
        <f>(VOD!F31/Prices!$F$133)+ELISA!F31+ETL!F31+(TELE2!F31/Prices!$F$138)+OBEL!F31+(LBTY!F31/Prices!$C$135)+NOS!F31+UTDI!F31+(SUNN!F31/Prices!$F$128)+(ZEG!F31/Prices!$F$133)+BOUY!F31+SES!F31</f>
        <v>3978.7491438599568</v>
      </c>
      <c r="G31" s="188">
        <f>(VOD!G31/Prices!$F$133)+ELISA!G31+ETL!G31+(TELE2!G31/Prices!$F$138)+OBEL!G31+(LBTY!G31/Prices!$C$135)+NOS!G31+UTDI!G31+(SUNN!G31/Prices!$F$128)+(ZEG!G31/Prices!$F$133)+BOUY!G31+SES!G31</f>
        <v>4207.6618993266857</v>
      </c>
      <c r="H31" s="233">
        <f t="shared" si="0"/>
        <v>3.8610043639548675E-2</v>
      </c>
      <c r="I31" s="214"/>
      <c r="J31" s="212"/>
      <c r="K31" s="212"/>
      <c r="L31" s="212"/>
      <c r="M31" s="212"/>
      <c r="N31" s="212"/>
      <c r="O31" s="5"/>
      <c r="Q31" s="5"/>
      <c r="S31" s="72"/>
      <c r="T31" s="26"/>
      <c r="U31" s="26"/>
      <c r="V31" s="113" t="s">
        <v>437</v>
      </c>
      <c r="W31" s="242">
        <f t="shared" si="1"/>
        <v>1.346221449054928</v>
      </c>
      <c r="X31" s="242">
        <v>1</v>
      </c>
    </row>
    <row r="32" spans="2:24">
      <c r="B32" s="5" t="s">
        <v>506</v>
      </c>
      <c r="C32" s="288">
        <f>(VOD!C32/Prices!$F$133)+ELISA!C32+ETL!C32+(TELE2!C32/Prices!$F$138)+OBEL!C32+(LBTY!C32/Prices!$C$135)+NOS!C32+UTDI!C32+(SUNN!C32/Prices!$F$128)+(ZEG!C32/Prices!$F$133)+BOUY!C32+SES!C32</f>
        <v>0</v>
      </c>
      <c r="D32" s="188">
        <f>(VOD!D32/Prices!$F$133)+ELISA!D32+ETL!D32+(TELE2!D32/Prices!$F$138)+OBEL!D32+(LBTY!D32/Prices!$C$135)+NOS!D32+UTDI!D32+(SUNN!D32/Prices!$F$128)+(ZEG!D32/Prices!$F$133)+BOUY!D32+SES!D32</f>
        <v>0</v>
      </c>
      <c r="E32" s="188">
        <f>(VOD!E32/Prices!$F$133)+ELISA!E32+ETL!E32+(TELE2!E32/Prices!$F$138)+OBEL!E32+(LBTY!E32/Prices!$C$135)+NOS!E32+UTDI!E32+(SUNN!E32/Prices!$F$128)+(ZEG!E32/Prices!$F$133)+BOUY!E32+SES!E32</f>
        <v>0</v>
      </c>
      <c r="F32" s="188">
        <f>(VOD!F32/Prices!$F$133)+ELISA!F32+ETL!F32+(TELE2!F32/Prices!$F$138)+OBEL!F32+(LBTY!F32/Prices!$C$135)+NOS!F32+UTDI!F32+(SUNN!F32/Prices!$F$128)+(ZEG!F32/Prices!$F$133)+BOUY!F32+SES!F32</f>
        <v>0</v>
      </c>
      <c r="G32" s="188">
        <f>(VOD!G32/Prices!$F$133)+ELISA!G32+ETL!G32+(TELE2!G32/Prices!$F$138)+OBEL!G32+(LBTY!G32/Prices!$C$135)+NOS!G32+UTDI!G32+(SUNN!G32/Prices!$F$128)+(ZEG!G32/Prices!$F$133)+BOUY!G32+SES!G32</f>
        <v>0</v>
      </c>
      <c r="H32" s="233" t="str">
        <f t="shared" si="0"/>
        <v>nm</v>
      </c>
      <c r="I32" s="5"/>
      <c r="J32" s="214"/>
      <c r="K32" s="214"/>
      <c r="L32" s="214"/>
      <c r="M32" s="214"/>
      <c r="N32" s="214"/>
      <c r="O32" s="211"/>
      <c r="Q32" s="5"/>
      <c r="S32" s="72"/>
      <c r="T32" s="26"/>
      <c r="U32" s="26"/>
      <c r="V32" s="113" t="s">
        <v>481</v>
      </c>
      <c r="W32" s="242">
        <f>M17/E45</f>
        <v>0.97786028911498479</v>
      </c>
      <c r="X32" s="242">
        <v>1</v>
      </c>
    </row>
    <row r="33" spans="2:24">
      <c r="B33" s="5" t="s">
        <v>3</v>
      </c>
      <c r="C33" s="288">
        <f>(VOD!C33/Prices!$F$133)+ELISA!C33+ETL!C33+(TELE2!C33/Prices!$F$138)+OBEL!C33+(LBTY!C33/Prices!$C$135)+NOS!C33+UTDI!C33+(SUNN!C33/Prices!$F$128)+(ZEG!C33/Prices!$F$133)+BOUY!C33+SES!C33</f>
        <v>2761.6119906170143</v>
      </c>
      <c r="D33" s="188">
        <f>(VOD!D33/Prices!$F$133)+ELISA!D33+ETL!D33+(TELE2!D33/Prices!$F$138)+OBEL!D33+(LBTY!D33/Prices!$C$135)+NOS!D33+UTDI!D33+(SUNN!D33/Prices!$F$128)+(ZEG!D33/Prices!$F$133)+BOUY!D33+SES!D33</f>
        <v>3430.1532477897067</v>
      </c>
      <c r="E33" s="188">
        <f>(VOD!E33/Prices!$F$133)+ELISA!E33+ETL!E33+(TELE2!E33/Prices!$F$138)+OBEL!E33+(LBTY!E33/Prices!$C$135)+NOS!E33+UTDI!E33+(SUNN!E33/Prices!$F$128)+(ZEG!E33/Prices!$F$133)+BOUY!E33+SES!E33</f>
        <v>3421.944684881893</v>
      </c>
      <c r="F33" s="188">
        <f>(VOD!F33/Prices!$F$133)+ELISA!F33+ETL!F33+(TELE2!F33/Prices!$F$138)+OBEL!F33+(LBTY!F33/Prices!$C$135)+NOS!F33+UTDI!F33+(SUNN!F33/Prices!$F$128)+(ZEG!F33/Prices!$F$133)+BOUY!F33+SES!F33</f>
        <v>3424.9604889861453</v>
      </c>
      <c r="G33" s="188">
        <f>(VOD!G33/Prices!$F$133)+ELISA!G33+ETL!G33+(TELE2!G33/Prices!$F$138)+OBEL!G33+(LBTY!G33/Prices!$C$135)+NOS!G33+UTDI!G33+(SUNN!G33/Prices!$F$128)+(ZEG!G33/Prices!$F$133)+BOUY!G33+SES!G33</f>
        <v>3536.3828246141338</v>
      </c>
      <c r="H33" s="233">
        <f t="shared" si="0"/>
        <v>1.0218342638530276E-2</v>
      </c>
      <c r="I33" s="33"/>
      <c r="J33" s="214"/>
      <c r="K33" s="214"/>
      <c r="L33" s="214"/>
      <c r="M33" s="214"/>
      <c r="N33" s="214"/>
      <c r="O33" s="211"/>
      <c r="Q33" s="5"/>
      <c r="S33" s="72"/>
      <c r="T33" s="26"/>
      <c r="U33" s="26"/>
      <c r="V33" s="113" t="s">
        <v>482</v>
      </c>
      <c r="W33" s="242">
        <f>M19/E47</f>
        <v>1.3139279745325547</v>
      </c>
      <c r="X33" s="242">
        <v>1</v>
      </c>
    </row>
    <row r="34" spans="2:24">
      <c r="H34" s="231"/>
      <c r="I34" s="214"/>
      <c r="J34" s="214"/>
      <c r="K34" s="214"/>
      <c r="L34" s="214"/>
      <c r="M34" s="214"/>
      <c r="N34" s="214"/>
      <c r="O34" s="211"/>
      <c r="Q34" s="5"/>
      <c r="S34" s="72"/>
      <c r="T34" s="26"/>
      <c r="U34" s="26"/>
      <c r="V34" s="26"/>
      <c r="W34" s="26"/>
      <c r="X34" s="26"/>
    </row>
    <row r="35" spans="2:24" ht="12.6" thickBot="1">
      <c r="B35" s="249" t="s">
        <v>68</v>
      </c>
      <c r="C35" s="219"/>
      <c r="D35" s="219" t="str">
        <f>D5</f>
        <v>2025E</v>
      </c>
      <c r="E35" s="219" t="str">
        <f>E5</f>
        <v>2026E</v>
      </c>
      <c r="F35" s="219" t="str">
        <f>F5</f>
        <v>2027E</v>
      </c>
      <c r="G35" s="219" t="str">
        <f>G5</f>
        <v>2028E</v>
      </c>
      <c r="H35" s="219" t="str">
        <f>H5</f>
        <v>2025-28</v>
      </c>
      <c r="I35" s="13"/>
      <c r="J35" s="5"/>
      <c r="K35" s="5"/>
      <c r="L35" s="5"/>
      <c r="M35" s="5"/>
      <c r="N35" s="5"/>
      <c r="O35" s="5"/>
      <c r="Q35" s="5"/>
      <c r="S35" s="72"/>
      <c r="T35" s="72"/>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D$18/D23</f>
        <v>1.3465386244194999</v>
      </c>
      <c r="E37" s="48">
        <f t="shared" ref="D37:G41" si="2">E$18/E23</f>
        <v>1.2702660024694201</v>
      </c>
      <c r="F37" s="48">
        <f t="shared" si="2"/>
        <v>1.2208337889627725</v>
      </c>
      <c r="G37" s="48">
        <f t="shared" si="2"/>
        <v>1.1536080915506541</v>
      </c>
      <c r="H37" s="13">
        <f t="shared" ref="H37:H45" si="3">H23</f>
        <v>2.9241923321861041E-2</v>
      </c>
      <c r="I37" s="217"/>
      <c r="J37" s="217"/>
      <c r="K37" s="217"/>
      <c r="L37" s="217"/>
      <c r="M37" s="217"/>
      <c r="N37" s="217"/>
      <c r="O37" s="14"/>
      <c r="Q37" s="5"/>
      <c r="R37" s="5"/>
      <c r="S37" s="26"/>
      <c r="T37" s="26"/>
      <c r="U37" s="26"/>
      <c r="V37" s="26"/>
      <c r="W37" s="26"/>
      <c r="X37" s="26"/>
    </row>
    <row r="38" spans="2:24">
      <c r="B38" s="5" t="s">
        <v>158</v>
      </c>
      <c r="C38" s="207"/>
      <c r="D38" s="48">
        <f t="shared" si="2"/>
        <v>6.667367354960847</v>
      </c>
      <c r="E38" s="48">
        <f t="shared" si="2"/>
        <v>6.1251275377702257</v>
      </c>
      <c r="F38" s="48">
        <f t="shared" si="2"/>
        <v>5.693173880990817</v>
      </c>
      <c r="G38" s="48">
        <f t="shared" si="2"/>
        <v>5.2531257055567684</v>
      </c>
      <c r="H38" s="13">
        <f t="shared" si="3"/>
        <v>5.8382923375347229E-2</v>
      </c>
      <c r="I38" s="13"/>
      <c r="J38" s="13"/>
      <c r="K38" s="13"/>
      <c r="L38" s="13"/>
      <c r="M38" s="13"/>
      <c r="N38" s="13"/>
      <c r="O38" s="5"/>
      <c r="Q38" s="5"/>
      <c r="R38" s="5"/>
      <c r="S38" s="26"/>
      <c r="T38" s="26"/>
      <c r="U38" s="26"/>
      <c r="V38" s="26"/>
      <c r="W38" s="26"/>
      <c r="X38" s="26"/>
    </row>
    <row r="39" spans="2:24">
      <c r="B39" s="5" t="s">
        <v>159</v>
      </c>
      <c r="C39" s="207"/>
      <c r="D39" s="48">
        <f t="shared" si="2"/>
        <v>15.71905243017703</v>
      </c>
      <c r="E39" s="48">
        <f t="shared" si="2"/>
        <v>13.415100889859009</v>
      </c>
      <c r="F39" s="48">
        <f t="shared" si="2"/>
        <v>12.045703081903499</v>
      </c>
      <c r="G39" s="48">
        <f t="shared" si="2"/>
        <v>10.673746267054129</v>
      </c>
      <c r="H39" s="13">
        <f t="shared" si="3"/>
        <v>0.11215962069465446</v>
      </c>
      <c r="I39" s="5"/>
      <c r="J39" s="5"/>
      <c r="K39" s="5"/>
      <c r="L39" s="5"/>
      <c r="M39" s="5"/>
      <c r="N39" s="5"/>
      <c r="O39" s="5"/>
      <c r="Q39" s="5"/>
      <c r="R39" s="5"/>
      <c r="S39" s="26"/>
      <c r="T39" s="26"/>
      <c r="U39" s="26"/>
      <c r="V39" s="26"/>
      <c r="W39" s="242"/>
      <c r="X39" s="242"/>
    </row>
    <row r="40" spans="2:24">
      <c r="B40" s="5" t="s">
        <v>381</v>
      </c>
      <c r="C40" s="207"/>
      <c r="D40" s="48">
        <f t="shared" si="2"/>
        <v>21.129903360999098</v>
      </c>
      <c r="E40" s="48">
        <f t="shared" si="2"/>
        <v>18.023434560619052</v>
      </c>
      <c r="F40" s="48">
        <f t="shared" si="2"/>
        <v>16.210652780747434</v>
      </c>
      <c r="G40" s="48">
        <f t="shared" si="2"/>
        <v>14.322076025505165</v>
      </c>
      <c r="H40" s="13">
        <f t="shared" si="3"/>
        <v>0.11282738841201478</v>
      </c>
      <c r="I40" s="207"/>
      <c r="J40" s="217"/>
      <c r="K40" s="217"/>
      <c r="L40" s="217"/>
      <c r="M40" s="217"/>
      <c r="N40" s="217"/>
      <c r="O40" s="14"/>
      <c r="Q40" s="5"/>
      <c r="R40" s="5"/>
      <c r="S40" s="26"/>
      <c r="T40" s="26"/>
      <c r="U40" s="26"/>
      <c r="V40" s="26"/>
      <c r="W40" s="242"/>
      <c r="X40" s="242"/>
    </row>
    <row r="41" spans="2:24">
      <c r="B41" s="5" t="s">
        <v>434</v>
      </c>
      <c r="C41" s="207"/>
      <c r="D41" s="48">
        <f t="shared" si="2"/>
        <v>1.2120765277172925</v>
      </c>
      <c r="E41" s="48">
        <f t="shared" si="2"/>
        <v>1.1889933972002771</v>
      </c>
      <c r="F41" s="48">
        <f t="shared" si="2"/>
        <v>1.1398416223606038</v>
      </c>
      <c r="G41" s="48">
        <f t="shared" si="2"/>
        <v>1.1031258509246087</v>
      </c>
      <c r="H41" s="13">
        <f t="shared" si="3"/>
        <v>8.7083597491850462E-3</v>
      </c>
      <c r="I41" s="208"/>
      <c r="J41" s="13"/>
      <c r="K41" s="13"/>
      <c r="L41" s="13"/>
      <c r="M41" s="13"/>
      <c r="N41" s="13"/>
      <c r="O41" s="5"/>
      <c r="Q41" s="5"/>
      <c r="R41" s="5"/>
      <c r="S41" s="26"/>
      <c r="T41" s="26"/>
      <c r="U41" s="26"/>
      <c r="V41" s="26"/>
      <c r="W41" s="242"/>
      <c r="X41" s="242"/>
    </row>
    <row r="42" spans="2:24">
      <c r="B42" s="5" t="s">
        <v>493</v>
      </c>
      <c r="C42" s="207"/>
      <c r="D42" s="48">
        <f>D18/D28</f>
        <v>2.9964633075980172</v>
      </c>
      <c r="E42" s="48">
        <f>E18/E28</f>
        <v>2.89073467136717</v>
      </c>
      <c r="F42" s="48">
        <f>F18/F28</f>
        <v>2.8500424120410317</v>
      </c>
      <c r="G42" s="48">
        <f>G18/G28</f>
        <v>2.701072051718306</v>
      </c>
      <c r="H42" s="13">
        <f t="shared" si="3"/>
        <v>1.1940300513105573E-2</v>
      </c>
      <c r="I42" s="207"/>
      <c r="J42" s="5"/>
      <c r="K42" s="5"/>
      <c r="L42" s="5"/>
      <c r="M42" s="5"/>
      <c r="N42" s="5"/>
      <c r="O42" s="5"/>
      <c r="Q42" s="5"/>
      <c r="R42" s="5"/>
      <c r="S42" s="26"/>
      <c r="T42" s="26"/>
      <c r="U42" s="26"/>
      <c r="V42" s="26"/>
      <c r="W42" s="242"/>
      <c r="X42" s="242"/>
    </row>
    <row r="43" spans="2:24">
      <c r="B43" s="5" t="s">
        <v>390</v>
      </c>
      <c r="C43" s="207"/>
      <c r="D43" s="48">
        <f>L26/D29</f>
        <v>20.498601842638831</v>
      </c>
      <c r="E43" s="48">
        <f>M26/E29</f>
        <v>17.62770791050724</v>
      </c>
      <c r="F43" s="48">
        <f>N26/F29</f>
        <v>16.39657294332843</v>
      </c>
      <c r="G43" s="48">
        <f>O26/G29</f>
        <v>14.266559056525995</v>
      </c>
      <c r="H43" s="13">
        <f t="shared" si="3"/>
        <v>0.12188256435252187</v>
      </c>
      <c r="I43" s="207"/>
      <c r="J43" s="207"/>
      <c r="K43" s="207"/>
      <c r="L43" s="207"/>
      <c r="M43" s="207"/>
      <c r="N43" s="207"/>
      <c r="O43" s="14"/>
      <c r="Q43" s="5"/>
      <c r="R43" s="5"/>
      <c r="S43" s="26"/>
      <c r="T43" s="26"/>
      <c r="U43" s="26"/>
      <c r="V43" s="26"/>
      <c r="W43" s="255"/>
      <c r="X43" s="255"/>
    </row>
    <row r="44" spans="2:24">
      <c r="B44" s="5" t="s">
        <v>437</v>
      </c>
      <c r="C44" s="53"/>
      <c r="D44" s="48">
        <f>D11/D30</f>
        <v>23.590784984926813</v>
      </c>
      <c r="E44" s="48">
        <f>E11/E30</f>
        <v>17.037998851982447</v>
      </c>
      <c r="F44" s="48">
        <f>F11/F30</f>
        <v>14.773708489368085</v>
      </c>
      <c r="G44" s="48">
        <f>G11/G30</f>
        <v>12.780294126208146</v>
      </c>
      <c r="H44" s="13">
        <f t="shared" si="3"/>
        <v>0.22673250703923764</v>
      </c>
      <c r="I44" s="208"/>
      <c r="J44" s="208"/>
      <c r="K44" s="208"/>
      <c r="L44" s="208"/>
      <c r="M44" s="208"/>
      <c r="N44" s="208"/>
      <c r="O44" s="208"/>
      <c r="Q44" s="5"/>
      <c r="R44" s="5"/>
      <c r="S44" s="26"/>
      <c r="T44" s="26"/>
      <c r="U44" s="26"/>
      <c r="V44" s="26"/>
      <c r="W44" s="26"/>
      <c r="X44" s="26"/>
    </row>
    <row r="45" spans="2:24">
      <c r="B45" s="5" t="s">
        <v>481</v>
      </c>
      <c r="C45" s="207"/>
      <c r="D45" s="208">
        <f>D31/D11</f>
        <v>3.8590223701861853E-2</v>
      </c>
      <c r="E45" s="208">
        <f>E31/E11</f>
        <v>3.991085519827961E-2</v>
      </c>
      <c r="F45" s="208">
        <f>F31/F11</f>
        <v>4.0904800170073315E-2</v>
      </c>
      <c r="G45" s="208">
        <f>G31/G11</f>
        <v>4.3230152986554353E-2</v>
      </c>
      <c r="H45" s="13">
        <f t="shared" si="3"/>
        <v>3.8610043639548675E-2</v>
      </c>
      <c r="I45" s="207"/>
      <c r="J45" s="207"/>
      <c r="K45" s="207"/>
      <c r="L45" s="207"/>
      <c r="M45" s="207"/>
      <c r="N45" s="207"/>
      <c r="O45" s="208"/>
      <c r="Q45" s="5"/>
      <c r="R45" s="5"/>
      <c r="S45" s="26"/>
      <c r="T45" s="26"/>
      <c r="U45" s="26"/>
      <c r="V45" s="26"/>
      <c r="W45" s="26"/>
      <c r="X45" s="26"/>
    </row>
    <row r="46" spans="2:24">
      <c r="B46" s="5" t="s">
        <v>505</v>
      </c>
      <c r="C46" s="207"/>
      <c r="D46" s="208">
        <f>(D31+D32)/D11</f>
        <v>3.8590223701861853E-2</v>
      </c>
      <c r="E46" s="208">
        <f>(E31+E32)/E11</f>
        <v>3.991085519827961E-2</v>
      </c>
      <c r="F46" s="208">
        <f>(F31+F32)/F11</f>
        <v>4.0904800170073315E-2</v>
      </c>
      <c r="G46" s="208">
        <f>(G31+G32)/G11</f>
        <v>4.3230152986554353E-2</v>
      </c>
      <c r="H46" s="233">
        <f>((G31+G32)/(D31+D32))^(1/3)-1</f>
        <v>3.8610043639548675E-2</v>
      </c>
      <c r="I46" s="13"/>
      <c r="J46" s="207"/>
      <c r="K46" s="207"/>
      <c r="L46" s="207"/>
      <c r="M46" s="207"/>
      <c r="N46" s="207"/>
      <c r="O46" s="14"/>
      <c r="Q46" s="5"/>
      <c r="R46" s="5"/>
      <c r="S46" s="26"/>
      <c r="T46" s="26"/>
      <c r="U46" s="26"/>
      <c r="V46" s="26"/>
      <c r="W46" s="26"/>
      <c r="X46" s="26"/>
    </row>
    <row r="47" spans="2:24">
      <c r="B47" s="5" t="s">
        <v>482</v>
      </c>
      <c r="C47" s="5"/>
      <c r="D47" s="208">
        <f>1/D43</f>
        <v>4.8783814997563159E-2</v>
      </c>
      <c r="E47" s="208">
        <f>1/E43</f>
        <v>5.6728872810737699E-2</v>
      </c>
      <c r="F47" s="208">
        <f>1/F43</f>
        <v>6.0988354301615699E-2</v>
      </c>
      <c r="G47" s="208">
        <f>1/G43</f>
        <v>7.0093986646525455E-2</v>
      </c>
      <c r="H47" s="13">
        <f>H29</f>
        <v>0.12188256435252187</v>
      </c>
      <c r="I47" s="207"/>
      <c r="J47" s="208"/>
      <c r="K47" s="208"/>
      <c r="L47" s="208"/>
      <c r="M47" s="208"/>
      <c r="N47" s="208"/>
      <c r="O47" s="208"/>
      <c r="Q47" s="5"/>
      <c r="R47" s="5"/>
      <c r="S47" s="5"/>
      <c r="T47" s="5"/>
      <c r="U47" s="5"/>
    </row>
    <row r="48" spans="2:24">
      <c r="B48" s="5" t="s">
        <v>518</v>
      </c>
      <c r="C48" s="5"/>
      <c r="D48" s="248">
        <f>D31/D29</f>
        <v>0.87902307367406518</v>
      </c>
      <c r="E48" s="248">
        <f>E31/E29</f>
        <v>0.79495173962574728</v>
      </c>
      <c r="F48" s="248">
        <f>F31/F29</f>
        <v>0.75813237303844561</v>
      </c>
      <c r="G48" s="248">
        <f>G31/G29</f>
        <v>0.69745410320818402</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6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79">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908</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372</v>
      </c>
      <c r="C11" s="5"/>
      <c r="D11" s="225">
        <f>INWIT!D11+CLNX!D11</f>
        <v>25716.292463849997</v>
      </c>
      <c r="E11" s="225">
        <f>INWIT!E11+CLNX!E11</f>
        <v>25307.792463850001</v>
      </c>
      <c r="F11" s="225">
        <f>INWIT!F11+CLNX!F11</f>
        <v>25017.996545482652</v>
      </c>
      <c r="G11" s="225">
        <f>INWIT!G11+CLNX!G11</f>
        <v>24742.000432751847</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INWIT!D12+CLNX!D12</f>
        <v>22017.608559999997</v>
      </c>
      <c r="E12" s="188">
        <f>INWIT!E12+CLNX!E12</f>
        <v>22324.08010162643</v>
      </c>
      <c r="F12" s="188">
        <f>INWIT!F12+CLNX!F12</f>
        <v>22629.368941083183</v>
      </c>
      <c r="G12" s="188">
        <f>INWIT!G12+CLNX!G12</f>
        <v>22427.333551123196</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INWIT!D13+CLNX!D13</f>
        <v>207.43230043348169</v>
      </c>
      <c r="E13" s="188">
        <f>INWIT!E13+CLNX!E13</f>
        <v>490.8782384594906</v>
      </c>
      <c r="F13" s="188">
        <f>INWIT!F13+CLNX!F13</f>
        <v>366.67853328586682</v>
      </c>
      <c r="G13" s="188">
        <f>INWIT!G13+CLNX!G13</f>
        <v>188.67924528301887</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INWIT!D14+CLNX!D14</f>
        <v>0</v>
      </c>
      <c r="E14" s="188">
        <f>INWIT!E14+CLNX!E14</f>
        <v>0</v>
      </c>
      <c r="F14" s="188">
        <f>INWIT!F14+CLNX!F14</f>
        <v>0</v>
      </c>
      <c r="G14" s="188">
        <f>INWIT!G14+CLNX!G14</f>
        <v>0</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INWIT!D15+CLNX!D15</f>
        <v>1241.7658536585366</v>
      </c>
      <c r="E15" s="188">
        <f>INWIT!E15+CLNX!E15</f>
        <v>1241.7658536585366</v>
      </c>
      <c r="F15" s="188">
        <f>INWIT!F15+CLNX!F15</f>
        <v>1241.7658536585366</v>
      </c>
      <c r="G15" s="188">
        <f>INWIT!G15+CLNX!G15</f>
        <v>1241.7658536585366</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INWIT!D16+CLNX!D16</f>
        <v>0</v>
      </c>
      <c r="E16" s="188">
        <f>INWIT!E16+CLNX!E16</f>
        <v>991.96860852255702</v>
      </c>
      <c r="F16" s="188">
        <f>INWIT!F16+CLNX!F16</f>
        <v>2021.437217045114</v>
      </c>
      <c r="G16" s="188">
        <f>INWIT!G16+CLNX!G16</f>
        <v>3091.2183255676709</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4">
      <c r="B17" s="5" t="s">
        <v>4</v>
      </c>
      <c r="C17" s="216"/>
      <c r="D17" s="188">
        <f>INWIT!D17+CLNX!D17</f>
        <v>227.42763144416085</v>
      </c>
      <c r="E17" s="188">
        <f>INWIT!E17+CLNX!E17</f>
        <v>119.09328933081052</v>
      </c>
      <c r="F17" s="188">
        <f>INWIT!F17+CLNX!F17</f>
        <v>118.25888669065915</v>
      </c>
      <c r="G17" s="188">
        <f>INWIT!G17+CLNX!G17</f>
        <v>117.37441989209871</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row>
    <row r="18" spans="2:24" ht="12.6" thickBot="1">
      <c r="B18" s="25" t="s">
        <v>371</v>
      </c>
      <c r="C18" s="209"/>
      <c r="D18" s="229">
        <f>INWIT!D18+CLNX!D18</f>
        <v>48955.671546497848</v>
      </c>
      <c r="E18" s="229">
        <f>INWIT!E18+CLNX!E18</f>
        <v>48253.454759741093</v>
      </c>
      <c r="F18" s="229">
        <f>INWIT!F18+CLNX!F18</f>
        <v>47116.113769774456</v>
      </c>
      <c r="G18" s="229">
        <f>INWIT!G18+CLNX!G18</f>
        <v>45391.186337356827</v>
      </c>
      <c r="H18" s="230">
        <f>IF(D18=0,"nm",IF(G18=0,"nm",(G18/D18)^(1/3)-1))</f>
        <v>-2.4884244289662849E-2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72"/>
      <c r="T19" s="72"/>
      <c r="U19" s="72"/>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row>
    <row r="21" spans="2:24" ht="12.6" thickBot="1">
      <c r="B21" s="249" t="s">
        <v>136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INWIT!C23+CLNX!C23</f>
        <v>5393.1820000000007</v>
      </c>
      <c r="D23" s="188">
        <f>INWIT!D23+CLNX!D23</f>
        <v>5072.2895561081323</v>
      </c>
      <c r="E23" s="188">
        <f>INWIT!E23+CLNX!E23</f>
        <v>5208.6602213507758</v>
      </c>
      <c r="F23" s="188">
        <f>INWIT!F23+CLNX!F23</f>
        <v>5435.0990741449559</v>
      </c>
      <c r="G23" s="188">
        <f>INWIT!G23+CLNX!G23</f>
        <v>5584.7249237668702</v>
      </c>
      <c r="H23" s="233">
        <f t="shared" ref="H23:H33" si="0">IF(D23=0,"nm",IF(G23=0,"nm",(G23/D23)^(1/3)-1))</f>
        <v>3.2601099234879305E-2</v>
      </c>
      <c r="I23" s="209"/>
      <c r="J23" s="249" t="s">
        <v>7</v>
      </c>
      <c r="K23" s="249"/>
      <c r="L23" s="219" t="str">
        <f>L5</f>
        <v>2025E</v>
      </c>
      <c r="M23" s="219" t="str">
        <f>M5</f>
        <v>2026E</v>
      </c>
      <c r="N23" s="219" t="str">
        <f>N5</f>
        <v>2027E</v>
      </c>
      <c r="O23" s="219" t="str">
        <f>O5</f>
        <v>2028E</v>
      </c>
      <c r="P23" s="236" t="str">
        <f>P5</f>
        <v>2025-28</v>
      </c>
      <c r="S23" s="26"/>
      <c r="T23" s="26"/>
      <c r="U23" s="26"/>
      <c r="V23" s="26"/>
      <c r="W23" s="26" t="s">
        <v>469</v>
      </c>
      <c r="X23" s="26" t="s">
        <v>510</v>
      </c>
    </row>
    <row r="24" spans="2:24" ht="12.6" thickTop="1">
      <c r="B24" s="5" t="s">
        <v>397</v>
      </c>
      <c r="C24" s="288">
        <f>INWIT!C24+CLNX!C24</f>
        <v>2971.4541524000015</v>
      </c>
      <c r="D24" s="188">
        <f>INWIT!D24+CLNX!D24</f>
        <v>3080.7715381083899</v>
      </c>
      <c r="E24" s="188">
        <f>INWIT!E24+CLNX!E24</f>
        <v>3161.0052837462335</v>
      </c>
      <c r="F24" s="188">
        <f>INWIT!F24+CLNX!F24</f>
        <v>3355.9565923642213</v>
      </c>
      <c r="G24" s="188">
        <f>INWIT!G24+CLNX!G24</f>
        <v>3460.7553747642687</v>
      </c>
      <c r="H24" s="233">
        <f t="shared" si="0"/>
        <v>3.9530260874000689E-2</v>
      </c>
      <c r="I24" s="208"/>
      <c r="J24" s="13"/>
      <c r="K24" s="13"/>
      <c r="L24" s="13"/>
      <c r="M24" s="13"/>
      <c r="N24" s="13"/>
      <c r="O24" s="208"/>
      <c r="S24" s="26"/>
      <c r="T24" s="26"/>
      <c r="U24" s="26"/>
      <c r="V24" s="113" t="s">
        <v>225</v>
      </c>
      <c r="W24" s="242">
        <f t="shared" ref="W24:W27" si="1">E37/M9</f>
        <v>3.8925703298152428</v>
      </c>
      <c r="X24" s="242">
        <v>1</v>
      </c>
    </row>
    <row r="25" spans="2:24">
      <c r="B25" s="5" t="s">
        <v>157</v>
      </c>
      <c r="C25" s="288">
        <f>INWIT!C25+CLNX!C25</f>
        <v>1148.3691524000014</v>
      </c>
      <c r="D25" s="188">
        <f>INWIT!D25+CLNX!D25</f>
        <v>1225.0605857499895</v>
      </c>
      <c r="E25" s="188">
        <f>INWIT!E25+CLNX!E25</f>
        <v>1702.0791743404507</v>
      </c>
      <c r="F25" s="188">
        <f>INWIT!F25+CLNX!F25</f>
        <v>2195.8549632146046</v>
      </c>
      <c r="G25" s="188">
        <f>INWIT!G25+CLNX!G25</f>
        <v>2614.2076319483745</v>
      </c>
      <c r="H25" s="233">
        <f t="shared" si="0"/>
        <v>0.28744149801120633</v>
      </c>
      <c r="I25" s="209"/>
      <c r="J25" s="207" t="s">
        <v>8</v>
      </c>
      <c r="K25" s="207"/>
      <c r="L25" s="258">
        <f>INWIT!L25 + CLNX!L25</f>
        <v>0</v>
      </c>
      <c r="M25" s="258">
        <f>INWIT!M25 + CLNX!M25</f>
        <v>0</v>
      </c>
      <c r="N25" s="258">
        <f>INWIT!N25 + CLNX!N25</f>
        <v>0</v>
      </c>
      <c r="O25" s="258">
        <f>INWIT!O25 + CLNX!O25</f>
        <v>0</v>
      </c>
      <c r="P25" s="233" t="str">
        <f>IF(L25=0,"nm",IF(O25=0,"nm",(O25/L25)^(1/3)-1))</f>
        <v>nm</v>
      </c>
      <c r="Q25" s="5"/>
      <c r="S25" s="26"/>
      <c r="T25" s="26"/>
      <c r="U25" s="26"/>
      <c r="V25" s="113" t="s">
        <v>158</v>
      </c>
      <c r="W25" s="242">
        <f t="shared" si="1"/>
        <v>2.2174000429529013</v>
      </c>
      <c r="X25" s="242">
        <v>1</v>
      </c>
    </row>
    <row r="26" spans="2:24">
      <c r="B26" s="5" t="s">
        <v>487</v>
      </c>
      <c r="C26" s="288">
        <f>INWIT!C26+CLNX!C26</f>
        <v>852.57970272279056</v>
      </c>
      <c r="D26" s="188">
        <f>INWIT!D26+CLNX!D26</f>
        <v>906.91257891364262</v>
      </c>
      <c r="E26" s="188">
        <f>INWIT!E26+CLNX!E26</f>
        <v>1264.7524684426155</v>
      </c>
      <c r="F26" s="188">
        <f>INWIT!F26+CLNX!F26</f>
        <v>1638.2704346545775</v>
      </c>
      <c r="G26" s="188">
        <f>INWIT!G26+CLNX!G26</f>
        <v>1954.4369631389352</v>
      </c>
      <c r="H26" s="233">
        <f t="shared" si="0"/>
        <v>0.29167151022956883</v>
      </c>
      <c r="I26" s="209"/>
      <c r="J26" s="209" t="s">
        <v>9</v>
      </c>
      <c r="K26" s="209"/>
      <c r="L26" s="235">
        <f>INWIT!L26 + CLNX!L26</f>
        <v>25716.292463849997</v>
      </c>
      <c r="M26" s="235">
        <f>INWIT!M26 + CLNX!M26</f>
        <v>25307.792463850001</v>
      </c>
      <c r="N26" s="235">
        <f>INWIT!N26 + CLNX!N26</f>
        <v>25017.996545482652</v>
      </c>
      <c r="O26" s="235">
        <f>INWIT!O26 + CLNX!O26</f>
        <v>24742.000432751847</v>
      </c>
      <c r="P26" s="233">
        <f>IF(L26=0,"nm",IF(O26=0,"nm",(O26/L26)^(1/3)-1))</f>
        <v>-1.2791654711150513E-2</v>
      </c>
      <c r="Q26" s="25"/>
      <c r="S26" s="26"/>
      <c r="T26" s="26"/>
      <c r="U26" s="26"/>
      <c r="V26" s="113" t="s">
        <v>159</v>
      </c>
      <c r="W26" s="242">
        <f t="shared" si="1"/>
        <v>2.3799063770377247</v>
      </c>
      <c r="X26" s="242">
        <v>1</v>
      </c>
    </row>
    <row r="27" spans="2:24">
      <c r="B27" s="5" t="s">
        <v>488</v>
      </c>
      <c r="C27" s="288">
        <f>INWIT!C27+CLNX!C27</f>
        <v>39635.796000000002</v>
      </c>
      <c r="D27" s="188">
        <f>INWIT!D27+CLNX!D27</f>
        <v>38359.929559999997</v>
      </c>
      <c r="E27" s="188">
        <f>INWIT!E27+CLNX!E27</f>
        <v>37556.866836331363</v>
      </c>
      <c r="F27" s="188">
        <f>INWIT!F27+CLNX!F27</f>
        <v>36947.238364245852</v>
      </c>
      <c r="G27" s="188">
        <f>INWIT!G27+CLNX!G27</f>
        <v>35840.943534304199</v>
      </c>
      <c r="H27" s="233">
        <f t="shared" si="0"/>
        <v>-2.2386452970280968E-2</v>
      </c>
      <c r="I27" s="208"/>
      <c r="J27" s="208"/>
      <c r="K27" s="208"/>
      <c r="L27" s="208"/>
      <c r="M27" s="208"/>
      <c r="N27" s="208"/>
      <c r="O27" s="208"/>
      <c r="Q27" s="5"/>
      <c r="S27" s="26"/>
      <c r="T27" s="26"/>
      <c r="U27" s="26"/>
      <c r="V27" s="113" t="s">
        <v>381</v>
      </c>
      <c r="W27" s="242">
        <f t="shared" si="1"/>
        <v>2.2442005068912394</v>
      </c>
      <c r="X27" s="242">
        <v>1</v>
      </c>
    </row>
    <row r="28" spans="2:24" ht="12.6" thickBot="1">
      <c r="B28" s="5" t="s">
        <v>492</v>
      </c>
      <c r="C28" s="288">
        <f>INWIT!C28+CLNX!C28</f>
        <v>1340.425</v>
      </c>
      <c r="D28" s="188">
        <f>INWIT!D28+CLNX!D28</f>
        <v>1433.5820000000001</v>
      </c>
      <c r="E28" s="188">
        <f>INWIT!E28+CLNX!E28</f>
        <v>1491.7404243273797</v>
      </c>
      <c r="F28" s="188">
        <f>INWIT!F28+CLNX!F28</f>
        <v>1544.3424429944725</v>
      </c>
      <c r="G28" s="188">
        <f>INWIT!G28+CLNX!G28</f>
        <v>1581.1938851847447</v>
      </c>
      <c r="H28" s="233">
        <f t="shared" si="0"/>
        <v>3.3207449798022148E-2</v>
      </c>
      <c r="I28" s="212"/>
      <c r="J28" s="249" t="s">
        <v>628</v>
      </c>
      <c r="K28" s="249"/>
      <c r="L28" s="249"/>
      <c r="M28" s="249"/>
      <c r="N28" s="220"/>
      <c r="O28" s="220"/>
      <c r="P28" s="220"/>
      <c r="Q28" s="5"/>
      <c r="S28" s="26"/>
      <c r="T28" s="26"/>
      <c r="U28" s="26"/>
      <c r="V28" s="113" t="s">
        <v>434</v>
      </c>
      <c r="W28" s="242" t="e">
        <f>#REF!/M13</f>
        <v>#REF!</v>
      </c>
      <c r="X28" s="242">
        <v>1</v>
      </c>
    </row>
    <row r="29" spans="2:24" ht="12.6" thickTop="1">
      <c r="B29" s="5" t="s">
        <v>489</v>
      </c>
      <c r="C29" s="288">
        <f>INWIT!C29+CLNX!C29</f>
        <v>523.6402289660009</v>
      </c>
      <c r="D29" s="188">
        <f>INWIT!D29+CLNX!D29</f>
        <v>610.56394570451027</v>
      </c>
      <c r="E29" s="188">
        <f>INWIT!E29+CLNX!E29</f>
        <v>941.24894189612576</v>
      </c>
      <c r="F29" s="188">
        <f>INWIT!F29+CLNX!F29</f>
        <v>1354.0853342412013</v>
      </c>
      <c r="G29" s="188">
        <f>INWIT!G29+CLNX!G29</f>
        <v>1626.0350336192255</v>
      </c>
      <c r="H29" s="233">
        <f t="shared" si="0"/>
        <v>0.38611601408518781</v>
      </c>
      <c r="I29" s="214"/>
      <c r="J29" s="209"/>
      <c r="K29" s="209"/>
      <c r="L29" s="209"/>
      <c r="M29" s="209"/>
      <c r="N29" s="209"/>
      <c r="O29" s="211"/>
      <c r="Q29" s="5"/>
      <c r="S29" s="26"/>
      <c r="T29" s="26"/>
      <c r="U29" s="26"/>
      <c r="V29" s="113" t="s">
        <v>493</v>
      </c>
      <c r="W29" s="242" t="e">
        <f>#REF!/M14</f>
        <v>#REF!</v>
      </c>
      <c r="X29" s="242">
        <v>1</v>
      </c>
    </row>
    <row r="30" spans="2:24">
      <c r="B30" s="5" t="s">
        <v>490</v>
      </c>
      <c r="C30" s="288">
        <f>INWIT!C30+CLNX!C30</f>
        <v>326.03215240000139</v>
      </c>
      <c r="D30" s="188">
        <f>INWIT!D30+CLNX!D30</f>
        <v>1.4247865383896396</v>
      </c>
      <c r="E30" s="188">
        <f>INWIT!E30+CLNX!E30</f>
        <v>295.78434322749399</v>
      </c>
      <c r="F30" s="188">
        <f>INWIT!F30+CLNX!F30</f>
        <v>434.10879698028907</v>
      </c>
      <c r="G30" s="188">
        <f>INWIT!G30+CLNX!G30</f>
        <v>491.34704354089268</v>
      </c>
      <c r="H30" s="233">
        <f t="shared" si="0"/>
        <v>6.0126072227694722</v>
      </c>
      <c r="I30" s="214"/>
      <c r="J30" s="208"/>
      <c r="K30" s="208"/>
      <c r="L30" s="208"/>
      <c r="M30" s="208"/>
      <c r="N30" s="208"/>
      <c r="O30" s="5"/>
      <c r="Q30" s="5"/>
      <c r="S30" s="26"/>
      <c r="T30" s="26"/>
      <c r="U30" s="26"/>
      <c r="V30" s="113" t="s">
        <v>390</v>
      </c>
      <c r="W30" s="242">
        <f>E43/M15</f>
        <v>2.0041280979228531</v>
      </c>
      <c r="X30" s="242">
        <v>1</v>
      </c>
    </row>
    <row r="31" spans="2:24">
      <c r="B31" s="5" t="s">
        <v>491</v>
      </c>
      <c r="C31" s="288">
        <f>INWIT!C31+CLNX!C31</f>
        <v>725.2572209092499</v>
      </c>
      <c r="D31" s="188">
        <f>INWIT!D31+CLNX!D31</f>
        <v>749.88138062069993</v>
      </c>
      <c r="E31" s="188">
        <f>INWIT!E31+CLNX!E31</f>
        <v>1010.718608522557</v>
      </c>
      <c r="F31" s="188">
        <f>INWIT!F31+CLNX!F31</f>
        <v>1049.6248585225571</v>
      </c>
      <c r="G31" s="188">
        <f>INWIT!G31+CLNX!G31</f>
        <v>1091.4490772725571</v>
      </c>
      <c r="H31" s="233">
        <f t="shared" si="0"/>
        <v>0.13327933404207037</v>
      </c>
      <c r="I31" s="214"/>
      <c r="J31" s="212"/>
      <c r="K31" s="212"/>
      <c r="L31" s="212"/>
      <c r="M31" s="212"/>
      <c r="N31" s="212"/>
      <c r="O31" s="5"/>
      <c r="Q31" s="5"/>
      <c r="S31" s="26"/>
      <c r="T31" s="26"/>
      <c r="U31" s="26"/>
      <c r="V31" s="113" t="s">
        <v>437</v>
      </c>
      <c r="W31" s="242">
        <f>E44/M16</f>
        <v>6.7604717726274677</v>
      </c>
      <c r="X31" s="242">
        <v>1</v>
      </c>
    </row>
    <row r="32" spans="2:24">
      <c r="B32" s="5" t="s">
        <v>506</v>
      </c>
      <c r="C32" s="288">
        <f>INWIT!C32+CLNX!C32</f>
        <v>0</v>
      </c>
      <c r="D32" s="188">
        <f>INWIT!D32+CLNX!D32</f>
        <v>0</v>
      </c>
      <c r="E32" s="188">
        <f>INWIT!E32+CLNX!E32</f>
        <v>0</v>
      </c>
      <c r="F32" s="188">
        <f>INWIT!F32+CLNX!F32</f>
        <v>0</v>
      </c>
      <c r="G32" s="188">
        <f>INWIT!G32+CLNX!G32</f>
        <v>0</v>
      </c>
      <c r="H32" s="233" t="str">
        <f t="shared" si="0"/>
        <v>nm</v>
      </c>
      <c r="I32" s="5"/>
      <c r="J32" s="214"/>
      <c r="K32" s="214"/>
      <c r="L32" s="214"/>
      <c r="M32" s="214"/>
      <c r="N32" s="214"/>
      <c r="O32" s="211"/>
      <c r="Q32" s="5"/>
      <c r="S32" s="26"/>
      <c r="T32" s="26"/>
      <c r="U32" s="26"/>
      <c r="V32" s="113" t="s">
        <v>481</v>
      </c>
      <c r="W32" s="242">
        <f>M17/E45</f>
        <v>0.97721887400499696</v>
      </c>
      <c r="X32" s="242">
        <v>1</v>
      </c>
    </row>
    <row r="33" spans="2:24">
      <c r="B33" s="5" t="s">
        <v>3</v>
      </c>
      <c r="C33" s="288">
        <f>INWIT!C33+CLNX!C33</f>
        <v>-426.13800000000009</v>
      </c>
      <c r="D33" s="188">
        <f>INWIT!D33+CLNX!D33</f>
        <v>-446.54700000000003</v>
      </c>
      <c r="E33" s="188">
        <f>INWIT!E33+CLNX!E33</f>
        <v>-387.41898466666663</v>
      </c>
      <c r="F33" s="188">
        <f>INWIT!F33+CLNX!F33</f>
        <v>-372.03146099119829</v>
      </c>
      <c r="G33" s="188">
        <f>INWIT!G33+CLNX!G33</f>
        <v>-381.0522526206579</v>
      </c>
      <c r="H33" s="233">
        <f t="shared" si="0"/>
        <v>-5.1496103998034948E-2</v>
      </c>
      <c r="I33" s="33"/>
      <c r="J33" s="214"/>
      <c r="K33" s="214"/>
      <c r="L33" s="214"/>
      <c r="M33" s="214"/>
      <c r="N33" s="214"/>
      <c r="O33" s="211"/>
      <c r="Q33" s="5"/>
      <c r="S33" s="26"/>
      <c r="T33" s="26"/>
      <c r="U33" s="26"/>
      <c r="V33" s="113" t="s">
        <v>482</v>
      </c>
      <c r="W33" s="242">
        <f>M19/E47</f>
        <v>2.0041280979228531</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0" si="2">D$18/D23</f>
        <v>9.6515924426168933</v>
      </c>
      <c r="E37" s="430">
        <f t="shared" si="2"/>
        <v>9.2640818769375191</v>
      </c>
      <c r="F37" s="430">
        <f t="shared" si="2"/>
        <v>8.6688601490096513</v>
      </c>
      <c r="G37" s="430">
        <f t="shared" si="2"/>
        <v>8.1277389588493261</v>
      </c>
      <c r="H37" s="13">
        <f t="shared" ref="H37:H41" si="3">H23</f>
        <v>3.2601099234879305E-2</v>
      </c>
      <c r="I37" s="217"/>
      <c r="J37" s="217"/>
      <c r="K37" s="217"/>
      <c r="L37" s="217"/>
      <c r="M37" s="217"/>
      <c r="N37" s="217"/>
      <c r="O37" s="14"/>
      <c r="Q37" s="5"/>
      <c r="R37" s="5"/>
      <c r="S37" s="26"/>
      <c r="T37" s="26"/>
      <c r="U37" s="26"/>
      <c r="V37" s="26"/>
      <c r="W37" s="26"/>
      <c r="X37" s="26"/>
    </row>
    <row r="38" spans="2:24">
      <c r="B38" s="5" t="s">
        <v>158</v>
      </c>
      <c r="C38" s="207"/>
      <c r="D38" s="430">
        <f t="shared" si="2"/>
        <v>15.890717938973459</v>
      </c>
      <c r="E38" s="430">
        <f t="shared" si="2"/>
        <v>15.265224328430731</v>
      </c>
      <c r="F38" s="430">
        <f t="shared" si="2"/>
        <v>14.039548031395084</v>
      </c>
      <c r="G38" s="430">
        <f t="shared" si="2"/>
        <v>13.115976549035533</v>
      </c>
      <c r="H38" s="13">
        <f t="shared" si="3"/>
        <v>3.9530260874000689E-2</v>
      </c>
      <c r="I38" s="13"/>
      <c r="J38" s="13"/>
      <c r="K38" s="13"/>
      <c r="L38" s="13"/>
      <c r="M38" s="13"/>
      <c r="N38" s="13"/>
      <c r="O38" s="5"/>
      <c r="Q38" s="5"/>
      <c r="R38" s="5"/>
      <c r="S38" s="26"/>
      <c r="T38" s="26"/>
      <c r="U38" s="26"/>
      <c r="V38" s="26"/>
      <c r="W38" s="26"/>
      <c r="X38" s="26"/>
    </row>
    <row r="39" spans="2:24">
      <c r="B39" s="5" t="s">
        <v>159</v>
      </c>
      <c r="C39" s="207"/>
      <c r="D39" s="430">
        <f t="shared" si="2"/>
        <v>39.961837084593569</v>
      </c>
      <c r="E39" s="430">
        <f t="shared" si="2"/>
        <v>28.349712215026148</v>
      </c>
      <c r="F39" s="430">
        <f t="shared" si="2"/>
        <v>21.456842350279452</v>
      </c>
      <c r="G39" s="430">
        <f t="shared" si="2"/>
        <v>17.363267470658663</v>
      </c>
      <c r="H39" s="13">
        <f t="shared" si="3"/>
        <v>0.28744149801120633</v>
      </c>
      <c r="I39" s="5"/>
      <c r="J39" s="5"/>
      <c r="K39" s="5"/>
      <c r="L39" s="5"/>
      <c r="M39" s="5"/>
      <c r="N39" s="5"/>
      <c r="O39" s="5"/>
      <c r="Q39" s="5"/>
      <c r="R39" s="5"/>
      <c r="S39" s="26"/>
      <c r="T39" s="26"/>
      <c r="U39" s="26"/>
      <c r="V39" s="26"/>
      <c r="W39" s="242"/>
      <c r="X39" s="242"/>
    </row>
    <row r="40" spans="2:24">
      <c r="B40" s="5" t="s">
        <v>381</v>
      </c>
      <c r="C40" s="207"/>
      <c r="D40" s="430">
        <f t="shared" si="2"/>
        <v>53.980584992150021</v>
      </c>
      <c r="E40" s="430">
        <f t="shared" si="2"/>
        <v>38.152489094691539</v>
      </c>
      <c r="F40" s="430">
        <f t="shared" si="2"/>
        <v>28.75966798467476</v>
      </c>
      <c r="G40" s="430">
        <f t="shared" si="2"/>
        <v>23.224686799033947</v>
      </c>
      <c r="H40" s="13">
        <f t="shared" si="3"/>
        <v>0.29167151022956883</v>
      </c>
      <c r="I40" s="207"/>
      <c r="J40" s="217"/>
      <c r="K40" s="217"/>
      <c r="L40" s="217"/>
      <c r="M40" s="217"/>
      <c r="N40" s="217"/>
      <c r="O40" s="14"/>
      <c r="Q40" s="5"/>
      <c r="R40" s="5"/>
      <c r="S40" s="26"/>
      <c r="T40" s="26"/>
      <c r="U40" s="26"/>
      <c r="V40" s="26"/>
      <c r="W40" s="242"/>
      <c r="X40" s="242"/>
    </row>
    <row r="41" spans="2:24">
      <c r="B41" s="5" t="s">
        <v>434</v>
      </c>
      <c r="D41" s="430">
        <f>D18/D27</f>
        <v>1.276219015729023</v>
      </c>
      <c r="E41" s="430">
        <f t="shared" ref="E41:G41" si="4">E18/E27</f>
        <v>1.2848104441199599</v>
      </c>
      <c r="F41" s="430">
        <f t="shared" si="4"/>
        <v>1.2752269413285597</v>
      </c>
      <c r="G41" s="430">
        <f t="shared" si="4"/>
        <v>1.2664618132586791</v>
      </c>
      <c r="H41" s="13">
        <f t="shared" si="3"/>
        <v>-2.2386452970280968E-2</v>
      </c>
      <c r="I41" s="208"/>
      <c r="J41" s="13"/>
      <c r="K41" s="13"/>
      <c r="L41" s="13"/>
      <c r="M41" s="13"/>
      <c r="N41" s="13"/>
      <c r="O41" s="5"/>
      <c r="Q41" s="5"/>
      <c r="R41" s="5"/>
      <c r="S41" s="26"/>
      <c r="T41" s="26"/>
      <c r="U41" s="26"/>
      <c r="V41" s="26"/>
      <c r="W41" s="242"/>
      <c r="X41" s="242"/>
    </row>
    <row r="42" spans="2:24">
      <c r="B42" s="5" t="s">
        <v>493</v>
      </c>
      <c r="D42" s="430">
        <f>IFERROR(D18/D28,"na")</f>
        <v>34.149195195320424</v>
      </c>
      <c r="E42" s="430">
        <f>IFERROR(E18/E28,"na")</f>
        <v>32.347085305741714</v>
      </c>
      <c r="F42" s="430">
        <f>IFERROR(F18/F28,"na")</f>
        <v>30.508851183560388</v>
      </c>
      <c r="G42" s="430">
        <f>IFERROR(G18/G28,"na")</f>
        <v>28.706907332906475</v>
      </c>
      <c r="H42" s="13">
        <f>H28</f>
        <v>3.3207449798022148E-2</v>
      </c>
      <c r="I42" s="207"/>
      <c r="J42" s="5"/>
      <c r="K42" s="5"/>
      <c r="L42" s="5"/>
      <c r="M42" s="5"/>
      <c r="N42" s="5"/>
      <c r="O42" s="5"/>
      <c r="Q42" s="5"/>
      <c r="R42" s="5"/>
      <c r="S42" s="26"/>
      <c r="T42" s="26"/>
      <c r="U42" s="26"/>
      <c r="V42" s="26"/>
      <c r="W42" s="242"/>
      <c r="X42" s="242"/>
    </row>
    <row r="43" spans="2:24">
      <c r="B43" s="5" t="s">
        <v>390</v>
      </c>
      <c r="C43" s="207"/>
      <c r="D43" s="430">
        <f>L26/D29</f>
        <v>42.118917510231931</v>
      </c>
      <c r="E43" s="430">
        <f>M26/E29</f>
        <v>26.887459137927952</v>
      </c>
      <c r="F43" s="430">
        <f>N26/F29</f>
        <v>18.475937899070573</v>
      </c>
      <c r="G43" s="430">
        <f>O26/G29</f>
        <v>15.216154585354261</v>
      </c>
      <c r="H43" s="13">
        <f>H29</f>
        <v>0.38611601408518781</v>
      </c>
      <c r="I43" s="207"/>
      <c r="J43" s="207"/>
      <c r="K43" s="207"/>
      <c r="L43" s="207"/>
      <c r="M43" s="207"/>
      <c r="N43" s="207"/>
      <c r="O43" s="14"/>
      <c r="Q43" s="5"/>
      <c r="R43" s="5"/>
      <c r="S43" s="26"/>
      <c r="T43" s="26"/>
      <c r="U43" s="26"/>
      <c r="V43" s="26"/>
      <c r="W43" s="255"/>
      <c r="X43" s="255"/>
    </row>
    <row r="44" spans="2:24">
      <c r="B44" s="5" t="s">
        <v>437</v>
      </c>
      <c r="C44" s="53"/>
      <c r="D44" s="430">
        <f>D11/D30</f>
        <v>18049.224758198343</v>
      </c>
      <c r="E44" s="430">
        <f>E11/E30</f>
        <v>85.561636521055618</v>
      </c>
      <c r="F44" s="430">
        <f>F11/F30</f>
        <v>57.630706218143303</v>
      </c>
      <c r="G44" s="430">
        <f>G11/G30</f>
        <v>50.355447861146388</v>
      </c>
      <c r="H44" s="13">
        <f>H30</f>
        <v>6.0126072227694722</v>
      </c>
      <c r="I44" s="208"/>
      <c r="J44" s="208"/>
      <c r="K44" s="208"/>
      <c r="L44" s="208"/>
      <c r="M44" s="208"/>
      <c r="N44" s="208"/>
      <c r="O44" s="208"/>
      <c r="Q44" s="5"/>
      <c r="R44" s="5"/>
      <c r="S44" s="26"/>
      <c r="T44" s="26"/>
      <c r="U44" s="26"/>
      <c r="V44" s="26"/>
      <c r="W44" s="26"/>
      <c r="X44" s="26"/>
    </row>
    <row r="45" spans="2:24">
      <c r="B45" s="5" t="s">
        <v>481</v>
      </c>
      <c r="C45" s="207"/>
      <c r="D45" s="208">
        <f>D31/D11</f>
        <v>2.9159778054119814E-2</v>
      </c>
      <c r="E45" s="208">
        <f>E31/E11</f>
        <v>3.993705140289424E-2</v>
      </c>
      <c r="F45" s="208">
        <f>F31/F11</f>
        <v>4.1954792687509644E-2</v>
      </c>
      <c r="G45" s="208">
        <f>G31/G11</f>
        <v>4.4113210661324218E-2</v>
      </c>
      <c r="H45" s="13">
        <f>H31</f>
        <v>0.13327933404207037</v>
      </c>
      <c r="I45" s="207"/>
      <c r="J45" s="207"/>
      <c r="K45" s="207"/>
      <c r="L45" s="207"/>
      <c r="M45" s="207"/>
      <c r="N45" s="207"/>
      <c r="O45" s="208"/>
      <c r="Q45" s="5"/>
      <c r="R45" s="5"/>
      <c r="S45" s="26"/>
      <c r="T45" s="26"/>
      <c r="U45" s="26"/>
      <c r="V45" s="26"/>
      <c r="W45" s="26"/>
      <c r="X45" s="26"/>
    </row>
    <row r="46" spans="2:24">
      <c r="B46" s="5" t="s">
        <v>505</v>
      </c>
      <c r="C46" s="207"/>
      <c r="D46" s="208">
        <f>(D31+D32)/D11</f>
        <v>2.9159778054119814E-2</v>
      </c>
      <c r="E46" s="208">
        <f>(E31+E32)/E11</f>
        <v>3.993705140289424E-2</v>
      </c>
      <c r="F46" s="208">
        <f>(F31+F32)/F11</f>
        <v>4.1954792687509644E-2</v>
      </c>
      <c r="G46" s="208">
        <f>(G31+G32)/G11</f>
        <v>4.4113210661324218E-2</v>
      </c>
      <c r="H46" s="233">
        <f>((G31+G32)/(D31+D32))^(1/3)-1</f>
        <v>0.13327933404207037</v>
      </c>
      <c r="I46" s="13"/>
      <c r="J46" s="207"/>
      <c r="K46" s="207"/>
      <c r="L46" s="207"/>
      <c r="M46" s="207"/>
      <c r="N46" s="207"/>
      <c r="O46" s="14"/>
      <c r="Q46" s="5"/>
      <c r="R46" s="5"/>
      <c r="S46" s="26"/>
      <c r="T46" s="26"/>
      <c r="U46" s="26"/>
      <c r="V46" s="26"/>
      <c r="W46" s="26"/>
      <c r="X46" s="26"/>
    </row>
    <row r="47" spans="2:24">
      <c r="B47" s="5" t="s">
        <v>482</v>
      </c>
      <c r="C47" s="5"/>
      <c r="D47" s="208">
        <f>1/D43</f>
        <v>2.3742300588733563E-2</v>
      </c>
      <c r="E47" s="208">
        <f>1/E43</f>
        <v>3.719206024154887E-2</v>
      </c>
      <c r="F47" s="208">
        <f>1/F43</f>
        <v>5.4124451243706809E-2</v>
      </c>
      <c r="G47" s="208">
        <f>1/G43</f>
        <v>6.5719626755271834E-2</v>
      </c>
      <c r="H47" s="13">
        <f>H29</f>
        <v>0.38611601408518781</v>
      </c>
      <c r="I47" s="207"/>
      <c r="J47" s="208"/>
      <c r="K47" s="208"/>
      <c r="L47" s="208"/>
      <c r="M47" s="208"/>
      <c r="N47" s="208"/>
      <c r="O47" s="208"/>
      <c r="Q47" s="5"/>
      <c r="R47" s="5"/>
      <c r="S47" s="5"/>
      <c r="T47" s="5"/>
      <c r="U47" s="5"/>
    </row>
    <row r="48" spans="2:24">
      <c r="B48" s="5" t="s">
        <v>518</v>
      </c>
      <c r="C48" s="5"/>
      <c r="D48" s="248">
        <f>D31/D29</f>
        <v>1.2281782864781439</v>
      </c>
      <c r="E48" s="248">
        <f>E31/E29</f>
        <v>1.0738058376846471</v>
      </c>
      <c r="F48" s="248">
        <f>F31/F29</f>
        <v>0.77515414426280826</v>
      </c>
      <c r="G48" s="248">
        <f>G31/G29</f>
        <v>0.67123343267900692</v>
      </c>
      <c r="H48" s="13" t="s">
        <v>507</v>
      </c>
      <c r="I48" s="217"/>
      <c r="J48" s="207"/>
      <c r="K48" s="207"/>
      <c r="L48" s="207"/>
      <c r="M48" s="207"/>
      <c r="N48" s="207"/>
      <c r="O48" s="208"/>
      <c r="Q48" s="5"/>
      <c r="R48" s="5"/>
      <c r="S48" s="5"/>
      <c r="T48" s="5"/>
      <c r="U48" s="5"/>
    </row>
  </sheetData>
  <pageMargins left="0.75" right="0.75" top="1" bottom="1" header="0.5" footer="0.5"/>
  <pageSetup scale="69"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55">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26" width="9.109375" style="5"/>
    <col min="27" max="27" width="9.6640625" style="5" bestFit="1" customWidth="1"/>
    <col min="28"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509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372</v>
      </c>
      <c r="C11" s="5"/>
      <c r="D11" s="225">
        <f>'W.EUR OTHER'!D11+'W.EUR INCUMB'!D11+'W.EUR TOWERS'!D11</f>
        <v>469200.59114112571</v>
      </c>
      <c r="E11" s="225">
        <f>'W.EUR OTHER'!E11+'W.EUR INCUMB'!E11+'W.EUR TOWERS'!E11</f>
        <v>465411.87988357747</v>
      </c>
      <c r="F11" s="225">
        <f>'W.EUR OTHER'!F11+'W.EUR INCUMB'!F11+'W.EUR TOWERS'!F11</f>
        <v>464266.21624505369</v>
      </c>
      <c r="G11" s="225">
        <f>'W.EUR OTHER'!G11+'W.EUR INCUMB'!G11+'W.EUR TOWERS'!G11</f>
        <v>463130.4942859186</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'W.EUR OTHER'!D12+'W.EUR INCUMB'!D12+'W.EUR TOWERS'!D12</f>
        <v>303284.43814662134</v>
      </c>
      <c r="E12" s="188">
        <f>'W.EUR OTHER'!E12+'W.EUR INCUMB'!E12+'W.EUR TOWERS'!E12</f>
        <v>310218.89644112508</v>
      </c>
      <c r="F12" s="188">
        <f>'W.EUR OTHER'!F12+'W.EUR INCUMB'!F12+'W.EUR TOWERS'!F12</f>
        <v>308293.08845820138</v>
      </c>
      <c r="G12" s="188">
        <f>'W.EUR OTHER'!G12+'W.EUR INCUMB'!G12+'W.EUR TOWERS'!G12</f>
        <v>295448.97162112972</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'W.EUR OTHER'!D13+'W.EUR INCUMB'!D13+'W.EUR TOWERS'!D13</f>
        <v>73055.559535085573</v>
      </c>
      <c r="E13" s="188">
        <f>'W.EUR OTHER'!E13+'W.EUR INCUMB'!E13+'W.EUR TOWERS'!E13</f>
        <v>71486.902649059324</v>
      </c>
      <c r="F13" s="188">
        <f>'W.EUR OTHER'!F13+'W.EUR INCUMB'!F13+'W.EUR TOWERS'!F13</f>
        <v>69150.516147663904</v>
      </c>
      <c r="G13" s="188">
        <f>'W.EUR OTHER'!G13+'W.EUR INCUMB'!G13+'W.EUR TOWERS'!G13</f>
        <v>66748.520603771758</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'W.EUR OTHER'!D14+'W.EUR INCUMB'!D14+'W.EUR TOWERS'!D14</f>
        <v>29071.560863034691</v>
      </c>
      <c r="E14" s="188">
        <f>'W.EUR OTHER'!E14+'W.EUR INCUMB'!E14+'W.EUR TOWERS'!E14</f>
        <v>29071.560863034691</v>
      </c>
      <c r="F14" s="188">
        <f>'W.EUR OTHER'!F14+'W.EUR INCUMB'!F14+'W.EUR TOWERS'!F14</f>
        <v>29071.560863034691</v>
      </c>
      <c r="G14" s="188">
        <f>'W.EUR OTHER'!G14+'W.EUR INCUMB'!G14+'W.EUR TOWERS'!G14</f>
        <v>29071.560863034691</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'W.EUR OTHER'!D15+'W.EUR INCUMB'!D15+'W.EUR TOWERS'!D15</f>
        <v>140742.54266775915</v>
      </c>
      <c r="E15" s="188">
        <f>'W.EUR OTHER'!E15+'W.EUR INCUMB'!E15+'W.EUR TOWERS'!E15</f>
        <v>136923.01672981164</v>
      </c>
      <c r="F15" s="188">
        <f>'W.EUR OTHER'!F15+'W.EUR INCUMB'!F15+'W.EUR TOWERS'!F15</f>
        <v>135758.95249400698</v>
      </c>
      <c r="G15" s="188">
        <f>'W.EUR OTHER'!G15+'W.EUR INCUMB'!G15+'W.EUR TOWERS'!G15</f>
        <v>134360.10894379148</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'W.EUR OTHER'!D16+'W.EUR INCUMB'!D16+'W.EUR TOWERS'!D16</f>
        <v>279.3602740544988</v>
      </c>
      <c r="E16" s="188">
        <f>'W.EUR OTHER'!E16+'W.EUR INCUMB'!E16+'W.EUR TOWERS'!E16</f>
        <v>16576.990458718756</v>
      </c>
      <c r="F16" s="188">
        <f>'W.EUR OTHER'!F16+'W.EUR INCUMB'!F16+'W.EUR TOWERS'!F16</f>
        <v>36194.445819922956</v>
      </c>
      <c r="G16" s="188">
        <f>'W.EUR OTHER'!G16+'W.EUR INCUMB'!G16+'W.EUR TOWERS'!G16</f>
        <v>57797.025669023038</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6">
      <c r="B17" s="5" t="s">
        <v>4</v>
      </c>
      <c r="C17" s="216"/>
      <c r="D17" s="188">
        <f>'W.EUR OTHER'!D17+'W.EUR INCUMB'!D17+'W.EUR TOWERS'!D17</f>
        <v>6595.2131515748897</v>
      </c>
      <c r="E17" s="188">
        <f>'W.EUR OTHER'!E17+'W.EUR INCUMB'!E17+'W.EUR TOWERS'!E17</f>
        <v>6558.3718061780273</v>
      </c>
      <c r="F17" s="188">
        <f>'W.EUR OTHER'!F17+'W.EUR INCUMB'!F17+'W.EUR TOWERS'!F17</f>
        <v>6511.822914826178</v>
      </c>
      <c r="G17" s="188">
        <f>'W.EUR OTHER'!G17+'W.EUR INCUMB'!G17+'W.EUR TOWERS'!G17</f>
        <v>6459.4822421041818</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c r="Y17" s="26"/>
      <c r="Z17" s="26"/>
    </row>
    <row r="18" spans="2:26" ht="12.6" thickBot="1">
      <c r="B18" s="25" t="s">
        <v>371</v>
      </c>
      <c r="C18" s="209"/>
      <c r="D18" s="229">
        <f>'W.EUR OTHER'!D18+'W.EUR INCUMB'!D18+'W.EUR TOWERS'!D18</f>
        <v>950336.99720192747</v>
      </c>
      <c r="E18" s="229">
        <f>'W.EUR OTHER'!E18+'W.EUR INCUMB'!E18+'W.EUR TOWERS'!E18</f>
        <v>931833.7725756421</v>
      </c>
      <c r="F18" s="229">
        <f>'W.EUR OTHER'!F18+'W.EUR INCUMB'!F18+'W.EUR TOWERS'!F18</f>
        <v>905690.9437471421</v>
      </c>
      <c r="G18" s="229">
        <f>'W.EUR OTHER'!G18+'W.EUR INCUMB'!G18+'W.EUR TOWERS'!G18</f>
        <v>866360.02668044972</v>
      </c>
      <c r="H18" s="230">
        <f>IF(D18=0,"nm",IF(G18=0,"nm",(G18/D18)^(1/3)-1))</f>
        <v>-3.0368037327201947E-2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26"/>
      <c r="T18" s="26"/>
      <c r="U18" s="26"/>
      <c r="V18" s="26"/>
      <c r="W18" s="26"/>
      <c r="X18" s="26"/>
      <c r="Y18" s="26"/>
      <c r="Z18" s="26"/>
    </row>
    <row r="19" spans="2:26"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26"/>
      <c r="T19" s="26"/>
      <c r="U19" s="26"/>
      <c r="V19" s="26"/>
      <c r="W19" s="26"/>
      <c r="X19" s="26"/>
      <c r="Y19" s="26"/>
      <c r="Z19" s="26"/>
    </row>
    <row r="20" spans="2:26">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c r="Y20" s="26"/>
      <c r="Z20" s="26"/>
    </row>
    <row r="21" spans="2:26" ht="12.6" thickBot="1">
      <c r="B21" s="249" t="s">
        <v>136</v>
      </c>
      <c r="C21" s="219">
        <v>2020</v>
      </c>
      <c r="D21" s="219" t="str">
        <f>D5</f>
        <v>2025E</v>
      </c>
      <c r="E21" s="219" t="str">
        <f>E5</f>
        <v>2026E</v>
      </c>
      <c r="F21" s="219" t="str">
        <f>F5</f>
        <v>2027E</v>
      </c>
      <c r="G21" s="219" t="str">
        <f>G5</f>
        <v>2028E</v>
      </c>
      <c r="H21" s="236" t="str">
        <f>H5</f>
        <v>2025-28</v>
      </c>
      <c r="I21" s="13"/>
      <c r="S21" s="26"/>
      <c r="T21" s="26"/>
      <c r="U21" s="26"/>
      <c r="V21" s="26"/>
      <c r="W21" s="26"/>
      <c r="X21" s="26"/>
      <c r="Y21" s="26"/>
      <c r="Z21" s="26"/>
    </row>
    <row r="22" spans="2:26" ht="12.6" thickTop="1">
      <c r="B22" s="5"/>
      <c r="C22" s="216"/>
      <c r="D22" s="13"/>
      <c r="E22" s="13"/>
      <c r="F22" s="13"/>
      <c r="G22" s="13"/>
      <c r="H22" s="13"/>
      <c r="I22" s="207"/>
      <c r="P22" s="231"/>
      <c r="S22" s="26"/>
      <c r="T22" s="26"/>
      <c r="U22" s="26"/>
      <c r="V22" s="26"/>
      <c r="W22" s="26"/>
      <c r="X22" s="26"/>
      <c r="Y22" s="26"/>
      <c r="Z22" s="26"/>
    </row>
    <row r="23" spans="2:26" ht="12.6" thickBot="1">
      <c r="B23" s="5" t="s">
        <v>485</v>
      </c>
      <c r="C23" s="288">
        <f>'W.EUR OTHER'!C23+'W.EUR INCUMB'!C23+'W.EUR TOWERS'!C23</f>
        <v>410463.96232772351</v>
      </c>
      <c r="D23" s="188">
        <f>'W.EUR OTHER'!D23+'W.EUR INCUMB'!D23+'W.EUR TOWERS'!D23</f>
        <v>411966.57149694598</v>
      </c>
      <c r="E23" s="188">
        <f>'W.EUR OTHER'!E23+'W.EUR INCUMB'!E23+'W.EUR TOWERS'!E23</f>
        <v>426719.02759873209</v>
      </c>
      <c r="F23" s="188">
        <f>'W.EUR OTHER'!F23+'W.EUR INCUMB'!F23+'W.EUR TOWERS'!F23</f>
        <v>438976.72899642435</v>
      </c>
      <c r="G23" s="188">
        <f>'W.EUR OTHER'!G23+'W.EUR INCUMB'!G23+'W.EUR TOWERS'!G23</f>
        <v>447011.06410419266</v>
      </c>
      <c r="H23" s="233">
        <f t="shared" ref="H23:H33" si="0">IF(D23=0,"nm",IF(G23=0,"nm",(G23/D23)^(1/3)-1))</f>
        <v>2.7587387501004867E-2</v>
      </c>
      <c r="I23" s="209"/>
      <c r="J23" s="249" t="s">
        <v>7</v>
      </c>
      <c r="K23" s="249"/>
      <c r="L23" s="219" t="str">
        <f>L5</f>
        <v>2025E</v>
      </c>
      <c r="M23" s="219" t="str">
        <f>M5</f>
        <v>2026E</v>
      </c>
      <c r="N23" s="219" t="str">
        <f>N5</f>
        <v>2027E</v>
      </c>
      <c r="O23" s="219" t="str">
        <f>O5</f>
        <v>2028E</v>
      </c>
      <c r="P23" s="236" t="str">
        <f>P5</f>
        <v>2025-28</v>
      </c>
      <c r="S23" s="26"/>
      <c r="T23" s="26"/>
      <c r="U23" s="26"/>
      <c r="V23" s="276"/>
      <c r="W23" s="277"/>
      <c r="X23" s="277" t="s">
        <v>120</v>
      </c>
      <c r="Y23" s="277" t="s">
        <v>138</v>
      </c>
      <c r="Z23" s="278" t="s">
        <v>486</v>
      </c>
    </row>
    <row r="24" spans="2:26" ht="12.6" thickTop="1">
      <c r="B24" s="5" t="s">
        <v>397</v>
      </c>
      <c r="C24" s="288">
        <f>'W.EUR OTHER'!C24+'W.EUR INCUMB'!C24+'W.EUR TOWERS'!C24</f>
        <v>120927.08752154058</v>
      </c>
      <c r="D24" s="188">
        <f>'W.EUR OTHER'!D24+'W.EUR INCUMB'!D24+'W.EUR TOWERS'!D24</f>
        <v>123628.35225654021</v>
      </c>
      <c r="E24" s="188">
        <f>'W.EUR OTHER'!E24+'W.EUR INCUMB'!E24+'W.EUR TOWERS'!E24</f>
        <v>130975.02818814147</v>
      </c>
      <c r="F24" s="188">
        <f>'W.EUR OTHER'!F24+'W.EUR INCUMB'!F24+'W.EUR TOWERS'!F24</f>
        <v>137870.08049199448</v>
      </c>
      <c r="G24" s="188">
        <f>'W.EUR OTHER'!G24+'W.EUR INCUMB'!G24+'W.EUR TOWERS'!G24</f>
        <v>142834.38587966116</v>
      </c>
      <c r="H24" s="233">
        <f t="shared" si="0"/>
        <v>4.9312622085556201E-2</v>
      </c>
      <c r="I24" s="208"/>
      <c r="J24" s="13"/>
      <c r="K24" s="13"/>
      <c r="L24" s="13"/>
      <c r="M24" s="13"/>
      <c r="N24" s="13"/>
      <c r="O24" s="208"/>
      <c r="S24" s="26"/>
      <c r="T24" s="26"/>
      <c r="U24" s="26"/>
      <c r="V24" s="279" t="s">
        <v>225</v>
      </c>
      <c r="W24" s="26"/>
      <c r="X24" s="280">
        <f>'W.EUR OTHER'!E37/M9</f>
        <v>0.53373877928419666</v>
      </c>
      <c r="Y24" s="280">
        <f>'W.EUR INCUMB'!E37/M9</f>
        <v>1.0373282446157301</v>
      </c>
      <c r="Z24" s="281">
        <v>1</v>
      </c>
    </row>
    <row r="25" spans="2:26">
      <c r="B25" s="5" t="s">
        <v>157</v>
      </c>
      <c r="C25" s="288">
        <f>'W.EUR OTHER'!C25+'W.EUR INCUMB'!C25+'W.EUR TOWERS'!C25</f>
        <v>60202.175748127243</v>
      </c>
      <c r="D25" s="188">
        <f>'W.EUR OTHER'!D25+'W.EUR INCUMB'!D25+'W.EUR TOWERS'!D25</f>
        <v>61830.47411025902</v>
      </c>
      <c r="E25" s="188">
        <f>'W.EUR OTHER'!E25+'W.EUR INCUMB'!E25+'W.EUR TOWERS'!E25</f>
        <v>69927.278889005858</v>
      </c>
      <c r="F25" s="188">
        <f>'W.EUR OTHER'!F25+'W.EUR INCUMB'!F25+'W.EUR TOWERS'!F25</f>
        <v>77576.026013415452</v>
      </c>
      <c r="G25" s="188">
        <f>'W.EUR OTHER'!G25+'W.EUR INCUMB'!G25+'W.EUR TOWERS'!G25</f>
        <v>83130.802338062524</v>
      </c>
      <c r="H25" s="233">
        <f t="shared" si="0"/>
        <v>0.10370530962179392</v>
      </c>
      <c r="I25" s="209"/>
      <c r="J25" s="207" t="s">
        <v>8</v>
      </c>
      <c r="K25" s="207"/>
      <c r="L25" s="258">
        <f>'W.EUR OTHER'!L25+'W.EUR INCUMB'!L25+'W.EUR TOWERS'!L25</f>
        <v>24770.034315748446</v>
      </c>
      <c r="M25" s="258">
        <f>'W.EUR OTHER'!M25+'W.EUR INCUMB'!M25+'W.EUR TOWERS'!M25</f>
        <v>23238.432292785132</v>
      </c>
      <c r="N25" s="258">
        <f>'W.EUR OTHER'!N25+'W.EUR INCUMB'!N25+'W.EUR TOWERS'!N25</f>
        <v>23097.145246317803</v>
      </c>
      <c r="O25" s="258">
        <f>'W.EUR OTHER'!O25+'W.EUR INCUMB'!O25+'W.EUR TOWERS'!O25</f>
        <v>22942.397965618286</v>
      </c>
      <c r="P25" s="233">
        <f>IF(L25=0,"nm",IF(O25=0,"nm",(O25/L25)^(1/3)-1))</f>
        <v>-2.5225708021516802E-2</v>
      </c>
      <c r="Q25" s="5"/>
      <c r="S25" s="26"/>
      <c r="T25" s="26"/>
      <c r="U25" s="26"/>
      <c r="V25" s="279" t="s">
        <v>158</v>
      </c>
      <c r="W25" s="26"/>
      <c r="X25" s="280">
        <f>'W.EUR OTHER'!E38/M10</f>
        <v>0.8897254159605209</v>
      </c>
      <c r="Y25" s="280">
        <f>'W.EUR INCUMB'!E38/M10</f>
        <v>1.0350730447305025</v>
      </c>
      <c r="Z25" s="281">
        <v>1</v>
      </c>
    </row>
    <row r="26" spans="2:26">
      <c r="B26" s="5" t="s">
        <v>487</v>
      </c>
      <c r="C26" s="288">
        <f>'W.EUR OTHER'!C26+'W.EUR INCUMB'!C26+'W.EUR TOWERS'!C26</f>
        <v>44916.033237959258</v>
      </c>
      <c r="D26" s="188">
        <f>'W.EUR OTHER'!D26+'W.EUR INCUMB'!D26+'W.EUR TOWERS'!D26</f>
        <v>45829.341474494686</v>
      </c>
      <c r="E26" s="188">
        <f>'W.EUR OTHER'!E26+'W.EUR INCUMB'!E26+'W.EUR TOWERS'!E26</f>
        <v>51790.33786462307</v>
      </c>
      <c r="F26" s="188">
        <f>'W.EUR OTHER'!F26+'W.EUR INCUMB'!F26+'W.EUR TOWERS'!F26</f>
        <v>57544.887324206487</v>
      </c>
      <c r="G26" s="188">
        <f>'W.EUR OTHER'!G26+'W.EUR INCUMB'!G26+'W.EUR TOWERS'!G26</f>
        <v>61781.557544708099</v>
      </c>
      <c r="H26" s="233">
        <f t="shared" si="0"/>
        <v>0.10468488563059752</v>
      </c>
      <c r="I26" s="209"/>
      <c r="J26" s="209" t="s">
        <v>9</v>
      </c>
      <c r="K26" s="209"/>
      <c r="L26" s="235">
        <f>'W.EUR OTHER'!L26+'W.EUR INCUMB'!L26+'W.EUR TOWERS'!L26</f>
        <v>482607.52141521208</v>
      </c>
      <c r="M26" s="235">
        <f>'W.EUR OTHER'!M26+'W.EUR INCUMB'!M26+'W.EUR TOWERS'!M26</f>
        <v>477287.20813470054</v>
      </c>
      <c r="N26" s="235">
        <f>'W.EUR OTHER'!N26+'W.EUR INCUMB'!N26+'W.EUR TOWERS'!N26</f>
        <v>476000.25744970946</v>
      </c>
      <c r="O26" s="235">
        <f>'W.EUR OTHER'!O26+'W.EUR INCUMB'!O26+'W.EUR TOWERS'!O26</f>
        <v>474709.78820987488</v>
      </c>
      <c r="P26" s="233">
        <f>IF(L26=0,"nm",IF(O26=0,"nm",(O26/L26)^(1/3)-1))</f>
        <v>-5.484933567247996E-3</v>
      </c>
      <c r="Q26" s="25"/>
      <c r="S26" s="26"/>
      <c r="T26" s="26"/>
      <c r="U26" s="26"/>
      <c r="V26" s="279" t="s">
        <v>159</v>
      </c>
      <c r="W26" s="26"/>
      <c r="X26" s="280">
        <f>'W.EUR OTHER'!E39/M11</f>
        <v>1.1261731305850036</v>
      </c>
      <c r="Y26" s="280">
        <f>'W.EUR INCUMB'!E39/M11</f>
        <v>1.0785466645119102</v>
      </c>
      <c r="Z26" s="281">
        <v>1</v>
      </c>
    </row>
    <row r="27" spans="2:26">
      <c r="B27" s="5" t="s">
        <v>488</v>
      </c>
      <c r="C27" s="288">
        <f>'W.EUR OTHER'!C27+'W.EUR INCUMB'!C27+'W.EUR TOWERS'!C27</f>
        <v>624526.58041023312</v>
      </c>
      <c r="D27" s="188">
        <f>'W.EUR OTHER'!D27+'W.EUR INCUMB'!D27+'W.EUR TOWERS'!D27</f>
        <v>622181.44185794808</v>
      </c>
      <c r="E27" s="188">
        <f>'W.EUR OTHER'!E27+'W.EUR INCUMB'!E27+'W.EUR TOWERS'!E27</f>
        <v>636187.86770190962</v>
      </c>
      <c r="F27" s="188">
        <f>'W.EUR OTHER'!F27+'W.EUR INCUMB'!F27+'W.EUR TOWERS'!F27</f>
        <v>647070.96358018194</v>
      </c>
      <c r="G27" s="188">
        <f>'W.EUR OTHER'!G27+'W.EUR INCUMB'!G27+'W.EUR TOWERS'!G27</f>
        <v>647052.22116331151</v>
      </c>
      <c r="H27" s="233">
        <f t="shared" si="0"/>
        <v>1.3150803313409343E-2</v>
      </c>
      <c r="I27" s="208"/>
      <c r="J27" s="208"/>
      <c r="K27" s="208"/>
      <c r="L27" s="208"/>
      <c r="M27" s="208"/>
      <c r="N27" s="208"/>
      <c r="O27" s="208"/>
      <c r="Q27" s="5"/>
      <c r="S27" s="26"/>
      <c r="T27" s="26"/>
      <c r="U27" s="26"/>
      <c r="V27" s="279" t="s">
        <v>381</v>
      </c>
      <c r="W27" s="26"/>
      <c r="X27" s="280">
        <f>'W.EUR OTHER'!E40/M12</f>
        <v>1.0601720080824357</v>
      </c>
      <c r="Y27" s="280">
        <f>'W.EUR INCUMB'!E40/M12</f>
        <v>1.0216172108374362</v>
      </c>
      <c r="Z27" s="281">
        <v>1</v>
      </c>
    </row>
    <row r="28" spans="2:26" ht="12.6" thickBot="1">
      <c r="B28" s="5" t="s">
        <v>492</v>
      </c>
      <c r="C28" s="288">
        <f>'W.EUR OTHER'!C28+'W.EUR INCUMB'!C28+'W.EUR TOWERS'!C28</f>
        <v>251654.44133951009</v>
      </c>
      <c r="D28" s="188">
        <f>'W.EUR OTHER'!D28+'W.EUR INCUMB'!D28+'W.EUR TOWERS'!D28</f>
        <v>251404.75264476563</v>
      </c>
      <c r="E28" s="188">
        <f>'W.EUR OTHER'!E28+'W.EUR INCUMB'!E28+'W.EUR TOWERS'!E28</f>
        <v>259673.52913378295</v>
      </c>
      <c r="F28" s="188">
        <f>'W.EUR OTHER'!F28+'W.EUR INCUMB'!F28+'W.EUR TOWERS'!F28</f>
        <v>258213.22773080267</v>
      </c>
      <c r="G28" s="188">
        <f>'W.EUR OTHER'!G28+'W.EUR INCUMB'!G28+'W.EUR TOWERS'!G28</f>
        <v>252802.03591203821</v>
      </c>
      <c r="H28" s="233">
        <f t="shared" si="0"/>
        <v>1.8492126887432736E-3</v>
      </c>
      <c r="I28" s="212"/>
      <c r="J28" s="249" t="s">
        <v>628</v>
      </c>
      <c r="K28" s="249"/>
      <c r="L28" s="249"/>
      <c r="M28" s="249"/>
      <c r="N28" s="220"/>
      <c r="O28" s="220"/>
      <c r="P28" s="220"/>
      <c r="Q28" s="5"/>
      <c r="S28" s="26"/>
      <c r="T28" s="26"/>
      <c r="U28" s="26"/>
      <c r="V28" s="279" t="s">
        <v>434</v>
      </c>
      <c r="W28" s="26"/>
      <c r="X28" s="280">
        <f>'W.EUR OTHER'!E41/M13</f>
        <v>0.78626817573642982</v>
      </c>
      <c r="Y28" s="280">
        <f>'W.EUR INCUMB'!E41/M13</f>
        <v>1.0339896902368815</v>
      </c>
      <c r="Z28" s="281">
        <v>1</v>
      </c>
    </row>
    <row r="29" spans="2:26" ht="12.6" thickTop="1">
      <c r="B29" s="5" t="s">
        <v>489</v>
      </c>
      <c r="C29" s="288">
        <f>'W.EUR OTHER'!C29+'W.EUR INCUMB'!C29+'W.EUR TOWERS'!C29</f>
        <v>21702.821398960245</v>
      </c>
      <c r="D29" s="188">
        <f>'W.EUR OTHER'!D29+'W.EUR INCUMB'!D29+'W.EUR TOWERS'!D29</f>
        <v>25717.260266045501</v>
      </c>
      <c r="E29" s="188">
        <f>'W.EUR OTHER'!E29+'W.EUR INCUMB'!E29+'W.EUR TOWERS'!E29</f>
        <v>30989.354367807806</v>
      </c>
      <c r="F29" s="188">
        <f>'W.EUR OTHER'!F29+'W.EUR INCUMB'!F29+'W.EUR TOWERS'!F29</f>
        <v>33413.659461411502</v>
      </c>
      <c r="G29" s="188">
        <f>'W.EUR OTHER'!G29+'W.EUR INCUMB'!G29+'W.EUR TOWERS'!G29</f>
        <v>37037.952540667568</v>
      </c>
      <c r="H29" s="233">
        <f t="shared" si="0"/>
        <v>0.12929504760505051</v>
      </c>
      <c r="I29" s="214"/>
      <c r="J29" s="209"/>
      <c r="K29" s="209"/>
      <c r="L29" s="209"/>
      <c r="M29" s="209"/>
      <c r="N29" s="209"/>
      <c r="O29" s="211"/>
      <c r="Q29" s="5"/>
      <c r="S29" s="26"/>
      <c r="T29" s="26"/>
      <c r="U29" s="26"/>
      <c r="V29" s="279" t="s">
        <v>493</v>
      </c>
      <c r="W29" s="26"/>
      <c r="X29" s="280">
        <f>'W.EUR OTHER'!E42/M14</f>
        <v>0.83799914662134356</v>
      </c>
      <c r="Y29" s="280">
        <f>'W.EUR INCUMB'!E42/M14</f>
        <v>1.0363295329981308</v>
      </c>
      <c r="Z29" s="281">
        <v>1</v>
      </c>
    </row>
    <row r="30" spans="2:26">
      <c r="B30" s="5" t="s">
        <v>490</v>
      </c>
      <c r="C30" s="288">
        <f>'W.EUR OTHER'!C30+'W.EUR INCUMB'!C30+'W.EUR TOWERS'!C30</f>
        <v>26453.684084724322</v>
      </c>
      <c r="D30" s="188">
        <f>'W.EUR OTHER'!D30+'W.EUR INCUMB'!D30+'W.EUR TOWERS'!D30</f>
        <v>28600.56472128876</v>
      </c>
      <c r="E30" s="188">
        <f>'W.EUR OTHER'!E30+'W.EUR INCUMB'!E30+'W.EUR TOWERS'!E30</f>
        <v>31832.131001866197</v>
      </c>
      <c r="F30" s="188">
        <f>'W.EUR OTHER'!F30+'W.EUR INCUMB'!F30+'W.EUR TOWERS'!F30</f>
        <v>33982.782520687135</v>
      </c>
      <c r="G30" s="188">
        <f>'W.EUR OTHER'!G30+'W.EUR INCUMB'!G30+'W.EUR TOWERS'!G30</f>
        <v>37519.035295747133</v>
      </c>
      <c r="H30" s="233">
        <f t="shared" si="0"/>
        <v>9.4693026621945231E-2</v>
      </c>
      <c r="I30" s="214"/>
      <c r="J30" s="208"/>
      <c r="K30" s="208"/>
      <c r="L30" s="208"/>
      <c r="M30" s="208"/>
      <c r="N30" s="208"/>
      <c r="O30" s="5"/>
      <c r="Q30" s="5"/>
      <c r="S30" s="26"/>
      <c r="T30" s="26"/>
      <c r="U30" s="26"/>
      <c r="V30" s="279" t="s">
        <v>390</v>
      </c>
      <c r="W30" s="26"/>
      <c r="X30" s="280">
        <f>'W.EUR OTHER'!E43/M15</f>
        <v>1.3139279745325547</v>
      </c>
      <c r="Y30" s="280">
        <f>'W.EUR INCUMB'!E43/M15</f>
        <v>1.0838111779675224</v>
      </c>
      <c r="Z30" s="281">
        <v>1</v>
      </c>
    </row>
    <row r="31" spans="2:26">
      <c r="B31" s="5" t="s">
        <v>491</v>
      </c>
      <c r="C31" s="288">
        <f>'W.EUR OTHER'!C31+'W.EUR INCUMB'!C31+'W.EUR TOWERS'!C31</f>
        <v>17419.259813489618</v>
      </c>
      <c r="D31" s="188">
        <f>'W.EUR OTHER'!D31+'W.EUR INCUMB'!D31+'W.EUR TOWERS'!D31</f>
        <v>17809.904384259135</v>
      </c>
      <c r="E31" s="188">
        <f>'W.EUR OTHER'!E31+'W.EUR INCUMB'!E31+'W.EUR TOWERS'!E31</f>
        <v>19225.6890865024</v>
      </c>
      <c r="F31" s="188">
        <f>'W.EUR OTHER'!F31+'W.EUR INCUMB'!F31+'W.EUR TOWERS'!F31</f>
        <v>21310.019424352624</v>
      </c>
      <c r="G31" s="188">
        <f>'W.EUR OTHER'!G31+'W.EUR INCUMB'!G31+'W.EUR TOWERS'!G31</f>
        <v>22198.110017466017</v>
      </c>
      <c r="H31" s="233">
        <f t="shared" si="0"/>
        <v>7.6179720297558706E-2</v>
      </c>
      <c r="I31" s="214"/>
      <c r="J31" s="212"/>
      <c r="K31" s="212"/>
      <c r="L31" s="212"/>
      <c r="M31" s="212"/>
      <c r="N31" s="212"/>
      <c r="O31" s="5"/>
      <c r="Q31" s="5"/>
      <c r="S31" s="26"/>
      <c r="T31" s="26"/>
      <c r="U31" s="26"/>
      <c r="V31" s="279" t="s">
        <v>437</v>
      </c>
      <c r="W31" s="26"/>
      <c r="X31" s="280">
        <f>'W.EUR OTHER'!E44/M16</f>
        <v>1.346221449054928</v>
      </c>
      <c r="Y31" s="280">
        <f>'W.EUR INCUMB'!E44/M16</f>
        <v>1.048867297736747</v>
      </c>
      <c r="Z31" s="281">
        <v>1</v>
      </c>
    </row>
    <row r="32" spans="2:26">
      <c r="B32" s="5" t="s">
        <v>506</v>
      </c>
      <c r="C32" s="288">
        <f>'W.EUR OTHER'!C32+'W.EUR INCUMB'!C32+'W.EUR TOWERS'!C32</f>
        <v>0</v>
      </c>
      <c r="D32" s="188">
        <f>'W.EUR OTHER'!D32+'W.EUR INCUMB'!D32+'W.EUR TOWERS'!D32</f>
        <v>0</v>
      </c>
      <c r="E32" s="188">
        <f>'W.EUR OTHER'!E32+'W.EUR INCUMB'!E32+'W.EUR TOWERS'!E32</f>
        <v>0</v>
      </c>
      <c r="F32" s="188">
        <f>'W.EUR OTHER'!F32+'W.EUR INCUMB'!F32+'W.EUR TOWERS'!F32</f>
        <v>0</v>
      </c>
      <c r="G32" s="188">
        <f>'W.EUR OTHER'!G32+'W.EUR INCUMB'!G32+'W.EUR TOWERS'!G32</f>
        <v>0</v>
      </c>
      <c r="H32" s="233" t="str">
        <f t="shared" si="0"/>
        <v>nm</v>
      </c>
      <c r="I32" s="5"/>
      <c r="J32" s="214"/>
      <c r="K32" s="214"/>
      <c r="L32" s="214"/>
      <c r="M32" s="214"/>
      <c r="N32" s="214"/>
      <c r="O32" s="211"/>
      <c r="Q32" s="5"/>
      <c r="S32" s="26"/>
      <c r="T32" s="26"/>
      <c r="U32" s="26"/>
      <c r="V32" s="279" t="s">
        <v>481</v>
      </c>
      <c r="W32" s="26"/>
      <c r="X32" s="242">
        <f>N17/'W.EUR OTHER'!E45</f>
        <v>0.98021156887397409</v>
      </c>
      <c r="Y32" s="242">
        <f>N17/'W.EUR INCUMB'!E45</f>
        <v>0.93576397451728832</v>
      </c>
      <c r="Z32" s="281">
        <v>1</v>
      </c>
    </row>
    <row r="33" spans="2:26">
      <c r="B33" s="5" t="s">
        <v>3</v>
      </c>
      <c r="C33" s="288">
        <f>'W.EUR OTHER'!C33+'W.EUR INCUMB'!C33+'W.EUR TOWERS'!C33</f>
        <v>13512.929957460818</v>
      </c>
      <c r="D33" s="188">
        <f>'W.EUR OTHER'!D33+'W.EUR INCUMB'!D33+'W.EUR TOWERS'!D33</f>
        <v>14462.064721510906</v>
      </c>
      <c r="E33" s="188">
        <f>'W.EUR OTHER'!E33+'W.EUR INCUMB'!E33+'W.EUR TOWERS'!E33</f>
        <v>15031.065057541442</v>
      </c>
      <c r="F33" s="188">
        <f>'W.EUR OTHER'!F33+'W.EUR INCUMB'!F33+'W.EUR TOWERS'!F33</f>
        <v>15384.913527834142</v>
      </c>
      <c r="G33" s="188">
        <f>'W.EUR OTHER'!G33+'W.EUR INCUMB'!G33+'W.EUR TOWERS'!G33</f>
        <v>15447.026639097548</v>
      </c>
      <c r="H33" s="233">
        <f t="shared" si="0"/>
        <v>2.220546442296456E-2</v>
      </c>
      <c r="I33" s="33"/>
      <c r="J33" s="214"/>
      <c r="K33" s="214"/>
      <c r="L33" s="214"/>
      <c r="M33" s="214"/>
      <c r="N33" s="214"/>
      <c r="O33" s="211"/>
      <c r="Q33" s="5"/>
      <c r="S33" s="26"/>
      <c r="T33" s="26"/>
      <c r="U33" s="26"/>
      <c r="V33" s="282" t="s">
        <v>482</v>
      </c>
      <c r="W33" s="285"/>
      <c r="X33" s="283">
        <f>N19/'W.EUR OTHER'!E47</f>
        <v>1.0435430860422088</v>
      </c>
      <c r="Y33" s="283">
        <f>N19/'W.EUR INCUMB'!E47</f>
        <v>0.86078056275926207</v>
      </c>
      <c r="Z33" s="284">
        <v>1</v>
      </c>
    </row>
    <row r="34" spans="2:26">
      <c r="H34" s="231"/>
      <c r="I34" s="214"/>
      <c r="J34" s="214"/>
      <c r="K34" s="214"/>
      <c r="L34" s="214"/>
      <c r="M34" s="214"/>
      <c r="N34" s="214"/>
      <c r="O34" s="211"/>
      <c r="Q34" s="5"/>
      <c r="S34" s="26"/>
      <c r="T34" s="26"/>
      <c r="U34" s="26"/>
      <c r="V34" s="26"/>
      <c r="W34" s="26"/>
      <c r="X34" s="26"/>
      <c r="Y34" s="242"/>
      <c r="Z34" s="242"/>
    </row>
    <row r="35" spans="2:26"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c r="Y35" s="242"/>
      <c r="Z35" s="242"/>
    </row>
    <row r="36" spans="2:26" ht="12.6" thickTop="1">
      <c r="B36" s="25"/>
      <c r="C36" s="209"/>
      <c r="D36" s="214"/>
      <c r="E36" s="214"/>
      <c r="F36" s="214"/>
      <c r="G36" s="214"/>
      <c r="H36" s="214"/>
      <c r="I36" s="5"/>
      <c r="J36" s="33"/>
      <c r="K36" s="33"/>
      <c r="L36" s="33"/>
      <c r="M36" s="33"/>
      <c r="N36" s="33"/>
      <c r="O36" s="33"/>
      <c r="Q36" s="5"/>
      <c r="R36" s="5"/>
      <c r="S36" s="26"/>
      <c r="T36" s="26"/>
      <c r="U36" s="26"/>
      <c r="V36" s="26"/>
      <c r="W36" s="26"/>
      <c r="X36" s="26"/>
      <c r="Y36" s="26"/>
      <c r="Z36" s="26"/>
    </row>
    <row r="37" spans="2:26">
      <c r="B37" s="5" t="s">
        <v>225</v>
      </c>
      <c r="C37" s="207"/>
      <c r="D37" s="48">
        <f t="shared" ref="D37:G41" si="1">D$18/D23</f>
        <v>2.3068303667181711</v>
      </c>
      <c r="E37" s="48">
        <f t="shared" si="1"/>
        <v>2.1837174166320463</v>
      </c>
      <c r="F37" s="48">
        <f t="shared" si="1"/>
        <v>2.0631866883187771</v>
      </c>
      <c r="G37" s="48">
        <f t="shared" si="1"/>
        <v>1.9381176356711209</v>
      </c>
      <c r="H37" s="13">
        <f t="shared" ref="H37:H45" si="2">H23</f>
        <v>2.7587387501004867E-2</v>
      </c>
      <c r="I37" s="217"/>
      <c r="J37" s="217"/>
      <c r="K37" s="217"/>
      <c r="L37" s="217"/>
      <c r="M37" s="217"/>
      <c r="N37" s="217"/>
      <c r="O37" s="14"/>
      <c r="Q37" s="5"/>
      <c r="R37" s="5"/>
      <c r="S37" s="26"/>
      <c r="T37" s="26"/>
      <c r="U37" s="26"/>
      <c r="V37" s="26"/>
      <c r="W37" s="26"/>
      <c r="X37" s="26"/>
      <c r="Y37" s="26"/>
      <c r="Z37" s="26"/>
    </row>
    <row r="38" spans="2:26">
      <c r="B38" s="5" t="s">
        <v>158</v>
      </c>
      <c r="C38" s="207"/>
      <c r="D38" s="48">
        <f t="shared" si="1"/>
        <v>7.6870473467921885</v>
      </c>
      <c r="E38" s="48">
        <f t="shared" si="1"/>
        <v>7.1145911206607453</v>
      </c>
      <c r="F38" s="48">
        <f t="shared" si="1"/>
        <v>6.5691623629662832</v>
      </c>
      <c r="G38" s="48">
        <f t="shared" si="1"/>
        <v>6.0654864117269582</v>
      </c>
      <c r="H38" s="13">
        <f t="shared" si="2"/>
        <v>4.9312622085556201E-2</v>
      </c>
      <c r="I38" s="13"/>
      <c r="J38" s="13"/>
      <c r="K38" s="13"/>
      <c r="L38" s="13"/>
      <c r="M38" s="13"/>
      <c r="N38" s="13"/>
      <c r="O38" s="5"/>
      <c r="Q38" s="5"/>
      <c r="R38" s="5"/>
      <c r="S38" s="26"/>
      <c r="T38" s="26"/>
      <c r="U38" s="26"/>
      <c r="V38" s="26"/>
      <c r="W38" s="26"/>
      <c r="X38" s="26"/>
      <c r="Y38" s="26"/>
      <c r="Z38" s="26"/>
    </row>
    <row r="39" spans="2:26">
      <c r="B39" s="5" t="s">
        <v>159</v>
      </c>
      <c r="C39" s="207"/>
      <c r="D39" s="48">
        <f t="shared" si="1"/>
        <v>15.370042214252502</v>
      </c>
      <c r="E39" s="48">
        <f t="shared" si="1"/>
        <v>13.325754803854485</v>
      </c>
      <c r="F39" s="48">
        <f t="shared" si="1"/>
        <v>11.674881922805872</v>
      </c>
      <c r="G39" s="48">
        <f t="shared" si="1"/>
        <v>10.421648803018655</v>
      </c>
      <c r="H39" s="13">
        <f t="shared" si="2"/>
        <v>0.10370530962179392</v>
      </c>
      <c r="I39" s="5"/>
      <c r="J39" s="5"/>
      <c r="K39" s="5"/>
      <c r="L39" s="5"/>
      <c r="M39" s="5"/>
      <c r="N39" s="5"/>
      <c r="O39" s="5"/>
      <c r="Q39" s="5"/>
      <c r="R39" s="5"/>
      <c r="S39" s="26"/>
      <c r="T39" s="26"/>
      <c r="U39" s="26"/>
      <c r="V39" s="26"/>
      <c r="W39" s="242"/>
      <c r="X39" s="242"/>
      <c r="Y39" s="26"/>
      <c r="Z39" s="26"/>
    </row>
    <row r="40" spans="2:26">
      <c r="B40" s="5" t="s">
        <v>381</v>
      </c>
      <c r="C40" s="207"/>
      <c r="D40" s="48">
        <f t="shared" si="1"/>
        <v>20.736431435106191</v>
      </c>
      <c r="E40" s="48">
        <f t="shared" si="1"/>
        <v>17.992425054484126</v>
      </c>
      <c r="F40" s="48">
        <f t="shared" si="1"/>
        <v>15.738860320370453</v>
      </c>
      <c r="G40" s="48">
        <f t="shared" si="1"/>
        <v>14.022955411143691</v>
      </c>
      <c r="H40" s="13">
        <f t="shared" si="2"/>
        <v>0.10468488563059752</v>
      </c>
      <c r="I40" s="207"/>
      <c r="J40" s="217"/>
      <c r="K40" s="217"/>
      <c r="L40" s="217"/>
      <c r="M40" s="217"/>
      <c r="N40" s="217"/>
      <c r="O40" s="14"/>
      <c r="Q40" s="5"/>
      <c r="R40" s="5"/>
      <c r="S40" s="26"/>
      <c r="T40" s="26"/>
      <c r="U40" s="26"/>
      <c r="V40" s="26"/>
      <c r="W40" s="242"/>
      <c r="X40" s="242"/>
      <c r="Y40" s="242"/>
      <c r="Z40" s="242"/>
    </row>
    <row r="41" spans="2:26">
      <c r="B41" s="5" t="s">
        <v>434</v>
      </c>
      <c r="C41" s="207"/>
      <c r="D41" s="48">
        <f t="shared" si="1"/>
        <v>1.527427424328258</v>
      </c>
      <c r="E41" s="48">
        <f t="shared" si="1"/>
        <v>1.4647147798364799</v>
      </c>
      <c r="F41" s="48">
        <f t="shared" si="1"/>
        <v>1.3996779251784695</v>
      </c>
      <c r="G41" s="48">
        <f t="shared" si="1"/>
        <v>1.3389337032532749</v>
      </c>
      <c r="H41" s="13">
        <f t="shared" si="2"/>
        <v>1.3150803313409343E-2</v>
      </c>
      <c r="I41" s="208"/>
      <c r="J41" s="13"/>
      <c r="K41" s="13"/>
      <c r="L41" s="13"/>
      <c r="M41" s="13"/>
      <c r="N41" s="13"/>
      <c r="O41" s="5"/>
      <c r="Q41" s="5"/>
      <c r="R41" s="5"/>
      <c r="S41" s="26"/>
      <c r="T41" s="26"/>
      <c r="U41" s="26"/>
      <c r="V41" s="26"/>
      <c r="W41" s="242"/>
      <c r="X41" s="242"/>
      <c r="Y41" s="242"/>
      <c r="Z41" s="242"/>
    </row>
    <row r="42" spans="2:26">
      <c r="B42" s="5" t="s">
        <v>493</v>
      </c>
      <c r="C42" s="207"/>
      <c r="D42" s="48">
        <f>D18/D28</f>
        <v>3.7801075246367821</v>
      </c>
      <c r="E42" s="48">
        <f>E18/E28</f>
        <v>3.5884819514874939</v>
      </c>
      <c r="F42" s="48">
        <f>F18/F28</f>
        <v>3.5075311660305806</v>
      </c>
      <c r="G42" s="48">
        <f>G18/G28</f>
        <v>3.4270294681562508</v>
      </c>
      <c r="H42" s="13">
        <f t="shared" si="2"/>
        <v>1.8492126887432736E-3</v>
      </c>
      <c r="I42" s="207"/>
      <c r="J42" s="5"/>
      <c r="K42" s="5"/>
      <c r="L42" s="5"/>
      <c r="M42" s="5"/>
      <c r="N42" s="5"/>
      <c r="O42" s="5"/>
      <c r="Q42" s="5"/>
      <c r="R42" s="5"/>
      <c r="S42" s="26"/>
      <c r="T42" s="26"/>
      <c r="U42" s="26"/>
      <c r="V42" s="26"/>
      <c r="W42" s="242"/>
      <c r="X42" s="242"/>
      <c r="Y42" s="242"/>
      <c r="Z42" s="242"/>
    </row>
    <row r="43" spans="2:26">
      <c r="B43" s="5" t="s">
        <v>390</v>
      </c>
      <c r="C43" s="207"/>
      <c r="D43" s="48">
        <f>L26/D29</f>
        <v>18.765899494060758</v>
      </c>
      <c r="E43" s="48">
        <f>M26/E29</f>
        <v>15.40165059490602</v>
      </c>
      <c r="F43" s="48">
        <f>N26/F29</f>
        <v>14.245678717095588</v>
      </c>
      <c r="G43" s="48">
        <f>O26/G29</f>
        <v>12.816847467166141</v>
      </c>
      <c r="H43" s="13">
        <f t="shared" si="2"/>
        <v>0.12929504760505051</v>
      </c>
      <c r="I43" s="207"/>
      <c r="J43" s="207"/>
      <c r="K43" s="207"/>
      <c r="L43" s="207"/>
      <c r="M43" s="207"/>
      <c r="N43" s="207"/>
      <c r="O43" s="14"/>
      <c r="Q43" s="5"/>
      <c r="R43" s="5"/>
      <c r="S43" s="26"/>
      <c r="T43" s="26"/>
      <c r="U43" s="26"/>
      <c r="V43" s="26"/>
      <c r="W43" s="255"/>
      <c r="X43" s="255"/>
      <c r="Y43" s="242"/>
      <c r="Z43" s="242"/>
    </row>
    <row r="44" spans="2:26">
      <c r="B44" s="5" t="s">
        <v>437</v>
      </c>
      <c r="C44" s="53"/>
      <c r="D44" s="48">
        <f>D11/D30</f>
        <v>16.405291144194695</v>
      </c>
      <c r="E44" s="48">
        <f>E11/E30</f>
        <v>14.62082070020044</v>
      </c>
      <c r="F44" s="48">
        <f>F11/F30</f>
        <v>13.661807003662224</v>
      </c>
      <c r="G44" s="48">
        <f>G11/G30</f>
        <v>12.343880663115437</v>
      </c>
      <c r="H44" s="13">
        <f t="shared" si="2"/>
        <v>9.4693026621945231E-2</v>
      </c>
      <c r="I44" s="208"/>
      <c r="J44" s="208"/>
      <c r="K44" s="208"/>
      <c r="L44" s="208"/>
      <c r="M44" s="208"/>
      <c r="N44" s="208"/>
      <c r="O44" s="208"/>
      <c r="Q44" s="5"/>
      <c r="R44" s="5"/>
      <c r="S44" s="26"/>
      <c r="T44" s="26"/>
      <c r="U44" s="26"/>
      <c r="V44" s="26"/>
      <c r="W44" s="26"/>
      <c r="X44" s="26"/>
      <c r="Y44" s="255"/>
      <c r="Z44" s="255"/>
    </row>
    <row r="45" spans="2:26">
      <c r="B45" s="5" t="s">
        <v>481</v>
      </c>
      <c r="C45" s="207"/>
      <c r="D45" s="208">
        <f>D31/D11</f>
        <v>3.7957975161421499E-2</v>
      </c>
      <c r="E45" s="208">
        <f>E31/E11</f>
        <v>4.130897795585213E-2</v>
      </c>
      <c r="F45" s="208">
        <f>F31/F11</f>
        <v>4.59004309999256E-2</v>
      </c>
      <c r="G45" s="208">
        <f>G31/G11</f>
        <v>4.7930573113507347E-2</v>
      </c>
      <c r="H45" s="13">
        <f t="shared" si="2"/>
        <v>7.6179720297558706E-2</v>
      </c>
      <c r="I45" s="207"/>
      <c r="J45" s="207"/>
      <c r="K45" s="207"/>
      <c r="L45" s="207"/>
      <c r="M45" s="207"/>
      <c r="N45" s="207"/>
      <c r="O45" s="208"/>
      <c r="Q45" s="5"/>
      <c r="R45" s="5"/>
      <c r="S45" s="26"/>
      <c r="T45" s="26"/>
      <c r="U45" s="26"/>
      <c r="V45" s="26"/>
      <c r="W45" s="26"/>
      <c r="X45" s="26"/>
      <c r="Y45" s="26"/>
      <c r="Z45" s="26"/>
    </row>
    <row r="46" spans="2:26">
      <c r="B46" s="5" t="s">
        <v>505</v>
      </c>
      <c r="C46" s="207"/>
      <c r="D46" s="208">
        <f>(D31+D32)/D11</f>
        <v>3.7957975161421499E-2</v>
      </c>
      <c r="E46" s="208">
        <f>(E31+E32)/E11</f>
        <v>4.130897795585213E-2</v>
      </c>
      <c r="F46" s="208">
        <f>(F31+F32)/F11</f>
        <v>4.59004309999256E-2</v>
      </c>
      <c r="G46" s="208">
        <f>(G31+G32)/G11</f>
        <v>4.7930573113507347E-2</v>
      </c>
      <c r="H46" s="233">
        <f>((G31+G32)/(D31+D32))^(1/3)-1</f>
        <v>7.6179720297558706E-2</v>
      </c>
      <c r="I46" s="13"/>
      <c r="J46" s="207"/>
      <c r="K46" s="207"/>
      <c r="L46" s="207"/>
      <c r="M46" s="207"/>
      <c r="N46" s="207"/>
      <c r="O46" s="14"/>
      <c r="Q46" s="5"/>
      <c r="R46" s="5"/>
      <c r="S46" s="26"/>
      <c r="T46" s="26"/>
      <c r="U46" s="26"/>
      <c r="V46" s="26"/>
      <c r="W46" s="26"/>
      <c r="X46" s="26"/>
      <c r="Y46" s="26"/>
      <c r="Z46" s="26"/>
    </row>
    <row r="47" spans="2:26">
      <c r="B47" s="5" t="s">
        <v>482</v>
      </c>
      <c r="C47" s="5"/>
      <c r="D47" s="208">
        <f>1/D43</f>
        <v>5.3288146423063343E-2</v>
      </c>
      <c r="E47" s="208">
        <f>1/E43</f>
        <v>6.4928105844106243E-2</v>
      </c>
      <c r="F47" s="208">
        <f>1/F43</f>
        <v>7.0196725607741359E-2</v>
      </c>
      <c r="G47" s="208">
        <f>1/G43</f>
        <v>7.8022306387102863E-2</v>
      </c>
      <c r="H47" s="13">
        <f>H29</f>
        <v>0.12929504760505051</v>
      </c>
      <c r="I47" s="207"/>
      <c r="J47" s="208"/>
      <c r="K47" s="208"/>
      <c r="L47" s="208"/>
      <c r="M47" s="208"/>
      <c r="N47" s="208"/>
      <c r="O47" s="208"/>
      <c r="Q47" s="5"/>
      <c r="R47" s="5"/>
      <c r="S47" s="5"/>
      <c r="T47" s="5"/>
      <c r="U47" s="5"/>
    </row>
    <row r="48" spans="2:26">
      <c r="B48" s="5" t="s">
        <v>518</v>
      </c>
      <c r="C48" s="5"/>
      <c r="D48" s="248">
        <f>D31/D29</f>
        <v>0.69252728323372581</v>
      </c>
      <c r="E48" s="248">
        <f>E31/E29</f>
        <v>0.62039656774761098</v>
      </c>
      <c r="F48" s="248">
        <f>F31/F29</f>
        <v>0.63776371004687371</v>
      </c>
      <c r="G48" s="248">
        <f>G31/G29</f>
        <v>0.59933415577150373</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71">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26" width="9.109375" style="5"/>
    <col min="27" max="27" width="9.6640625" style="5" bestFit="1" customWidth="1"/>
    <col min="28"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909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'AGG DM'!H37</f>
        <v>-1.3789849312914271E-2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'AGG DM'!H38</f>
        <v>4.8141968520647449E-3</v>
      </c>
    </row>
    <row r="11" spans="2:63">
      <c r="B11" s="25" t="s">
        <v>372</v>
      </c>
      <c r="C11" s="5"/>
      <c r="D11" s="225">
        <f>'W.EUR OTHER'!D11+'W.EUR INCUMB'!D11</f>
        <v>443484.29867727571</v>
      </c>
      <c r="E11" s="225">
        <f>'W.EUR OTHER'!E11+'W.EUR INCUMB'!E11</f>
        <v>440104.08741972747</v>
      </c>
      <c r="F11" s="225">
        <f>'W.EUR OTHER'!F11+'W.EUR INCUMB'!F11</f>
        <v>439248.21969957103</v>
      </c>
      <c r="G11" s="225">
        <f>'W.EUR OTHER'!G11+'W.EUR INCUMB'!G11</f>
        <v>438388.49385316676</v>
      </c>
      <c r="H11" s="209"/>
      <c r="I11" s="209"/>
      <c r="J11" s="5" t="s">
        <v>159</v>
      </c>
      <c r="L11" s="48">
        <f>'AGG DM'!D39</f>
        <v>13.43130082789585</v>
      </c>
      <c r="M11" s="48">
        <f>'AGG DM'!E39</f>
        <v>11.912112379106738</v>
      </c>
      <c r="N11" s="48">
        <f>'AGG DM'!F39</f>
        <v>11.843285832186552</v>
      </c>
      <c r="O11" s="48">
        <f>'AGG DM'!G39</f>
        <v>10.607416189621555</v>
      </c>
      <c r="P11" s="13">
        <f>'AGG DM'!H39</f>
        <v>3.8741206712421539E-2</v>
      </c>
    </row>
    <row r="12" spans="2:63">
      <c r="B12" s="5" t="s">
        <v>191</v>
      </c>
      <c r="C12" s="209"/>
      <c r="D12" s="188">
        <f>'W.EUR OTHER'!D12+'W.EUR INCUMB'!D12</f>
        <v>281266.82958662132</v>
      </c>
      <c r="E12" s="188">
        <f>'W.EUR OTHER'!E12+'W.EUR INCUMB'!E12</f>
        <v>287894.81633949868</v>
      </c>
      <c r="F12" s="188">
        <f>'W.EUR OTHER'!F12+'W.EUR INCUMB'!F12</f>
        <v>285663.71951711818</v>
      </c>
      <c r="G12" s="188">
        <f>'W.EUR OTHER'!G12+'W.EUR INCUMB'!G12</f>
        <v>273021.63807000651</v>
      </c>
      <c r="H12" s="207"/>
      <c r="I12" s="207"/>
      <c r="J12" s="5" t="s">
        <v>381</v>
      </c>
      <c r="L12" s="48">
        <f>'AGG DM'!D40</f>
        <v>19.048615842524175</v>
      </c>
      <c r="M12" s="48">
        <f>'AGG DM'!E40</f>
        <v>17.000481453211133</v>
      </c>
      <c r="N12" s="48">
        <f>'AGG DM'!F40</f>
        <v>16.516072034875915</v>
      </c>
      <c r="O12" s="48">
        <f>'AGG DM'!G40</f>
        <v>14.699052183478283</v>
      </c>
      <c r="P12" s="13">
        <f>'AGG DM'!H40</f>
        <v>4.6797239007460023E-2</v>
      </c>
    </row>
    <row r="13" spans="2:63">
      <c r="B13" s="5" t="s">
        <v>433</v>
      </c>
      <c r="C13" s="216"/>
      <c r="D13" s="188">
        <f>'W.EUR OTHER'!D13+'W.EUR INCUMB'!D13</f>
        <v>72848.127234652085</v>
      </c>
      <c r="E13" s="188">
        <f>'W.EUR OTHER'!E13+'W.EUR INCUMB'!E13</f>
        <v>70996.024410599828</v>
      </c>
      <c r="F13" s="188">
        <f>'W.EUR OTHER'!F13+'W.EUR INCUMB'!F13</f>
        <v>68783.837614378033</v>
      </c>
      <c r="G13" s="188">
        <f>'W.EUR OTHER'!G13+'W.EUR INCUMB'!G13</f>
        <v>66559.841358488746</v>
      </c>
      <c r="H13" s="207"/>
      <c r="I13" s="207"/>
      <c r="J13" s="5" t="s">
        <v>434</v>
      </c>
      <c r="L13" s="48">
        <f>'AGG DM'!D41</f>
        <v>1.5960698202437806</v>
      </c>
      <c r="M13" s="48">
        <f>'AGG DM'!E41</f>
        <v>1.512198298101852</v>
      </c>
      <c r="N13" s="48">
        <f>'AGG DM'!F41</f>
        <v>1.4333711156435276</v>
      </c>
      <c r="O13" s="48">
        <f>'AGG DM'!G41</f>
        <v>1.3580823445789874</v>
      </c>
      <c r="P13" s="13">
        <f>'AGG DM'!H41</f>
        <v>1.3241880031945596E-2</v>
      </c>
    </row>
    <row r="14" spans="2:63">
      <c r="B14" s="5" t="s">
        <v>436</v>
      </c>
      <c r="C14" s="228"/>
      <c r="D14" s="188">
        <f>'W.EUR OTHER'!D14+'W.EUR INCUMB'!D14</f>
        <v>29071.560863034691</v>
      </c>
      <c r="E14" s="188">
        <f>'W.EUR OTHER'!E14+'W.EUR INCUMB'!E14</f>
        <v>29071.560863034691</v>
      </c>
      <c r="F14" s="188">
        <f>'W.EUR OTHER'!F14+'W.EUR INCUMB'!F14</f>
        <v>29071.560863034691</v>
      </c>
      <c r="G14" s="188">
        <f>'W.EUR OTHER'!G14+'W.EUR INCUMB'!G14</f>
        <v>29071.560863034691</v>
      </c>
      <c r="H14" s="207"/>
      <c r="I14" s="207"/>
      <c r="J14" s="5" t="s">
        <v>493</v>
      </c>
      <c r="L14" s="48">
        <f>'AGG DM'!D42</f>
        <v>3.6519242379972408</v>
      </c>
      <c r="M14" s="48">
        <f>'AGG DM'!E42</f>
        <v>3.4495675598502382</v>
      </c>
      <c r="N14" s="48">
        <f>'AGG DM'!F42</f>
        <v>3.3035967431434781</v>
      </c>
      <c r="O14" s="48">
        <f>'AGG DM'!G42</f>
        <v>3.1754841893117352</v>
      </c>
      <c r="P14" s="13">
        <f>'AGG DM'!H42</f>
        <v>5.9470917739592455E-3</v>
      </c>
    </row>
    <row r="15" spans="2:63">
      <c r="B15" s="5" t="s">
        <v>435</v>
      </c>
      <c r="C15" s="216"/>
      <c r="D15" s="188">
        <f>'W.EUR OTHER'!D15+'W.EUR INCUMB'!D15</f>
        <v>139500.77681410062</v>
      </c>
      <c r="E15" s="188">
        <f>'W.EUR OTHER'!E15+'W.EUR INCUMB'!E15</f>
        <v>135681.25087615312</v>
      </c>
      <c r="F15" s="188">
        <f>'W.EUR OTHER'!F15+'W.EUR INCUMB'!F15</f>
        <v>134517.18664034846</v>
      </c>
      <c r="G15" s="188">
        <f>'W.EUR OTHER'!G15+'W.EUR INCUMB'!G15</f>
        <v>133118.34309013296</v>
      </c>
      <c r="H15" s="207"/>
      <c r="I15" s="207"/>
      <c r="J15" s="5" t="s">
        <v>390</v>
      </c>
      <c r="L15" s="48">
        <f>'AGG DM'!D43</f>
        <v>13.732908840748044</v>
      </c>
      <c r="M15" s="48">
        <f>'AGG DM'!E43</f>
        <v>13.416038209231752</v>
      </c>
      <c r="N15" s="48">
        <f>'AGG DM'!F43</f>
        <v>16.892170669601121</v>
      </c>
      <c r="O15" s="48">
        <f>'AGG DM'!G43</f>
        <v>15.115106588953402</v>
      </c>
      <c r="P15" s="13">
        <f>'AGG DM'!H43</f>
        <v>-4.9656282064675872E-2</v>
      </c>
    </row>
    <row r="16" spans="2:63">
      <c r="B16" s="5" t="s">
        <v>438</v>
      </c>
      <c r="C16" s="216"/>
      <c r="D16" s="188">
        <f>'W.EUR OTHER'!D16+'W.EUR INCUMB'!D16</f>
        <v>279.3602740544988</v>
      </c>
      <c r="E16" s="188">
        <f>'W.EUR OTHER'!E16+'W.EUR INCUMB'!E16</f>
        <v>15585.021850196197</v>
      </c>
      <c r="F16" s="188">
        <f>'W.EUR OTHER'!F16+'W.EUR INCUMB'!F16</f>
        <v>34173.008602877839</v>
      </c>
      <c r="G16" s="188">
        <f>'W.EUR OTHER'!G16+'W.EUR INCUMB'!G16</f>
        <v>54705.807343455366</v>
      </c>
      <c r="H16" s="207"/>
      <c r="I16" s="207"/>
      <c r="J16" s="5" t="s">
        <v>437</v>
      </c>
      <c r="L16" s="48">
        <f>'AGG DM'!D44</f>
        <v>14.18388951735013</v>
      </c>
      <c r="M16" s="48">
        <f>'AGG DM'!E44</f>
        <v>12.656163563538104</v>
      </c>
      <c r="N16" s="48">
        <f>'AGG DM'!F44</f>
        <v>13.784916693324794</v>
      </c>
      <c r="O16" s="48">
        <f>'AGG DM'!G44</f>
        <v>12.507272322495874</v>
      </c>
      <c r="P16" s="13">
        <f>'AGG DM'!H44</f>
        <v>2.7310327344825192E-2</v>
      </c>
    </row>
    <row r="17" spans="2:26">
      <c r="B17" s="5" t="s">
        <v>4</v>
      </c>
      <c r="C17" s="216"/>
      <c r="D17" s="188">
        <f>'W.EUR OTHER'!D17+'W.EUR INCUMB'!D17</f>
        <v>6367.7855201307293</v>
      </c>
      <c r="E17" s="188">
        <f>'W.EUR OTHER'!E17+'W.EUR INCUMB'!E17</f>
        <v>6439.2785168472165</v>
      </c>
      <c r="F17" s="188">
        <f>'W.EUR OTHER'!F17+'W.EUR INCUMB'!F17</f>
        <v>6393.564028135519</v>
      </c>
      <c r="G17" s="188">
        <f>'W.EUR OTHER'!G17+'W.EUR INCUMB'!G17</f>
        <v>6342.1078222120832</v>
      </c>
      <c r="H17" s="207"/>
      <c r="I17" s="207"/>
      <c r="J17" s="5" t="s">
        <v>481</v>
      </c>
      <c r="L17" s="208">
        <f>'AGG DM'!D45</f>
        <v>3.6676438005961751E-2</v>
      </c>
      <c r="M17" s="208">
        <f>'AGG DM'!E45</f>
        <v>3.9027240403015993E-2</v>
      </c>
      <c r="N17" s="208">
        <f>'AGG DM'!F45</f>
        <v>3.9121081989007662E-2</v>
      </c>
      <c r="O17" s="208">
        <f>'AGG DM'!G45</f>
        <v>4.0989823366933457E-2</v>
      </c>
      <c r="P17" s="13">
        <f>'AGG DM'!H45</f>
        <v>2.232043393880101E-2</v>
      </c>
      <c r="S17" s="72"/>
      <c r="T17" s="72"/>
      <c r="U17" s="72"/>
      <c r="V17" s="26"/>
      <c r="W17" s="26"/>
      <c r="X17" s="26"/>
      <c r="Y17" s="26"/>
      <c r="Z17" s="26"/>
    </row>
    <row r="18" spans="2:26" ht="12.6" thickBot="1">
      <c r="B18" s="25" t="s">
        <v>371</v>
      </c>
      <c r="C18" s="209"/>
      <c r="D18" s="229">
        <f>'W.EUR OTHER'!D18+'W.EUR INCUMB'!D18</f>
        <v>901381.32565542962</v>
      </c>
      <c r="E18" s="229">
        <f>'W.EUR OTHER'!E18+'W.EUR INCUMB'!E18</f>
        <v>883580.31781590101</v>
      </c>
      <c r="F18" s="229">
        <f>'W.EUR OTHER'!F18+'W.EUR INCUMB'!F18</f>
        <v>858574.82997736766</v>
      </c>
      <c r="G18" s="229">
        <f>'W.EUR OTHER'!G18+'W.EUR INCUMB'!G18</f>
        <v>820968.84034309292</v>
      </c>
      <c r="H18" s="230">
        <f>IF(D18=0,"nm",IF(G18=0,"nm",(G18/D18)^(1/3)-1))</f>
        <v>-3.0667652339585905E-2</v>
      </c>
      <c r="I18" s="214"/>
      <c r="J18" s="5" t="s">
        <v>33</v>
      </c>
      <c r="L18" s="208">
        <f>'AGG DM'!D46</f>
        <v>5.5874053189598601E-2</v>
      </c>
      <c r="M18" s="208">
        <f>'AGG DM'!E46</f>
        <v>6.23338106192401E-2</v>
      </c>
      <c r="N18" s="208">
        <f>'AGG DM'!F46</f>
        <v>2.8516708398037438E-2</v>
      </c>
      <c r="O18" s="208">
        <f>'AGG DM'!G46</f>
        <v>5.0079310257712929E-2</v>
      </c>
      <c r="P18" s="13">
        <f>'AGG DM'!H46</f>
        <v>-5.0182580963662793E-2</v>
      </c>
      <c r="S18" s="26"/>
      <c r="T18" s="26"/>
      <c r="U18" s="26"/>
      <c r="V18" s="26"/>
      <c r="W18" s="26"/>
      <c r="X18" s="26"/>
      <c r="Y18" s="26"/>
      <c r="Z18" s="26"/>
    </row>
    <row r="19" spans="2:26"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'AGG DM'!H47</f>
        <v>-4.9656282064675872E-2</v>
      </c>
      <c r="S19" s="26"/>
      <c r="T19" s="26"/>
      <c r="U19" s="26"/>
      <c r="V19" s="26"/>
      <c r="W19" s="26"/>
      <c r="X19" s="26"/>
      <c r="Y19" s="26"/>
      <c r="Z19" s="26"/>
    </row>
    <row r="20" spans="2:26">
      <c r="H20" s="231"/>
      <c r="I20" s="33"/>
      <c r="J20" s="5" t="s">
        <v>504</v>
      </c>
      <c r="L20" s="208">
        <f>'AGG DM'!D48</f>
        <v>0.46567661843044023</v>
      </c>
      <c r="M20" s="208">
        <f>'AGG DM'!E48</f>
        <v>0.48489668873662817</v>
      </c>
      <c r="N20" s="208">
        <f>'AGG DM'!F48</f>
        <v>0.61435732198073312</v>
      </c>
      <c r="O20" s="208">
        <f>'AGG DM'!G48</f>
        <v>0.57970017610194013</v>
      </c>
      <c r="P20" s="13" t="str">
        <f>'AGG DM'!H48</f>
        <v>nm</v>
      </c>
      <c r="S20" s="26"/>
      <c r="T20" s="26"/>
      <c r="U20" s="26"/>
      <c r="V20" s="26"/>
      <c r="W20" s="26"/>
      <c r="X20" s="26"/>
      <c r="Y20" s="26"/>
      <c r="Z20" s="26"/>
    </row>
    <row r="21" spans="2:26" ht="12.6" thickBot="1">
      <c r="B21" s="249" t="s">
        <v>136</v>
      </c>
      <c r="C21" s="219">
        <v>2020</v>
      </c>
      <c r="D21" s="219" t="str">
        <f>D5</f>
        <v>2025E</v>
      </c>
      <c r="E21" s="219" t="str">
        <f>E5</f>
        <v>2026E</v>
      </c>
      <c r="F21" s="219" t="str">
        <f>F5</f>
        <v>2027E</v>
      </c>
      <c r="G21" s="219" t="str">
        <f>G5</f>
        <v>2028E</v>
      </c>
      <c r="H21" s="236" t="str">
        <f>H5</f>
        <v>2025-28</v>
      </c>
      <c r="I21" s="13"/>
      <c r="S21" s="26"/>
      <c r="T21" s="26"/>
      <c r="U21" s="26"/>
      <c r="V21" s="26"/>
      <c r="W21" s="26"/>
      <c r="X21" s="26"/>
      <c r="Y21" s="26"/>
      <c r="Z21" s="26"/>
    </row>
    <row r="22" spans="2:26" ht="12.6" thickTop="1">
      <c r="B22" s="5"/>
      <c r="C22" s="216"/>
      <c r="D22" s="13"/>
      <c r="E22" s="13"/>
      <c r="F22" s="13"/>
      <c r="G22" s="13"/>
      <c r="H22" s="13"/>
      <c r="I22" s="207"/>
      <c r="P22" s="231"/>
      <c r="S22" s="26"/>
      <c r="T22" s="26"/>
      <c r="U22" s="26"/>
      <c r="V22" s="26"/>
      <c r="W22" s="26"/>
      <c r="X22" s="26"/>
      <c r="Y22" s="26"/>
      <c r="Z22" s="26"/>
    </row>
    <row r="23" spans="2:26" ht="12.6" thickBot="1">
      <c r="B23" s="5" t="s">
        <v>485</v>
      </c>
      <c r="C23" s="288">
        <f>'W.EUR OTHER'!C23+'W.EUR INCUMB'!C23</f>
        <v>405070.78032772348</v>
      </c>
      <c r="D23" s="188">
        <f>'W.EUR OTHER'!D23+'W.EUR INCUMB'!D23</f>
        <v>406894.28194083786</v>
      </c>
      <c r="E23" s="188">
        <f>'W.EUR OTHER'!E23+'W.EUR INCUMB'!E23</f>
        <v>421510.36737738131</v>
      </c>
      <c r="F23" s="188">
        <f>'W.EUR OTHER'!F23+'W.EUR INCUMB'!F23</f>
        <v>433541.62992227939</v>
      </c>
      <c r="G23" s="188">
        <f>'W.EUR OTHER'!G23+'W.EUR INCUMB'!G23</f>
        <v>441426.3391804258</v>
      </c>
      <c r="H23" s="233">
        <f t="shared" ref="H23:H33" si="0">IF(D23=0,"nm",IF(G23=0,"nm",(G23/D23)^(1/3)-1))</f>
        <v>2.7524577962217522E-2</v>
      </c>
      <c r="I23" s="209"/>
      <c r="J23" s="249" t="s">
        <v>7</v>
      </c>
      <c r="K23" s="249"/>
      <c r="L23" s="219" t="str">
        <f>L5</f>
        <v>2025E</v>
      </c>
      <c r="M23" s="219" t="str">
        <f>M5</f>
        <v>2026E</v>
      </c>
      <c r="N23" s="219" t="str">
        <f>N5</f>
        <v>2027E</v>
      </c>
      <c r="O23" s="219" t="str">
        <f>O5</f>
        <v>2028E</v>
      </c>
      <c r="P23" s="236" t="str">
        <f>P5</f>
        <v>2025-28</v>
      </c>
      <c r="S23" s="26"/>
      <c r="T23" s="26"/>
      <c r="U23" s="26"/>
      <c r="V23" s="276"/>
      <c r="W23" s="277"/>
      <c r="X23" s="277" t="s">
        <v>139</v>
      </c>
      <c r="Y23" s="277" t="s">
        <v>138</v>
      </c>
      <c r="Z23" s="278" t="s">
        <v>486</v>
      </c>
    </row>
    <row r="24" spans="2:26" ht="12.6" thickTop="1">
      <c r="B24" s="5" t="s">
        <v>397</v>
      </c>
      <c r="C24" s="288">
        <f>'W.EUR OTHER'!C24+'W.EUR INCUMB'!C24</f>
        <v>117955.63336914059</v>
      </c>
      <c r="D24" s="188">
        <f>'W.EUR OTHER'!D24+'W.EUR INCUMB'!D24</f>
        <v>120547.58071843183</v>
      </c>
      <c r="E24" s="188">
        <f>'W.EUR OTHER'!E24+'W.EUR INCUMB'!E24</f>
        <v>127814.02290439524</v>
      </c>
      <c r="F24" s="188">
        <f>'W.EUR OTHER'!F24+'W.EUR INCUMB'!F24</f>
        <v>134514.12389963027</v>
      </c>
      <c r="G24" s="188">
        <f>'W.EUR OTHER'!G24+'W.EUR INCUMB'!G24</f>
        <v>139373.63050489689</v>
      </c>
      <c r="H24" s="233">
        <f t="shared" si="0"/>
        <v>4.9560242899170603E-2</v>
      </c>
      <c r="I24" s="208"/>
      <c r="J24" s="13"/>
      <c r="K24" s="13"/>
      <c r="L24" s="13"/>
      <c r="M24" s="13"/>
      <c r="N24" s="13"/>
      <c r="O24" s="208"/>
      <c r="S24" s="26"/>
      <c r="T24" s="26"/>
      <c r="U24" s="26"/>
      <c r="V24" s="279" t="s">
        <v>225</v>
      </c>
      <c r="W24" s="26"/>
      <c r="X24" s="280">
        <f>'W.EUR OTHER'!E37/M9</f>
        <v>0.53373877928419666</v>
      </c>
      <c r="Y24" s="280">
        <f>'W.EUR INCUMB'!E37/M9</f>
        <v>1.0373282446157301</v>
      </c>
      <c r="Z24" s="281">
        <v>1</v>
      </c>
    </row>
    <row r="25" spans="2:26">
      <c r="B25" s="5" t="s">
        <v>157</v>
      </c>
      <c r="C25" s="288">
        <f>'W.EUR OTHER'!C25+'W.EUR INCUMB'!C25</f>
        <v>59053.806595727241</v>
      </c>
      <c r="D25" s="188">
        <f>'W.EUR OTHER'!D25+'W.EUR INCUMB'!D25</f>
        <v>60605.413524509029</v>
      </c>
      <c r="E25" s="188">
        <f>'W.EUR OTHER'!E25+'W.EUR INCUMB'!E25</f>
        <v>68225.199714665403</v>
      </c>
      <c r="F25" s="188">
        <f>'W.EUR OTHER'!F25+'W.EUR INCUMB'!F25</f>
        <v>75380.17105020085</v>
      </c>
      <c r="G25" s="188">
        <f>'W.EUR OTHER'!G25+'W.EUR INCUMB'!G25</f>
        <v>80516.594706114149</v>
      </c>
      <c r="H25" s="233">
        <f t="shared" si="0"/>
        <v>9.9321343708852261E-2</v>
      </c>
      <c r="I25" s="209"/>
      <c r="J25" s="207" t="s">
        <v>8</v>
      </c>
      <c r="K25" s="207"/>
      <c r="L25" s="258">
        <f>'W.EUR OTHER'!L25+'W.EUR INCUMB'!L25</f>
        <v>24770.034315748446</v>
      </c>
      <c r="M25" s="258">
        <f>'W.EUR OTHER'!M25+'W.EUR INCUMB'!M25</f>
        <v>23238.432292785132</v>
      </c>
      <c r="N25" s="258">
        <f>'W.EUR OTHER'!N25+'W.EUR INCUMB'!N25</f>
        <v>23097.145246317803</v>
      </c>
      <c r="O25" s="258">
        <f>'W.EUR OTHER'!O25+'W.EUR INCUMB'!O25</f>
        <v>22942.397965618286</v>
      </c>
      <c r="P25" s="233">
        <f>IF(L25=0,"nm",IF(O25=0,"nm",(O25/L25)^(1/3)-1))</f>
        <v>-2.5225708021516802E-2</v>
      </c>
      <c r="Q25" s="5"/>
      <c r="S25" s="26"/>
      <c r="T25" s="26"/>
      <c r="U25" s="26"/>
      <c r="V25" s="279" t="s">
        <v>158</v>
      </c>
      <c r="W25" s="26"/>
      <c r="X25" s="280">
        <f>'W.EUR OTHER'!E38/M10</f>
        <v>0.8897254159605209</v>
      </c>
      <c r="Y25" s="280">
        <f>'W.EUR INCUMB'!E38/M10</f>
        <v>1.0350730447305025</v>
      </c>
      <c r="Z25" s="281">
        <v>1</v>
      </c>
    </row>
    <row r="26" spans="2:26">
      <c r="B26" s="5" t="s">
        <v>487</v>
      </c>
      <c r="C26" s="288">
        <f>'W.EUR OTHER'!C26+'W.EUR INCUMB'!C26</f>
        <v>44063.453535236469</v>
      </c>
      <c r="D26" s="188">
        <f>'W.EUR OTHER'!D26+'W.EUR INCUMB'!D26</f>
        <v>44922.428895581041</v>
      </c>
      <c r="E26" s="188">
        <f>'W.EUR OTHER'!E26+'W.EUR INCUMB'!E26</f>
        <v>50525.585396180453</v>
      </c>
      <c r="F26" s="188">
        <f>'W.EUR OTHER'!F26+'W.EUR INCUMB'!F26</f>
        <v>55906.616889551908</v>
      </c>
      <c r="G26" s="188">
        <f>'W.EUR OTHER'!G26+'W.EUR INCUMB'!G26</f>
        <v>59827.120581569165</v>
      </c>
      <c r="H26" s="233">
        <f t="shared" si="0"/>
        <v>0.10021684610056658</v>
      </c>
      <c r="I26" s="209"/>
      <c r="J26" s="209" t="s">
        <v>9</v>
      </c>
      <c r="K26" s="209"/>
      <c r="L26" s="235">
        <f>'W.EUR OTHER'!L26+'W.EUR INCUMB'!L26</f>
        <v>456891.22895136208</v>
      </c>
      <c r="M26" s="235">
        <f>'W.EUR OTHER'!M26+'W.EUR INCUMB'!M26</f>
        <v>451979.41567085055</v>
      </c>
      <c r="N26" s="235">
        <f>'W.EUR OTHER'!N26+'W.EUR INCUMB'!N26</f>
        <v>450982.2609042268</v>
      </c>
      <c r="O26" s="235">
        <f>'W.EUR OTHER'!O26+'W.EUR INCUMB'!O26</f>
        <v>449967.78777712304</v>
      </c>
      <c r="P26" s="233">
        <f>IF(L26=0,"nm",IF(O26=0,"nm",(O26/L26)^(1/3)-1))</f>
        <v>-5.0768536716271351E-3</v>
      </c>
      <c r="Q26" s="25"/>
      <c r="S26" s="26"/>
      <c r="T26" s="26"/>
      <c r="U26" s="26"/>
      <c r="V26" s="279" t="s">
        <v>159</v>
      </c>
      <c r="W26" s="26"/>
      <c r="X26" s="280">
        <f>'W.EUR OTHER'!E39/M11</f>
        <v>1.1261731305850036</v>
      </c>
      <c r="Y26" s="280">
        <f>'W.EUR INCUMB'!E39/M11</f>
        <v>1.0785466645119102</v>
      </c>
      <c r="Z26" s="281">
        <v>1</v>
      </c>
    </row>
    <row r="27" spans="2:26">
      <c r="B27" s="5" t="s">
        <v>488</v>
      </c>
      <c r="C27" s="288">
        <f>'W.EUR OTHER'!C27+'W.EUR INCUMB'!C27</f>
        <v>584890.78441023314</v>
      </c>
      <c r="D27" s="188">
        <f>'W.EUR OTHER'!D27+'W.EUR INCUMB'!D27</f>
        <v>583821.51229794812</v>
      </c>
      <c r="E27" s="188">
        <f>'W.EUR OTHER'!E27+'W.EUR INCUMB'!E27</f>
        <v>598631.0008655783</v>
      </c>
      <c r="F27" s="188">
        <f>'W.EUR OTHER'!F27+'W.EUR INCUMB'!F27</f>
        <v>610123.72521593608</v>
      </c>
      <c r="G27" s="188">
        <f>'W.EUR OTHER'!G27+'W.EUR INCUMB'!G27</f>
        <v>611211.27762900735</v>
      </c>
      <c r="H27" s="233">
        <f t="shared" si="0"/>
        <v>1.5399834902600107E-2</v>
      </c>
      <c r="I27" s="208"/>
      <c r="J27" s="208"/>
      <c r="K27" s="208"/>
      <c r="L27" s="208"/>
      <c r="M27" s="208"/>
      <c r="N27" s="208"/>
      <c r="O27" s="208"/>
      <c r="Q27" s="5"/>
      <c r="S27" s="26"/>
      <c r="T27" s="26"/>
      <c r="U27" s="26"/>
      <c r="V27" s="279" t="s">
        <v>381</v>
      </c>
      <c r="W27" s="26"/>
      <c r="X27" s="280">
        <f>'W.EUR OTHER'!E40/M12</f>
        <v>1.0601720080824357</v>
      </c>
      <c r="Y27" s="280">
        <f>'W.EUR INCUMB'!E40/M12</f>
        <v>1.0216172108374362</v>
      </c>
      <c r="Z27" s="281">
        <v>1</v>
      </c>
    </row>
    <row r="28" spans="2:26" ht="12.6" thickBot="1">
      <c r="B28" s="5" t="s">
        <v>492</v>
      </c>
      <c r="C28" s="288">
        <f>'W.EUR OTHER'!C28+'W.EUR INCUMB'!C28</f>
        <v>250314.0163395101</v>
      </c>
      <c r="D28" s="188">
        <f>'W.EUR OTHER'!D28+'W.EUR INCUMB'!D28</f>
        <v>249971.17064476563</v>
      </c>
      <c r="E28" s="188">
        <f>'W.EUR OTHER'!E28+'W.EUR INCUMB'!E28</f>
        <v>258181.78870945558</v>
      </c>
      <c r="F28" s="188">
        <f>'W.EUR OTHER'!F28+'W.EUR INCUMB'!F28</f>
        <v>256668.8852878082</v>
      </c>
      <c r="G28" s="188">
        <f>'W.EUR OTHER'!G28+'W.EUR INCUMB'!G28</f>
        <v>251220.84202685347</v>
      </c>
      <c r="H28" s="233">
        <f t="shared" si="0"/>
        <v>1.6636514059353846E-3</v>
      </c>
      <c r="I28" s="212"/>
      <c r="J28" s="249" t="s">
        <v>628</v>
      </c>
      <c r="K28" s="249"/>
      <c r="L28" s="249"/>
      <c r="M28" s="249"/>
      <c r="N28" s="220"/>
      <c r="O28" s="220"/>
      <c r="P28" s="220"/>
      <c r="Q28" s="5"/>
      <c r="S28" s="26"/>
      <c r="T28" s="26"/>
      <c r="U28" s="26"/>
      <c r="V28" s="279" t="s">
        <v>434</v>
      </c>
      <c r="W28" s="26"/>
      <c r="X28" s="280">
        <f>'W.EUR OTHER'!E41/M13</f>
        <v>0.78626817573642982</v>
      </c>
      <c r="Y28" s="280">
        <f>'W.EUR INCUMB'!E41/M13</f>
        <v>1.0339896902368815</v>
      </c>
      <c r="Z28" s="281">
        <v>1</v>
      </c>
    </row>
    <row r="29" spans="2:26" ht="12.6" thickTop="1">
      <c r="B29" s="5" t="s">
        <v>489</v>
      </c>
      <c r="C29" s="288">
        <f>'W.EUR OTHER'!C29+'W.EUR INCUMB'!C29</f>
        <v>21179.181169994245</v>
      </c>
      <c r="D29" s="188">
        <f>'W.EUR OTHER'!D29+'W.EUR INCUMB'!D29</f>
        <v>25106.69632034099</v>
      </c>
      <c r="E29" s="188">
        <f>'W.EUR OTHER'!E29+'W.EUR INCUMB'!E29</f>
        <v>30048.105425911679</v>
      </c>
      <c r="F29" s="188">
        <f>'W.EUR OTHER'!F29+'W.EUR INCUMB'!F29</f>
        <v>32059.574127170297</v>
      </c>
      <c r="G29" s="188">
        <f>'W.EUR OTHER'!G29+'W.EUR INCUMB'!G29</f>
        <v>35411.91750704834</v>
      </c>
      <c r="H29" s="233">
        <f t="shared" si="0"/>
        <v>0.12146732559751827</v>
      </c>
      <c r="I29" s="214"/>
      <c r="J29" s="209"/>
      <c r="K29" s="209"/>
      <c r="L29" s="209"/>
      <c r="M29" s="209"/>
      <c r="N29" s="209"/>
      <c r="O29" s="211"/>
      <c r="Q29" s="5"/>
      <c r="S29" s="26"/>
      <c r="T29" s="26"/>
      <c r="U29" s="26"/>
      <c r="V29" s="279" t="s">
        <v>493</v>
      </c>
      <c r="W29" s="26"/>
      <c r="X29" s="280">
        <f>'W.EUR OTHER'!E42/M14</f>
        <v>0.83799914662134356</v>
      </c>
      <c r="Y29" s="280">
        <f>'W.EUR INCUMB'!E42/M14</f>
        <v>1.0363295329981308</v>
      </c>
      <c r="Z29" s="281">
        <v>1</v>
      </c>
    </row>
    <row r="30" spans="2:26">
      <c r="B30" s="5" t="s">
        <v>490</v>
      </c>
      <c r="C30" s="288">
        <f>'W.EUR OTHER'!C30+'W.EUR INCUMB'!C30</f>
        <v>26127.651932324319</v>
      </c>
      <c r="D30" s="188">
        <f>'W.EUR OTHER'!D30+'W.EUR INCUMB'!D30</f>
        <v>28599.139934750368</v>
      </c>
      <c r="E30" s="188">
        <f>'W.EUR OTHER'!E30+'W.EUR INCUMB'!E30</f>
        <v>31536.346658638704</v>
      </c>
      <c r="F30" s="188">
        <f>'W.EUR OTHER'!F30+'W.EUR INCUMB'!F30</f>
        <v>33548.673723706845</v>
      </c>
      <c r="G30" s="188">
        <f>'W.EUR OTHER'!G30+'W.EUR INCUMB'!G30</f>
        <v>37027.688252206237</v>
      </c>
      <c r="H30" s="233">
        <f t="shared" si="0"/>
        <v>8.9911433846041167E-2</v>
      </c>
      <c r="I30" s="214"/>
      <c r="J30" s="208"/>
      <c r="K30" s="208"/>
      <c r="L30" s="208"/>
      <c r="M30" s="208"/>
      <c r="N30" s="208"/>
      <c r="O30" s="5"/>
      <c r="Q30" s="5"/>
      <c r="S30" s="26"/>
      <c r="T30" s="26"/>
      <c r="U30" s="26"/>
      <c r="V30" s="279" t="s">
        <v>390</v>
      </c>
      <c r="W30" s="26"/>
      <c r="X30" s="280">
        <f>'W.EUR OTHER'!E43/M15</f>
        <v>1.3139279745325547</v>
      </c>
      <c r="Y30" s="280">
        <f>'W.EUR INCUMB'!E43/M15</f>
        <v>1.0838111779675224</v>
      </c>
      <c r="Z30" s="281">
        <v>1</v>
      </c>
    </row>
    <row r="31" spans="2:26">
      <c r="B31" s="5" t="s">
        <v>491</v>
      </c>
      <c r="C31" s="288">
        <f>'W.EUR OTHER'!C31+'W.EUR INCUMB'!C31</f>
        <v>16694.002592580367</v>
      </c>
      <c r="D31" s="188">
        <f>'W.EUR OTHER'!D31+'W.EUR INCUMB'!D31</f>
        <v>17060.023003638435</v>
      </c>
      <c r="E31" s="188">
        <f>'W.EUR OTHER'!E31+'W.EUR INCUMB'!E31</f>
        <v>18214.970477979841</v>
      </c>
      <c r="F31" s="188">
        <f>'W.EUR OTHER'!F31+'W.EUR INCUMB'!F31</f>
        <v>20260.394565830065</v>
      </c>
      <c r="G31" s="188">
        <f>'W.EUR OTHER'!G31+'W.EUR INCUMB'!G31</f>
        <v>21106.660940193458</v>
      </c>
      <c r="H31" s="233">
        <f t="shared" si="0"/>
        <v>7.3527828903265258E-2</v>
      </c>
      <c r="I31" s="214"/>
      <c r="J31" s="212"/>
      <c r="K31" s="212"/>
      <c r="L31" s="212"/>
      <c r="M31" s="212"/>
      <c r="N31" s="212"/>
      <c r="O31" s="5"/>
      <c r="Q31" s="5"/>
      <c r="S31" s="26"/>
      <c r="T31" s="26"/>
      <c r="U31" s="26"/>
      <c r="V31" s="279" t="s">
        <v>437</v>
      </c>
      <c r="W31" s="26"/>
      <c r="X31" s="280">
        <f>'W.EUR OTHER'!E44/M16</f>
        <v>1.346221449054928</v>
      </c>
      <c r="Y31" s="280">
        <f>'W.EUR INCUMB'!E44/M16</f>
        <v>1.048867297736747</v>
      </c>
      <c r="Z31" s="281">
        <v>1</v>
      </c>
    </row>
    <row r="32" spans="2:26">
      <c r="B32" s="5" t="s">
        <v>506</v>
      </c>
      <c r="C32" s="288">
        <f>'W.EUR OTHER'!C32+'W.EUR INCUMB'!C32</f>
        <v>0</v>
      </c>
      <c r="D32" s="188">
        <f>'W.EUR OTHER'!D32+'W.EUR INCUMB'!D32</f>
        <v>0</v>
      </c>
      <c r="E32" s="188">
        <f>'W.EUR OTHER'!E32+'W.EUR INCUMB'!E32</f>
        <v>0</v>
      </c>
      <c r="F32" s="188">
        <f>'W.EUR OTHER'!F32+'W.EUR INCUMB'!F32</f>
        <v>0</v>
      </c>
      <c r="G32" s="188">
        <f>'W.EUR OTHER'!G32+'W.EUR INCUMB'!G32</f>
        <v>0</v>
      </c>
      <c r="H32" s="233" t="str">
        <f t="shared" si="0"/>
        <v>nm</v>
      </c>
      <c r="I32" s="5"/>
      <c r="J32" s="214"/>
      <c r="K32" s="214"/>
      <c r="L32" s="214"/>
      <c r="M32" s="214"/>
      <c r="N32" s="214"/>
      <c r="O32" s="211"/>
      <c r="Q32" s="5"/>
      <c r="S32" s="26"/>
      <c r="T32" s="26"/>
      <c r="U32" s="26"/>
      <c r="V32" s="279" t="s">
        <v>481</v>
      </c>
      <c r="W32" s="26"/>
      <c r="X32" s="242">
        <f>N17/'W.EUR OTHER'!E45</f>
        <v>0.98021156887397409</v>
      </c>
      <c r="Y32" s="242">
        <f>N17/'W.EUR INCUMB'!E45</f>
        <v>0.93576397451728832</v>
      </c>
      <c r="Z32" s="281">
        <v>1</v>
      </c>
    </row>
    <row r="33" spans="2:26">
      <c r="B33" s="5" t="s">
        <v>3</v>
      </c>
      <c r="C33" s="288">
        <f>'W.EUR OTHER'!C33+'W.EUR INCUMB'!C33</f>
        <v>13939.067957460818</v>
      </c>
      <c r="D33" s="188">
        <f>'W.EUR OTHER'!D33+'W.EUR INCUMB'!D33</f>
        <v>14908.611721510906</v>
      </c>
      <c r="E33" s="188">
        <f>'W.EUR OTHER'!E33+'W.EUR INCUMB'!E33</f>
        <v>15418.484042208109</v>
      </c>
      <c r="F33" s="188">
        <f>'W.EUR OTHER'!F33+'W.EUR INCUMB'!F33</f>
        <v>15756.94498882534</v>
      </c>
      <c r="G33" s="188">
        <f>'W.EUR OTHER'!G33+'W.EUR INCUMB'!G33</f>
        <v>15828.078891718207</v>
      </c>
      <c r="H33" s="233">
        <f t="shared" si="0"/>
        <v>2.0149139001487626E-2</v>
      </c>
      <c r="I33" s="33"/>
      <c r="J33" s="214"/>
      <c r="K33" s="214"/>
      <c r="L33" s="214"/>
      <c r="M33" s="214"/>
      <c r="N33" s="214"/>
      <c r="O33" s="211"/>
      <c r="Q33" s="5"/>
      <c r="S33" s="26"/>
      <c r="T33" s="26"/>
      <c r="U33" s="26"/>
      <c r="V33" s="282" t="s">
        <v>482</v>
      </c>
      <c r="W33" s="285"/>
      <c r="X33" s="283">
        <f>N19/'W.EUR OTHER'!E47</f>
        <v>1.0435430860422088</v>
      </c>
      <c r="Y33" s="283">
        <f>N19/'W.EUR INCUMB'!E47</f>
        <v>0.86078056275926207</v>
      </c>
      <c r="Z33" s="284">
        <v>1</v>
      </c>
    </row>
    <row r="34" spans="2:26">
      <c r="H34" s="231"/>
      <c r="I34" s="214"/>
      <c r="J34" s="214"/>
      <c r="K34" s="214"/>
      <c r="L34" s="214"/>
      <c r="M34" s="214"/>
      <c r="N34" s="214"/>
      <c r="O34" s="211"/>
      <c r="Q34" s="5"/>
      <c r="S34" s="26"/>
      <c r="T34" s="26"/>
      <c r="U34" s="26"/>
      <c r="V34" s="26"/>
      <c r="W34" s="26"/>
      <c r="X34" s="26"/>
      <c r="Y34" s="242"/>
      <c r="Z34" s="242"/>
    </row>
    <row r="35" spans="2:26"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c r="Y35" s="242"/>
      <c r="Z35" s="242"/>
    </row>
    <row r="36" spans="2:26" ht="12.6" thickTop="1">
      <c r="B36" s="25"/>
      <c r="C36" s="209"/>
      <c r="D36" s="214"/>
      <c r="E36" s="214"/>
      <c r="F36" s="214"/>
      <c r="G36" s="214"/>
      <c r="H36" s="214"/>
      <c r="I36" s="5"/>
      <c r="J36" s="33"/>
      <c r="K36" s="33"/>
      <c r="L36" s="33"/>
      <c r="M36" s="33"/>
      <c r="N36" s="33"/>
      <c r="O36" s="33"/>
      <c r="Q36" s="5"/>
      <c r="R36" s="5"/>
      <c r="S36" s="26"/>
      <c r="T36" s="26"/>
      <c r="U36" s="26"/>
      <c r="V36" s="26"/>
      <c r="W36" s="26"/>
      <c r="X36" s="26"/>
      <c r="Y36" s="26"/>
      <c r="Z36" s="26"/>
    </row>
    <row r="37" spans="2:26">
      <c r="B37" s="5" t="s">
        <v>225</v>
      </c>
      <c r="C37" s="207"/>
      <c r="D37" s="48">
        <f t="shared" ref="D37:G41" si="1">D$18/D23</f>
        <v>2.2152715475772888</v>
      </c>
      <c r="E37" s="48">
        <f t="shared" si="1"/>
        <v>2.0962244020556322</v>
      </c>
      <c r="F37" s="48">
        <f t="shared" si="1"/>
        <v>1.9803745954714511</v>
      </c>
      <c r="G37" s="48">
        <f t="shared" si="1"/>
        <v>1.8598093667617221</v>
      </c>
      <c r="H37" s="13">
        <f t="shared" ref="H37:H45" si="2">H23</f>
        <v>2.7524577962217522E-2</v>
      </c>
      <c r="I37" s="217"/>
      <c r="J37" s="217"/>
      <c r="K37" s="217"/>
      <c r="L37" s="217"/>
      <c r="M37" s="217"/>
      <c r="N37" s="217"/>
      <c r="O37" s="14"/>
      <c r="Q37" s="5"/>
      <c r="R37" s="5"/>
      <c r="S37" s="26"/>
      <c r="T37" s="26"/>
      <c r="U37" s="26"/>
      <c r="V37" s="26"/>
      <c r="W37" s="26"/>
      <c r="X37" s="26"/>
      <c r="Y37" s="26"/>
      <c r="Z37" s="26"/>
    </row>
    <row r="38" spans="2:26">
      <c r="B38" s="5" t="s">
        <v>158</v>
      </c>
      <c r="C38" s="207"/>
      <c r="D38" s="48">
        <f t="shared" si="1"/>
        <v>7.4773904236272051</v>
      </c>
      <c r="E38" s="48">
        <f t="shared" si="1"/>
        <v>6.9130154715247336</v>
      </c>
      <c r="F38" s="48">
        <f t="shared" si="1"/>
        <v>6.3827857260402343</v>
      </c>
      <c r="G38" s="48">
        <f t="shared" si="1"/>
        <v>5.890417271682165</v>
      </c>
      <c r="H38" s="13">
        <f t="shared" si="2"/>
        <v>4.9560242899170603E-2</v>
      </c>
      <c r="I38" s="13"/>
      <c r="J38" s="13"/>
      <c r="K38" s="13"/>
      <c r="L38" s="13"/>
      <c r="M38" s="13"/>
      <c r="N38" s="13"/>
      <c r="O38" s="5"/>
      <c r="Q38" s="5"/>
      <c r="R38" s="5"/>
      <c r="S38" s="26"/>
      <c r="T38" s="26"/>
      <c r="U38" s="26"/>
      <c r="V38" s="26"/>
      <c r="W38" s="26"/>
      <c r="X38" s="26"/>
      <c r="Y38" s="26"/>
      <c r="Z38" s="26"/>
    </row>
    <row r="39" spans="2:26">
      <c r="B39" s="5" t="s">
        <v>159</v>
      </c>
      <c r="C39" s="207"/>
      <c r="D39" s="48">
        <f t="shared" si="1"/>
        <v>14.87295066951252</v>
      </c>
      <c r="E39" s="48">
        <f t="shared" si="1"/>
        <v>12.950937798808235</v>
      </c>
      <c r="F39" s="48">
        <f t="shared" si="1"/>
        <v>11.389929447169648</v>
      </c>
      <c r="G39" s="48">
        <f t="shared" si="1"/>
        <v>10.196268773407917</v>
      </c>
      <c r="H39" s="13">
        <f t="shared" si="2"/>
        <v>9.9321343708852261E-2</v>
      </c>
      <c r="I39" s="5"/>
      <c r="J39" s="5"/>
      <c r="K39" s="5"/>
      <c r="L39" s="5"/>
      <c r="M39" s="5"/>
      <c r="N39" s="5"/>
      <c r="O39" s="5"/>
      <c r="Q39" s="5"/>
      <c r="R39" s="5"/>
      <c r="S39" s="26"/>
      <c r="T39" s="26"/>
      <c r="U39" s="26"/>
      <c r="V39" s="26"/>
      <c r="W39" s="242"/>
      <c r="X39" s="242"/>
      <c r="Y39" s="26"/>
      <c r="Z39" s="26"/>
    </row>
    <row r="40" spans="2:26">
      <c r="B40" s="5" t="s">
        <v>381</v>
      </c>
      <c r="C40" s="207"/>
      <c r="D40" s="48">
        <f t="shared" si="1"/>
        <v>20.06528471001926</v>
      </c>
      <c r="E40" s="48">
        <f t="shared" si="1"/>
        <v>17.487779921550327</v>
      </c>
      <c r="F40" s="48">
        <f t="shared" si="1"/>
        <v>15.357302547452521</v>
      </c>
      <c r="G40" s="48">
        <f t="shared" si="1"/>
        <v>13.722352544508173</v>
      </c>
      <c r="H40" s="13">
        <f t="shared" si="2"/>
        <v>0.10021684610056658</v>
      </c>
      <c r="I40" s="207"/>
      <c r="J40" s="217"/>
      <c r="K40" s="217"/>
      <c r="L40" s="217"/>
      <c r="M40" s="217"/>
      <c r="N40" s="217"/>
      <c r="O40" s="14"/>
      <c r="Q40" s="5"/>
      <c r="R40" s="5"/>
      <c r="S40" s="26"/>
      <c r="T40" s="26"/>
      <c r="U40" s="26"/>
      <c r="V40" s="26"/>
      <c r="W40" s="242"/>
      <c r="X40" s="242"/>
      <c r="Y40" s="242"/>
      <c r="Z40" s="242"/>
    </row>
    <row r="41" spans="2:26">
      <c r="B41" s="5" t="s">
        <v>434</v>
      </c>
      <c r="C41" s="207"/>
      <c r="D41" s="48">
        <f t="shared" si="1"/>
        <v>1.5439330457480944</v>
      </c>
      <c r="E41" s="48">
        <f t="shared" si="1"/>
        <v>1.4760016045582438</v>
      </c>
      <c r="F41" s="48">
        <f t="shared" si="1"/>
        <v>1.4072142984990452</v>
      </c>
      <c r="G41" s="48">
        <f t="shared" si="1"/>
        <v>1.3431833972824763</v>
      </c>
      <c r="H41" s="13">
        <f t="shared" si="2"/>
        <v>1.5399834902600107E-2</v>
      </c>
      <c r="I41" s="208"/>
      <c r="J41" s="13"/>
      <c r="K41" s="13"/>
      <c r="L41" s="13"/>
      <c r="M41" s="13"/>
      <c r="N41" s="13"/>
      <c r="O41" s="5"/>
      <c r="Q41" s="5"/>
      <c r="R41" s="5"/>
      <c r="S41" s="26"/>
      <c r="T41" s="26"/>
      <c r="U41" s="26"/>
      <c r="V41" s="26"/>
      <c r="W41" s="242"/>
      <c r="X41" s="242"/>
      <c r="Y41" s="242"/>
      <c r="Z41" s="242"/>
    </row>
    <row r="42" spans="2:26">
      <c r="B42" s="5" t="s">
        <v>493</v>
      </c>
      <c r="C42" s="207"/>
      <c r="D42" s="48">
        <f>D18/D28</f>
        <v>3.6059411304529347</v>
      </c>
      <c r="E42" s="48">
        <f>E18/E28</f>
        <v>3.4223185230552282</v>
      </c>
      <c r="F42" s="48">
        <f>F18/F28</f>
        <v>3.3450678254772863</v>
      </c>
      <c r="G42" s="48">
        <f>G18/G28</f>
        <v>3.2679169201070426</v>
      </c>
      <c r="H42" s="13">
        <f t="shared" si="2"/>
        <v>1.6636514059353846E-3</v>
      </c>
      <c r="I42" s="207"/>
      <c r="J42" s="5"/>
      <c r="K42" s="5"/>
      <c r="L42" s="5"/>
      <c r="M42" s="5"/>
      <c r="N42" s="5"/>
      <c r="O42" s="5"/>
      <c r="Q42" s="5"/>
      <c r="R42" s="5"/>
      <c r="S42" s="26"/>
      <c r="T42" s="26"/>
      <c r="U42" s="26"/>
      <c r="V42" s="26"/>
      <c r="W42" s="242"/>
      <c r="X42" s="242"/>
      <c r="Y42" s="242"/>
      <c r="Z42" s="242"/>
    </row>
    <row r="43" spans="2:26">
      <c r="B43" s="5" t="s">
        <v>390</v>
      </c>
      <c r="C43" s="207"/>
      <c r="D43" s="48">
        <f>L26/D29</f>
        <v>18.197982845763626</v>
      </c>
      <c r="E43" s="48">
        <f>M26/E29</f>
        <v>15.041860685202824</v>
      </c>
      <c r="F43" s="48">
        <f>N26/F29</f>
        <v>14.067007225839037</v>
      </c>
      <c r="G43" s="48">
        <f>O26/G29</f>
        <v>12.7066767194282</v>
      </c>
      <c r="H43" s="13">
        <f t="shared" si="2"/>
        <v>0.12146732559751827</v>
      </c>
      <c r="I43" s="207"/>
      <c r="J43" s="207"/>
      <c r="K43" s="207"/>
      <c r="L43" s="207"/>
      <c r="M43" s="207"/>
      <c r="N43" s="207"/>
      <c r="O43" s="14"/>
      <c r="Q43" s="5"/>
      <c r="R43" s="5"/>
      <c r="S43" s="26"/>
      <c r="T43" s="26"/>
      <c r="U43" s="26"/>
      <c r="V43" s="26"/>
      <c r="W43" s="255"/>
      <c r="X43" s="255"/>
      <c r="Y43" s="242"/>
      <c r="Z43" s="242"/>
    </row>
    <row r="44" spans="2:26">
      <c r="B44" s="5" t="s">
        <v>437</v>
      </c>
      <c r="C44" s="53"/>
      <c r="D44" s="48">
        <f>D11/D30</f>
        <v>15.506910336782711</v>
      </c>
      <c r="E44" s="48">
        <f>E11/E30</f>
        <v>13.955455658310074</v>
      </c>
      <c r="F44" s="48">
        <f>F11/F30</f>
        <v>13.092863918169753</v>
      </c>
      <c r="G44" s="48">
        <f>G11/G30</f>
        <v>11.839477821763449</v>
      </c>
      <c r="H44" s="13">
        <f t="shared" si="2"/>
        <v>8.9911433846041167E-2</v>
      </c>
      <c r="I44" s="208"/>
      <c r="J44" s="208"/>
      <c r="K44" s="208"/>
      <c r="L44" s="208"/>
      <c r="M44" s="208"/>
      <c r="N44" s="208"/>
      <c r="O44" s="208"/>
      <c r="Q44" s="5"/>
      <c r="R44" s="5"/>
      <c r="S44" s="26"/>
      <c r="T44" s="26"/>
      <c r="U44" s="26"/>
      <c r="V44" s="26"/>
      <c r="W44" s="26"/>
      <c r="X44" s="26"/>
      <c r="Y44" s="255"/>
      <c r="Z44" s="255"/>
    </row>
    <row r="45" spans="2:26">
      <c r="B45" s="5" t="s">
        <v>481</v>
      </c>
      <c r="C45" s="207"/>
      <c r="D45" s="208">
        <f>D31/D11</f>
        <v>3.8468155590899604E-2</v>
      </c>
      <c r="E45" s="208">
        <f>E31/E11</f>
        <v>4.1387869366930501E-2</v>
      </c>
      <c r="F45" s="208">
        <f>F31/F11</f>
        <v>4.6125160347120817E-2</v>
      </c>
      <c r="G45" s="208">
        <f>G31/G11</f>
        <v>4.8146019423728065E-2</v>
      </c>
      <c r="H45" s="13">
        <f t="shared" si="2"/>
        <v>7.3527828903265258E-2</v>
      </c>
      <c r="I45" s="207"/>
      <c r="J45" s="207"/>
      <c r="K45" s="207"/>
      <c r="L45" s="207"/>
      <c r="M45" s="207"/>
      <c r="N45" s="207"/>
      <c r="O45" s="208"/>
      <c r="Q45" s="5"/>
      <c r="R45" s="5"/>
      <c r="S45" s="26"/>
      <c r="T45" s="26"/>
      <c r="U45" s="26"/>
      <c r="V45" s="26"/>
      <c r="W45" s="26"/>
      <c r="X45" s="26"/>
      <c r="Y45" s="26"/>
      <c r="Z45" s="26"/>
    </row>
    <row r="46" spans="2:26">
      <c r="B46" s="5" t="s">
        <v>505</v>
      </c>
      <c r="C46" s="207"/>
      <c r="D46" s="208">
        <f>(D31+D32)/D11</f>
        <v>3.8468155590899604E-2</v>
      </c>
      <c r="E46" s="208">
        <f>(E31+E32)/E11</f>
        <v>4.1387869366930501E-2</v>
      </c>
      <c r="F46" s="208">
        <f>(F31+F32)/F11</f>
        <v>4.6125160347120817E-2</v>
      </c>
      <c r="G46" s="208">
        <f>(G31+G32)/G11</f>
        <v>4.8146019423728065E-2</v>
      </c>
      <c r="H46" s="233">
        <f>((G31+G32)/(D31+D32))^(1/3)-1</f>
        <v>7.3527828903265258E-2</v>
      </c>
      <c r="I46" s="13"/>
      <c r="J46" s="207"/>
      <c r="K46" s="207"/>
      <c r="L46" s="207"/>
      <c r="M46" s="207"/>
      <c r="N46" s="207"/>
      <c r="O46" s="14"/>
      <c r="Q46" s="5"/>
      <c r="R46" s="5"/>
      <c r="S46" s="26"/>
      <c r="T46" s="26"/>
      <c r="U46" s="26"/>
      <c r="V46" s="26"/>
      <c r="W46" s="26"/>
      <c r="X46" s="26"/>
      <c r="Y46" s="26"/>
      <c r="Z46" s="26"/>
    </row>
    <row r="47" spans="2:26">
      <c r="B47" s="5" t="s">
        <v>482</v>
      </c>
      <c r="C47" s="5"/>
      <c r="D47" s="208">
        <f>1/D43</f>
        <v>5.4951145326131219E-2</v>
      </c>
      <c r="E47" s="208">
        <f>1/E43</f>
        <v>6.6481136936983667E-2</v>
      </c>
      <c r="F47" s="208">
        <f>1/F43</f>
        <v>7.1088326318845291E-2</v>
      </c>
      <c r="G47" s="208">
        <f>1/G43</f>
        <v>7.8698783488449359E-2</v>
      </c>
      <c r="H47" s="13">
        <f>H29</f>
        <v>0.12146732559751827</v>
      </c>
      <c r="I47" s="207"/>
      <c r="J47" s="208"/>
      <c r="K47" s="208"/>
      <c r="L47" s="208"/>
      <c r="M47" s="208"/>
      <c r="N47" s="208"/>
      <c r="O47" s="208"/>
      <c r="Q47" s="5"/>
      <c r="R47" s="5"/>
      <c r="S47" s="5"/>
      <c r="T47" s="5"/>
      <c r="U47" s="5"/>
    </row>
    <row r="48" spans="2:26">
      <c r="B48" s="5" t="s">
        <v>518</v>
      </c>
      <c r="C48" s="5"/>
      <c r="D48" s="248">
        <f>D31/D29</f>
        <v>0.67950091027375481</v>
      </c>
      <c r="E48" s="248">
        <f>E31/E29</f>
        <v>0.60619364248743435</v>
      </c>
      <c r="F48" s="248">
        <f>F31/F29</f>
        <v>0.63196081412259009</v>
      </c>
      <c r="G48" s="248">
        <f>G31/G29</f>
        <v>0.5960327038487091</v>
      </c>
      <c r="H48" s="13" t="s">
        <v>507</v>
      </c>
      <c r="I48" s="217"/>
      <c r="J48" s="207"/>
      <c r="K48" s="207"/>
      <c r="L48" s="207"/>
      <c r="M48" s="207"/>
      <c r="N48" s="207"/>
      <c r="O48" s="208"/>
      <c r="Q48" s="5"/>
      <c r="R48" s="5"/>
      <c r="S48" s="5"/>
      <c r="T48" s="5"/>
      <c r="U48" s="5"/>
    </row>
  </sheetData>
  <pageMargins left="0.75" right="0.75" top="1" bottom="1" header="0.5" footer="0.5"/>
  <pageSetup scale="7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54">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449</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79</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ASIA'!D37</f>
        <v>1.6546325141963947</v>
      </c>
      <c r="M9" s="48">
        <f>'AGG ASIA'!E37</f>
        <v>1.5007681674772528</v>
      </c>
      <c r="N9" s="48">
        <f>'AGG ASIA'!F37</f>
        <v>1.3684556555089806</v>
      </c>
      <c r="O9" s="48">
        <f>'AGG ASIA'!G37</f>
        <v>1.2053967419263034</v>
      </c>
      <c r="P9" s="13">
        <f>'EM INCUMB'!H37</f>
        <v>3.3156379224546617E-2</v>
      </c>
    </row>
    <row r="10" spans="2:63">
      <c r="B10" s="5" t="s">
        <v>226</v>
      </c>
      <c r="C10" s="5"/>
      <c r="D10" s="258"/>
      <c r="E10" s="258"/>
      <c r="F10" s="258"/>
      <c r="G10" s="258"/>
      <c r="H10" s="207"/>
      <c r="I10" s="207"/>
      <c r="J10" s="5" t="s">
        <v>158</v>
      </c>
      <c r="L10" s="48">
        <f>'AGG ASIA'!D38</f>
        <v>5.4714312506753409</v>
      </c>
      <c r="M10" s="48">
        <f>'AGG ASIA'!E38</f>
        <v>4.8649078523420659</v>
      </c>
      <c r="N10" s="48">
        <f>'AGG ASIA'!F38</f>
        <v>4.3794583139377687</v>
      </c>
      <c r="O10" s="48">
        <f>'AGG ASIA'!G38</f>
        <v>3.8125056158435671</v>
      </c>
      <c r="P10" s="13">
        <f>'EM INCUMB'!H38</f>
        <v>3.9422751898065433E-2</v>
      </c>
    </row>
    <row r="11" spans="2:63">
      <c r="B11" s="25" t="s">
        <v>290</v>
      </c>
      <c r="C11" s="5"/>
      <c r="D11" s="225">
        <f>(SINGTEL!D11/Prices!$C$156)+(NTT!D11/Prices!$C$141*1000)</f>
        <v>136390.51460114386</v>
      </c>
      <c r="E11" s="225">
        <f>(SINGTEL!E11/Prices!$C$156)+(NTT!E11/Prices!$C$141*1000)</f>
        <v>134344.07490348472</v>
      </c>
      <c r="F11" s="225">
        <f>(SINGTEL!F11/Prices!$C$156)+(NTT!F11/Prices!$C$141*1000)</f>
        <v>132303.55425117264</v>
      </c>
      <c r="G11" s="225">
        <f>(SINGTEL!G11/Prices!$C$156)+(NTT!G11/Prices!$C$141*1000)</f>
        <v>130268.89345375425</v>
      </c>
      <c r="H11" s="209"/>
      <c r="I11" s="209"/>
      <c r="J11" s="5" t="s">
        <v>159</v>
      </c>
      <c r="L11" s="48">
        <f>'AGG ASIA'!D39</f>
        <v>10.296487662141885</v>
      </c>
      <c r="M11" s="48">
        <f>'AGG ASIA'!E39</f>
        <v>8.677188403650085</v>
      </c>
      <c r="N11" s="48">
        <f>'AGG ASIA'!F39</f>
        <v>7.4738693951618984</v>
      </c>
      <c r="O11" s="48">
        <f>'AGG ASIA'!G39</f>
        <v>6.2879364432167062</v>
      </c>
      <c r="P11" s="13">
        <f>'EM INCUMB'!H39</f>
        <v>7.4677565269395396E-2</v>
      </c>
    </row>
    <row r="12" spans="2:63">
      <c r="B12" s="5" t="s">
        <v>191</v>
      </c>
      <c r="C12" s="209"/>
      <c r="D12" s="188">
        <f>(SINGTEL!D12/Prices!$C$156)+(NTT!D12/Prices!$C$141*1000)</f>
        <v>46938.808376942383</v>
      </c>
      <c r="E12" s="188">
        <f>(SINGTEL!E12/Prices!$C$156)+(NTT!E12/Prices!$C$141*1000)</f>
        <v>46483.530623476734</v>
      </c>
      <c r="F12" s="188">
        <f>(SINGTEL!F12/Prices!$C$156)+(NTT!F12/Prices!$C$141*1000)</f>
        <v>44941.443186556127</v>
      </c>
      <c r="G12" s="188">
        <f>(SINGTEL!G12/Prices!$C$156)+(NTT!G12/Prices!$C$141*1000)</f>
        <v>42271.456762881222</v>
      </c>
      <c r="H12" s="207"/>
      <c r="I12" s="207"/>
      <c r="J12" s="5" t="s">
        <v>381</v>
      </c>
      <c r="L12" s="48">
        <f>'AGG ASIA'!D40</f>
        <v>13.48645783507436</v>
      </c>
      <c r="M12" s="48">
        <f>'AGG ASIA'!E40</f>
        <v>11.466604638644563</v>
      </c>
      <c r="N12" s="48">
        <f>'AGG ASIA'!F40</f>
        <v>9.9015273036585221</v>
      </c>
      <c r="O12" s="48">
        <f>'AGG ASIA'!G40</f>
        <v>8.335134074574027</v>
      </c>
      <c r="P12" s="13">
        <f>'EM INCUMB'!H40</f>
        <v>7.4753911091564262E-2</v>
      </c>
    </row>
    <row r="13" spans="2:63">
      <c r="B13" s="5" t="s">
        <v>433</v>
      </c>
      <c r="C13" s="216"/>
      <c r="D13" s="188">
        <f>(SINGTEL!D13/Prices!$C$156)+(NTT!D13/Prices!$C$141*1000)</f>
        <v>7266.1471551844179</v>
      </c>
      <c r="E13" s="188">
        <f>(SINGTEL!E13/Prices!$C$156)+(NTT!E13/Prices!$C$141*1000)</f>
        <v>7266.1471551844179</v>
      </c>
      <c r="F13" s="188">
        <f>(SINGTEL!F13/Prices!$C$156)+(NTT!F13/Prices!$C$141*1000)</f>
        <v>7266.1471551844179</v>
      </c>
      <c r="G13" s="188">
        <f>(SINGTEL!G13/Prices!$C$156)+(NTT!G13/Prices!$C$141*1000)</f>
        <v>7266.1471551844179</v>
      </c>
      <c r="H13" s="207"/>
      <c r="I13" s="207"/>
      <c r="J13" s="5" t="s">
        <v>434</v>
      </c>
      <c r="L13" s="48">
        <f>'AGG ASIA'!D41</f>
        <v>1.4426057669592067</v>
      </c>
      <c r="M13" s="48">
        <f>'AGG ASIA'!E41</f>
        <v>1.3612286752859584</v>
      </c>
      <c r="N13" s="48">
        <f>'AGG ASIA'!F41</f>
        <v>1.2619742755384344</v>
      </c>
      <c r="O13" s="48">
        <f>'AGG ASIA'!G41</f>
        <v>1.1635222217407888</v>
      </c>
      <c r="P13" s="13">
        <f>'EM INCUMB'!H41</f>
        <v>-4.7737778021701427E-3</v>
      </c>
    </row>
    <row r="14" spans="2:63">
      <c r="B14" s="5" t="s">
        <v>436</v>
      </c>
      <c r="C14" s="228"/>
      <c r="D14" s="188">
        <f>(SINGTEL!D14/Prices!$C$156)+(NTT!D14/Prices!$C$141*1000)</f>
        <v>3907.889128027985</v>
      </c>
      <c r="E14" s="188">
        <f>(SINGTEL!E14/Prices!$C$156)+(NTT!E14/Prices!$C$141*1000)</f>
        <v>3907.889128027985</v>
      </c>
      <c r="F14" s="188">
        <f>(SINGTEL!F14/Prices!$C$156)+(NTT!F14/Prices!$C$141*1000)</f>
        <v>3907.889128027985</v>
      </c>
      <c r="G14" s="188">
        <f>(SINGTEL!G14/Prices!$C$156)+(NTT!G14/Prices!$C$141*1000)</f>
        <v>3907.889128027985</v>
      </c>
      <c r="H14" s="207"/>
      <c r="I14" s="207"/>
      <c r="J14" s="5" t="s">
        <v>493</v>
      </c>
      <c r="L14" s="48">
        <f>'AGG ASIA'!D42</f>
        <v>2.3408654341179913</v>
      </c>
      <c r="M14" s="48">
        <f>'AGG ASIA'!E42</f>
        <v>2.2852729362747279</v>
      </c>
      <c r="N14" s="48">
        <f>'AGG ASIA'!F42</f>
        <v>2.255290257669587</v>
      </c>
      <c r="O14" s="48">
        <f>'AGG ASIA'!G42</f>
        <v>2.1555826602593355</v>
      </c>
      <c r="P14" s="13">
        <f>'EM INCUMB'!H42</f>
        <v>-7.2947911627430417E-2</v>
      </c>
    </row>
    <row r="15" spans="2:63">
      <c r="B15" s="5" t="s">
        <v>435</v>
      </c>
      <c r="C15" s="216"/>
      <c r="D15" s="188">
        <f>(SINGTEL!D15/Prices!$C$156)+(NTT!D15/Prices!$C$141*1000)</f>
        <v>21114.869623144867</v>
      </c>
      <c r="E15" s="188">
        <f>(SINGTEL!E15/Prices!$C$156)+(NTT!E15/Prices!$C$141*1000)</f>
        <v>21114.869623144867</v>
      </c>
      <c r="F15" s="188">
        <f>(SINGTEL!F15/Prices!$C$156)+(NTT!F15/Prices!$C$141*1000)</f>
        <v>21114.869623144867</v>
      </c>
      <c r="G15" s="188">
        <f>(SINGTEL!G15/Prices!$C$156)+(NTT!G15/Prices!$C$141*1000)</f>
        <v>21114.869623144867</v>
      </c>
      <c r="H15" s="207"/>
      <c r="I15" s="207"/>
      <c r="J15" s="5" t="s">
        <v>390</v>
      </c>
      <c r="L15" s="48">
        <f>'AGG ASIA'!D43</f>
        <v>21.250536083913246</v>
      </c>
      <c r="M15" s="48">
        <f>'AGG ASIA'!E43</f>
        <v>17.530788067646689</v>
      </c>
      <c r="N15" s="48">
        <f>'AGG ASIA'!F43</f>
        <v>15.270858099788047</v>
      </c>
      <c r="O15" s="48">
        <f>'AGG ASIA'!G43</f>
        <v>13.495467638020534</v>
      </c>
      <c r="P15" s="13">
        <f>'EM INCUMB'!H43</f>
        <v>0.11011215571418109</v>
      </c>
    </row>
    <row r="16" spans="2:63">
      <c r="B16" s="5" t="s">
        <v>438</v>
      </c>
      <c r="C16" s="216"/>
      <c r="D16" s="188">
        <f>(SINGTEL!D16/Prices!$C$156)+(NTT!D16/Prices!$C$141*1000)</f>
        <v>0</v>
      </c>
      <c r="E16" s="188">
        <f>(SINGTEL!E16/Prices!$C$156)+(NTT!E16/Prices!$C$141*1000)</f>
        <v>5551.3023838638956</v>
      </c>
      <c r="F16" s="188">
        <f>(SINGTEL!F16/Prices!$C$156)+(NTT!F16/Prices!$C$141*1000)</f>
        <v>11508.160073366216</v>
      </c>
      <c r="G16" s="188">
        <f>(SINGTEL!G16/Prices!$C$156)+(NTT!G16/Prices!$C$141*1000)</f>
        <v>17581.272669240454</v>
      </c>
      <c r="H16" s="207"/>
      <c r="I16" s="207"/>
      <c r="J16" s="5" t="s">
        <v>437</v>
      </c>
      <c r="L16" s="48">
        <f>'AGG ASIA'!D44</f>
        <v>15.415917947449943</v>
      </c>
      <c r="M16" s="48">
        <f>'AGG ASIA'!E44</f>
        <v>13.638126013052302</v>
      </c>
      <c r="N16" s="48">
        <f>'AGG ASIA'!F44</f>
        <v>12.145979810396019</v>
      </c>
      <c r="O16" s="48">
        <f>'AGG ASIA'!G44</f>
        <v>10.894554603963979</v>
      </c>
      <c r="P16" s="13">
        <f>'EM INCUMB'!H44</f>
        <v>0.11132061006560745</v>
      </c>
    </row>
    <row r="17" spans="2:24">
      <c r="B17" s="5" t="s">
        <v>4</v>
      </c>
      <c r="C17" s="216"/>
      <c r="D17" s="188">
        <f>(SINGTEL!D17/Prices!$C$156)+(NTT!D17/Prices!$C$141*1000)</f>
        <v>0</v>
      </c>
      <c r="E17" s="188">
        <f>(SINGTEL!E17/Prices!$C$156)+(NTT!E17/Prices!$C$141*1000)</f>
        <v>0</v>
      </c>
      <c r="F17" s="188">
        <f>(SINGTEL!F17/Prices!$C$156)+(NTT!F17/Prices!$C$141*1000)</f>
        <v>0</v>
      </c>
      <c r="G17" s="188">
        <f>(SINGTEL!G17/Prices!$C$156)+(NTT!G17/Prices!$C$141*1000)</f>
        <v>0</v>
      </c>
      <c r="H17" s="207"/>
      <c r="I17" s="207"/>
      <c r="J17" s="5" t="s">
        <v>481</v>
      </c>
      <c r="L17" s="208">
        <f>'AGG ASIA'!D45</f>
        <v>4.5285216981532476E-2</v>
      </c>
      <c r="M17" s="208">
        <f>'AGG ASIA'!E45</f>
        <v>5.0130900526114699E-2</v>
      </c>
      <c r="N17" s="208">
        <f>'AGG ASIA'!F45</f>
        <v>5.491733739182586E-2</v>
      </c>
      <c r="O17" s="208">
        <f>'AGG ASIA'!G45</f>
        <v>5.9959249470281292E-2</v>
      </c>
      <c r="P17" s="13">
        <f>'EM INCUMB'!H45</f>
        <v>0.12973671135672182</v>
      </c>
      <c r="S17" s="72"/>
      <c r="T17" s="72"/>
      <c r="U17" s="72"/>
      <c r="V17" s="26"/>
      <c r="W17" s="26"/>
      <c r="X17" s="26"/>
    </row>
    <row r="18" spans="2:24" ht="12.6" thickBot="1">
      <c r="B18" s="25" t="s">
        <v>291</v>
      </c>
      <c r="C18" s="209"/>
      <c r="D18" s="229">
        <f>(SINGTEL!D18/Prices!$C$156)+(NTT!D18/Prices!$C$141*1000)</f>
        <v>207802.45062838754</v>
      </c>
      <c r="E18" s="229">
        <f>(SINGTEL!E18/Prices!$C$156)+(NTT!E18/Prices!$C$141*1000)</f>
        <v>199749.43079339882</v>
      </c>
      <c r="F18" s="229">
        <f>(SINGTEL!F18/Prices!$C$156)+(NTT!F18/Prices!$C$141*1000)</f>
        <v>190209.96501466387</v>
      </c>
      <c r="G18" s="229">
        <f>(SINGTEL!G18/Prices!$C$156)+(NTT!G18/Prices!$C$141*1000)</f>
        <v>179432.20519769631</v>
      </c>
      <c r="H18" s="230">
        <f>IF(D18=0,"nm",IF(G18=0,"nm",(G18/D18)^(1/3)-1))</f>
        <v>-4.7752349282422557E-2</v>
      </c>
      <c r="I18" s="214"/>
      <c r="J18" s="5" t="s">
        <v>33</v>
      </c>
      <c r="L18" s="208">
        <f>'AGG ASIA'!D46</f>
        <v>4.8595015040050725E-2</v>
      </c>
      <c r="M18" s="208">
        <f>'AGG ASIA'!E46</f>
        <v>5.2362950008575063E-2</v>
      </c>
      <c r="N18" s="208">
        <f>'AGG ASIA'!F46</f>
        <v>2.2740395945155287E-2</v>
      </c>
      <c r="O18" s="208">
        <f>'AGG ASIA'!G46</f>
        <v>6.7129283981726337E-2</v>
      </c>
      <c r="P18" s="13">
        <f>'EM INCUMB'!H46</f>
        <v>0.13923562780326715</v>
      </c>
      <c r="S18" s="72"/>
      <c r="T18" s="72"/>
      <c r="U18" s="72"/>
      <c r="V18" s="26"/>
      <c r="W18" s="26"/>
      <c r="X18" s="26"/>
    </row>
    <row r="19" spans="2:24" ht="12.6" thickTop="1">
      <c r="B19" s="25"/>
      <c r="C19" s="209"/>
      <c r="D19" s="189"/>
      <c r="E19" s="189"/>
      <c r="F19" s="189"/>
      <c r="G19" s="189"/>
      <c r="H19" s="230"/>
      <c r="I19" s="13"/>
      <c r="J19" s="5" t="s">
        <v>482</v>
      </c>
      <c r="L19" s="208">
        <f>'AGG ASIA'!D47</f>
        <v>4.705763638391243E-2</v>
      </c>
      <c r="M19" s="208">
        <f>'AGG ASIA'!E47</f>
        <v>5.7042501235042238E-2</v>
      </c>
      <c r="N19" s="208">
        <f>'AGG ASIA'!F47</f>
        <v>6.5484204847262611E-2</v>
      </c>
      <c r="O19" s="208">
        <f>'AGG ASIA'!G47</f>
        <v>7.4098951353320897E-2</v>
      </c>
      <c r="P19" s="13">
        <f>'EM INCUMB'!H47</f>
        <v>0.11011215571418109</v>
      </c>
      <c r="S19" s="72"/>
      <c r="T19" s="72"/>
      <c r="U19" s="72"/>
      <c r="V19" s="26"/>
      <c r="W19" s="26"/>
      <c r="X19" s="26"/>
    </row>
    <row r="20" spans="2:24">
      <c r="H20" s="231"/>
      <c r="I20" s="33"/>
      <c r="J20" s="5" t="s">
        <v>504</v>
      </c>
      <c r="L20" s="208">
        <f>'AGG ASIA'!D48</f>
        <v>0.79883832696470713</v>
      </c>
      <c r="M20" s="208">
        <f>'AGG ASIA'!E48</f>
        <v>0.73137801960913562</v>
      </c>
      <c r="N20" s="208">
        <f>'AGG ASIA'!F48</f>
        <v>0.70377343836635131</v>
      </c>
      <c r="O20" s="208">
        <f>'AGG ASIA'!G48</f>
        <v>0.68761378653437033</v>
      </c>
      <c r="P20" s="13" t="str">
        <f>'EM INCUMB'!H48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(SINGTEL!C23/Prices!$C$156)+(NTT!C23/Prices!$C$141*1000)</f>
        <v>96857.14223144429</v>
      </c>
      <c r="D23" s="188">
        <f>(SINGTEL!D23/Prices!$C$156)+(NTT!D23/Prices!$C$141*1000)</f>
        <v>100541.04743874961</v>
      </c>
      <c r="E23" s="188">
        <f>(SINGTEL!E23/Prices!$C$156)+(NTT!E23/Prices!$C$141*1000)</f>
        <v>104643.50121758759</v>
      </c>
      <c r="F23" s="188">
        <f>(SINGTEL!F23/Prices!$C$156)+(NTT!F23/Prices!$C$141*1000)</f>
        <v>108817.88128882366</v>
      </c>
      <c r="G23" s="188">
        <f>(SINGTEL!G23/Prices!$C$156)+(NTT!G23/Prices!$C$141*1000)</f>
        <v>113072.03029463935</v>
      </c>
      <c r="H23" s="233">
        <f t="shared" ref="H23:H33" si="0">IF(D23=0,"nm",IF(G23=0,"nm",(G23/D23)^(1/3)-1))</f>
        <v>3.9929572223155851E-2</v>
      </c>
      <c r="I23" s="209"/>
      <c r="J23" s="249" t="s">
        <v>7</v>
      </c>
      <c r="K23" s="249"/>
      <c r="L23" s="219" t="str">
        <f>L5</f>
        <v>2025E</v>
      </c>
      <c r="M23" s="219" t="str">
        <f>M5</f>
        <v>2026E</v>
      </c>
      <c r="N23" s="219" t="str">
        <f>N5</f>
        <v>2027E</v>
      </c>
      <c r="O23" s="219" t="str">
        <f>O5</f>
        <v>2028E</v>
      </c>
      <c r="P23" s="236" t="str">
        <f>P5</f>
        <v>2025-28</v>
      </c>
      <c r="S23" s="26"/>
      <c r="T23" s="26"/>
      <c r="U23" s="26"/>
      <c r="V23" s="26"/>
      <c r="W23" s="26" t="s">
        <v>514</v>
      </c>
      <c r="X23" s="26" t="s">
        <v>515</v>
      </c>
    </row>
    <row r="24" spans="2:24" ht="12.6" thickTop="1">
      <c r="B24" s="5" t="s">
        <v>397</v>
      </c>
      <c r="C24" s="288">
        <f>(SINGTEL!C24/Prices!$C$156)+(NTT!C24/Prices!$C$141*1000)</f>
        <v>23244.407978980969</v>
      </c>
      <c r="D24" s="188">
        <f>(SINGTEL!D24/Prices!$C$156)+(NTT!D24/Prices!$C$141*1000)</f>
        <v>25033.726129778275</v>
      </c>
      <c r="E24" s="188">
        <f>(SINGTEL!E24/Prices!$C$156)+(NTT!E24/Prices!$C$141*1000)</f>
        <v>27040.561923843379</v>
      </c>
      <c r="F24" s="188">
        <f>(SINGTEL!F24/Prices!$C$156)+(NTT!F24/Prices!$C$141*1000)</f>
        <v>28443.087216426266</v>
      </c>
      <c r="G24" s="188">
        <f>(SINGTEL!G24/Prices!$C$156)+(NTT!G24/Prices!$C$141*1000)</f>
        <v>29748.9348454274</v>
      </c>
      <c r="H24" s="233">
        <f t="shared" si="0"/>
        <v>5.9209761744593692E-2</v>
      </c>
      <c r="I24" s="208"/>
      <c r="J24" s="13"/>
      <c r="K24" s="13"/>
      <c r="L24" s="13"/>
      <c r="M24" s="13"/>
      <c r="N24" s="13"/>
      <c r="O24" s="208"/>
      <c r="S24" s="26"/>
      <c r="T24" s="26"/>
      <c r="U24" s="26"/>
      <c r="V24" s="113" t="s">
        <v>225</v>
      </c>
      <c r="W24" s="242">
        <f t="shared" ref="W24:W31" si="1">E37/M9</f>
        <v>1.2719196562209749</v>
      </c>
      <c r="X24" s="242">
        <v>1</v>
      </c>
    </row>
    <row r="25" spans="2:24">
      <c r="B25" s="5" t="s">
        <v>157</v>
      </c>
      <c r="C25" s="288">
        <f>(SINGTEL!C25/Prices!$C$156)+(NTT!C25/Prices!$C$141*1000)</f>
        <v>8509.3735098896213</v>
      </c>
      <c r="D25" s="188">
        <f>(SINGTEL!D25/Prices!$C$156)+(NTT!D25/Prices!$C$141*1000)</f>
        <v>8655.3882317788884</v>
      </c>
      <c r="E25" s="188">
        <f>(SINGTEL!E25/Prices!$C$156)+(NTT!E25/Prices!$C$141*1000)</f>
        <v>10716.431651226525</v>
      </c>
      <c r="F25" s="188">
        <f>(SINGTEL!F25/Prices!$C$156)+(NTT!F25/Prices!$C$141*1000)</f>
        <v>12305.775049135738</v>
      </c>
      <c r="G25" s="188">
        <f>(SINGTEL!G25/Prices!$C$156)+(NTT!G25/Prices!$C$141*1000)</f>
        <v>13611.082087968874</v>
      </c>
      <c r="H25" s="233">
        <f t="shared" si="0"/>
        <v>0.16288124660676906</v>
      </c>
      <c r="I25" s="209"/>
      <c r="J25" s="207" t="s">
        <v>8</v>
      </c>
      <c r="K25" s="207"/>
      <c r="L25" s="258">
        <f>(SINGTEL!L25/Prices!$C$156)+(NTT!L25/Prices!$C$141*1000)</f>
        <v>238074.9446238137</v>
      </c>
      <c r="M25" s="258">
        <f>(SINGTEL!M25/Prices!$C$156)+(NTT!M25/Prices!$C$141*1000)</f>
        <v>233775.13014422116</v>
      </c>
      <c r="N25" s="258">
        <f>(SINGTEL!N25/Prices!$C$156)+(NTT!N25/Prices!$C$141*1000)</f>
        <v>223966.78310270677</v>
      </c>
      <c r="O25" s="258">
        <f>(SINGTEL!O25/Prices!$C$156)+(NTT!O25/Prices!$C$141*1000)</f>
        <v>210293.01372975748</v>
      </c>
      <c r="P25" s="233">
        <f>IF(L25=0,"nm",IF(O25=0,"nm",(O25/L25)^(1/3)-1))</f>
        <v>-4.0517515581717567E-2</v>
      </c>
      <c r="Q25" s="5"/>
      <c r="S25" s="26"/>
      <c r="T25" s="26"/>
      <c r="U25" s="26"/>
      <c r="V25" s="113" t="s">
        <v>158</v>
      </c>
      <c r="W25" s="242">
        <f t="shared" si="1"/>
        <v>1.5184315518994052</v>
      </c>
      <c r="X25" s="242">
        <v>1</v>
      </c>
    </row>
    <row r="26" spans="2:24">
      <c r="B26" s="5" t="s">
        <v>487</v>
      </c>
      <c r="C26" s="288">
        <f>(SINGTEL!C26/Prices!$C$156)+(NTT!C26/Prices!$C$141*1000)</f>
        <v>6014.2592719818649</v>
      </c>
      <c r="D26" s="188">
        <f>(SINGTEL!D26/Prices!$C$156)+(NTT!D26/Prices!$C$141*1000)</f>
        <v>6128.9342684111098</v>
      </c>
      <c r="E26" s="188">
        <f>(SINGTEL!E26/Prices!$C$156)+(NTT!E26/Prices!$C$141*1000)</f>
        <v>7575.2981935300786</v>
      </c>
      <c r="F26" s="188">
        <f>(SINGTEL!F26/Prices!$C$156)+(NTT!F26/Prices!$C$141*1000)</f>
        <v>8707.2873264800019</v>
      </c>
      <c r="G26" s="188">
        <f>(SINGTEL!G26/Prices!$C$156)+(NTT!G26/Prices!$C$141*1000)</f>
        <v>9616.6979939853281</v>
      </c>
      <c r="H26" s="233">
        <f t="shared" si="0"/>
        <v>0.16202018288988995</v>
      </c>
      <c r="I26" s="209"/>
      <c r="J26" s="209" t="s">
        <v>9</v>
      </c>
      <c r="K26" s="209"/>
      <c r="L26" s="235">
        <f>(SINGTEL!L26/Prices!$C$156)+(NTT!L26/Prices!$C$141*1000)</f>
        <v>374465.45922495762</v>
      </c>
      <c r="M26" s="235">
        <f>(SINGTEL!M26/Prices!$C$156)+(NTT!M26/Prices!$C$141*1000)</f>
        <v>368119.20504770591</v>
      </c>
      <c r="N26" s="235">
        <f>(SINGTEL!N26/Prices!$C$156)+(NTT!N26/Prices!$C$141*1000)</f>
        <v>356270.33735387941</v>
      </c>
      <c r="O26" s="235">
        <f>(SINGTEL!O26/Prices!$C$156)+(NTT!O26/Prices!$C$141*1000)</f>
        <v>340561.90718351176</v>
      </c>
      <c r="P26" s="233">
        <f>IF(L26=0,"nm",IF(O26=0,"nm",(O26/L26)^(1/3)-1))</f>
        <v>-3.1139088053650399E-2</v>
      </c>
      <c r="Q26" s="25"/>
      <c r="S26" s="26"/>
      <c r="T26" s="26"/>
      <c r="U26" s="26"/>
      <c r="V26" s="113" t="s">
        <v>159</v>
      </c>
      <c r="W26" s="242">
        <f t="shared" si="1"/>
        <v>2.1481090501916684</v>
      </c>
      <c r="X26" s="242">
        <v>1</v>
      </c>
    </row>
    <row r="27" spans="2:24">
      <c r="B27" s="5" t="s">
        <v>488</v>
      </c>
      <c r="C27" s="288">
        <f>(SINGTEL!C27/Prices!$C$156)+(NTT!C27/Prices!$C$141*1000)</f>
        <v>136646.60840527713</v>
      </c>
      <c r="D27" s="188">
        <f>(SINGTEL!D27/Prices!$C$156)+(NTT!D27/Prices!$C$141*1000)</f>
        <v>140588.98550630169</v>
      </c>
      <c r="E27" s="188">
        <f>(SINGTEL!E27/Prices!$C$156)+(NTT!E27/Prices!$C$141*1000)</f>
        <v>144352.77533861986</v>
      </c>
      <c r="F27" s="188">
        <f>(SINGTEL!F27/Prices!$C$156)+(NTT!F27/Prices!$C$141*1000)</f>
        <v>147758.69047982217</v>
      </c>
      <c r="G27" s="188">
        <f>(SINGTEL!G27/Prices!$C$156)+(NTT!G27/Prices!$C$141*1000)</f>
        <v>150968.82563569641</v>
      </c>
      <c r="H27" s="233">
        <f t="shared" si="0"/>
        <v>2.4028380830638962E-2</v>
      </c>
      <c r="I27" s="208"/>
      <c r="J27" s="208"/>
      <c r="K27" s="208"/>
      <c r="L27" s="208"/>
      <c r="M27" s="208"/>
      <c r="N27" s="208"/>
      <c r="O27" s="208"/>
      <c r="Q27" s="5"/>
      <c r="S27" s="26"/>
      <c r="T27" s="26"/>
      <c r="U27" s="26"/>
      <c r="V27" s="113" t="s">
        <v>381</v>
      </c>
      <c r="W27" s="242">
        <f t="shared" si="1"/>
        <v>2.2995930043999979</v>
      </c>
      <c r="X27" s="242">
        <v>1</v>
      </c>
    </row>
    <row r="28" spans="2:24" ht="12.6" thickBot="1">
      <c r="B28" s="5" t="s">
        <v>492</v>
      </c>
      <c r="C28" s="288">
        <f>(SINGTEL!C28/Prices!$C$156)+(NTT!C28/Prices!$C$141*1000)</f>
        <v>80455.540156161296</v>
      </c>
      <c r="D28" s="188">
        <f>(SINGTEL!D28/Prices!$C$156)+(NTT!D28/Prices!$C$141*1000)</f>
        <v>84491.06284733038</v>
      </c>
      <c r="E28" s="188">
        <f>(SINGTEL!E28/Prices!$C$156)+(NTT!E28/Prices!$C$141*1000)</f>
        <v>87984.388968580912</v>
      </c>
      <c r="F28" s="188">
        <f>(SINGTEL!F28/Prices!$C$156)+(NTT!F28/Prices!$C$141*1000)</f>
        <v>90781.554961556307</v>
      </c>
      <c r="G28" s="188">
        <f>(SINGTEL!G28/Prices!$C$156)+(NTT!G28/Prices!$C$141*1000)</f>
        <v>93366.476183677412</v>
      </c>
      <c r="H28" s="233">
        <f t="shared" si="0"/>
        <v>3.3856029497000728E-2</v>
      </c>
      <c r="I28" s="212"/>
      <c r="J28" s="249" t="s">
        <v>628</v>
      </c>
      <c r="K28" s="249"/>
      <c r="L28" s="249"/>
      <c r="M28" s="249"/>
      <c r="N28" s="220"/>
      <c r="O28" s="220"/>
      <c r="P28" s="220"/>
      <c r="Q28" s="5"/>
      <c r="S28" s="26"/>
      <c r="T28" s="26"/>
      <c r="U28" s="26"/>
      <c r="V28" s="113" t="s">
        <v>434</v>
      </c>
      <c r="W28" s="242">
        <f t="shared" si="1"/>
        <v>1.0165513538393562</v>
      </c>
      <c r="X28" s="242">
        <v>1</v>
      </c>
    </row>
    <row r="29" spans="2:24" ht="12.6" thickTop="1">
      <c r="B29" s="5" t="s">
        <v>489</v>
      </c>
      <c r="C29" s="288">
        <f>(SINGTEL!C29/Prices!$C$156)+(NTT!C29/Prices!$C$141*1000)</f>
        <v>3039.1810940303094</v>
      </c>
      <c r="D29" s="188">
        <f>(SINGTEL!D29/Prices!$C$156)+(NTT!D29/Prices!$C$141*1000)</f>
        <v>3057.5558372485407</v>
      </c>
      <c r="E29" s="188">
        <f>(SINGTEL!E29/Prices!$C$156)+(NTT!E29/Prices!$C$141*1000)</f>
        <v>4755.7737361107465</v>
      </c>
      <c r="F29" s="188">
        <f>(SINGTEL!F29/Prices!$C$156)+(NTT!F29/Prices!$C$141*1000)</f>
        <v>6171.925017399637</v>
      </c>
      <c r="G29" s="188">
        <f>(SINGTEL!G29/Prices!$C$156)+(NTT!G29/Prices!$C$141*1000)</f>
        <v>7338.018527674627</v>
      </c>
      <c r="H29" s="233">
        <f t="shared" si="0"/>
        <v>0.3388588767916223</v>
      </c>
      <c r="I29" s="214"/>
      <c r="J29" s="209"/>
      <c r="K29" s="209"/>
      <c r="L29" s="209"/>
      <c r="M29" s="209"/>
      <c r="N29" s="209"/>
      <c r="O29" s="211"/>
      <c r="Q29" s="5"/>
      <c r="S29" s="26"/>
      <c r="T29" s="26"/>
      <c r="U29" s="26"/>
      <c r="V29" s="113" t="s">
        <v>493</v>
      </c>
      <c r="W29" s="242">
        <f t="shared" si="1"/>
        <v>0.9934404784364157</v>
      </c>
      <c r="X29" s="242">
        <v>1</v>
      </c>
    </row>
    <row r="30" spans="2:24">
      <c r="B30" s="5" t="s">
        <v>490</v>
      </c>
      <c r="C30" s="288">
        <f>(SINGTEL!C30/Prices!$C$156)+(NTT!C30/Prices!$C$141*1000)</f>
        <v>9402.9328612092468</v>
      </c>
      <c r="D30" s="188">
        <f>(SINGTEL!D30/Prices!$C$156)+(NTT!D30/Prices!$C$141*1000)</f>
        <v>9523.3907877111415</v>
      </c>
      <c r="E30" s="188">
        <f>(SINGTEL!E30/Prices!$C$156)+(NTT!E30/Prices!$C$141*1000)</f>
        <v>11068.98834610932</v>
      </c>
      <c r="F30" s="188">
        <f>(SINGTEL!F30/Prices!$C$156)+(NTT!F30/Prices!$C$141*1000)</f>
        <v>12155.577272307664</v>
      </c>
      <c r="G30" s="188">
        <f>(SINGTEL!G30/Prices!$C$156)+(NTT!G30/Prices!$C$141*1000)</f>
        <v>13157.149250067705</v>
      </c>
      <c r="H30" s="233">
        <f t="shared" si="0"/>
        <v>0.11375602173565946</v>
      </c>
      <c r="I30" s="214"/>
      <c r="J30" s="208"/>
      <c r="K30" s="208"/>
      <c r="L30" s="208"/>
      <c r="M30" s="208"/>
      <c r="N30" s="208"/>
      <c r="O30" s="5"/>
      <c r="Q30" s="5"/>
      <c r="S30" s="26"/>
      <c r="T30" s="26"/>
      <c r="U30" s="26"/>
      <c r="V30" s="113" t="s">
        <v>390</v>
      </c>
      <c r="W30" s="242">
        <f t="shared" si="1"/>
        <v>4.4153572843751334</v>
      </c>
      <c r="X30" s="242">
        <v>1</v>
      </c>
    </row>
    <row r="31" spans="2:24">
      <c r="B31" s="5" t="s">
        <v>491</v>
      </c>
      <c r="C31" s="288">
        <f>(SINGTEL!C31/Prices!$C$156)+(NTT!C31/Prices!$C$141*1000)</f>
        <v>4895.4004784682975</v>
      </c>
      <c r="D31" s="188">
        <f>(SINGTEL!D31/Prices!$C$156)+(NTT!D31/Prices!$C$141*1000)</f>
        <v>5561.2040790697192</v>
      </c>
      <c r="E31" s="188">
        <f>(SINGTEL!E31/Prices!$C$156)+(NTT!E31/Prices!$C$141*1000)</f>
        <v>5972.0058024958562</v>
      </c>
      <c r="F31" s="188">
        <f>(SINGTEL!F31/Prices!$C$156)+(NTT!F31/Prices!$C$141*1000)</f>
        <v>6342.5588901863721</v>
      </c>
      <c r="G31" s="188">
        <f>(SINGTEL!G31/Prices!$C$156)+(NTT!G31/Prices!$C$141*1000)</f>
        <v>6429.1144459269362</v>
      </c>
      <c r="H31" s="233">
        <f t="shared" si="0"/>
        <v>4.9528189905951203E-2</v>
      </c>
      <c r="I31" s="214"/>
      <c r="J31" s="212"/>
      <c r="K31" s="212"/>
      <c r="L31" s="212"/>
      <c r="M31" s="212"/>
      <c r="N31" s="212"/>
      <c r="O31" s="5"/>
      <c r="Q31" s="5"/>
      <c r="S31" s="26"/>
      <c r="T31" s="26"/>
      <c r="U31" s="26"/>
      <c r="V31" s="113" t="s">
        <v>437</v>
      </c>
      <c r="W31" s="242">
        <f t="shared" si="1"/>
        <v>0.8899300833956485</v>
      </c>
      <c r="X31" s="242">
        <v>1</v>
      </c>
    </row>
    <row r="32" spans="2:24">
      <c r="B32" s="5" t="s">
        <v>506</v>
      </c>
      <c r="C32" s="288">
        <f>(SINGTEL!C32/Prices!$C$156)+(NTT!C32/Prices!$C$141*1000)</f>
        <v>1473.8162859237721</v>
      </c>
      <c r="D32" s="188">
        <f>(SINGTEL!D32/Prices!$C$156)+(NTT!D32/Prices!$C$141*1000)</f>
        <v>1616.3382305274779</v>
      </c>
      <c r="E32" s="188">
        <f>(SINGTEL!E32/Prices!$C$156)+(NTT!E32/Prices!$C$141*1000)</f>
        <v>3138.8423335013877</v>
      </c>
      <c r="F32" s="188">
        <f>(SINGTEL!F32/Prices!$C$156)+(NTT!F32/Prices!$C$141*1000)</f>
        <v>-28480.504348106962</v>
      </c>
      <c r="G32" s="188">
        <f>(SINGTEL!G32/Prices!$C$156)+(NTT!G32/Prices!$C$141*1000)</f>
        <v>1588.044017282506</v>
      </c>
      <c r="H32" s="233">
        <f t="shared" si="0"/>
        <v>-5.8694265950181013E-3</v>
      </c>
      <c r="I32" s="5"/>
      <c r="J32" s="214"/>
      <c r="K32" s="214"/>
      <c r="L32" s="214"/>
      <c r="M32" s="214"/>
      <c r="N32" s="214"/>
      <c r="O32" s="211"/>
      <c r="Q32" s="5"/>
      <c r="S32" s="26"/>
      <c r="T32" s="26"/>
      <c r="U32" s="26"/>
      <c r="V32" s="113" t="s">
        <v>481</v>
      </c>
      <c r="W32" s="242">
        <f>M17/E45</f>
        <v>1.1277265424700109</v>
      </c>
      <c r="X32" s="242">
        <v>1</v>
      </c>
    </row>
    <row r="33" spans="2:24">
      <c r="B33" s="5" t="s">
        <v>3</v>
      </c>
      <c r="C33" s="288">
        <f>(SINGTEL!C33/Prices!$C$156)+(NTT!C33/Prices!$C$141*1000)</f>
        <v>-959.23286516025792</v>
      </c>
      <c r="D33" s="188">
        <f>(SINGTEL!D33/Prices!$C$156)+(NTT!D33/Prices!$C$141*1000)</f>
        <v>-887.34808910989614</v>
      </c>
      <c r="E33" s="188">
        <f>(SINGTEL!E33/Prices!$C$156)+(NTT!E33/Prices!$C$141*1000)</f>
        <v>-868.88766102478758</v>
      </c>
      <c r="F33" s="188">
        <f>(SINGTEL!F33/Prices!$C$156)+(NTT!F33/Prices!$C$141*1000)</f>
        <v>-857.28175987581835</v>
      </c>
      <c r="G33" s="188">
        <f>(SINGTEL!G33/Prices!$C$156)+(NTT!G33/Prices!$C$141*1000)</f>
        <v>-845.72856829861939</v>
      </c>
      <c r="H33" s="233">
        <f t="shared" si="0"/>
        <v>-1.5885431733709043E-2</v>
      </c>
      <c r="I33" s="33"/>
      <c r="J33" s="214"/>
      <c r="K33" s="214"/>
      <c r="L33" s="214"/>
      <c r="M33" s="214"/>
      <c r="N33" s="214"/>
      <c r="O33" s="211"/>
      <c r="Q33" s="5"/>
      <c r="S33" s="26"/>
      <c r="T33" s="26"/>
      <c r="U33" s="26"/>
      <c r="V33" s="113" t="s">
        <v>482</v>
      </c>
      <c r="W33" s="242">
        <f>M19/E47</f>
        <v>4.4153572843751343</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2.0668419110610761</v>
      </c>
      <c r="E37" s="430">
        <f t="shared" si="2"/>
        <v>1.9088565316450501</v>
      </c>
      <c r="F37" s="430">
        <f t="shared" si="2"/>
        <v>1.7479660765477498</v>
      </c>
      <c r="G37" s="430">
        <f t="shared" si="2"/>
        <v>1.5868840838016069</v>
      </c>
      <c r="H37" s="13">
        <f t="shared" ref="H37:H45" si="3">H23</f>
        <v>3.9929572223155851E-2</v>
      </c>
      <c r="I37" s="217"/>
      <c r="J37" s="217"/>
      <c r="K37" s="217"/>
      <c r="L37" s="217"/>
      <c r="M37" s="217"/>
      <c r="N37" s="217"/>
      <c r="O37" s="14"/>
      <c r="Q37" s="5"/>
      <c r="R37" s="5"/>
      <c r="S37" s="26"/>
      <c r="T37" s="26"/>
      <c r="U37" s="26"/>
      <c r="V37" s="26"/>
      <c r="W37" s="26"/>
      <c r="X37" s="26"/>
    </row>
    <row r="38" spans="2:24">
      <c r="B38" s="5" t="s">
        <v>158</v>
      </c>
      <c r="C38" s="207"/>
      <c r="D38" s="430">
        <f t="shared" si="2"/>
        <v>8.3008997362642329</v>
      </c>
      <c r="E38" s="430">
        <f t="shared" si="2"/>
        <v>7.3870295800793651</v>
      </c>
      <c r="F38" s="430">
        <f t="shared" si="2"/>
        <v>6.6873881715911292</v>
      </c>
      <c r="G38" s="430">
        <f t="shared" si="2"/>
        <v>6.031550579205903</v>
      </c>
      <c r="H38" s="13">
        <f t="shared" si="3"/>
        <v>5.9209761744593692E-2</v>
      </c>
      <c r="I38" s="13"/>
      <c r="J38" s="13"/>
      <c r="K38" s="13"/>
      <c r="L38" s="13"/>
      <c r="M38" s="13"/>
      <c r="N38" s="13"/>
      <c r="O38" s="5"/>
      <c r="Q38" s="5"/>
      <c r="R38" s="5"/>
      <c r="S38" s="26"/>
      <c r="T38" s="26"/>
      <c r="U38" s="26"/>
      <c r="V38" s="26"/>
      <c r="W38" s="26"/>
      <c r="X38" s="26"/>
    </row>
    <row r="39" spans="2:24">
      <c r="B39" s="5" t="s">
        <v>159</v>
      </c>
      <c r="C39" s="207"/>
      <c r="D39" s="430">
        <f t="shared" si="2"/>
        <v>24.008449426384562</v>
      </c>
      <c r="E39" s="430">
        <f t="shared" si="2"/>
        <v>18.639546940098942</v>
      </c>
      <c r="F39" s="430">
        <f t="shared" si="2"/>
        <v>15.456967501451503</v>
      </c>
      <c r="G39" s="430">
        <f t="shared" si="2"/>
        <v>13.182802369276743</v>
      </c>
      <c r="H39" s="13">
        <f t="shared" si="3"/>
        <v>0.16288124660676906</v>
      </c>
      <c r="I39" s="5"/>
      <c r="J39" s="5"/>
      <c r="K39" s="5"/>
      <c r="L39" s="5"/>
      <c r="M39" s="5"/>
      <c r="N39" s="5"/>
      <c r="O39" s="5"/>
      <c r="Q39" s="5"/>
      <c r="R39" s="5"/>
      <c r="S39" s="26"/>
      <c r="T39" s="26"/>
      <c r="U39" s="26"/>
      <c r="V39" s="26"/>
      <c r="W39" s="242"/>
      <c r="X39" s="242"/>
    </row>
    <row r="40" spans="2:24">
      <c r="B40" s="5" t="s">
        <v>381</v>
      </c>
      <c r="C40" s="207"/>
      <c r="D40" s="430">
        <f t="shared" si="2"/>
        <v>33.905152433990636</v>
      </c>
      <c r="E40" s="430">
        <f t="shared" si="2"/>
        <v>26.368523811247602</v>
      </c>
      <c r="F40" s="430">
        <f t="shared" si="2"/>
        <v>21.844916548947506</v>
      </c>
      <c r="G40" s="430">
        <f t="shared" si="2"/>
        <v>18.658400763954578</v>
      </c>
      <c r="H40" s="13">
        <f t="shared" si="3"/>
        <v>0.16202018288988995</v>
      </c>
      <c r="I40" s="207"/>
      <c r="J40" s="217"/>
      <c r="K40" s="217"/>
      <c r="L40" s="217"/>
      <c r="M40" s="217"/>
      <c r="N40" s="217"/>
      <c r="O40" s="14"/>
      <c r="Q40" s="5"/>
      <c r="R40" s="5"/>
      <c r="S40" s="26"/>
      <c r="T40" s="26"/>
      <c r="U40" s="26"/>
      <c r="V40" s="26"/>
      <c r="W40" s="242"/>
      <c r="X40" s="242"/>
    </row>
    <row r="41" spans="2:24">
      <c r="B41" s="5" t="s">
        <v>434</v>
      </c>
      <c r="C41" s="207"/>
      <c r="D41" s="430">
        <f t="shared" si="2"/>
        <v>1.4780848576439376</v>
      </c>
      <c r="E41" s="430">
        <f t="shared" si="2"/>
        <v>1.3837588527468945</v>
      </c>
      <c r="F41" s="430">
        <f t="shared" si="2"/>
        <v>1.2873013722373157</v>
      </c>
      <c r="G41" s="430">
        <f t="shared" si="2"/>
        <v>1.1885381266108872</v>
      </c>
      <c r="H41" s="13">
        <f t="shared" si="3"/>
        <v>2.4028380830638962E-2</v>
      </c>
      <c r="I41" s="208"/>
      <c r="J41" s="13"/>
      <c r="K41" s="13"/>
      <c r="L41" s="13"/>
      <c r="M41" s="13"/>
      <c r="N41" s="13"/>
      <c r="O41" s="5"/>
      <c r="Q41" s="5"/>
      <c r="R41" s="5"/>
      <c r="S41" s="26"/>
      <c r="T41" s="26"/>
      <c r="U41" s="26"/>
      <c r="V41" s="26"/>
      <c r="W41" s="242"/>
      <c r="X41" s="242"/>
    </row>
    <row r="42" spans="2:24">
      <c r="B42" s="5" t="s">
        <v>493</v>
      </c>
      <c r="C42" s="207"/>
      <c r="D42" s="430">
        <f>D18/D28</f>
        <v>2.4594607243120197</v>
      </c>
      <c r="E42" s="430">
        <f>E18/E28</f>
        <v>2.2702826391705582</v>
      </c>
      <c r="F42" s="430">
        <f>F18/F28</f>
        <v>2.0952490304358964</v>
      </c>
      <c r="G42" s="430">
        <f>G18/G28</f>
        <v>1.9218054759258993</v>
      </c>
      <c r="H42" s="13">
        <f t="shared" si="3"/>
        <v>3.3856029497000728E-2</v>
      </c>
      <c r="I42" s="207"/>
      <c r="J42" s="5"/>
      <c r="K42" s="5"/>
      <c r="L42" s="5"/>
      <c r="M42" s="5"/>
      <c r="N42" s="5"/>
      <c r="O42" s="5"/>
      <c r="Q42" s="5"/>
      <c r="R42" s="5"/>
      <c r="S42" s="26"/>
      <c r="T42" s="26"/>
      <c r="U42" s="26"/>
      <c r="V42" s="26"/>
      <c r="W42" s="242"/>
      <c r="X42" s="242"/>
    </row>
    <row r="43" spans="2:24">
      <c r="B43" s="5" t="s">
        <v>390</v>
      </c>
      <c r="C43" s="207"/>
      <c r="D43" s="430">
        <f>L26/D29</f>
        <v>122.47215722540484</v>
      </c>
      <c r="E43" s="430">
        <f>M26/E29</f>
        <v>77.404692795320486</v>
      </c>
      <c r="F43" s="430">
        <f>N26/F29</f>
        <v>57.724346350530304</v>
      </c>
      <c r="G43" s="430">
        <f>O26/G29</f>
        <v>46.410608790249775</v>
      </c>
      <c r="H43" s="13">
        <f t="shared" si="3"/>
        <v>0.3388588767916223</v>
      </c>
      <c r="I43" s="207"/>
      <c r="J43" s="207"/>
      <c r="K43" s="207"/>
      <c r="L43" s="207"/>
      <c r="M43" s="207"/>
      <c r="N43" s="207"/>
      <c r="O43" s="14"/>
      <c r="Q43" s="5"/>
      <c r="R43" s="5"/>
      <c r="S43" s="26"/>
      <c r="T43" s="26"/>
      <c r="U43" s="26"/>
      <c r="V43" s="26"/>
      <c r="W43" s="255"/>
      <c r="X43" s="255"/>
    </row>
    <row r="44" spans="2:24">
      <c r="B44" s="5" t="s">
        <v>437</v>
      </c>
      <c r="C44" s="53"/>
      <c r="D44" s="430">
        <f>D11/D30</f>
        <v>14.321633716547723</v>
      </c>
      <c r="E44" s="430">
        <f>E11/E30</f>
        <v>12.136978620155999</v>
      </c>
      <c r="F44" s="430">
        <f>F11/F30</f>
        <v>10.884185200531871</v>
      </c>
      <c r="G44" s="430">
        <f>G11/G30</f>
        <v>9.9009968632136562</v>
      </c>
      <c r="H44" s="13">
        <f t="shared" si="3"/>
        <v>0.11375602173565946</v>
      </c>
      <c r="I44" s="208"/>
      <c r="J44" s="208"/>
      <c r="K44" s="208"/>
      <c r="L44" s="208"/>
      <c r="M44" s="208"/>
      <c r="N44" s="208"/>
      <c r="O44" s="208"/>
      <c r="Q44" s="5"/>
      <c r="R44" s="5"/>
      <c r="S44" s="26"/>
      <c r="T44" s="26"/>
      <c r="U44" s="26"/>
      <c r="V44" s="26"/>
      <c r="W44" s="26"/>
      <c r="X44" s="26"/>
    </row>
    <row r="45" spans="2:24">
      <c r="B45" s="5" t="s">
        <v>481</v>
      </c>
      <c r="C45" s="207"/>
      <c r="D45" s="208">
        <f>D31/D11</f>
        <v>4.0774126377723041E-2</v>
      </c>
      <c r="E45" s="208">
        <f>E31/E11</f>
        <v>4.4453064318513903E-2</v>
      </c>
      <c r="F45" s="208">
        <f>F31/F11</f>
        <v>4.7939444454721869E-2</v>
      </c>
      <c r="G45" s="208">
        <f>G31/G11</f>
        <v>4.935264494443016E-2</v>
      </c>
      <c r="H45" s="13">
        <f t="shared" si="3"/>
        <v>4.9528189905951203E-2</v>
      </c>
      <c r="I45" s="207"/>
      <c r="J45" s="207"/>
      <c r="K45" s="207"/>
      <c r="L45" s="207"/>
      <c r="M45" s="207"/>
      <c r="N45" s="207"/>
      <c r="O45" s="208"/>
      <c r="Q45" s="5"/>
      <c r="R45" s="5"/>
      <c r="S45" s="26"/>
      <c r="T45" s="26"/>
      <c r="U45" s="26"/>
      <c r="V45" s="26"/>
      <c r="W45" s="26"/>
      <c r="X45" s="26"/>
    </row>
    <row r="46" spans="2:24">
      <c r="B46" s="5" t="s">
        <v>505</v>
      </c>
      <c r="C46" s="207"/>
      <c r="D46" s="208">
        <f>(D31+D32)/D11</f>
        <v>5.2624937522869362E-2</v>
      </c>
      <c r="E46" s="208">
        <f>(E31+E32)/E11</f>
        <v>6.7817268030187755E-2</v>
      </c>
      <c r="F46" s="208">
        <f>(F31+F32)/F11</f>
        <v>-0.16732691410461015</v>
      </c>
      <c r="G46" s="208">
        <f>(G31+G32)/G11</f>
        <v>6.1543153170757155E-2</v>
      </c>
      <c r="H46" s="233">
        <f>((G31+G32)/(D31+D32))^(1/3)-1</f>
        <v>3.7564017677632844E-2</v>
      </c>
      <c r="I46" s="13"/>
      <c r="J46" s="207"/>
      <c r="K46" s="207"/>
      <c r="L46" s="207"/>
      <c r="M46" s="207"/>
      <c r="N46" s="207"/>
      <c r="O46" s="14"/>
      <c r="Q46" s="5"/>
      <c r="R46" s="5"/>
      <c r="S46" s="26"/>
      <c r="T46" s="26"/>
      <c r="U46" s="26"/>
      <c r="V46" s="26"/>
      <c r="W46" s="26"/>
      <c r="X46" s="26"/>
    </row>
    <row r="47" spans="2:24">
      <c r="B47" s="5" t="s">
        <v>482</v>
      </c>
      <c r="C47" s="5"/>
      <c r="D47" s="208">
        <f>1/D43</f>
        <v>8.1651211398158213E-3</v>
      </c>
      <c r="E47" s="208">
        <f>1/E43</f>
        <v>1.2919113349422855E-2</v>
      </c>
      <c r="F47" s="208">
        <f>1/F43</f>
        <v>1.7323712839076837E-2</v>
      </c>
      <c r="G47" s="208">
        <f>1/G43</f>
        <v>2.1546797727205986E-2</v>
      </c>
      <c r="H47" s="13">
        <f>H29</f>
        <v>0.3388588767916223</v>
      </c>
      <c r="I47" s="207"/>
      <c r="J47" s="208"/>
      <c r="K47" s="208"/>
      <c r="L47" s="208"/>
      <c r="M47" s="208"/>
      <c r="N47" s="208"/>
      <c r="O47" s="208"/>
      <c r="Q47" s="5"/>
      <c r="R47" s="5"/>
      <c r="S47" s="5"/>
      <c r="T47" s="5"/>
      <c r="U47" s="5"/>
    </row>
    <row r="48" spans="2:24">
      <c r="B48" s="5" t="s">
        <v>518</v>
      </c>
      <c r="C48" s="5"/>
      <c r="D48" s="248">
        <f>D31/D29</f>
        <v>1.8188397449101641</v>
      </c>
      <c r="E48" s="248">
        <f>E31/E29</f>
        <v>1.2557380005592402</v>
      </c>
      <c r="F48" s="248">
        <f>F31/F29</f>
        <v>1.0276467831844507</v>
      </c>
      <c r="G48" s="248">
        <f>G31/G29</f>
        <v>0.87613766872898358</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95">
    <tabColor theme="3" tint="0.59999389629810485"/>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489" customFormat="1">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2:63" s="122" customFormat="1" ht="21">
      <c r="B4" s="100" t="s">
        <v>1097</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row>
    <row r="6" spans="2:63">
      <c r="I6" s="5"/>
      <c r="J6" s="5"/>
      <c r="K6" s="5"/>
      <c r="L6" s="5"/>
      <c r="M6" s="5"/>
      <c r="N6" s="5"/>
      <c r="O6" s="33"/>
    </row>
    <row r="7" spans="2:63" ht="12.6" thickBot="1">
      <c r="B7" s="249" t="s">
        <v>223</v>
      </c>
      <c r="C7" s="219"/>
      <c r="D7" s="219"/>
      <c r="E7" s="219"/>
      <c r="F7" s="219"/>
      <c r="G7" s="219"/>
      <c r="H7" s="219"/>
      <c r="I7" s="33"/>
      <c r="J7" s="249" t="s">
        <v>79</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 ASIA'!D37</f>
        <v>1.9675317754405912</v>
      </c>
      <c r="M9" s="48">
        <f>'AGG DM ASIA'!E37</f>
        <v>1.7837393506869588</v>
      </c>
      <c r="N9" s="48">
        <f>'AGG DM ASIA'!F37</f>
        <v>1.6045845404087304</v>
      </c>
      <c r="O9" s="48">
        <f>'AGG DM ASIA'!G37</f>
        <v>1.4305325977220857</v>
      </c>
      <c r="P9" s="13">
        <f>'EM CELLULAR'!H37</f>
        <v>5.3451961576052032E-2</v>
      </c>
    </row>
    <row r="10" spans="2:63">
      <c r="B10" s="5" t="s">
        <v>226</v>
      </c>
      <c r="C10" s="5"/>
      <c r="D10" s="258"/>
      <c r="E10" s="258"/>
      <c r="F10" s="258"/>
      <c r="G10" s="258"/>
      <c r="H10" s="207"/>
      <c r="I10" s="207"/>
      <c r="J10" s="5" t="s">
        <v>158</v>
      </c>
      <c r="L10" s="48">
        <f>'AGG DM ASIA'!D38</f>
        <v>7.6721560652102054</v>
      </c>
      <c r="M10" s="48">
        <f>'AGG DM ASIA'!E38</f>
        <v>6.7119461692952651</v>
      </c>
      <c r="N10" s="48">
        <f>'AGG DM ASIA'!F38</f>
        <v>5.9372160465935782</v>
      </c>
      <c r="O10" s="48">
        <f>'AGG DM ASIA'!G38</f>
        <v>5.240396049664767</v>
      </c>
      <c r="P10" s="13">
        <f>'EM CELLULAR'!H38</f>
        <v>7.6457320810068063E-2</v>
      </c>
    </row>
    <row r="11" spans="2:63">
      <c r="B11" s="25" t="s">
        <v>290</v>
      </c>
      <c r="C11" s="5"/>
      <c r="D11" s="225">
        <f>(SBKK!D11/Prices!$C$141*1000)+(KDDI!D11/Prices!$C$141*1000)+(RAK!D11/Prices!$C$141*1000)</f>
        <v>136007.60100611093</v>
      </c>
      <c r="E11" s="225">
        <f>(SBKK!E11/Prices!$C$141*1000)+(KDDI!E11/Prices!$C$141*1000)+(RAK!E11/Prices!$C$141*1000)</f>
        <v>133534.36125985242</v>
      </c>
      <c r="F11" s="225">
        <f>(SBKK!F11/Prices!$C$141*1000)+(KDDI!F11/Prices!$C$141*1000)+(RAK!F11/Prices!$C$141*1000)</f>
        <v>131061.12151359391</v>
      </c>
      <c r="G11" s="225">
        <f>(SBKK!G11/Prices!$C$141*1000)+(KDDI!G11/Prices!$C$141*1000)+(RAK!G11/Prices!$C$141*1000)</f>
        <v>128587.88176733542</v>
      </c>
      <c r="H11" s="209"/>
      <c r="I11" s="209"/>
      <c r="J11" s="5" t="s">
        <v>159</v>
      </c>
      <c r="L11" s="48">
        <f>'AGG DM ASIA'!D39</f>
        <v>15.757748412413559</v>
      </c>
      <c r="M11" s="48">
        <f>'AGG DM ASIA'!E39</f>
        <v>12.762225240199696</v>
      </c>
      <c r="N11" s="48">
        <f>'AGG DM ASIA'!F39</f>
        <v>10.609335270210979</v>
      </c>
      <c r="O11" s="48">
        <f>'AGG DM ASIA'!G39</f>
        <v>9.0115060351743796</v>
      </c>
      <c r="P11" s="13">
        <f>'EM CELLULAR'!H39</f>
        <v>0.11415745332884453</v>
      </c>
    </row>
    <row r="12" spans="2:63">
      <c r="B12" s="5" t="s">
        <v>191</v>
      </c>
      <c r="C12" s="209"/>
      <c r="D12" s="188">
        <f>(SBKK!D12/Prices!$C$141*1000)+(KDDI!D12/Prices!$C$141*1000)+(RAK!D12/Prices!$C$141*1000)</f>
        <v>42115.819117448591</v>
      </c>
      <c r="E12" s="188">
        <f>(SBKK!E12/Prices!$C$141*1000)+(KDDI!E12/Prices!$C$141*1000)+(RAK!E12/Prices!$C$141*1000)</f>
        <v>37874.369279818682</v>
      </c>
      <c r="F12" s="188">
        <f>(SBKK!F12/Prices!$C$141*1000)+(KDDI!F12/Prices!$C$141*1000)+(RAK!F12/Prices!$C$141*1000)</f>
        <v>32706.407604336582</v>
      </c>
      <c r="G12" s="188">
        <f>(SBKK!G12/Prices!$C$141*1000)+(KDDI!G12/Prices!$C$141*1000)+(RAK!G12/Prices!$C$141*1000)</f>
        <v>26576.348632556688</v>
      </c>
      <c r="H12" s="207"/>
      <c r="I12" s="207"/>
      <c r="J12" s="5" t="s">
        <v>381</v>
      </c>
      <c r="L12" s="48">
        <f>'AGG DM ASIA'!D40</f>
        <v>22.219308273816104</v>
      </c>
      <c r="M12" s="48">
        <f>'AGG DM ASIA'!E40</f>
        <v>18.307657978481281</v>
      </c>
      <c r="N12" s="48">
        <f>'AGG DM ASIA'!F40</f>
        <v>15.31724562045042</v>
      </c>
      <c r="O12" s="48">
        <f>'AGG DM ASIA'!G40</f>
        <v>13.025475966924992</v>
      </c>
      <c r="P12" s="13">
        <f>'EM CELLULAR'!H40</f>
        <v>0.10923889124747621</v>
      </c>
    </row>
    <row r="13" spans="2:63">
      <c r="B13" s="5" t="s">
        <v>433</v>
      </c>
      <c r="C13" s="216"/>
      <c r="D13" s="188">
        <f>(SBKK!D13/Prices!$C$141*1000)+(KDDI!D13/Prices!$C$141*1000)+(RAK!D13/Prices!$C$141*1000)</f>
        <v>3886.3992830646989</v>
      </c>
      <c r="E13" s="188">
        <f>(SBKK!E13/Prices!$C$141*1000)+(KDDI!E13/Prices!$C$141*1000)+(RAK!E13/Prices!$C$141*1000)</f>
        <v>3886.3992830646989</v>
      </c>
      <c r="F13" s="188">
        <f>(SBKK!F13/Prices!$C$141*1000)+(KDDI!F13/Prices!$C$141*1000)+(RAK!F13/Prices!$C$141*1000)</f>
        <v>3886.3992830646989</v>
      </c>
      <c r="G13" s="188">
        <f>(SBKK!G13/Prices!$C$141*1000)+(KDDI!G13/Prices!$C$141*1000)+(RAK!G13/Prices!$C$141*1000)</f>
        <v>3886.3992830646989</v>
      </c>
      <c r="H13" s="207"/>
      <c r="I13" s="207"/>
      <c r="J13" s="5" t="s">
        <v>434</v>
      </c>
      <c r="L13" s="48">
        <f>'AGG DM ASIA'!D41</f>
        <v>1.6768796453774453</v>
      </c>
      <c r="M13" s="48">
        <f>'AGG DM ASIA'!E41</f>
        <v>1.5664043438559603</v>
      </c>
      <c r="N13" s="48">
        <f>'AGG DM ASIA'!F41</f>
        <v>1.4568412832519211</v>
      </c>
      <c r="O13" s="48">
        <f>'AGG DM ASIA'!G41</f>
        <v>1.3467750644490195</v>
      </c>
      <c r="P13" s="13">
        <f>'EM CELLULAR'!H41</f>
        <v>5.92642475520333E-3</v>
      </c>
    </row>
    <row r="14" spans="2:63">
      <c r="B14" s="5" t="s">
        <v>436</v>
      </c>
      <c r="C14" s="228"/>
      <c r="D14" s="188">
        <f>(SBKK!D14/Prices!$C$141*1000)+(KDDI!D14/Prices!$C$141*1000)+(RAK!D14/Prices!$C$141*1000)</f>
        <v>0</v>
      </c>
      <c r="E14" s="188">
        <f>(SBKK!E14/Prices!$C$141*1000)+(KDDI!E14/Prices!$C$141*1000)+(RAK!E14/Prices!$C$141*1000)</f>
        <v>0</v>
      </c>
      <c r="F14" s="188">
        <f>(SBKK!F14/Prices!$C$141*1000)+(KDDI!F14/Prices!$C$141*1000)+(RAK!F14/Prices!$C$141*1000)</f>
        <v>0</v>
      </c>
      <c r="G14" s="188">
        <f>(SBKK!G14/Prices!$C$141*1000)+(KDDI!G14/Prices!$C$141*1000)+(RAK!G14/Prices!$C$141*1000)</f>
        <v>0</v>
      </c>
      <c r="H14" s="207"/>
      <c r="I14" s="207"/>
      <c r="J14" s="5" t="s">
        <v>493</v>
      </c>
      <c r="L14" s="48">
        <f>'AGG DM ASIA'!D42</f>
        <v>3.2125558358605919</v>
      </c>
      <c r="M14" s="48">
        <f>'AGG DM ASIA'!E42</f>
        <v>2.9961184514973209</v>
      </c>
      <c r="N14" s="48">
        <f>'AGG DM ASIA'!F42</f>
        <v>2.7863314609491354</v>
      </c>
      <c r="O14" s="48">
        <f>'AGG DM ASIA'!G42</f>
        <v>2.5704272893604396</v>
      </c>
      <c r="P14" s="13">
        <f>'EM CELLULAR'!H42</f>
        <v>-2.5687917394514592E-2</v>
      </c>
    </row>
    <row r="15" spans="2:63">
      <c r="B15" s="5" t="s">
        <v>435</v>
      </c>
      <c r="C15" s="216"/>
      <c r="D15" s="188">
        <f>(SBKK!D15/Prices!$C$141*1000)+(KDDI!D15/Prices!$C$141*1000)+(RAK!D15/Prices!$C$141*1000)</f>
        <v>0</v>
      </c>
      <c r="E15" s="188">
        <f>(SBKK!E15/Prices!$C$141*1000)+(KDDI!E15/Prices!$C$141*1000)+(RAK!E15/Prices!$C$141*1000)</f>
        <v>0</v>
      </c>
      <c r="F15" s="188">
        <f>(SBKK!F15/Prices!$C$141*1000)+(KDDI!F15/Prices!$C$141*1000)+(RAK!F15/Prices!$C$141*1000)</f>
        <v>0</v>
      </c>
      <c r="G15" s="188">
        <f>(SBKK!G15/Prices!$C$141*1000)+(KDDI!G15/Prices!$C$141*1000)+(RAK!G15/Prices!$C$141*1000)</f>
        <v>0</v>
      </c>
      <c r="H15" s="207"/>
      <c r="I15" s="207"/>
      <c r="J15" s="5" t="s">
        <v>390</v>
      </c>
      <c r="L15" s="48">
        <f>'AGG DM ASIA'!D43</f>
        <v>41.565123997108458</v>
      </c>
      <c r="M15" s="48">
        <f>'AGG DM ASIA'!E43</f>
        <v>32.02869182565906</v>
      </c>
      <c r="N15" s="48">
        <f>'AGG DM ASIA'!F43</f>
        <v>25.671163969094923</v>
      </c>
      <c r="O15" s="48">
        <f>'AGG DM ASIA'!G43</f>
        <v>21.551493029997715</v>
      </c>
      <c r="P15" s="13">
        <f>'EM CELLULAR'!H43</f>
        <v>0.15850771455356516</v>
      </c>
    </row>
    <row r="16" spans="2:63">
      <c r="B16" s="5" t="s">
        <v>438</v>
      </c>
      <c r="C16" s="216"/>
      <c r="D16" s="188">
        <f>(SBKK!D16/Prices!$C$141*1000)+(KDDI!D16/Prices!$C$141*1000)+(RAK!D16/Prices!$C$141*1000)</f>
        <v>0</v>
      </c>
      <c r="E16" s="188">
        <f>(SBKK!E16/Prices!$C$141*1000)+(KDDI!E16/Prices!$C$141*1000)+(RAK!E16/Prices!$C$141*1000)</f>
        <v>4513.1622739656023</v>
      </c>
      <c r="F16" s="188">
        <f>(SBKK!F16/Prices!$C$141*1000)+(KDDI!F16/Prices!$C$141*1000)+(RAK!F16/Prices!$C$141*1000)</f>
        <v>9049.556693788305</v>
      </c>
      <c r="G16" s="188">
        <f>(SBKK!G16/Prices!$C$141*1000)+(KDDI!G16/Prices!$C$141*1000)+(RAK!G16/Prices!$C$141*1000)</f>
        <v>13618.024972008878</v>
      </c>
      <c r="H16" s="207"/>
      <c r="I16" s="207"/>
      <c r="J16" s="5" t="s">
        <v>437</v>
      </c>
      <c r="L16" s="48">
        <f>'AGG DM ASIA'!D44</f>
        <v>15.683419731424276</v>
      </c>
      <c r="M16" s="48">
        <f>'AGG DM ASIA'!E44</f>
        <v>13.426126772887002</v>
      </c>
      <c r="N16" s="48">
        <f>'AGG DM ASIA'!F44</f>
        <v>11.967509632607566</v>
      </c>
      <c r="O16" s="48">
        <f>'AGG DM ASIA'!G44</f>
        <v>10.791406954951238</v>
      </c>
      <c r="P16" s="13">
        <f>'EM CELLULAR'!H44</f>
        <v>0.1529577493733687</v>
      </c>
    </row>
    <row r="17" spans="2:24">
      <c r="B17" s="5" t="s">
        <v>4</v>
      </c>
      <c r="C17" s="216"/>
      <c r="D17" s="188">
        <f>(SBKK!D17/Prices!$C$141*1000)+(KDDI!D17/Prices!$C$141*1000)+(RAK!D17/Prices!$C$141*1000)</f>
        <v>0</v>
      </c>
      <c r="E17" s="188">
        <f>(SBKK!E17/Prices!$C$141*1000)+(KDDI!E17/Prices!$C$141*1000)+(RAK!E17/Prices!$C$141*1000)</f>
        <v>0</v>
      </c>
      <c r="F17" s="188">
        <f>(SBKK!F17/Prices!$C$141*1000)+(KDDI!F17/Prices!$C$141*1000)+(RAK!F17/Prices!$C$141*1000)</f>
        <v>0</v>
      </c>
      <c r="G17" s="188">
        <f>(SBKK!G17/Prices!$C$141*1000)+(KDDI!G17/Prices!$C$141*1000)+(RAK!G17/Prices!$C$141*1000)</f>
        <v>0</v>
      </c>
      <c r="H17" s="207"/>
      <c r="I17" s="207"/>
      <c r="J17" s="5" t="s">
        <v>481</v>
      </c>
      <c r="L17" s="208">
        <f>'AGG DM ASIA'!D45</f>
        <v>3.6654531239017109E-2</v>
      </c>
      <c r="M17" s="208">
        <f>'AGG DM ASIA'!E45</f>
        <v>3.8929399994458255E-2</v>
      </c>
      <c r="N17" s="208">
        <f>'AGG DM ASIA'!F45</f>
        <v>4.1102187924215293E-2</v>
      </c>
      <c r="O17" s="208">
        <f>'AGG DM ASIA'!G45</f>
        <v>4.2225779665988582E-2</v>
      </c>
      <c r="P17" s="13">
        <f>'EM CELLULAR'!H45</f>
        <v>0.12646166295875116</v>
      </c>
      <c r="S17" s="72"/>
      <c r="T17" s="72"/>
      <c r="U17" s="72"/>
      <c r="V17" s="26"/>
      <c r="W17" s="26"/>
      <c r="X17" s="26"/>
    </row>
    <row r="18" spans="2:24" ht="12.6" thickBot="1">
      <c r="B18" s="25" t="s">
        <v>291</v>
      </c>
      <c r="C18" s="209"/>
      <c r="D18" s="229">
        <f>(SBKK!D18/Prices!$C$141*1000)+(KDDI!D18/Prices!$C$141*1000)+(RAK!D18/Prices!$C$141*1000)</f>
        <v>182009.81940662421</v>
      </c>
      <c r="E18" s="229">
        <f>(SBKK!E18/Prices!$C$141*1000)+(KDDI!E18/Prices!$C$141*1000)+(RAK!E18/Prices!$C$141*1000)</f>
        <v>170781.96754877019</v>
      </c>
      <c r="F18" s="229">
        <f>(SBKK!F18/Prices!$C$141*1000)+(KDDI!F18/Prices!$C$141*1000)+(RAK!F18/Prices!$C$141*1000)</f>
        <v>158604.37170720688</v>
      </c>
      <c r="G18" s="229">
        <f>(SBKK!G18/Prices!$C$141*1000)+(KDDI!G18/Prices!$C$141*1000)+(RAK!G18/Prices!$C$141*1000)</f>
        <v>145432.60471094796</v>
      </c>
      <c r="H18" s="230">
        <f>IF(D18=0,"nm",IF(G18=0,"nm",(G18/D18)^(1/3)-1))</f>
        <v>-7.2054817932410642E-2</v>
      </c>
      <c r="I18" s="214"/>
      <c r="J18" s="5" t="s">
        <v>33</v>
      </c>
      <c r="L18" s="208">
        <f>'AGG DM ASIA'!D46</f>
        <v>4.6724714466452794E-2</v>
      </c>
      <c r="M18" s="208">
        <f>'AGG DM ASIA'!E46</f>
        <v>5.945248094069646E-2</v>
      </c>
      <c r="N18" s="208">
        <f>'AGG DM ASIA'!F46</f>
        <v>-6.1884390633071613E-2</v>
      </c>
      <c r="O18" s="208">
        <f>'AGG DM ASIA'!G46</f>
        <v>6.5360200339706645E-2</v>
      </c>
      <c r="P18" s="13">
        <f>'EM CELLULAR'!H46</f>
        <v>0.13107739688292019</v>
      </c>
      <c r="S18" s="72"/>
      <c r="T18" s="26"/>
      <c r="U18" s="26"/>
      <c r="V18" s="26"/>
      <c r="W18" s="26"/>
      <c r="X18" s="26"/>
    </row>
    <row r="19" spans="2:24" ht="12.6" thickTop="1">
      <c r="B19" s="25"/>
      <c r="C19" s="209"/>
      <c r="D19" s="189"/>
      <c r="E19" s="189"/>
      <c r="F19" s="189"/>
      <c r="G19" s="189"/>
      <c r="H19" s="230"/>
      <c r="I19" s="13"/>
      <c r="J19" s="5" t="s">
        <v>482</v>
      </c>
      <c r="L19" s="208">
        <f>'AGG DM ASIA'!D47</f>
        <v>2.405863146395441E-2</v>
      </c>
      <c r="M19" s="208">
        <f>'AGG DM ASIA'!E47</f>
        <v>3.1222005739206391E-2</v>
      </c>
      <c r="N19" s="208">
        <f>'AGG DM ASIA'!F47</f>
        <v>3.8954213420314049E-2</v>
      </c>
      <c r="O19" s="208">
        <f>'AGG DM ASIA'!G47</f>
        <v>4.6400497571471779E-2</v>
      </c>
      <c r="P19" s="13">
        <f>'EM CELLULAR'!H47</f>
        <v>0.15850771455356516</v>
      </c>
      <c r="S19" s="72"/>
      <c r="T19" s="26"/>
      <c r="U19" s="26"/>
      <c r="V19" s="26"/>
      <c r="W19" s="26"/>
      <c r="X19" s="26"/>
    </row>
    <row r="20" spans="2:24">
      <c r="H20" s="231"/>
      <c r="I20" s="33"/>
      <c r="J20" s="5" t="s">
        <v>504</v>
      </c>
      <c r="L20" s="208">
        <f>'AGG DM ASIA'!D48</f>
        <v>0.93564750121215223</v>
      </c>
      <c r="M20" s="208">
        <f>'AGG DM ASIA'!E48</f>
        <v>0.76723145848810248</v>
      </c>
      <c r="N20" s="208">
        <f>'AGG DM ASIA'!F48</f>
        <v>0.6590921914575415</v>
      </c>
      <c r="O20" s="208">
        <f>'AGG DM ASIA'!G48</f>
        <v>0.58302616262370843</v>
      </c>
      <c r="P20" s="13" t="str">
        <f>'EM CELLULAR'!H48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13"/>
      <c r="D22" s="13"/>
      <c r="E22" s="13"/>
      <c r="F22" s="13"/>
      <c r="G22" s="13"/>
      <c r="H22" s="13"/>
      <c r="I22" s="207"/>
      <c r="P22" s="231"/>
      <c r="S22" s="26"/>
      <c r="T22" s="26"/>
      <c r="U22" s="26"/>
      <c r="V22" s="26"/>
      <c r="W22" s="26"/>
      <c r="X22" s="26"/>
    </row>
    <row r="23" spans="2:24" ht="12.6" thickBot="1">
      <c r="B23" s="5" t="s">
        <v>485</v>
      </c>
      <c r="C23" s="288">
        <f>(SBKK!C23/Prices!$C$141*1000)+(KDDI!C23/Prices!$C$141*1000)+(RAK!C23/Prices!$C$141*1000)</f>
        <v>92279.110144489547</v>
      </c>
      <c r="D23" s="188">
        <f>(SBKK!D23/Prices!$C$141*1000)+(KDDI!D23/Prices!$C$141*1000)+(RAK!D23/Prices!$C$141*1000)</f>
        <v>97581.43012465378</v>
      </c>
      <c r="E23" s="188">
        <f>(SBKK!E23/Prices!$C$141*1000)+(KDDI!E23/Prices!$C$141*1000)+(RAK!E23/Prices!$C$141*1000)</f>
        <v>103083.82071398773</v>
      </c>
      <c r="F23" s="188">
        <f>(SBKK!F23/Prices!$C$141*1000)+(KDDI!F23/Prices!$C$141*1000)+(RAK!F23/Prices!$C$141*1000)</f>
        <v>108568.19463150052</v>
      </c>
      <c r="G23" s="188">
        <f>(SBKK!G23/Prices!$C$141*1000)+(KDDI!G23/Prices!$C$141*1000)+(RAK!G23/Prices!$C$141*1000)</f>
        <v>114021.57835569416</v>
      </c>
      <c r="H23" s="233">
        <f t="shared" ref="H23:H33" si="0">IF(D23=0,"nm",IF(G23=0,"nm",(G23/D23)^(1/3)-1))</f>
        <v>5.3270587191900365E-2</v>
      </c>
      <c r="I23" s="209"/>
      <c r="J23" s="249" t="s">
        <v>7</v>
      </c>
      <c r="K23" s="249"/>
      <c r="L23" s="219" t="str">
        <f>L5</f>
        <v>2025E</v>
      </c>
      <c r="M23" s="219" t="str">
        <f>M5</f>
        <v>2026E</v>
      </c>
      <c r="N23" s="219" t="str">
        <f>N5</f>
        <v>2027E</v>
      </c>
      <c r="O23" s="219" t="str">
        <f>O5</f>
        <v>2028E</v>
      </c>
      <c r="P23" s="236" t="str">
        <f>P5</f>
        <v>2025-28</v>
      </c>
      <c r="S23" s="26"/>
      <c r="T23" s="26"/>
      <c r="U23" s="26"/>
      <c r="V23" s="26"/>
      <c r="W23" s="26" t="s">
        <v>517</v>
      </c>
      <c r="X23" s="26" t="s">
        <v>516</v>
      </c>
    </row>
    <row r="24" spans="2:24" ht="12.6" thickTop="1">
      <c r="B24" s="5" t="s">
        <v>397</v>
      </c>
      <c r="C24" s="288">
        <f>(SBKK!C24/Prices!$C$141*1000)+(KDDI!C24/Prices!$C$141*1000)+(RAK!C24/Prices!$C$141*1000)</f>
        <v>24478.018713992951</v>
      </c>
      <c r="D24" s="188">
        <f>(SBKK!D24/Prices!$C$141*1000)+(KDDI!D24/Prices!$C$141*1000)+(RAK!D24/Prices!$C$141*1000)</f>
        <v>25774.973109622755</v>
      </c>
      <c r="E24" s="188">
        <f>(SBKK!E24/Prices!$C$141*1000)+(KDDI!E24/Prices!$C$141*1000)+(RAK!E24/Prices!$C$141*1000)</f>
        <v>28164.201194969548</v>
      </c>
      <c r="F24" s="188">
        <f>(SBKK!F24/Prices!$C$141*1000)+(KDDI!F24/Prices!$C$141*1000)+(RAK!F24/Prices!$C$141*1000)</f>
        <v>30307.400214799978</v>
      </c>
      <c r="G24" s="188">
        <f>(SBKK!G24/Prices!$C$141*1000)+(KDDI!G24/Prices!$C$141*1000)+(RAK!G24/Prices!$C$141*1000)</f>
        <v>32243.480771599527</v>
      </c>
      <c r="H24" s="233">
        <f t="shared" si="0"/>
        <v>7.7493269443907886E-2</v>
      </c>
      <c r="I24" s="208"/>
      <c r="J24" s="13"/>
      <c r="K24" s="13"/>
      <c r="L24" s="13"/>
      <c r="M24" s="13"/>
      <c r="N24" s="13"/>
      <c r="O24" s="208"/>
      <c r="S24" s="26"/>
      <c r="T24" s="26"/>
      <c r="U24" s="26"/>
      <c r="V24" s="113" t="s">
        <v>225</v>
      </c>
      <c r="W24" s="242">
        <f t="shared" ref="W24:W31" si="1">E37/M9</f>
        <v>0.9287955210951041</v>
      </c>
      <c r="X24" s="242">
        <v>1</v>
      </c>
    </row>
    <row r="25" spans="2:24">
      <c r="B25" s="5" t="s">
        <v>157</v>
      </c>
      <c r="C25" s="288">
        <f>(SBKK!C25/Prices!$C$141*1000)+(KDDI!C25/Prices!$C$141*1000)+(RAK!C25/Prices!$C$141*1000)</f>
        <v>13965.485316492684</v>
      </c>
      <c r="D25" s="188">
        <f>(SBKK!D25/Prices!$C$141*1000)+(KDDI!D25/Prices!$C$141*1000)+(RAK!D25/Prices!$C$141*1000)</f>
        <v>16082.427085029154</v>
      </c>
      <c r="E25" s="188">
        <f>(SBKK!E25/Prices!$C$141*1000)+(KDDI!E25/Prices!$C$141*1000)+(RAK!E25/Prices!$C$141*1000)</f>
        <v>18317.015993548874</v>
      </c>
      <c r="F25" s="188">
        <f>(SBKK!F25/Prices!$C$141*1000)+(KDDI!F25/Prices!$C$141*1000)+(RAK!F25/Prices!$C$141*1000)</f>
        <v>20572.282608376125</v>
      </c>
      <c r="G25" s="188">
        <f>(SBKK!G25/Prices!$C$141*1000)+(KDDI!G25/Prices!$C$141*1000)+(RAK!G25/Prices!$C$141*1000)</f>
        <v>22438.919836305249</v>
      </c>
      <c r="H25" s="233">
        <f t="shared" si="0"/>
        <v>0.11742088784493321</v>
      </c>
      <c r="I25" s="209"/>
      <c r="J25" s="207" t="s">
        <v>8</v>
      </c>
      <c r="K25" s="207"/>
      <c r="L25" s="258">
        <f>(SBKK!L25/Prices!$C$156)+(KDDI!L25/Prices!$C$141*1000)</f>
        <v>0</v>
      </c>
      <c r="M25" s="258">
        <f>(SBKK!M25/Prices!$C$156)+(KDDI!M25/Prices!$C$141*1000)</f>
        <v>0</v>
      </c>
      <c r="N25" s="258">
        <f>(SBKK!N25/Prices!$C$156)+(KDDI!N25/Prices!$C$141*1000)</f>
        <v>0</v>
      </c>
      <c r="O25" s="258">
        <f>(SBKK!O25/Prices!$C$156)+(KDDI!O25/Prices!$C$141*1000)</f>
        <v>0</v>
      </c>
      <c r="P25" s="233" t="str">
        <f>IF(L25=0,"nm",IF(O25=0,"nm",(O25/L25)^(1/3)-1))</f>
        <v>nm</v>
      </c>
      <c r="Q25" s="5"/>
      <c r="S25" s="26"/>
      <c r="T25" s="26"/>
      <c r="U25" s="26"/>
      <c r="V25" s="113" t="s">
        <v>158</v>
      </c>
      <c r="W25" s="242">
        <f t="shared" si="1"/>
        <v>0.90343333222849587</v>
      </c>
      <c r="X25" s="242">
        <v>1</v>
      </c>
    </row>
    <row r="26" spans="2:24">
      <c r="B26" s="5" t="s">
        <v>487</v>
      </c>
      <c r="C26" s="288">
        <f>(SBKK!C26/Prices!$C$141*1000)+(KDDI!C26/Prices!$C$141*1000)+(RAK!C26/Prices!$C$141*1000)</f>
        <v>11086.236180659267</v>
      </c>
      <c r="D26" s="188">
        <f>(SBKK!D26/Prices!$C$141*1000)+(KDDI!D26/Prices!$C$141*1000)+(RAK!D26/Prices!$C$141*1000)</f>
        <v>11414.918367828615</v>
      </c>
      <c r="E26" s="188">
        <f>(SBKK!E26/Prices!$C$141*1000)+(KDDI!E26/Prices!$C$141*1000)+(RAK!E26/Prices!$C$141*1000)</f>
        <v>12663.849750881465</v>
      </c>
      <c r="F26" s="188">
        <f>(SBKK!F26/Prices!$C$141*1000)+(KDDI!F26/Prices!$C$141*1000)+(RAK!F26/Prices!$C$141*1000)</f>
        <v>14065.366802416413</v>
      </c>
      <c r="G26" s="188">
        <f>(SBKK!G26/Prices!$C$141*1000)+(KDDI!G26/Prices!$C$141*1000)+(RAK!G26/Prices!$C$141*1000)</f>
        <v>15324.026685370645</v>
      </c>
      <c r="H26" s="233">
        <f t="shared" si="0"/>
        <v>0.10314693629245908</v>
      </c>
      <c r="I26" s="209"/>
      <c r="J26" s="209" t="s">
        <v>9</v>
      </c>
      <c r="K26" s="209"/>
      <c r="L26" s="235">
        <f>(SBKK!L26/Prices!$C$156)+(KDDI!L26/Prices!$C$141*1000)</f>
        <v>69090.67227056103</v>
      </c>
      <c r="M26" s="235">
        <f>(SBKK!M26/Prices!$C$156)+(KDDI!M26/Prices!$C$141*1000)</f>
        <v>67220.485386256551</v>
      </c>
      <c r="N26" s="235">
        <f>(SBKK!N26/Prices!$C$156)+(KDDI!N26/Prices!$C$141*1000)</f>
        <v>65350.298501952057</v>
      </c>
      <c r="O26" s="235">
        <f>(SBKK!O26/Prices!$C$156)+(KDDI!O26/Prices!$C$141*1000)</f>
        <v>63480.111617647577</v>
      </c>
      <c r="P26" s="233">
        <f>IF(L26=0,"nm",IF(O26=0,"nm",(O26/L26)^(1/3)-1))</f>
        <v>-2.7836254519598369E-2</v>
      </c>
      <c r="Q26" s="25"/>
      <c r="S26" s="26"/>
      <c r="T26" s="26"/>
      <c r="U26" s="26"/>
      <c r="V26" s="113" t="s">
        <v>159</v>
      </c>
      <c r="W26" s="242">
        <f t="shared" si="1"/>
        <v>0.73056839922421823</v>
      </c>
      <c r="X26" s="242">
        <v>1</v>
      </c>
    </row>
    <row r="27" spans="2:24">
      <c r="B27" s="5" t="s">
        <v>488</v>
      </c>
      <c r="C27" s="288">
        <f>(SBKK!C27/Prices!$C$141*1000)+(KDDI!C27/Prices!$C$141*1000)+(RAK!C27/Prices!$C$141*1000)</f>
        <v>92564.124264679092</v>
      </c>
      <c r="D27" s="188">
        <f>(SBKK!D27/Prices!$C$141*1000)+(KDDI!D27/Prices!$C$141*1000)+(RAK!D27/Prices!$C$141*1000)</f>
        <v>91873.893454382312</v>
      </c>
      <c r="E27" s="188">
        <f>(SBKK!E27/Prices!$C$141*1000)+(KDDI!E27/Prices!$C$141*1000)+(RAK!E27/Prices!$C$141*1000)</f>
        <v>92196.23564665702</v>
      </c>
      <c r="F27" s="188">
        <f>(SBKK!F27/Prices!$C$141*1000)+(KDDI!F27/Prices!$C$141*1000)+(RAK!F27/Prices!$C$141*1000)</f>
        <v>91673.250893542106</v>
      </c>
      <c r="G27" s="188">
        <f>(SBKK!G27/Prices!$C$141*1000)+(KDDI!G27/Prices!$C$141*1000)+(RAK!G27/Prices!$C$141*1000)</f>
        <v>90248.002982637176</v>
      </c>
      <c r="H27" s="233">
        <f t="shared" si="0"/>
        <v>-5.9341377298509634E-3</v>
      </c>
      <c r="I27" s="208"/>
      <c r="J27" s="208"/>
      <c r="K27" s="208"/>
      <c r="L27" s="208"/>
      <c r="M27" s="208"/>
      <c r="N27" s="208"/>
      <c r="O27" s="208"/>
      <c r="Q27" s="5"/>
      <c r="S27" s="26"/>
      <c r="T27" s="26"/>
      <c r="U27" s="26"/>
      <c r="V27" s="113" t="s">
        <v>381</v>
      </c>
      <c r="W27" s="242">
        <f t="shared" si="1"/>
        <v>0.73661994372856021</v>
      </c>
      <c r="X27" s="242">
        <v>1</v>
      </c>
    </row>
    <row r="28" spans="2:24" ht="12.6" thickBot="1">
      <c r="B28" s="5" t="s">
        <v>492</v>
      </c>
      <c r="C28" s="288">
        <f>(SBKK!C28/Prices!$C$141*1000)+(KDDI!C28/Prices!$C$141*1000)+(RAK!C28/Prices!$C$141*1000)</f>
        <v>37744.561845954537</v>
      </c>
      <c r="D28" s="188">
        <f>(SBKK!D28/Prices!$C$141*1000)+(KDDI!D28/Prices!$C$141*1000)+(RAK!D28/Prices!$C$141*1000)</f>
        <v>36849.169027763957</v>
      </c>
      <c r="E28" s="188">
        <f>(SBKK!E28/Prices!$C$141*1000)+(KDDI!E28/Prices!$C$141*1000)+(RAK!E28/Prices!$C$141*1000)</f>
        <v>35686.088130545337</v>
      </c>
      <c r="F28" s="188">
        <f>(SBKK!F28/Prices!$C$141*1000)+(KDDI!F28/Prices!$C$141*1000)+(RAK!F28/Prices!$C$141*1000)</f>
        <v>34406.112625935486</v>
      </c>
      <c r="G28" s="188">
        <f>(SBKK!G28/Prices!$C$141*1000)+(KDDI!G28/Prices!$C$141*1000)+(RAK!G28/Prices!$C$141*1000)</f>
        <v>33019.051721869953</v>
      </c>
      <c r="H28" s="233">
        <f t="shared" si="0"/>
        <v>-3.5921718528862501E-2</v>
      </c>
      <c r="I28" s="212"/>
      <c r="J28" s="249" t="s">
        <v>628</v>
      </c>
      <c r="K28" s="249"/>
      <c r="L28" s="249"/>
      <c r="M28" s="249"/>
      <c r="N28" s="220"/>
      <c r="O28" s="220"/>
      <c r="P28" s="220"/>
      <c r="Q28" s="5"/>
      <c r="S28" s="26"/>
      <c r="T28" s="26"/>
      <c r="U28" s="26"/>
      <c r="V28" s="113" t="s">
        <v>434</v>
      </c>
      <c r="W28" s="242">
        <f t="shared" si="1"/>
        <v>1.1825647914780477</v>
      </c>
      <c r="X28" s="242">
        <v>1</v>
      </c>
    </row>
    <row r="29" spans="2:24" ht="12.6" thickTop="1">
      <c r="B29" s="5" t="s">
        <v>489</v>
      </c>
      <c r="C29" s="288">
        <f>(SBKK!C29/Prices!$C$141*1000)+(KDDI!C29/Prices!$C$141*1000)+(RAK!C29/Prices!$C$141*1000)</f>
        <v>5645.441423400619</v>
      </c>
      <c r="D29" s="188">
        <f>(SBKK!D29/Prices!$C$141*1000)+(KDDI!D29/Prices!$C$141*1000)+(RAK!D29/Prices!$C$141*1000)</f>
        <v>7613.7976639794442</v>
      </c>
      <c r="E29" s="188">
        <f>(SBKK!E29/Prices!$C$141*1000)+(KDDI!E29/Prices!$C$141*1000)+(RAK!E29/Prices!$C$141*1000)</f>
        <v>8836.4045771227629</v>
      </c>
      <c r="F29" s="188">
        <f>(SBKK!F29/Prices!$C$141*1000)+(KDDI!F29/Prices!$C$141*1000)+(RAK!F29/Prices!$C$141*1000)</f>
        <v>10251.975214136937</v>
      </c>
      <c r="G29" s="188">
        <f>(SBKK!G29/Prices!$C$141*1000)+(KDDI!G29/Prices!$C$141*1000)+(RAK!G29/Prices!$C$141*1000)</f>
        <v>11409.732184481123</v>
      </c>
      <c r="H29" s="233">
        <f t="shared" si="0"/>
        <v>0.14434780190902963</v>
      </c>
      <c r="I29" s="214"/>
      <c r="J29" s="209"/>
      <c r="K29" s="209"/>
      <c r="L29" s="209"/>
      <c r="M29" s="209"/>
      <c r="N29" s="209"/>
      <c r="O29" s="211"/>
      <c r="Q29" s="5"/>
      <c r="S29" s="26"/>
      <c r="T29" s="26"/>
      <c r="U29" s="26"/>
      <c r="V29" s="113" t="s">
        <v>493</v>
      </c>
      <c r="W29" s="242">
        <f t="shared" si="1"/>
        <v>1.5972911661825111</v>
      </c>
      <c r="X29" s="242">
        <v>1</v>
      </c>
    </row>
    <row r="30" spans="2:24">
      <c r="B30" s="5" t="s">
        <v>490</v>
      </c>
      <c r="C30" s="288">
        <f>(SBKK!C30/Prices!$C$141*1000)+(KDDI!C30/Prices!$C$141*1000)+(RAK!C30/Prices!$C$141*1000)</f>
        <v>6568.614280890677</v>
      </c>
      <c r="D30" s="188">
        <f>(SBKK!D30/Prices!$C$141*1000)+(KDDI!D30/Prices!$C$141*1000)+(RAK!D30/Prices!$C$141*1000)</f>
        <v>7845.1500198437952</v>
      </c>
      <c r="E30" s="188">
        <f>(SBKK!E30/Prices!$C$141*1000)+(KDDI!E30/Prices!$C$141*1000)+(RAK!E30/Prices!$C$141*1000)</f>
        <v>8883.038079285112</v>
      </c>
      <c r="F30" s="188">
        <f>(SBKK!F30/Prices!$C$141*1000)+(KDDI!F30/Prices!$C$141*1000)+(RAK!F30/Prices!$C$141*1000)</f>
        <v>9851.0626928847214</v>
      </c>
      <c r="G30" s="188">
        <f>(SBKK!G30/Prices!$C$141*1000)+(KDDI!G30/Prices!$C$141*1000)+(RAK!G30/Prices!$C$141*1000)</f>
        <v>10830.156233053083</v>
      </c>
      <c r="H30" s="233">
        <f t="shared" si="0"/>
        <v>0.11346821178207422</v>
      </c>
      <c r="I30" s="214"/>
      <c r="J30" s="208"/>
      <c r="K30" s="208"/>
      <c r="L30" s="208"/>
      <c r="M30" s="208"/>
      <c r="N30" s="208"/>
      <c r="O30" s="5"/>
      <c r="Q30" s="5"/>
      <c r="S30" s="26"/>
      <c r="T30" s="26"/>
      <c r="U30" s="26"/>
      <c r="V30" s="113" t="s">
        <v>390</v>
      </c>
      <c r="W30" s="242">
        <f t="shared" si="1"/>
        <v>0.23751270804820052</v>
      </c>
      <c r="X30" s="242">
        <v>1</v>
      </c>
    </row>
    <row r="31" spans="2:24">
      <c r="B31" s="5" t="s">
        <v>491</v>
      </c>
      <c r="C31" s="288">
        <f>(SBKK!C31/Prices!$C$141*1000)+(KDDI!C31/Prices!$C$141*1000)+(RAK!C31/Prices!$C$141*1000)</f>
        <v>6158.1431521243376</v>
      </c>
      <c r="D31" s="188">
        <f>(SBKK!D31/Prices!$C$141*1000)+(KDDI!D31/Prices!$C$141*1000)+(RAK!D31/Prices!$C$141*1000)</f>
        <v>4423.4211589057959</v>
      </c>
      <c r="E31" s="188">
        <f>(SBKK!E31/Prices!$C$141*1000)+(KDDI!E31/Prices!$C$141*1000)+(RAK!E31/Prices!$C$141*1000)</f>
        <v>4456.3409887966463</v>
      </c>
      <c r="F31" s="188">
        <f>(SBKK!F31/Prices!$C$141*1000)+(KDDI!F31/Prices!$C$141*1000)+(RAK!F31/Prices!$C$141*1000)</f>
        <v>4482.3055056970898</v>
      </c>
      <c r="G31" s="188">
        <f>(SBKK!G31/Prices!$C$141*1000)+(KDDI!G31/Prices!$C$141*1000)+(RAK!G31/Prices!$C$141*1000)</f>
        <v>4501.314709607128</v>
      </c>
      <c r="H31" s="233">
        <f t="shared" si="0"/>
        <v>5.8356605957814445E-3</v>
      </c>
      <c r="I31" s="214"/>
      <c r="J31" s="212"/>
      <c r="K31" s="212"/>
      <c r="L31" s="212"/>
      <c r="M31" s="212"/>
      <c r="N31" s="212"/>
      <c r="O31" s="5"/>
      <c r="Q31" s="5"/>
      <c r="S31" s="26"/>
      <c r="T31" s="26"/>
      <c r="U31" s="26"/>
      <c r="V31" s="113" t="s">
        <v>437</v>
      </c>
      <c r="W31" s="242">
        <f t="shared" si="1"/>
        <v>1.1196460852795571</v>
      </c>
      <c r="X31" s="242">
        <v>1</v>
      </c>
    </row>
    <row r="32" spans="2:24">
      <c r="B32" s="5" t="s">
        <v>506</v>
      </c>
      <c r="C32" s="288">
        <f>(SBKK!C32/Prices!$C$141*1000)+(KDDI!C32/Prices!$C$141*1000)+(RAK!C32/Prices!$C$141*1000)</f>
        <v>1564.7012913554042</v>
      </c>
      <c r="D32" s="188">
        <f>(SBKK!D32/Prices!$C$141*1000)+(KDDI!D32/Prices!$C$141*1000)+(RAK!D32/Prices!$C$141*1000)</f>
        <v>1126.7607044457845</v>
      </c>
      <c r="E32" s="188">
        <f>(SBKK!E32/Prices!$C$141*1000)+(KDDI!E32/Prices!$C$141*1000)+(RAK!E32/Prices!$C$141*1000)</f>
        <v>2358.8484956304846</v>
      </c>
      <c r="F32" s="188">
        <f>(SBKK!F32/Prices!$C$141*1000)+(KDDI!F32/Prices!$C$141*1000)+(RAK!F32/Prices!$C$141*1000)</f>
        <v>1357.4774782444417</v>
      </c>
      <c r="G32" s="188">
        <f>(SBKK!G32/Prices!$C$141*1000)+(KDDI!G32/Prices!$C$141*1000)+(RAK!G32/Prices!$C$141*1000)</f>
        <v>4400.4575149242592</v>
      </c>
      <c r="H32" s="233">
        <f t="shared" si="0"/>
        <v>0.57478781796790046</v>
      </c>
      <c r="I32" s="5"/>
      <c r="J32" s="214"/>
      <c r="K32" s="214"/>
      <c r="L32" s="214"/>
      <c r="M32" s="214"/>
      <c r="N32" s="214"/>
      <c r="O32" s="211"/>
      <c r="Q32" s="5"/>
      <c r="S32" s="26"/>
      <c r="T32" s="26"/>
      <c r="U32" s="26"/>
      <c r="V32" s="113" t="s">
        <v>481</v>
      </c>
      <c r="W32" s="242">
        <f>M17/E45</f>
        <v>1.1665203752491622</v>
      </c>
      <c r="X32" s="242">
        <v>1</v>
      </c>
    </row>
    <row r="33" spans="2:24">
      <c r="B33" s="5" t="s">
        <v>3</v>
      </c>
      <c r="C33" s="288">
        <f>(SBKK!C33/Prices!$C$141*1000)+(KDDI!C33/Prices!$C$141*1000)+(RAK!C33/Prices!$C$141*1000)</f>
        <v>-488.32556974342037</v>
      </c>
      <c r="D33" s="188">
        <f>(SBKK!D33/Prices!$C$141*1000)+(KDDI!D33/Prices!$C$141*1000)+(RAK!D33/Prices!$C$141*1000)</f>
        <v>-273.92519300084609</v>
      </c>
      <c r="E33" s="188">
        <f>(SBKK!E33/Prices!$C$141*1000)+(KDDI!E33/Prices!$C$141*1000)+(RAK!E33/Prices!$C$141*1000)</f>
        <v>-153.99776078260203</v>
      </c>
      <c r="F33" s="188">
        <f>(SBKK!F33/Prices!$C$141*1000)+(KDDI!F33/Prices!$C$141*1000)+(RAK!F33/Prices!$C$141*1000)</f>
        <v>-65.028577957975415</v>
      </c>
      <c r="G33" s="188">
        <f>(SBKK!G33/Prices!$C$141*1000)+(KDDI!G33/Prices!$C$141*1000)+(RAK!G33/Prices!$C$141*1000)</f>
        <v>-45.688373164324446</v>
      </c>
      <c r="H33" s="233">
        <f t="shared" si="0"/>
        <v>-0.44954151226607686</v>
      </c>
      <c r="I33" s="33"/>
      <c r="J33" s="214"/>
      <c r="K33" s="214"/>
      <c r="L33" s="214"/>
      <c r="M33" s="214"/>
      <c r="N33" s="214"/>
      <c r="O33" s="211"/>
      <c r="Q33" s="5"/>
      <c r="S33" s="26"/>
      <c r="T33" s="26"/>
      <c r="U33" s="26"/>
      <c r="V33" s="113" t="s">
        <v>218</v>
      </c>
      <c r="W33" s="242">
        <f>N19/F47</f>
        <v>0.24831014724030204</v>
      </c>
      <c r="X33" s="242">
        <v>1</v>
      </c>
    </row>
    <row r="34" spans="2:24">
      <c r="H34" s="231"/>
      <c r="I34" s="214"/>
      <c r="J34" s="214"/>
      <c r="K34" s="214"/>
      <c r="L34" s="214"/>
      <c r="M34" s="214"/>
      <c r="N34" s="214"/>
      <c r="O34" s="211"/>
      <c r="Q34" s="5"/>
      <c r="S34" s="26"/>
      <c r="T34" s="26"/>
      <c r="U34" s="26"/>
      <c r="V34" s="26"/>
      <c r="W34" s="26"/>
      <c r="X34" s="26"/>
    </row>
    <row r="35" spans="2:24" ht="12.6" thickBot="1">
      <c r="B35" s="249" t="s">
        <v>77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8">
        <f t="shared" ref="D37:G41" si="2">D$18/D23</f>
        <v>1.8652095913548181</v>
      </c>
      <c r="E37" s="48">
        <f t="shared" si="2"/>
        <v>1.6567291197191365</v>
      </c>
      <c r="F37" s="48">
        <f t="shared" si="2"/>
        <v>1.4608732534011266</v>
      </c>
      <c r="G37" s="48">
        <f t="shared" si="2"/>
        <v>1.2754831743976218</v>
      </c>
      <c r="H37" s="13">
        <f t="shared" ref="H37:H45" si="3">H23</f>
        <v>5.3270587191900365E-2</v>
      </c>
      <c r="I37" s="217"/>
      <c r="J37" s="217"/>
      <c r="K37" s="217"/>
      <c r="L37" s="217"/>
      <c r="M37" s="217"/>
      <c r="N37" s="217"/>
      <c r="O37" s="14"/>
      <c r="Q37" s="5"/>
      <c r="R37" s="5"/>
      <c r="S37" s="26"/>
      <c r="T37" s="26"/>
      <c r="U37" s="26"/>
      <c r="V37" s="26"/>
      <c r="W37" s="26"/>
      <c r="X37" s="26"/>
    </row>
    <row r="38" spans="2:24">
      <c r="B38" s="5" t="s">
        <v>158</v>
      </c>
      <c r="C38" s="207"/>
      <c r="D38" s="48">
        <f t="shared" si="2"/>
        <v>7.0614940559791775</v>
      </c>
      <c r="E38" s="48">
        <f t="shared" si="2"/>
        <v>6.0637958934647092</v>
      </c>
      <c r="F38" s="48">
        <f t="shared" si="2"/>
        <v>5.2331896033020939</v>
      </c>
      <c r="G38" s="48">
        <f t="shared" si="2"/>
        <v>4.5104499027613318</v>
      </c>
      <c r="H38" s="13">
        <f t="shared" si="3"/>
        <v>7.7493269443907886E-2</v>
      </c>
      <c r="I38" s="13"/>
      <c r="J38" s="13"/>
      <c r="K38" s="13"/>
      <c r="L38" s="13"/>
      <c r="M38" s="13"/>
      <c r="N38" s="13"/>
      <c r="O38" s="5"/>
      <c r="Q38" s="5"/>
      <c r="R38" s="5"/>
      <c r="S38" s="26"/>
      <c r="T38" s="26"/>
      <c r="U38" s="26"/>
      <c r="V38" s="26"/>
      <c r="W38" s="26"/>
      <c r="X38" s="26"/>
    </row>
    <row r="39" spans="2:24">
      <c r="B39" s="5" t="s">
        <v>159</v>
      </c>
      <c r="C39" s="207"/>
      <c r="D39" s="48">
        <f t="shared" si="2"/>
        <v>11.317310406216853</v>
      </c>
      <c r="E39" s="48">
        <f t="shared" si="2"/>
        <v>9.3236784642716053</v>
      </c>
      <c r="F39" s="48">
        <f t="shared" si="2"/>
        <v>7.7096146658334446</v>
      </c>
      <c r="G39" s="48">
        <f t="shared" si="2"/>
        <v>6.4812658439843434</v>
      </c>
      <c r="H39" s="13">
        <f t="shared" si="3"/>
        <v>0.11742088784493321</v>
      </c>
      <c r="I39" s="5"/>
      <c r="J39" s="5"/>
      <c r="K39" s="5"/>
      <c r="L39" s="5"/>
      <c r="M39" s="5"/>
      <c r="N39" s="5"/>
      <c r="O39" s="5"/>
      <c r="Q39" s="5"/>
      <c r="R39" s="5"/>
      <c r="S39" s="26"/>
      <c r="T39" s="26"/>
      <c r="U39" s="26"/>
      <c r="V39" s="26"/>
      <c r="W39" s="242"/>
      <c r="X39" s="242"/>
    </row>
    <row r="40" spans="2:24">
      <c r="B40" s="5" t="s">
        <v>381</v>
      </c>
      <c r="C40" s="207"/>
      <c r="D40" s="48">
        <f t="shared" si="2"/>
        <v>15.944907667460328</v>
      </c>
      <c r="E40" s="48">
        <f t="shared" si="2"/>
        <v>13.485785989910607</v>
      </c>
      <c r="F40" s="48">
        <f t="shared" si="2"/>
        <v>11.276234309080291</v>
      </c>
      <c r="G40" s="48">
        <f t="shared" si="2"/>
        <v>9.4904953963430376</v>
      </c>
      <c r="H40" s="13">
        <f t="shared" si="3"/>
        <v>0.10314693629245908</v>
      </c>
      <c r="I40" s="207"/>
      <c r="J40" s="217"/>
      <c r="K40" s="217"/>
      <c r="L40" s="217"/>
      <c r="M40" s="217"/>
      <c r="N40" s="217"/>
      <c r="O40" s="14"/>
      <c r="Q40" s="5"/>
      <c r="R40" s="5"/>
      <c r="S40" s="26"/>
      <c r="T40" s="26"/>
      <c r="U40" s="26"/>
      <c r="V40" s="26"/>
      <c r="W40" s="242"/>
      <c r="X40" s="242"/>
    </row>
    <row r="41" spans="2:24">
      <c r="B41" s="5" t="s">
        <v>434</v>
      </c>
      <c r="C41" s="207"/>
      <c r="D41" s="48">
        <f t="shared" si="2"/>
        <v>1.9810831190799227</v>
      </c>
      <c r="E41" s="48">
        <f t="shared" si="2"/>
        <v>1.852374626262332</v>
      </c>
      <c r="F41" s="48">
        <f t="shared" si="2"/>
        <v>1.7301052396558976</v>
      </c>
      <c r="G41" s="48">
        <f t="shared" si="2"/>
        <v>1.6114772615957802</v>
      </c>
      <c r="H41" s="13">
        <f t="shared" si="3"/>
        <v>-5.9341377298509634E-3</v>
      </c>
      <c r="I41" s="208"/>
      <c r="J41" s="13"/>
      <c r="K41" s="13"/>
      <c r="L41" s="13"/>
      <c r="M41" s="13"/>
      <c r="N41" s="13"/>
      <c r="O41" s="5"/>
      <c r="Q41" s="5"/>
      <c r="R41" s="5"/>
      <c r="S41" s="26"/>
      <c r="T41" s="26"/>
      <c r="U41" s="26"/>
      <c r="V41" s="26"/>
      <c r="W41" s="242"/>
      <c r="X41" s="242"/>
    </row>
    <row r="42" spans="2:24">
      <c r="B42" s="5" t="s">
        <v>493</v>
      </c>
      <c r="C42" s="207"/>
      <c r="D42" s="48">
        <f>D18/D28</f>
        <v>4.9393195072998566</v>
      </c>
      <c r="E42" s="48">
        <f>E18/E28</f>
        <v>4.7856735354130953</v>
      </c>
      <c r="F42" s="48">
        <f>F18/F28</f>
        <v>4.6097730781608321</v>
      </c>
      <c r="G42" s="48">
        <f>G18/G28</f>
        <v>4.4045057967131633</v>
      </c>
      <c r="H42" s="13">
        <f t="shared" si="3"/>
        <v>-3.5921718528862501E-2</v>
      </c>
      <c r="I42" s="207"/>
      <c r="J42" s="5"/>
      <c r="K42" s="5"/>
      <c r="L42" s="5"/>
      <c r="M42" s="5"/>
      <c r="N42" s="5"/>
      <c r="O42" s="5"/>
      <c r="Q42" s="5"/>
      <c r="R42" s="5"/>
      <c r="S42" s="26"/>
      <c r="T42" s="26"/>
      <c r="U42" s="26"/>
      <c r="V42" s="26"/>
      <c r="W42" s="242"/>
      <c r="X42" s="242"/>
    </row>
    <row r="43" spans="2:24">
      <c r="B43" s="5" t="s">
        <v>390</v>
      </c>
      <c r="C43" s="207"/>
      <c r="D43" s="48">
        <f>L26/D29</f>
        <v>9.0744035131674288</v>
      </c>
      <c r="E43" s="48">
        <f>M26/E29</f>
        <v>7.6072213307535463</v>
      </c>
      <c r="F43" s="48">
        <f>N26/F29</f>
        <v>6.3744105049958977</v>
      </c>
      <c r="G43" s="48">
        <f>O26/G29</f>
        <v>5.5636811268882944</v>
      </c>
      <c r="H43" s="13">
        <f t="shared" si="3"/>
        <v>0.14434780190902963</v>
      </c>
      <c r="I43" s="207"/>
      <c r="J43" s="207"/>
      <c r="K43" s="207"/>
      <c r="L43" s="207"/>
      <c r="M43" s="207"/>
      <c r="N43" s="207"/>
      <c r="O43" s="14"/>
      <c r="Q43" s="5"/>
      <c r="R43" s="5"/>
      <c r="S43" s="26"/>
      <c r="T43" s="26"/>
      <c r="U43" s="26"/>
      <c r="V43" s="26"/>
      <c r="W43" s="255"/>
      <c r="X43" s="255"/>
    </row>
    <row r="44" spans="2:24">
      <c r="B44" s="5" t="s">
        <v>437</v>
      </c>
      <c r="C44" s="53"/>
      <c r="D44" s="48">
        <f>D11/D30</f>
        <v>17.336520099945645</v>
      </c>
      <c r="E44" s="48">
        <f>E11/E30</f>
        <v>15.032510281729985</v>
      </c>
      <c r="F44" s="48">
        <f>F11/F30</f>
        <v>13.304262250635908</v>
      </c>
      <c r="G44" s="48">
        <f>G11/G30</f>
        <v>11.873132667734911</v>
      </c>
      <c r="H44" s="13">
        <f t="shared" si="3"/>
        <v>0.11346821178207422</v>
      </c>
      <c r="I44" s="208"/>
      <c r="J44" s="208"/>
      <c r="K44" s="208"/>
      <c r="L44" s="208"/>
      <c r="M44" s="208"/>
      <c r="N44" s="208"/>
      <c r="O44" s="208"/>
      <c r="Q44" s="5"/>
      <c r="R44" s="5"/>
      <c r="S44" s="26"/>
      <c r="T44" s="26"/>
      <c r="U44" s="26"/>
      <c r="V44" s="26"/>
      <c r="W44" s="26"/>
      <c r="X44" s="26"/>
    </row>
    <row r="45" spans="2:24">
      <c r="B45" s="5" t="s">
        <v>481</v>
      </c>
      <c r="C45" s="207"/>
      <c r="D45" s="208">
        <f>D31/D11</f>
        <v>3.252333785894105E-2</v>
      </c>
      <c r="E45" s="208">
        <f>E31/E11</f>
        <v>3.3372241771724868E-2</v>
      </c>
      <c r="F45" s="208">
        <f>F31/F11</f>
        <v>3.4200115594403613E-2</v>
      </c>
      <c r="G45" s="208">
        <f>G31/G11</f>
        <v>3.5005745858320655E-2</v>
      </c>
      <c r="H45" s="13">
        <f t="shared" si="3"/>
        <v>5.8356605957814445E-3</v>
      </c>
      <c r="I45" s="207"/>
      <c r="J45" s="207"/>
      <c r="K45" s="207"/>
      <c r="L45" s="207"/>
      <c r="M45" s="207"/>
      <c r="N45" s="207"/>
      <c r="O45" s="208"/>
      <c r="Q45" s="5"/>
      <c r="R45" s="5"/>
      <c r="S45" s="26"/>
      <c r="T45" s="26"/>
      <c r="U45" s="26"/>
      <c r="V45" s="26"/>
      <c r="W45" s="26"/>
      <c r="X45" s="26"/>
    </row>
    <row r="46" spans="2:24">
      <c r="B46" s="5" t="s">
        <v>505</v>
      </c>
      <c r="C46" s="207"/>
      <c r="D46" s="208">
        <f>(D31+D32)/D11</f>
        <v>4.0807880017692588E-2</v>
      </c>
      <c r="E46" s="208">
        <f>(E31+E32)/E11</f>
        <v>5.103697220796264E-2</v>
      </c>
      <c r="F46" s="208">
        <f>(F31+F32)/F11</f>
        <v>4.455770648457192E-2</v>
      </c>
      <c r="G46" s="208">
        <f>(G31+G32)/G11</f>
        <v>6.9227147241122555E-2</v>
      </c>
      <c r="H46" s="233">
        <f>((G31+G32)/(D31+D32))^(1/3)-1</f>
        <v>0.17054942112470028</v>
      </c>
      <c r="I46" s="13"/>
      <c r="J46" s="207"/>
      <c r="K46" s="207"/>
      <c r="L46" s="207"/>
      <c r="M46" s="207"/>
      <c r="N46" s="207"/>
      <c r="O46" s="14"/>
      <c r="Q46" s="5"/>
      <c r="R46" s="5"/>
      <c r="S46" s="26"/>
      <c r="T46" s="26"/>
      <c r="U46" s="26"/>
      <c r="V46" s="26"/>
      <c r="W46" s="26"/>
      <c r="X46" s="26"/>
    </row>
    <row r="47" spans="2:24">
      <c r="B47" s="5" t="s">
        <v>482</v>
      </c>
      <c r="C47" s="5"/>
      <c r="D47" s="208">
        <f>1/D43</f>
        <v>0.11020008076001341</v>
      </c>
      <c r="E47" s="208">
        <f>1/E43</f>
        <v>0.13145404301007019</v>
      </c>
      <c r="F47" s="208">
        <f>1/F43</f>
        <v>0.15687725150682677</v>
      </c>
      <c r="G47" s="208">
        <f>1/G43</f>
        <v>0.17973711598372802</v>
      </c>
      <c r="H47" s="13">
        <f>H29</f>
        <v>0.14434780190902963</v>
      </c>
      <c r="I47" s="207"/>
      <c r="J47" s="208"/>
      <c r="K47" s="208"/>
      <c r="L47" s="208"/>
      <c r="M47" s="208"/>
      <c r="N47" s="208"/>
      <c r="O47" s="208"/>
      <c r="Q47" s="5"/>
      <c r="R47" s="5"/>
      <c r="S47" s="5"/>
      <c r="T47" s="5"/>
      <c r="U47" s="5"/>
    </row>
    <row r="48" spans="2:24">
      <c r="B48" s="5" t="s">
        <v>518</v>
      </c>
      <c r="C48" s="5"/>
      <c r="D48" s="248">
        <f>D31/D29</f>
        <v>0.58097435131916031</v>
      </c>
      <c r="E48" s="248">
        <f>E31/E29</f>
        <v>0.50431608805395867</v>
      </c>
      <c r="F48" s="248">
        <f>F31/F29</f>
        <v>0.43721384533940594</v>
      </c>
      <c r="G48" s="248">
        <f>G31/G29</f>
        <v>0.39451536958330741</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21"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69">
    <tabColor theme="3" tint="0.39997558519241921"/>
    <pageSetUpPr fitToPage="1"/>
  </sheetPr>
  <dimension ref="B1:BK48"/>
  <sheetViews>
    <sheetView showGridLines="0" zoomScale="80" zoomScaleNormal="80" workbookViewId="0"/>
  </sheetViews>
  <sheetFormatPr defaultColWidth="8.88671875" defaultRowHeight="12"/>
  <cols>
    <col min="1" max="1" width="2.33203125" style="23" customWidth="1"/>
    <col min="2" max="2" width="26.6640625" style="23" customWidth="1"/>
    <col min="3" max="9" width="10" style="23" customWidth="1"/>
    <col min="10" max="10" width="26.6640625" style="23" customWidth="1"/>
    <col min="11" max="16" width="10" style="23" customWidth="1"/>
    <col min="17" max="17" width="4.5546875" style="23" customWidth="1"/>
    <col min="18" max="20" width="8.88671875" style="23"/>
    <col min="21" max="21" width="3.6640625" style="23" customWidth="1"/>
    <col min="22" max="63" width="9.109375" style="5" customWidth="1"/>
    <col min="64" max="16384" width="8.88671875" style="23"/>
  </cols>
  <sheetData>
    <row r="1" spans="2:63" s="489" customFormat="1">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2:63" s="489" customFormat="1">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2:63" s="115" customFormat="1">
      <c r="H3" s="119"/>
      <c r="P3" s="119"/>
    </row>
    <row r="4" spans="2:63" s="122" customFormat="1" ht="21">
      <c r="B4" s="100" t="s">
        <v>1334</v>
      </c>
      <c r="H4" s="182"/>
      <c r="P4" s="182"/>
    </row>
    <row r="5" spans="2:63" s="115" customFormat="1">
      <c r="C5" s="119"/>
      <c r="D5" s="119" t="str" cm="1">
        <f t="array" ref="D5:H5">headings</f>
        <v>2025E</v>
      </c>
      <c r="E5" s="119" t="str">
        <v>2026E</v>
      </c>
      <c r="F5" s="119" t="str">
        <v>2027E</v>
      </c>
      <c r="G5" s="119" t="str">
        <v>2028E</v>
      </c>
      <c r="H5" s="119" t="str">
        <v>2025-28</v>
      </c>
      <c r="I5" s="119"/>
      <c r="J5" s="119"/>
      <c r="K5" s="119"/>
      <c r="L5" s="119" t="str" cm="1">
        <f t="array" ref="L5:P5">headings</f>
        <v>2025E</v>
      </c>
      <c r="M5" s="119" t="str">
        <v>2026E</v>
      </c>
      <c r="N5" s="119" t="str">
        <v>2027E</v>
      </c>
      <c r="O5" s="119" t="str">
        <v>2028E</v>
      </c>
      <c r="P5" s="119" t="str">
        <v>2025-28</v>
      </c>
      <c r="Q5" s="128"/>
    </row>
    <row r="6" spans="2:63">
      <c r="I6" s="5"/>
      <c r="J6" s="5"/>
      <c r="K6" s="5"/>
      <c r="L6" s="5"/>
      <c r="M6" s="5"/>
      <c r="N6" s="5"/>
      <c r="O6" s="33"/>
    </row>
    <row r="7" spans="2:63" ht="12.6" thickBot="1">
      <c r="B7" s="249" t="s">
        <v>223</v>
      </c>
      <c r="C7" s="219"/>
      <c r="D7" s="219"/>
      <c r="E7" s="219"/>
      <c r="F7" s="219"/>
      <c r="G7" s="219"/>
      <c r="H7" s="219"/>
      <c r="I7" s="33"/>
      <c r="J7" s="249" t="s">
        <v>172</v>
      </c>
      <c r="K7" s="249"/>
      <c r="L7" s="249"/>
      <c r="M7" s="249"/>
      <c r="N7" s="220"/>
      <c r="O7" s="220"/>
      <c r="P7" s="220"/>
    </row>
    <row r="8" spans="2:63" ht="12.6" thickTop="1">
      <c r="B8" s="5"/>
      <c r="C8" s="5"/>
      <c r="D8" s="5"/>
      <c r="E8" s="5"/>
      <c r="F8" s="5"/>
      <c r="G8" s="5"/>
      <c r="H8" s="5"/>
      <c r="I8" s="5"/>
      <c r="J8" s="5"/>
      <c r="K8" s="5"/>
      <c r="L8" s="5"/>
      <c r="M8" s="5"/>
      <c r="N8" s="5"/>
    </row>
    <row r="9" spans="2:63">
      <c r="B9" s="25" t="s">
        <v>412</v>
      </c>
      <c r="C9" s="241"/>
      <c r="D9" s="5"/>
      <c r="E9" s="209"/>
      <c r="F9" s="209"/>
      <c r="G9" s="209"/>
      <c r="H9" s="209"/>
      <c r="I9" s="209"/>
      <c r="J9" s="5" t="s">
        <v>225</v>
      </c>
      <c r="L9" s="48">
        <f>'AGG DM'!D37</f>
        <v>2.538226252582501</v>
      </c>
      <c r="M9" s="48">
        <f>'AGG DM'!E37</f>
        <v>2.3799394980686785</v>
      </c>
      <c r="N9" s="48">
        <f>'AGG DM'!F37</f>
        <v>2.5090104848093389</v>
      </c>
      <c r="O9" s="48">
        <f>'AGG DM'!G37</f>
        <v>2.3422623671791674</v>
      </c>
      <c r="P9" s="13">
        <f>'EM INCUMB'!H37</f>
        <v>3.3156379224546617E-2</v>
      </c>
    </row>
    <row r="10" spans="2:63">
      <c r="B10" s="5" t="s">
        <v>226</v>
      </c>
      <c r="C10" s="5"/>
      <c r="D10" s="258"/>
      <c r="E10" s="258"/>
      <c r="F10" s="258"/>
      <c r="G10" s="258"/>
      <c r="H10" s="207"/>
      <c r="I10" s="207"/>
      <c r="J10" s="5" t="s">
        <v>158</v>
      </c>
      <c r="L10" s="48">
        <f>'AGG DM'!D38</f>
        <v>7.4797484713901117</v>
      </c>
      <c r="M10" s="48">
        <f>'AGG DM'!E38</f>
        <v>6.884289723428572</v>
      </c>
      <c r="N10" s="48">
        <f>'AGG DM'!F38</f>
        <v>7.1042891280042326</v>
      </c>
      <c r="O10" s="48">
        <f>'AGG DM'!G38</f>
        <v>6.5259436575407666</v>
      </c>
      <c r="P10" s="13">
        <f>'EM INCUMB'!H38</f>
        <v>3.9422751898065433E-2</v>
      </c>
    </row>
    <row r="11" spans="2:63">
      <c r="B11" s="25" t="s">
        <v>290</v>
      </c>
      <c r="C11" s="5"/>
      <c r="D11" s="225">
        <f>'DM ASIA INCUMB'!D11+'DM ASIA OTHER'!D11</f>
        <v>272398.11560725479</v>
      </c>
      <c r="E11" s="225">
        <f>'DM ASIA INCUMB'!E11+'DM ASIA OTHER'!E11</f>
        <v>267878.43616333714</v>
      </c>
      <c r="F11" s="225">
        <f>'DM ASIA INCUMB'!F11+'DM ASIA OTHER'!F11</f>
        <v>263364.67576476652</v>
      </c>
      <c r="G11" s="225">
        <f>'DM ASIA INCUMB'!G11+'DM ASIA OTHER'!G11</f>
        <v>258856.77522108966</v>
      </c>
      <c r="H11" s="209"/>
      <c r="I11" s="209"/>
      <c r="J11" s="5" t="s">
        <v>159</v>
      </c>
      <c r="L11" s="48">
        <f>'AGG DM'!D39</f>
        <v>13.43130082789585</v>
      </c>
      <c r="M11" s="48">
        <f>'AGG DM'!E39</f>
        <v>11.912112379106738</v>
      </c>
      <c r="N11" s="48">
        <f>'AGG DM'!F39</f>
        <v>11.843285832186552</v>
      </c>
      <c r="O11" s="48">
        <f>'AGG DM'!G39</f>
        <v>10.607416189621555</v>
      </c>
      <c r="P11" s="13">
        <f>'EM INCUMB'!H39</f>
        <v>7.4677565269395396E-2</v>
      </c>
    </row>
    <row r="12" spans="2:63">
      <c r="B12" s="5" t="s">
        <v>191</v>
      </c>
      <c r="C12" s="209"/>
      <c r="D12" s="188">
        <f>'DM ASIA INCUMB'!D12+'DM ASIA OTHER'!D12</f>
        <v>89054.627494390967</v>
      </c>
      <c r="E12" s="188">
        <f>'DM ASIA INCUMB'!E12+'DM ASIA OTHER'!E12</f>
        <v>84357.899903295416</v>
      </c>
      <c r="F12" s="188">
        <f>'DM ASIA INCUMB'!F12+'DM ASIA OTHER'!F12</f>
        <v>77647.850790892713</v>
      </c>
      <c r="G12" s="188">
        <f>'DM ASIA INCUMB'!G12+'DM ASIA OTHER'!G12</f>
        <v>68847.805395437914</v>
      </c>
      <c r="H12" s="207"/>
      <c r="I12" s="207"/>
      <c r="J12" s="5" t="s">
        <v>381</v>
      </c>
      <c r="L12" s="48">
        <f>'AGG DM'!D40</f>
        <v>19.048615842524175</v>
      </c>
      <c r="M12" s="48">
        <f>'AGG DM'!E40</f>
        <v>17.000481453211133</v>
      </c>
      <c r="N12" s="48">
        <f>'AGG DM'!F40</f>
        <v>16.516072034875915</v>
      </c>
      <c r="O12" s="48">
        <f>'AGG DM'!G40</f>
        <v>14.699052183478283</v>
      </c>
      <c r="P12" s="13">
        <f>'EM INCUMB'!H40</f>
        <v>7.4753911091564262E-2</v>
      </c>
    </row>
    <row r="13" spans="2:63">
      <c r="B13" s="5" t="s">
        <v>433</v>
      </c>
      <c r="C13" s="216"/>
      <c r="D13" s="188">
        <f>'DM ASIA INCUMB'!D13+'DM ASIA OTHER'!D13</f>
        <v>11152.546438249117</v>
      </c>
      <c r="E13" s="188">
        <f>'DM ASIA INCUMB'!E13+'DM ASIA OTHER'!E13</f>
        <v>11152.546438249117</v>
      </c>
      <c r="F13" s="188">
        <f>'DM ASIA INCUMB'!F13+'DM ASIA OTHER'!F13</f>
        <v>11152.546438249117</v>
      </c>
      <c r="G13" s="188">
        <f>'DM ASIA INCUMB'!G13+'DM ASIA OTHER'!G13</f>
        <v>11152.546438249117</v>
      </c>
      <c r="H13" s="207"/>
      <c r="I13" s="207"/>
      <c r="J13" s="5" t="s">
        <v>434</v>
      </c>
      <c r="L13" s="48">
        <f>'AGG DM'!D41</f>
        <v>1.5960698202437806</v>
      </c>
      <c r="M13" s="48">
        <f>'AGG DM'!E41</f>
        <v>1.512198298101852</v>
      </c>
      <c r="N13" s="48">
        <f>'AGG DM'!F41</f>
        <v>1.4333711156435276</v>
      </c>
      <c r="O13" s="48">
        <f>'AGG DM'!G41</f>
        <v>1.3580823445789874</v>
      </c>
      <c r="P13" s="13">
        <f>'EM INCUMB'!H41</f>
        <v>-4.7737778021701427E-3</v>
      </c>
    </row>
    <row r="14" spans="2:63">
      <c r="B14" s="5" t="s">
        <v>436</v>
      </c>
      <c r="C14" s="228"/>
      <c r="D14" s="188">
        <f>'DM ASIA INCUMB'!D14+'DM ASIA OTHER'!D14</f>
        <v>3907.889128027985</v>
      </c>
      <c r="E14" s="188">
        <f>'DM ASIA INCUMB'!E14+'DM ASIA OTHER'!E14</f>
        <v>3907.889128027985</v>
      </c>
      <c r="F14" s="188">
        <f>'DM ASIA INCUMB'!F14+'DM ASIA OTHER'!F14</f>
        <v>3907.889128027985</v>
      </c>
      <c r="G14" s="188">
        <f>'DM ASIA INCUMB'!G14+'DM ASIA OTHER'!G14</f>
        <v>3907.889128027985</v>
      </c>
      <c r="H14" s="207"/>
      <c r="I14" s="207"/>
      <c r="J14" s="5" t="s">
        <v>493</v>
      </c>
      <c r="L14" s="48">
        <f>'AGG DM'!D42</f>
        <v>3.6519242379972408</v>
      </c>
      <c r="M14" s="48">
        <f>'AGG DM'!E42</f>
        <v>3.4495675598502382</v>
      </c>
      <c r="N14" s="48">
        <f>'AGG DM'!F42</f>
        <v>3.3035967431434781</v>
      </c>
      <c r="O14" s="48">
        <f>'AGG DM'!G42</f>
        <v>3.1754841893117352</v>
      </c>
      <c r="P14" s="13">
        <f>'EM INCUMB'!H42</f>
        <v>-7.2947911627430417E-2</v>
      </c>
    </row>
    <row r="15" spans="2:63">
      <c r="B15" s="5" t="s">
        <v>435</v>
      </c>
      <c r="C15" s="216"/>
      <c r="D15" s="188">
        <f>'DM ASIA INCUMB'!D15+'DM ASIA OTHER'!D15</f>
        <v>21114.869623144867</v>
      </c>
      <c r="E15" s="188">
        <f>'DM ASIA INCUMB'!E15+'DM ASIA OTHER'!E15</f>
        <v>21114.869623144867</v>
      </c>
      <c r="F15" s="188">
        <f>'DM ASIA INCUMB'!F15+'DM ASIA OTHER'!F15</f>
        <v>21114.869623144867</v>
      </c>
      <c r="G15" s="188">
        <f>'DM ASIA INCUMB'!G15+'DM ASIA OTHER'!G15</f>
        <v>21114.869623144867</v>
      </c>
      <c r="H15" s="207"/>
      <c r="I15" s="207"/>
      <c r="J15" s="5" t="s">
        <v>390</v>
      </c>
      <c r="L15" s="48">
        <f>'AGG DM'!D43</f>
        <v>13.732908840748044</v>
      </c>
      <c r="M15" s="48">
        <f>'AGG DM'!E43</f>
        <v>13.416038209231752</v>
      </c>
      <c r="N15" s="48">
        <f>'AGG DM'!F43</f>
        <v>16.892170669601121</v>
      </c>
      <c r="O15" s="48">
        <f>'AGG DM'!G43</f>
        <v>15.115106588953402</v>
      </c>
      <c r="P15" s="13">
        <f>'EM INCUMB'!H43</f>
        <v>0.11011215571418109</v>
      </c>
    </row>
    <row r="16" spans="2:63">
      <c r="B16" s="5" t="s">
        <v>438</v>
      </c>
      <c r="C16" s="216"/>
      <c r="D16" s="188">
        <f>'DM ASIA INCUMB'!D16+'DM ASIA OTHER'!D16</f>
        <v>0</v>
      </c>
      <c r="E16" s="188">
        <f>'DM ASIA INCUMB'!E16+'DM ASIA OTHER'!E16</f>
        <v>10064.464657829498</v>
      </c>
      <c r="F16" s="188">
        <f>'DM ASIA INCUMB'!F16+'DM ASIA OTHER'!F16</f>
        <v>20557.716767154521</v>
      </c>
      <c r="G16" s="188">
        <f>'DM ASIA INCUMB'!G16+'DM ASIA OTHER'!G16</f>
        <v>31199.29764124933</v>
      </c>
      <c r="H16" s="207"/>
      <c r="I16" s="207"/>
      <c r="J16" s="5" t="s">
        <v>437</v>
      </c>
      <c r="L16" s="48">
        <f>'AGG DM'!D44</f>
        <v>14.18388951735013</v>
      </c>
      <c r="M16" s="48">
        <f>'AGG DM'!E44</f>
        <v>12.656163563538104</v>
      </c>
      <c r="N16" s="48">
        <f>'AGG DM'!F44</f>
        <v>13.784916693324794</v>
      </c>
      <c r="O16" s="48">
        <f>'AGG DM'!G44</f>
        <v>12.507272322495874</v>
      </c>
      <c r="P16" s="13">
        <f>'EM INCUMB'!H44</f>
        <v>0.11132061006560745</v>
      </c>
    </row>
    <row r="17" spans="2:24">
      <c r="B17" s="5" t="s">
        <v>4</v>
      </c>
      <c r="C17" s="216"/>
      <c r="D17" s="188">
        <f>'DM ASIA INCUMB'!D17+'DM ASIA OTHER'!D17</f>
        <v>0</v>
      </c>
      <c r="E17" s="188">
        <f>'DM ASIA INCUMB'!E17+'DM ASIA OTHER'!E17</f>
        <v>0</v>
      </c>
      <c r="F17" s="188">
        <f>'DM ASIA INCUMB'!F17+'DM ASIA OTHER'!F17</f>
        <v>0</v>
      </c>
      <c r="G17" s="188">
        <f>'DM ASIA INCUMB'!G17+'DM ASIA OTHER'!G17</f>
        <v>0</v>
      </c>
      <c r="H17" s="207"/>
      <c r="I17" s="207"/>
      <c r="J17" s="5" t="s">
        <v>481</v>
      </c>
      <c r="L17" s="208">
        <f>'AGG DM'!D45</f>
        <v>3.6676438005961751E-2</v>
      </c>
      <c r="M17" s="208">
        <f>'AGG DM'!E45</f>
        <v>3.9027240403015993E-2</v>
      </c>
      <c r="N17" s="208">
        <f>'AGG DM'!F45</f>
        <v>3.9121081989007662E-2</v>
      </c>
      <c r="O17" s="208">
        <f>'AGG DM'!G45</f>
        <v>4.0989823366933457E-2</v>
      </c>
      <c r="P17" s="13">
        <f>'EM INCUMB'!H45</f>
        <v>0.12973671135672182</v>
      </c>
      <c r="S17" s="72"/>
      <c r="T17" s="72"/>
      <c r="U17" s="72"/>
      <c r="V17" s="26"/>
      <c r="W17" s="26"/>
      <c r="X17" s="26"/>
    </row>
    <row r="18" spans="2:24" ht="12.6" thickBot="1">
      <c r="B18" s="25" t="s">
        <v>291</v>
      </c>
      <c r="C18" s="209"/>
      <c r="D18" s="229">
        <f>'DM ASIA INCUMB'!D18+'DM ASIA OTHER'!D18</f>
        <v>389812.27003501175</v>
      </c>
      <c r="E18" s="229">
        <f>'DM ASIA INCUMB'!E18+'DM ASIA OTHER'!E18</f>
        <v>370531.39834216901</v>
      </c>
      <c r="F18" s="229">
        <f>'DM ASIA INCUMB'!F18+'DM ASIA OTHER'!F18</f>
        <v>348814.33672187076</v>
      </c>
      <c r="G18" s="229">
        <f>'DM ASIA INCUMB'!G18+'DM ASIA OTHER'!G18</f>
        <v>324864.8099086443</v>
      </c>
      <c r="H18" s="230">
        <f>IF(D18=0,"nm",IF(G18=0,"nm",(G18/D18)^(1/3)-1))</f>
        <v>-5.894345043655147E-2</v>
      </c>
      <c r="I18" s="214"/>
      <c r="J18" s="5" t="s">
        <v>33</v>
      </c>
      <c r="L18" s="208">
        <f>'AGG DM'!D46</f>
        <v>5.5874053189598601E-2</v>
      </c>
      <c r="M18" s="208">
        <f>'AGG DM'!E46</f>
        <v>6.23338106192401E-2</v>
      </c>
      <c r="N18" s="208">
        <f>'AGG DM'!F46</f>
        <v>2.8516708398037438E-2</v>
      </c>
      <c r="O18" s="208">
        <f>'AGG DM'!G46</f>
        <v>5.0079310257712929E-2</v>
      </c>
      <c r="P18" s="13">
        <f>'EM INCUMB'!H46</f>
        <v>0.13923562780326715</v>
      </c>
      <c r="S18" s="72"/>
      <c r="T18" s="72"/>
      <c r="U18" s="72"/>
      <c r="V18" s="26"/>
      <c r="W18" s="26"/>
      <c r="X18" s="26"/>
    </row>
    <row r="19" spans="2:24" ht="12.6" thickTop="1">
      <c r="B19" s="25"/>
      <c r="C19" s="209"/>
      <c r="D19" s="189"/>
      <c r="E19" s="189"/>
      <c r="F19" s="189"/>
      <c r="G19" s="189"/>
      <c r="H19" s="230"/>
      <c r="I19" s="13"/>
      <c r="J19" s="5" t="s">
        <v>482</v>
      </c>
      <c r="L19" s="208">
        <f>'AGG DM'!D47</f>
        <v>7.2817784753133857E-2</v>
      </c>
      <c r="M19" s="208">
        <f>'AGG DM'!E47</f>
        <v>7.4537652949727501E-2</v>
      </c>
      <c r="N19" s="208">
        <f>'AGG DM'!F47</f>
        <v>5.9199023000613173E-2</v>
      </c>
      <c r="O19" s="208">
        <f>'AGG DM'!G47</f>
        <v>6.6158977716427855E-2</v>
      </c>
      <c r="P19" s="13">
        <f>'EM INCUMB'!H47</f>
        <v>0.11011215571418109</v>
      </c>
      <c r="S19" s="72"/>
      <c r="T19" s="72"/>
      <c r="U19" s="72"/>
      <c r="V19" s="26"/>
      <c r="W19" s="26"/>
      <c r="X19" s="26"/>
    </row>
    <row r="20" spans="2:24">
      <c r="H20" s="231"/>
      <c r="I20" s="33"/>
      <c r="J20" s="5" t="s">
        <v>504</v>
      </c>
      <c r="L20" s="208">
        <f>'AGG DM'!D48</f>
        <v>0.46567661843044023</v>
      </c>
      <c r="M20" s="208">
        <f>'AGG DM'!E48</f>
        <v>0.48489668873662817</v>
      </c>
      <c r="N20" s="208">
        <f>'AGG DM'!F48</f>
        <v>0.61435732198073312</v>
      </c>
      <c r="O20" s="208">
        <f>'AGG DM'!G48</f>
        <v>0.57970017610194013</v>
      </c>
      <c r="P20" s="13" t="str">
        <f>'EM INCUMB'!H48</f>
        <v>nm</v>
      </c>
      <c r="S20" s="26"/>
      <c r="T20" s="26"/>
      <c r="U20" s="26"/>
      <c r="V20" s="26"/>
      <c r="W20" s="26"/>
      <c r="X20" s="26"/>
    </row>
    <row r="21" spans="2:24" ht="12.6" thickBot="1">
      <c r="B21" s="249" t="s">
        <v>396</v>
      </c>
      <c r="C21" s="219">
        <v>2020</v>
      </c>
      <c r="D21" s="219" t="str">
        <f>D5</f>
        <v>2025E</v>
      </c>
      <c r="E21" s="219" t="str">
        <f>E5</f>
        <v>2026E</v>
      </c>
      <c r="F21" s="219" t="str">
        <f>F5</f>
        <v>2027E</v>
      </c>
      <c r="G21" s="219" t="str">
        <f>G5</f>
        <v>2028E</v>
      </c>
      <c r="H21" s="236" t="str">
        <f>H5</f>
        <v>2025-28</v>
      </c>
      <c r="I21" s="13"/>
      <c r="S21" s="26"/>
      <c r="T21" s="26"/>
      <c r="U21" s="26"/>
      <c r="V21" s="26"/>
      <c r="W21" s="26"/>
      <c r="X21" s="26"/>
    </row>
    <row r="22" spans="2:24" ht="12.6" thickTop="1">
      <c r="B22" s="5"/>
      <c r="C22" s="216"/>
      <c r="D22" s="13"/>
      <c r="E22" s="13"/>
      <c r="F22" s="13"/>
      <c r="G22" s="13"/>
      <c r="H22" s="13"/>
      <c r="I22" s="207"/>
      <c r="P22" s="231"/>
      <c r="S22" s="26"/>
      <c r="T22" s="26"/>
      <c r="U22" s="26"/>
      <c r="V22" s="26"/>
      <c r="W22" s="26"/>
      <c r="X22" s="26"/>
    </row>
    <row r="23" spans="2:24" ht="12.6" thickBot="1">
      <c r="B23" s="5" t="s">
        <v>485</v>
      </c>
      <c r="C23" s="288">
        <f>'DM ASIA INCUMB'!C23+'DM ASIA OTHER'!C23</f>
        <v>189136.25237593384</v>
      </c>
      <c r="D23" s="188">
        <f>'DM ASIA INCUMB'!D23+'DM ASIA OTHER'!D23</f>
        <v>198122.47756340337</v>
      </c>
      <c r="E23" s="188">
        <f>'DM ASIA INCUMB'!E23+'DM ASIA OTHER'!E23</f>
        <v>207727.32193157531</v>
      </c>
      <c r="F23" s="188">
        <f>'DM ASIA INCUMB'!F23+'DM ASIA OTHER'!F23</f>
        <v>217386.07592032419</v>
      </c>
      <c r="G23" s="188">
        <f>'DM ASIA INCUMB'!G23+'DM ASIA OTHER'!G23</f>
        <v>227093.60865033351</v>
      </c>
      <c r="H23" s="233">
        <f t="shared" ref="H23:H33" si="0">IF(D23=0,"nm",IF(G23=0,"nm",(G23/D23)^(1/3)-1))</f>
        <v>4.6542943543566917E-2</v>
      </c>
      <c r="I23" s="209"/>
      <c r="J23" s="249" t="s">
        <v>7</v>
      </c>
      <c r="K23" s="249"/>
      <c r="L23" s="219" t="str">
        <f>L5</f>
        <v>2025E</v>
      </c>
      <c r="M23" s="219" t="str">
        <f>M5</f>
        <v>2026E</v>
      </c>
      <c r="N23" s="219" t="str">
        <f>N5</f>
        <v>2027E</v>
      </c>
      <c r="O23" s="219" t="str">
        <f>O5</f>
        <v>2028E</v>
      </c>
      <c r="P23" s="236" t="str">
        <f>P5</f>
        <v>2025-28</v>
      </c>
      <c r="S23" s="26"/>
      <c r="T23" s="26"/>
      <c r="U23" s="26"/>
      <c r="V23" s="26"/>
      <c r="W23" s="26" t="s">
        <v>448</v>
      </c>
      <c r="X23" s="26" t="s">
        <v>510</v>
      </c>
    </row>
    <row r="24" spans="2:24" ht="12.6" thickTop="1">
      <c r="B24" s="5" t="s">
        <v>397</v>
      </c>
      <c r="C24" s="288">
        <f>'DM ASIA INCUMB'!C24+'DM ASIA OTHER'!C24</f>
        <v>47722.426692973924</v>
      </c>
      <c r="D24" s="188">
        <f>'DM ASIA INCUMB'!D24+'DM ASIA OTHER'!D24</f>
        <v>50808.69923940103</v>
      </c>
      <c r="E24" s="188">
        <f>'DM ASIA INCUMB'!E24+'DM ASIA OTHER'!E24</f>
        <v>55204.763118812931</v>
      </c>
      <c r="F24" s="188">
        <f>'DM ASIA INCUMB'!F24+'DM ASIA OTHER'!F24</f>
        <v>58750.48743122624</v>
      </c>
      <c r="G24" s="188">
        <f>'DM ASIA INCUMB'!G24+'DM ASIA OTHER'!G24</f>
        <v>61992.415617026927</v>
      </c>
      <c r="H24" s="233">
        <f t="shared" si="0"/>
        <v>6.8563070672120974E-2</v>
      </c>
      <c r="I24" s="208"/>
      <c r="J24" s="13"/>
      <c r="K24" s="13"/>
      <c r="L24" s="13"/>
      <c r="M24" s="13"/>
      <c r="N24" s="13"/>
      <c r="O24" s="208"/>
      <c r="S24" s="26"/>
      <c r="T24" s="26"/>
      <c r="U24" s="26"/>
      <c r="V24" s="113" t="s">
        <v>225</v>
      </c>
      <c r="W24" s="242">
        <f t="shared" ref="W24:W31" si="1">E37/M9</f>
        <v>0.74948936816858736</v>
      </c>
      <c r="X24" s="242">
        <v>1</v>
      </c>
    </row>
    <row r="25" spans="2:24">
      <c r="B25" s="5" t="s">
        <v>157</v>
      </c>
      <c r="C25" s="288">
        <f>'DM ASIA INCUMB'!C25+'DM ASIA OTHER'!C25</f>
        <v>22474.858826382304</v>
      </c>
      <c r="D25" s="188">
        <f>'DM ASIA INCUMB'!D25+'DM ASIA OTHER'!D25</f>
        <v>24737.815316808043</v>
      </c>
      <c r="E25" s="188">
        <f>'DM ASIA INCUMB'!E25+'DM ASIA OTHER'!E25</f>
        <v>29033.447644775399</v>
      </c>
      <c r="F25" s="188">
        <f>'DM ASIA INCUMB'!F25+'DM ASIA OTHER'!F25</f>
        <v>32878.057657511861</v>
      </c>
      <c r="G25" s="188">
        <f>'DM ASIA INCUMB'!G25+'DM ASIA OTHER'!G25</f>
        <v>36050.001924274125</v>
      </c>
      <c r="H25" s="233">
        <f t="shared" si="0"/>
        <v>0.13374308127739076</v>
      </c>
      <c r="I25" s="209"/>
      <c r="J25" s="207" t="s">
        <v>8</v>
      </c>
      <c r="K25" s="207"/>
      <c r="L25" s="258">
        <f>'DM ASIA INCUMB'!L25+'DM ASIA OTHER'!L25</f>
        <v>238074.9446238137</v>
      </c>
      <c r="M25" s="258">
        <f>'DM ASIA INCUMB'!M25+'DM ASIA OTHER'!M25</f>
        <v>233775.13014422116</v>
      </c>
      <c r="N25" s="258">
        <f>'DM ASIA INCUMB'!N25+'DM ASIA OTHER'!N25</f>
        <v>223966.78310270677</v>
      </c>
      <c r="O25" s="258">
        <f>'DM ASIA INCUMB'!O25+'DM ASIA OTHER'!O25</f>
        <v>210293.01372975748</v>
      </c>
      <c r="P25" s="233">
        <f>IF(L25=0,"nm",IF(O25=0,"nm",(O25/L25)^(1/3)-1))</f>
        <v>-4.0517515581717567E-2</v>
      </c>
      <c r="Q25" s="5"/>
      <c r="S25" s="26"/>
      <c r="T25" s="26"/>
      <c r="U25" s="26"/>
      <c r="V25" s="113" t="s">
        <v>158</v>
      </c>
      <c r="W25" s="242">
        <f t="shared" si="1"/>
        <v>0.97496567386657351</v>
      </c>
      <c r="X25" s="242">
        <v>1</v>
      </c>
    </row>
    <row r="26" spans="2:24">
      <c r="B26" s="5" t="s">
        <v>487</v>
      </c>
      <c r="C26" s="288">
        <f>'DM ASIA INCUMB'!C26+'DM ASIA OTHER'!C26</f>
        <v>17100.495452641131</v>
      </c>
      <c r="D26" s="188">
        <f>'DM ASIA INCUMB'!D26+'DM ASIA OTHER'!D26</f>
        <v>17543.852636239724</v>
      </c>
      <c r="E26" s="188">
        <f>'DM ASIA INCUMB'!E26+'DM ASIA OTHER'!E26</f>
        <v>20239.147944411543</v>
      </c>
      <c r="F26" s="188">
        <f>'DM ASIA INCUMB'!F26+'DM ASIA OTHER'!F26</f>
        <v>22772.654128896414</v>
      </c>
      <c r="G26" s="188">
        <f>'DM ASIA INCUMB'!G26+'DM ASIA OTHER'!G26</f>
        <v>24940.724679355975</v>
      </c>
      <c r="H26" s="233">
        <f t="shared" si="0"/>
        <v>0.1244186296545513</v>
      </c>
      <c r="I26" s="209"/>
      <c r="J26" s="209" t="s">
        <v>9</v>
      </c>
      <c r="K26" s="209"/>
      <c r="L26" s="235">
        <f>'DM ASIA INCUMB'!L26+'DM ASIA OTHER'!L26</f>
        <v>443556.13149551867</v>
      </c>
      <c r="M26" s="235">
        <f>'DM ASIA INCUMB'!M26+'DM ASIA OTHER'!M26</f>
        <v>435339.69043396245</v>
      </c>
      <c r="N26" s="235">
        <f>'DM ASIA INCUMB'!N26+'DM ASIA OTHER'!N26</f>
        <v>421620.63585583144</v>
      </c>
      <c r="O26" s="235">
        <f>'DM ASIA INCUMB'!O26+'DM ASIA OTHER'!O26</f>
        <v>404042.01880115934</v>
      </c>
      <c r="P26" s="233">
        <f>IF(L26=0,"nm",IF(O26=0,"nm",(O26/L26)^(1/3)-1))</f>
        <v>-3.0623140063497201E-2</v>
      </c>
      <c r="Q26" s="25"/>
      <c r="S26" s="26"/>
      <c r="T26" s="26"/>
      <c r="U26" s="26"/>
      <c r="V26" s="113" t="s">
        <v>159</v>
      </c>
      <c r="W26" s="242">
        <f t="shared" si="1"/>
        <v>1.071365416480121</v>
      </c>
      <c r="X26" s="242">
        <v>1</v>
      </c>
    </row>
    <row r="27" spans="2:24">
      <c r="B27" s="5" t="s">
        <v>488</v>
      </c>
      <c r="C27" s="288">
        <f>'DM ASIA INCUMB'!C27+'DM ASIA OTHER'!C27</f>
        <v>229210.73266995623</v>
      </c>
      <c r="D27" s="188">
        <f>'DM ASIA INCUMB'!D27+'DM ASIA OTHER'!D27</f>
        <v>232462.878960684</v>
      </c>
      <c r="E27" s="188">
        <f>'DM ASIA INCUMB'!E27+'DM ASIA OTHER'!E27</f>
        <v>236549.01098527689</v>
      </c>
      <c r="F27" s="188">
        <f>'DM ASIA INCUMB'!F27+'DM ASIA OTHER'!F27</f>
        <v>239431.94137336427</v>
      </c>
      <c r="G27" s="188">
        <f>'DM ASIA INCUMB'!G27+'DM ASIA OTHER'!G27</f>
        <v>241216.82861833359</v>
      </c>
      <c r="H27" s="233">
        <f t="shared" si="0"/>
        <v>1.2398120935918966E-2</v>
      </c>
      <c r="I27" s="208"/>
      <c r="J27" s="208"/>
      <c r="K27" s="208"/>
      <c r="L27" s="208"/>
      <c r="M27" s="208"/>
      <c r="N27" s="208"/>
      <c r="O27" s="208"/>
      <c r="Q27" s="5"/>
      <c r="S27" s="26"/>
      <c r="T27" s="26"/>
      <c r="U27" s="26"/>
      <c r="V27" s="113" t="s">
        <v>381</v>
      </c>
      <c r="W27" s="242">
        <f t="shared" si="1"/>
        <v>1.0768905591802074</v>
      </c>
      <c r="X27" s="242">
        <v>1</v>
      </c>
    </row>
    <row r="28" spans="2:24" ht="12.6" thickBot="1">
      <c r="B28" s="5" t="s">
        <v>492</v>
      </c>
      <c r="C28" s="288">
        <f>'DM ASIA INCUMB'!C28+'DM ASIA OTHER'!C28</f>
        <v>118200.10200211583</v>
      </c>
      <c r="D28" s="188">
        <f>'DM ASIA INCUMB'!D28+'DM ASIA OTHER'!D28</f>
        <v>121340.23187509434</v>
      </c>
      <c r="E28" s="188">
        <f>'DM ASIA INCUMB'!E28+'DM ASIA OTHER'!E28</f>
        <v>123670.47709912625</v>
      </c>
      <c r="F28" s="188">
        <f>'DM ASIA INCUMB'!F28+'DM ASIA OTHER'!F28</f>
        <v>125187.6675874918</v>
      </c>
      <c r="G28" s="188">
        <f>'DM ASIA INCUMB'!G28+'DM ASIA OTHER'!G28</f>
        <v>126385.52790554737</v>
      </c>
      <c r="H28" s="233">
        <f t="shared" si="0"/>
        <v>1.367213615390428E-2</v>
      </c>
      <c r="I28" s="212"/>
      <c r="J28" s="249" t="s">
        <v>628</v>
      </c>
      <c r="K28" s="249"/>
      <c r="L28" s="249"/>
      <c r="M28" s="249"/>
      <c r="N28" s="220"/>
      <c r="O28" s="220"/>
      <c r="P28" s="220"/>
      <c r="Q28" s="5"/>
      <c r="S28" s="26"/>
      <c r="T28" s="26"/>
      <c r="U28" s="26"/>
      <c r="V28" s="113" t="s">
        <v>434</v>
      </c>
      <c r="W28" s="242">
        <f t="shared" si="1"/>
        <v>1.035845858193432</v>
      </c>
      <c r="X28" s="242">
        <v>1</v>
      </c>
    </row>
    <row r="29" spans="2:24" ht="12.6" thickTop="1">
      <c r="B29" s="5" t="s">
        <v>489</v>
      </c>
      <c r="C29" s="288">
        <f>'DM ASIA INCUMB'!C29+'DM ASIA OTHER'!C29</f>
        <v>8684.6225174309293</v>
      </c>
      <c r="D29" s="188">
        <f>'DM ASIA INCUMB'!D29+'DM ASIA OTHER'!D29</f>
        <v>10671.353501227984</v>
      </c>
      <c r="E29" s="188">
        <f>'DM ASIA INCUMB'!E29+'DM ASIA OTHER'!E29</f>
        <v>13592.178313233509</v>
      </c>
      <c r="F29" s="188">
        <f>'DM ASIA INCUMB'!F29+'DM ASIA OTHER'!F29</f>
        <v>16423.900231536572</v>
      </c>
      <c r="G29" s="188">
        <f>'DM ASIA INCUMB'!G29+'DM ASIA OTHER'!G29</f>
        <v>18747.75071215575</v>
      </c>
      <c r="H29" s="233">
        <f t="shared" si="0"/>
        <v>0.20663676717467006</v>
      </c>
      <c r="I29" s="214"/>
      <c r="J29" s="209"/>
      <c r="K29" s="209"/>
      <c r="L29" s="209"/>
      <c r="M29" s="209"/>
      <c r="N29" s="209"/>
      <c r="O29" s="211"/>
      <c r="Q29" s="5"/>
      <c r="S29" s="26"/>
      <c r="T29" s="26"/>
      <c r="U29" s="26"/>
      <c r="V29" s="113" t="s">
        <v>493</v>
      </c>
      <c r="W29" s="242">
        <f t="shared" si="1"/>
        <v>0.86854899911784778</v>
      </c>
      <c r="X29" s="242">
        <v>1</v>
      </c>
    </row>
    <row r="30" spans="2:24">
      <c r="B30" s="5" t="s">
        <v>490</v>
      </c>
      <c r="C30" s="288">
        <f>'DM ASIA INCUMB'!C30+'DM ASIA OTHER'!C30</f>
        <v>15971.547142099924</v>
      </c>
      <c r="D30" s="188">
        <f>'DM ASIA INCUMB'!D30+'DM ASIA OTHER'!D30</f>
        <v>17368.540807554935</v>
      </c>
      <c r="E30" s="188">
        <f>'DM ASIA INCUMB'!E30+'DM ASIA OTHER'!E30</f>
        <v>19952.026425394433</v>
      </c>
      <c r="F30" s="188">
        <f>'DM ASIA INCUMB'!F30+'DM ASIA OTHER'!F30</f>
        <v>22006.639965192386</v>
      </c>
      <c r="G30" s="188">
        <f>'DM ASIA INCUMB'!G30+'DM ASIA OTHER'!G30</f>
        <v>23987.305483120788</v>
      </c>
      <c r="H30" s="233">
        <f t="shared" si="0"/>
        <v>0.11362604004483812</v>
      </c>
      <c r="I30" s="214"/>
      <c r="J30" s="208"/>
      <c r="K30" s="208"/>
      <c r="L30" s="208"/>
      <c r="M30" s="208"/>
      <c r="N30" s="208"/>
      <c r="O30" s="5"/>
      <c r="Q30" s="5"/>
      <c r="S30" s="26"/>
      <c r="T30" s="26"/>
      <c r="U30" s="26"/>
      <c r="V30" s="113" t="s">
        <v>390</v>
      </c>
      <c r="W30" s="242">
        <f t="shared" si="1"/>
        <v>2.3873435157347491</v>
      </c>
      <c r="X30" s="242">
        <v>1</v>
      </c>
    </row>
    <row r="31" spans="2:24">
      <c r="B31" s="5" t="s">
        <v>491</v>
      </c>
      <c r="C31" s="288">
        <f>'DM ASIA INCUMB'!C31+'DM ASIA OTHER'!C31</f>
        <v>11053.543630592634</v>
      </c>
      <c r="D31" s="188">
        <f>'DM ASIA INCUMB'!D31+'DM ASIA OTHER'!D31</f>
        <v>9984.6252379755151</v>
      </c>
      <c r="E31" s="188">
        <f>'DM ASIA INCUMB'!E31+'DM ASIA OTHER'!E31</f>
        <v>10428.346791292503</v>
      </c>
      <c r="F31" s="188">
        <f>'DM ASIA INCUMB'!F31+'DM ASIA OTHER'!F31</f>
        <v>10824.864395883462</v>
      </c>
      <c r="G31" s="188">
        <f>'DM ASIA INCUMB'!G31+'DM ASIA OTHER'!G31</f>
        <v>10930.429155534064</v>
      </c>
      <c r="H31" s="233">
        <f t="shared" si="0"/>
        <v>3.0627710121846619E-2</v>
      </c>
      <c r="I31" s="214"/>
      <c r="J31" s="212"/>
      <c r="K31" s="212"/>
      <c r="L31" s="212"/>
      <c r="M31" s="212"/>
      <c r="N31" s="212"/>
      <c r="O31" s="5"/>
      <c r="Q31" s="5"/>
      <c r="S31" s="26"/>
      <c r="T31" s="26"/>
      <c r="U31" s="26"/>
      <c r="V31" s="113" t="s">
        <v>437</v>
      </c>
      <c r="W31" s="242">
        <f t="shared" si="1"/>
        <v>1.0608370147464854</v>
      </c>
      <c r="X31" s="242">
        <v>1</v>
      </c>
    </row>
    <row r="32" spans="2:24">
      <c r="B32" s="5" t="s">
        <v>506</v>
      </c>
      <c r="C32" s="288">
        <f>'DM ASIA INCUMB'!C32+'DM ASIA OTHER'!C32</f>
        <v>3038.5175772791763</v>
      </c>
      <c r="D32" s="188">
        <f>'DM ASIA INCUMB'!D32+'DM ASIA OTHER'!D32</f>
        <v>2743.0989349732627</v>
      </c>
      <c r="E32" s="188">
        <f>'DM ASIA INCUMB'!E32+'DM ASIA OTHER'!E32</f>
        <v>5497.6908291318723</v>
      </c>
      <c r="F32" s="188">
        <f>'DM ASIA INCUMB'!F32+'DM ASIA OTHER'!F32</f>
        <v>-27123.026869862522</v>
      </c>
      <c r="G32" s="188">
        <f>'DM ASIA INCUMB'!G32+'DM ASIA OTHER'!G32</f>
        <v>5988.5015322067648</v>
      </c>
      <c r="H32" s="233">
        <f t="shared" si="0"/>
        <v>0.29725563094103125</v>
      </c>
      <c r="I32" s="5"/>
      <c r="J32" s="214"/>
      <c r="K32" s="214"/>
      <c r="L32" s="214"/>
      <c r="M32" s="214"/>
      <c r="N32" s="214"/>
      <c r="O32" s="211"/>
      <c r="Q32" s="5"/>
      <c r="S32" s="26"/>
      <c r="T32" s="26"/>
      <c r="U32" s="26"/>
      <c r="V32" s="113" t="s">
        <v>481</v>
      </c>
      <c r="W32" s="242">
        <f>M17/E45</f>
        <v>1.0025132781027106</v>
      </c>
      <c r="X32" s="242">
        <v>1</v>
      </c>
    </row>
    <row r="33" spans="2:24">
      <c r="B33" s="5" t="s">
        <v>3</v>
      </c>
      <c r="C33" s="288">
        <f>'DM ASIA INCUMB'!C33+'DM ASIA OTHER'!C33</f>
        <v>-1447.5584349036783</v>
      </c>
      <c r="D33" s="188">
        <f>'DM ASIA INCUMB'!D33+'DM ASIA OTHER'!D33</f>
        <v>-1161.2732821107422</v>
      </c>
      <c r="E33" s="188">
        <f>'DM ASIA INCUMB'!E33+'DM ASIA OTHER'!E33</f>
        <v>-1022.8854218073895</v>
      </c>
      <c r="F33" s="188">
        <f>'DM ASIA INCUMB'!F33+'DM ASIA OTHER'!F33</f>
        <v>-922.31033783379371</v>
      </c>
      <c r="G33" s="188">
        <f>'DM ASIA INCUMB'!G33+'DM ASIA OTHER'!G33</f>
        <v>-891.4169414629439</v>
      </c>
      <c r="H33" s="233">
        <f t="shared" si="0"/>
        <v>-8.4379551557540289E-2</v>
      </c>
      <c r="I33" s="33"/>
      <c r="J33" s="214"/>
      <c r="K33" s="214"/>
      <c r="L33" s="214"/>
      <c r="M33" s="214"/>
      <c r="N33" s="214"/>
      <c r="O33" s="211"/>
      <c r="Q33" s="5"/>
      <c r="S33" s="26"/>
      <c r="T33" s="26"/>
      <c r="U33" s="26"/>
      <c r="V33" s="113" t="s">
        <v>482</v>
      </c>
      <c r="W33" s="242">
        <f>M19/E47</f>
        <v>2.3873435157347491</v>
      </c>
      <c r="X33" s="242">
        <v>1</v>
      </c>
    </row>
    <row r="34" spans="2:24">
      <c r="H34" s="231"/>
      <c r="I34" s="214"/>
      <c r="J34" s="214"/>
      <c r="K34" s="214"/>
      <c r="L34" s="214"/>
      <c r="M34" s="214"/>
      <c r="N34" s="214"/>
      <c r="O34" s="211"/>
      <c r="Q34" s="5"/>
      <c r="S34" s="26"/>
      <c r="T34" s="26"/>
      <c r="U34" s="26"/>
      <c r="V34" s="26"/>
      <c r="W34" s="26"/>
      <c r="X34" s="26"/>
    </row>
    <row r="35" spans="2:24" ht="12.6" thickBot="1">
      <c r="B35" s="249" t="s">
        <v>237</v>
      </c>
      <c r="C35" s="219"/>
      <c r="D35" s="219" t="str">
        <f>D5</f>
        <v>2025E</v>
      </c>
      <c r="E35" s="219" t="str">
        <f>E5</f>
        <v>2026E</v>
      </c>
      <c r="F35" s="219" t="str">
        <f>F5</f>
        <v>2027E</v>
      </c>
      <c r="G35" s="219" t="str">
        <f>G5</f>
        <v>2028E</v>
      </c>
      <c r="H35" s="219" t="str">
        <f>H5</f>
        <v>2025-28</v>
      </c>
      <c r="I35" s="13"/>
      <c r="J35" s="5"/>
      <c r="K35" s="5"/>
      <c r="L35" s="5"/>
      <c r="M35" s="5"/>
      <c r="N35" s="5"/>
      <c r="O35" s="5"/>
      <c r="Q35" s="5"/>
      <c r="S35" s="26"/>
      <c r="T35" s="26"/>
      <c r="U35" s="26"/>
      <c r="V35" s="26"/>
      <c r="W35" s="26"/>
      <c r="X35" s="26"/>
    </row>
    <row r="36" spans="2:24" ht="12.6" thickTop="1">
      <c r="B36" s="25"/>
      <c r="C36" s="209"/>
      <c r="D36" s="214"/>
      <c r="E36" s="214"/>
      <c r="F36" s="214"/>
      <c r="G36" s="214"/>
      <c r="H36" s="214"/>
      <c r="I36" s="5"/>
      <c r="J36" s="33"/>
      <c r="K36" s="33"/>
      <c r="L36" s="33"/>
      <c r="M36" s="33"/>
      <c r="N36" s="33"/>
      <c r="O36" s="33"/>
      <c r="Q36" s="5"/>
      <c r="R36" s="5"/>
      <c r="S36" s="26"/>
      <c r="T36" s="26"/>
      <c r="U36" s="26"/>
      <c r="V36" s="26"/>
      <c r="W36" s="26"/>
      <c r="X36" s="26"/>
    </row>
    <row r="37" spans="2:24">
      <c r="B37" s="5" t="s">
        <v>225</v>
      </c>
      <c r="C37" s="207"/>
      <c r="D37" s="430">
        <f t="shared" ref="D37:G41" si="2">D$18/D23</f>
        <v>1.9675317754405912</v>
      </c>
      <c r="E37" s="430">
        <f t="shared" si="2"/>
        <v>1.7837393506869588</v>
      </c>
      <c r="F37" s="430">
        <f t="shared" si="2"/>
        <v>1.6045845404087304</v>
      </c>
      <c r="G37" s="430">
        <f t="shared" si="2"/>
        <v>1.4305325977220857</v>
      </c>
      <c r="H37" s="13">
        <f t="shared" ref="H37:H45" si="3">H23</f>
        <v>4.6542943543566917E-2</v>
      </c>
      <c r="I37" s="217"/>
      <c r="J37" s="217"/>
      <c r="K37" s="217"/>
      <c r="L37" s="217"/>
      <c r="M37" s="217"/>
      <c r="N37" s="217"/>
      <c r="O37" s="14"/>
      <c r="Q37" s="5"/>
      <c r="R37" s="5"/>
      <c r="S37" s="26"/>
      <c r="T37" s="26"/>
      <c r="U37" s="26"/>
      <c r="V37" s="26"/>
      <c r="W37" s="26"/>
      <c r="X37" s="26"/>
    </row>
    <row r="38" spans="2:24">
      <c r="B38" s="5" t="s">
        <v>158</v>
      </c>
      <c r="C38" s="207"/>
      <c r="D38" s="430">
        <f t="shared" si="2"/>
        <v>7.6721560652102054</v>
      </c>
      <c r="E38" s="430">
        <f t="shared" si="2"/>
        <v>6.7119461692952651</v>
      </c>
      <c r="F38" s="430">
        <f t="shared" si="2"/>
        <v>5.9372160465935782</v>
      </c>
      <c r="G38" s="430">
        <f t="shared" si="2"/>
        <v>5.240396049664767</v>
      </c>
      <c r="H38" s="13">
        <f t="shared" si="3"/>
        <v>6.8563070672120974E-2</v>
      </c>
      <c r="I38" s="13"/>
      <c r="J38" s="13"/>
      <c r="K38" s="13"/>
      <c r="L38" s="13"/>
      <c r="M38" s="13"/>
      <c r="N38" s="13"/>
      <c r="O38" s="5"/>
      <c r="Q38" s="5"/>
      <c r="R38" s="5"/>
      <c r="S38" s="26"/>
      <c r="T38" s="26"/>
      <c r="U38" s="26"/>
      <c r="V38" s="26"/>
      <c r="W38" s="26"/>
      <c r="X38" s="26"/>
    </row>
    <row r="39" spans="2:24">
      <c r="B39" s="5" t="s">
        <v>159</v>
      </c>
      <c r="C39" s="207"/>
      <c r="D39" s="430">
        <f t="shared" si="2"/>
        <v>15.757748412413559</v>
      </c>
      <c r="E39" s="430">
        <f t="shared" si="2"/>
        <v>12.762225240199696</v>
      </c>
      <c r="F39" s="430">
        <f t="shared" si="2"/>
        <v>10.609335270210979</v>
      </c>
      <c r="G39" s="430">
        <f t="shared" si="2"/>
        <v>9.0115060351743796</v>
      </c>
      <c r="H39" s="13">
        <f t="shared" si="3"/>
        <v>0.13374308127739076</v>
      </c>
      <c r="I39" s="5"/>
      <c r="J39" s="5"/>
      <c r="K39" s="5"/>
      <c r="L39" s="5"/>
      <c r="M39" s="5"/>
      <c r="N39" s="5"/>
      <c r="O39" s="5"/>
      <c r="Q39" s="5"/>
      <c r="R39" s="5"/>
      <c r="S39" s="26"/>
      <c r="T39" s="26"/>
      <c r="U39" s="26"/>
      <c r="V39" s="26"/>
      <c r="W39" s="242"/>
      <c r="X39" s="242"/>
    </row>
    <row r="40" spans="2:24">
      <c r="B40" s="5" t="s">
        <v>381</v>
      </c>
      <c r="C40" s="207"/>
      <c r="D40" s="430">
        <f t="shared" si="2"/>
        <v>22.219308273816104</v>
      </c>
      <c r="E40" s="430">
        <f t="shared" si="2"/>
        <v>18.307657978481281</v>
      </c>
      <c r="F40" s="430">
        <f t="shared" si="2"/>
        <v>15.31724562045042</v>
      </c>
      <c r="G40" s="430">
        <f t="shared" si="2"/>
        <v>13.025475966924992</v>
      </c>
      <c r="H40" s="13">
        <f t="shared" si="3"/>
        <v>0.1244186296545513</v>
      </c>
      <c r="I40" s="207"/>
      <c r="J40" s="217"/>
      <c r="K40" s="217"/>
      <c r="L40" s="217"/>
      <c r="M40" s="217"/>
      <c r="N40" s="217"/>
      <c r="O40" s="14"/>
      <c r="Q40" s="5"/>
      <c r="R40" s="5"/>
      <c r="S40" s="26"/>
      <c r="T40" s="26"/>
      <c r="U40" s="26"/>
      <c r="V40" s="26"/>
      <c r="W40" s="242"/>
      <c r="X40" s="242"/>
    </row>
    <row r="41" spans="2:24">
      <c r="B41" s="5" t="s">
        <v>434</v>
      </c>
      <c r="C41" s="207"/>
      <c r="D41" s="430">
        <f t="shared" si="2"/>
        <v>1.6768796453774453</v>
      </c>
      <c r="E41" s="430">
        <f t="shared" si="2"/>
        <v>1.5664043438559603</v>
      </c>
      <c r="F41" s="430">
        <f t="shared" si="2"/>
        <v>1.4568412832519211</v>
      </c>
      <c r="G41" s="430">
        <f t="shared" si="2"/>
        <v>1.3467750644490195</v>
      </c>
      <c r="H41" s="13">
        <f t="shared" si="3"/>
        <v>1.2398120935918966E-2</v>
      </c>
      <c r="I41" s="208"/>
      <c r="J41" s="13"/>
      <c r="K41" s="13"/>
      <c r="L41" s="13"/>
      <c r="M41" s="13"/>
      <c r="N41" s="13"/>
      <c r="O41" s="5"/>
      <c r="Q41" s="5"/>
      <c r="R41" s="5"/>
      <c r="S41" s="26"/>
      <c r="T41" s="26"/>
      <c r="U41" s="26"/>
      <c r="V41" s="26"/>
      <c r="W41" s="242"/>
      <c r="X41" s="242"/>
    </row>
    <row r="42" spans="2:24">
      <c r="B42" s="5" t="s">
        <v>493</v>
      </c>
      <c r="C42" s="207"/>
      <c r="D42" s="430">
        <f>D18/D28</f>
        <v>3.2125558358605919</v>
      </c>
      <c r="E42" s="430">
        <f>E18/E28</f>
        <v>2.9961184514973209</v>
      </c>
      <c r="F42" s="430">
        <f>F18/F28</f>
        <v>2.7863314609491354</v>
      </c>
      <c r="G42" s="430">
        <f>G18/G28</f>
        <v>2.5704272893604396</v>
      </c>
      <c r="H42" s="13">
        <f t="shared" si="3"/>
        <v>1.367213615390428E-2</v>
      </c>
      <c r="I42" s="207"/>
      <c r="J42" s="5"/>
      <c r="K42" s="5"/>
      <c r="L42" s="5"/>
      <c r="M42" s="5"/>
      <c r="N42" s="5"/>
      <c r="O42" s="5"/>
      <c r="Q42" s="5"/>
      <c r="R42" s="5"/>
      <c r="S42" s="26"/>
      <c r="T42" s="26"/>
      <c r="U42" s="26"/>
      <c r="V42" s="26"/>
      <c r="W42" s="242"/>
      <c r="X42" s="242"/>
    </row>
    <row r="43" spans="2:24">
      <c r="B43" s="5" t="s">
        <v>390</v>
      </c>
      <c r="C43" s="207"/>
      <c r="D43" s="430">
        <f>L26/D29</f>
        <v>41.565123997108458</v>
      </c>
      <c r="E43" s="430">
        <f>M26/E29</f>
        <v>32.02869182565906</v>
      </c>
      <c r="F43" s="430">
        <f>N26/F29</f>
        <v>25.671163969094923</v>
      </c>
      <c r="G43" s="430">
        <f>O26/G29</f>
        <v>21.551493029997715</v>
      </c>
      <c r="H43" s="13">
        <f t="shared" si="3"/>
        <v>0.20663676717467006</v>
      </c>
      <c r="I43" s="207"/>
      <c r="J43" s="207"/>
      <c r="K43" s="207"/>
      <c r="L43" s="207"/>
      <c r="M43" s="207"/>
      <c r="N43" s="207"/>
      <c r="O43" s="14"/>
      <c r="Q43" s="5"/>
      <c r="R43" s="5"/>
      <c r="S43" s="26"/>
      <c r="T43" s="26"/>
      <c r="U43" s="26"/>
      <c r="V43" s="26"/>
      <c r="W43" s="255"/>
      <c r="X43" s="255"/>
    </row>
    <row r="44" spans="2:24">
      <c r="B44" s="5" t="s">
        <v>437</v>
      </c>
      <c r="C44" s="53"/>
      <c r="D44" s="430">
        <f>D11/D30</f>
        <v>15.683419731424276</v>
      </c>
      <c r="E44" s="430">
        <f>E11/E30</f>
        <v>13.426126772887002</v>
      </c>
      <c r="F44" s="430">
        <f>F11/F30</f>
        <v>11.967509632607566</v>
      </c>
      <c r="G44" s="430">
        <f>G11/G30</f>
        <v>10.791406954951238</v>
      </c>
      <c r="H44" s="13">
        <f t="shared" si="3"/>
        <v>0.11362604004483812</v>
      </c>
      <c r="I44" s="208"/>
      <c r="J44" s="208"/>
      <c r="K44" s="208"/>
      <c r="L44" s="208"/>
      <c r="M44" s="208"/>
      <c r="N44" s="208"/>
      <c r="O44" s="208"/>
      <c r="Q44" s="5"/>
      <c r="R44" s="5"/>
      <c r="S44" s="26"/>
      <c r="T44" s="26"/>
      <c r="U44" s="26"/>
      <c r="V44" s="26"/>
      <c r="W44" s="26"/>
      <c r="X44" s="26"/>
    </row>
    <row r="45" spans="2:24">
      <c r="B45" s="5" t="s">
        <v>481</v>
      </c>
      <c r="C45" s="207"/>
      <c r="D45" s="208">
        <f>D31/D11</f>
        <v>3.6654531239017109E-2</v>
      </c>
      <c r="E45" s="208">
        <f>E31/E11</f>
        <v>3.8929399994458255E-2</v>
      </c>
      <c r="F45" s="208">
        <f>F31/F11</f>
        <v>4.1102187924215293E-2</v>
      </c>
      <c r="G45" s="208">
        <f>G31/G11</f>
        <v>4.2225779665988582E-2</v>
      </c>
      <c r="H45" s="13">
        <f t="shared" si="3"/>
        <v>3.0627710121846619E-2</v>
      </c>
      <c r="I45" s="207"/>
      <c r="J45" s="207"/>
      <c r="K45" s="207"/>
      <c r="L45" s="207"/>
      <c r="M45" s="207"/>
      <c r="N45" s="207"/>
      <c r="O45" s="208"/>
      <c r="Q45" s="5"/>
      <c r="R45" s="5"/>
      <c r="S45" s="26"/>
      <c r="T45" s="26"/>
      <c r="U45" s="26"/>
      <c r="V45" s="26"/>
      <c r="W45" s="26"/>
      <c r="X45" s="26"/>
    </row>
    <row r="46" spans="2:24">
      <c r="B46" s="5" t="s">
        <v>505</v>
      </c>
      <c r="C46" s="207"/>
      <c r="D46" s="208">
        <f>(D31+D32)/D11</f>
        <v>4.6724714466452794E-2</v>
      </c>
      <c r="E46" s="208">
        <f>(E31+E32)/E11</f>
        <v>5.945248094069646E-2</v>
      </c>
      <c r="F46" s="208">
        <f>(F31+F32)/F11</f>
        <v>-6.1884390633071613E-2</v>
      </c>
      <c r="G46" s="208">
        <f>(G31+G32)/G11</f>
        <v>6.5360200339706645E-2</v>
      </c>
      <c r="H46" s="233">
        <f>((G31+G32)/(D31+D32))^(1/3)-1</f>
        <v>9.95307648455106E-2</v>
      </c>
      <c r="I46" s="13"/>
      <c r="J46" s="207"/>
      <c r="K46" s="207"/>
      <c r="L46" s="207"/>
      <c r="M46" s="207"/>
      <c r="N46" s="207"/>
      <c r="O46" s="14"/>
      <c r="Q46" s="5"/>
      <c r="R46" s="5"/>
      <c r="S46" s="26"/>
      <c r="T46" s="26"/>
      <c r="U46" s="26"/>
      <c r="V46" s="26"/>
      <c r="W46" s="26"/>
      <c r="X46" s="26"/>
    </row>
    <row r="47" spans="2:24">
      <c r="B47" s="5" t="s">
        <v>482</v>
      </c>
      <c r="C47" s="5"/>
      <c r="D47" s="208">
        <f>1/D43</f>
        <v>2.405863146395441E-2</v>
      </c>
      <c r="E47" s="208">
        <f>1/E43</f>
        <v>3.1222005739206391E-2</v>
      </c>
      <c r="F47" s="208">
        <f>1/F43</f>
        <v>3.8954213420314049E-2</v>
      </c>
      <c r="G47" s="208">
        <f>1/G43</f>
        <v>4.6400497571471779E-2</v>
      </c>
      <c r="H47" s="13">
        <f>H29</f>
        <v>0.20663676717467006</v>
      </c>
      <c r="I47" s="207"/>
      <c r="J47" s="208"/>
      <c r="K47" s="208"/>
      <c r="L47" s="208"/>
      <c r="M47" s="208"/>
      <c r="N47" s="208"/>
      <c r="O47" s="208"/>
      <c r="Q47" s="5"/>
      <c r="R47" s="5"/>
      <c r="S47" s="5"/>
      <c r="T47" s="5"/>
      <c r="U47" s="5"/>
    </row>
    <row r="48" spans="2:24">
      <c r="B48" s="5" t="s">
        <v>518</v>
      </c>
      <c r="C48" s="5"/>
      <c r="D48" s="248">
        <f>D31/D29</f>
        <v>0.93564750121215223</v>
      </c>
      <c r="E48" s="248">
        <f>E31/E29</f>
        <v>0.76723145848810248</v>
      </c>
      <c r="F48" s="248">
        <f>F31/F29</f>
        <v>0.6590921914575415</v>
      </c>
      <c r="G48" s="248">
        <f>G31/G29</f>
        <v>0.58302616262370843</v>
      </c>
      <c r="H48" s="13" t="s">
        <v>507</v>
      </c>
      <c r="I48" s="217"/>
      <c r="J48" s="207"/>
      <c r="K48" s="207"/>
      <c r="L48" s="207"/>
      <c r="M48" s="207"/>
      <c r="N48" s="207"/>
      <c r="O48" s="208"/>
      <c r="Q48" s="5"/>
      <c r="R48" s="5"/>
      <c r="S48" s="5"/>
      <c r="T48" s="5"/>
      <c r="U48" s="5"/>
    </row>
  </sheetData>
  <phoneticPr fontId="7" type="noConversion"/>
  <pageMargins left="0.75" right="0.75" top="1" bottom="1" header="0.5" footer="0.5"/>
  <pageSetup scale="7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3" ma:contentTypeDescription="Create a new document." ma:contentTypeScope="" ma:versionID="e7acdc210f4cf5f473d94777a06df922">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c5f8146c6253f578a072380d557b0e17"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FdsFormulaCache xmlns="urn:fdsformulacache" version="2" timestamp="1777038722"><![CDATA[{"USDJPY^FG_PRICE":159.74998,"USDRUB^FG_PRICE":75.50004,"VOD-GB^FG_PRICE":1.1595,"LBTYA-US^FG_PRICE":11.97,"USDCZK^FG_PRICE":20.856968,"AMXB-MX^FG_PRICE":22.8,"TIT-IT^FG_PRICE":0.6598,"ELISA-FI^FG_PRICE":41.88,"USDSGD^FG_PRICE":1.2780168,"EXCL-ID^FG_PRICE":3070.0,"1U1-DE^FG_PRICE":23.15,"VIVT3-BR^FG_PRICE":39.88,"CLNX-ES^FG_PRICE":28.4,"HTO-GR^FG_PRICE":18.29,"6947-MY^FG_PRICE":2.97,"ORA-FR^FG_PRICE":17.64,"T-US^FG_PRICE":26.28,"SUNN-CH^FG_PRICE":46.1,"USDMYR^FG_PRICE":3.9649932,"9433-JP^FG_PRICE":2565.0,"USDHKD^FG_PRICE":7.835126,"TEL2.B-SE^FG_PRICE":189.65,"USDQAR^FG_PRICE":3.6410296,"LBTYK-US^FG_PRICE":11.615,"6012-MY^FG_PRICE":3.5,"ENTEL-CL^FG_PRICE":3643.0,"TMUS-US^FG_PRICE":191.47,"DTE-DE^FG_PRICE":27.67,"532454-IN^FG_PRICE":1814.7,"SATS-US^FG_PRICE":119.08,"SCMN-CH^FG_PRICE":672.5,"TEL2.A-SE^FG_PRICE":191.5,"ATUS-US^FG_PRICE":1.67,"VOD-ZA^FG_PRICE":145.58,"CMCSA-US^FG_PRICE":30.245,"USDKWD^FG_PRICE":0.30790624,"USDDKK^FG_PRICE":6.3946447,"TLKM-ID^FG_PRICE":2810.0,"ADVANC-TH^FG_PRICE":349.0,"USDCAD^FG_PRICE":1.3689461,"USDLTL^FG_PRICE":2.9544578,"017670-KR^FG_PRICE":100000.0,"EURUSD^FG_PRICE":1.1686747,"USDPHP^FG_PRICE":60.709003,"USDZAR^FG_PRICE":16.651264,"IAM-FR^FG_PRICE":9.22,"SESG-FR^FG_PRICE":6.615,"KPN-NL^FG_PRICE":4.664,"762-HK^FG_PRICE":7.26,"SITES1A.1-MX^FG_PRICE":16.16,"6888-MY^FG_PRICE":2.24,"941-HK^FG_PRICE":83.9,"TBIG-ID^FG_PRICE":1875.0,"PROX-BE^FG_PRICE":6.63,"NZDUSD^FG_PRICE":0.5856445,"USDCLP^FG_PRICE":898.08026,"USDTRY^FG_PRICE":45.024994,"TV-US^FG_PRICE":3.05,"LILAB-US^FG_PRICE":10.24,"ISAT-ID^FG_PRICE":1970.0,"USDBDT^FG_PRICE":123.15004,"TEL-NO^FG_PRICE":164.3,"USDTWD^FG_PRICE":31.47152,"TELIA-SE^FG_PRICE":48.71,"032640-KR^FG_PRICE":16600.0,"TRUE-TH^FG_PRICE":13.5,"FYBR-US^FG_PRICE":null,"TEF-ES^FG_PRICE":3.882,"TITR-IT^FG_PRICE":0.771,"BT.A-GB^FG_PRICE":2.2405,"CCI-US^FG_PRICE":86.215,"USDSEK^FG_PRICE":9.27353,"AMT-US^FG_PRICE":177.78,"USDTHB^FG_PRICE":32.429985,"USDARS^FG_PRICE":1392.75,"4755-JP^FG_PRICE":775.3,"ETL-FR^FG_PRICE":2.8,"MTEL-ID^FG_PRICE":530.0,"9432-JP^FG_PRICE":151.5,"USDINR^FG_PRICE":94.2475,"OBEL-BE^FG_PRICE":21.0,"NOS-PT^FG_PRICE":5.65,"CHTR-US^FG_PRICE":222.0,"MEGACPO-MX^FG_PRICE":59.4,"USDCNY^FG_PRICE":6.8343472,"TIGO-US^FG_PRICE":83.625,"USDKRW^FG_PRICE":1484.2501,"USDCHF^FG_PRICE":0.78691685,"AAF-GB^FG_PRICE":3.596,"HTWS-GB^FG_PRICE":1.975,"VZ-US^FG_PRICE":46.86,"534816-IN^FG_PRICE":402.15,"USDNOK^FG_PRICE":9.3462515,"USDKES^FG_PRICE":129.25006,"USDEGP^FG_PRICE":52.620003,"USDHUF^FG_PRICE":314.61517,"728-HK^FG_PRICE":5.01,"030200-KR^FG_PRICE":61700.0,"USDIDR^FG_PRICE":17192.5,"BBVA-ES^FG_PRICE":18.475,"9434-JP^FG_PRICE":220.2,"USDLKR^FG_PRICE":317.80005,"INW-IT^FG_PRICE":7.295,"USDPKR^FG_PRICE":278.95007,"MTN-ZA^FG_PRICE":206.35,"USDMAD^FG_PRICE":9.271417,"Z74-SG^FG_PRICE":4.63,"SBAC-US^FG_PRICE":217.5,"788-HK^FG_PRICE":11.16,"USDMXN^FG_PRICE":17.445486,"EN-FR^FG_PRICE":51.78,"TOWR-ID^FG_PRICE":488.0,"UTDI-DE^FG_PRICE":26.68,"IHS-USA^FG_PRICE":8.2105,"VEON-US^FG_PRICE":54.91,"LILA-US^FG_PRICE":8.34,"USDGBP^FG_PRICE":0.7416747,"USDAUD^FG_PRICE":1.4024327,"USDPLN^FG_PRICE":3.6326115,"LBTYB-US^FG_PRICE":16.84,"ZEG-GB^FG_PRICE":17.92,"532822-IN^FG_PRICE":9.52,"USDBRL^FG_PRICE":5.0182824,"TIMS3-BR^FG_PRICE":25.99,"SCOM-KE^FG_PRICE":29.9,"LILAK-US^FG_PRICE":8.525}]]></FdsFormulaCache>
</file>

<file path=customXml/itemProps1.xml><?xml version="1.0" encoding="utf-8"?>
<ds:datastoreItem xmlns:ds="http://schemas.openxmlformats.org/officeDocument/2006/customXml" ds:itemID="{22092952-A7E0-4F6A-8FE9-44538A47F8E3}">
  <ds:schemaRefs>
    <ds:schemaRef ds:uri="http://schemas.microsoft.com/sharepoint/v3/contenttype/forms"/>
  </ds:schemaRefs>
</ds:datastoreItem>
</file>

<file path=customXml/itemProps2.xml><?xml version="1.0" encoding="utf-8"?>
<ds:datastoreItem xmlns:ds="http://schemas.openxmlformats.org/officeDocument/2006/customXml" ds:itemID="{293D0C20-55D8-46C3-8327-30493F30C344}">
  <ds:schemaRefs>
    <ds:schemaRef ds:uri="http://purl.org/dc/dcmitype/"/>
    <ds:schemaRef ds:uri="http://schemas.microsoft.com/office/2006/documentManagement/types"/>
    <ds:schemaRef ds:uri="http://schemas.openxmlformats.org/package/2006/metadata/core-properties"/>
    <ds:schemaRef ds:uri="7a64ecaf-0ff2-4962-b687-c42052c96c69"/>
    <ds:schemaRef ds:uri="http://purl.org/dc/terms/"/>
    <ds:schemaRef ds:uri="http://schemas.microsoft.com/office/infopath/2007/PartnerControls"/>
    <ds:schemaRef ds:uri="http://purl.org/dc/elements/1.1/"/>
    <ds:schemaRef ds:uri="ac44878d-96d9-4f15-b496-a7136242695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3897410-6735-49C1-89CA-B5284C9530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C351FEA-B3FF-4409-8C3B-65E7784D6BE0}">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134</vt:i4>
      </vt:variant>
      <vt:variant>
        <vt:lpstr>Named Ranges</vt:lpstr>
      </vt:variant>
      <vt:variant>
        <vt:i4>647</vt:i4>
      </vt:variant>
    </vt:vector>
  </HeadingPairs>
  <TitlesOfParts>
    <vt:vector size="781" baseType="lpstr">
      <vt:lpstr>Cover</vt:lpstr>
      <vt:lpstr>Prices</vt:lpstr>
      <vt:lpstr>DM Multiples</vt:lpstr>
      <vt:lpstr>EM Multiples</vt:lpstr>
      <vt:lpstr>Tower Multiples</vt:lpstr>
      <vt:lpstr>Sectors</vt:lpstr>
      <vt:lpstr>Disclaimer</vt:lpstr>
      <vt:lpstr>AAF</vt:lpstr>
      <vt:lpstr>ADVANCED</vt:lpstr>
      <vt:lpstr>AMT</vt:lpstr>
      <vt:lpstr>AMX</vt:lpstr>
      <vt:lpstr>ATCUS</vt:lpstr>
      <vt:lpstr>ATT</vt:lpstr>
      <vt:lpstr>AXI</vt:lpstr>
      <vt:lpstr>BHART</vt:lpstr>
      <vt:lpstr>BHIN</vt:lpstr>
      <vt:lpstr>BOUY</vt:lpstr>
      <vt:lpstr>BT</vt:lpstr>
      <vt:lpstr>CCI</vt:lpstr>
      <vt:lpstr>ChinaTow</vt:lpstr>
      <vt:lpstr>CHTR</vt:lpstr>
      <vt:lpstr>CMCSA</vt:lpstr>
      <vt:lpstr>CLNX</vt:lpstr>
      <vt:lpstr>_CM</vt:lpstr>
      <vt:lpstr>_CT</vt:lpstr>
      <vt:lpstr>_CU</vt:lpstr>
      <vt:lpstr>DIGI</vt:lpstr>
      <vt:lpstr>DRI</vt:lpstr>
      <vt:lpstr>DT</vt:lpstr>
      <vt:lpstr>ELISA</vt:lpstr>
      <vt:lpstr>ENTEL</vt:lpstr>
      <vt:lpstr>ETL</vt:lpstr>
      <vt:lpstr>HTWS</vt:lpstr>
      <vt:lpstr>IDEA</vt:lpstr>
      <vt:lpstr>IHS</vt:lpstr>
      <vt:lpstr>INWIT</vt:lpstr>
      <vt:lpstr>INDO</vt:lpstr>
      <vt:lpstr>KDDI</vt:lpstr>
      <vt:lpstr>KPN</vt:lpstr>
      <vt:lpstr>_KT</vt:lpstr>
      <vt:lpstr>_LG</vt:lpstr>
      <vt:lpstr>LBTY</vt:lpstr>
      <vt:lpstr>LiLAC</vt:lpstr>
      <vt:lpstr>MAXI</vt:lpstr>
      <vt:lpstr>MEGA</vt:lpstr>
      <vt:lpstr>MILLI</vt:lpstr>
      <vt:lpstr>MITRA</vt:lpstr>
      <vt:lpstr>MTN</vt:lpstr>
      <vt:lpstr>NOS</vt:lpstr>
      <vt:lpstr>NTT</vt:lpstr>
      <vt:lpstr>OBEL</vt:lpstr>
      <vt:lpstr>ORA</vt:lpstr>
      <vt:lpstr>OTE</vt:lpstr>
      <vt:lpstr>PROX</vt:lpstr>
      <vt:lpstr>PTT</vt:lpstr>
      <vt:lpstr>RAK</vt:lpstr>
      <vt:lpstr>SAF</vt:lpstr>
      <vt:lpstr>SATS</vt:lpstr>
      <vt:lpstr>SBAC</vt:lpstr>
      <vt:lpstr>SBKK</vt:lpstr>
      <vt:lpstr>SES</vt:lpstr>
      <vt:lpstr>SINGTEL</vt:lpstr>
      <vt:lpstr>SITES</vt:lpstr>
      <vt:lpstr>SKT</vt:lpstr>
      <vt:lpstr>SUNN</vt:lpstr>
      <vt:lpstr>SWISS</vt:lpstr>
      <vt:lpstr>TBIG</vt:lpstr>
      <vt:lpstr>TEF</vt:lpstr>
      <vt:lpstr>TELE2</vt:lpstr>
      <vt:lpstr>TELIA</vt:lpstr>
      <vt:lpstr>TI</vt:lpstr>
      <vt:lpstr>TIMP</vt:lpstr>
      <vt:lpstr>TMUS</vt:lpstr>
      <vt:lpstr>TNOR</vt:lpstr>
      <vt:lpstr>TOWR</vt:lpstr>
      <vt:lpstr>TRUECORP</vt:lpstr>
      <vt:lpstr>TVIS</vt:lpstr>
      <vt:lpstr>UTDI</vt:lpstr>
      <vt:lpstr>VIMP</vt:lpstr>
      <vt:lpstr>VIVO</vt:lpstr>
      <vt:lpstr>VODA</vt:lpstr>
      <vt:lpstr>VOD</vt:lpstr>
      <vt:lpstr>VZN</vt:lpstr>
      <vt:lpstr>ZEG</vt:lpstr>
      <vt:lpstr>XLAX</vt:lpstr>
      <vt:lpstr>PROPORTIONATES</vt:lpstr>
      <vt:lpstr>US TELCO</vt:lpstr>
      <vt:lpstr>US OTHER</vt:lpstr>
      <vt:lpstr>US TOWERS</vt:lpstr>
      <vt:lpstr>US AGG</vt:lpstr>
      <vt:lpstr>W.EUR INCUMB</vt:lpstr>
      <vt:lpstr>W.EUR OTHER</vt:lpstr>
      <vt:lpstr>W.EUR TOWERS</vt:lpstr>
      <vt:lpstr>W.EUR AGG</vt:lpstr>
      <vt:lpstr>W.EUR AGG (ex Towers)</vt:lpstr>
      <vt:lpstr>DM ASIA INCUMB</vt:lpstr>
      <vt:lpstr>DM ASIA OTHER</vt:lpstr>
      <vt:lpstr>AGG DM ASIA</vt:lpstr>
      <vt:lpstr>LATAM INCUMB</vt:lpstr>
      <vt:lpstr>LATAM OTHER</vt:lpstr>
      <vt:lpstr>LATAM AGG</vt:lpstr>
      <vt:lpstr>EMEA CELLULAR</vt:lpstr>
      <vt:lpstr>EMEA AGG</vt:lpstr>
      <vt:lpstr>EM ASIA INCUMB</vt:lpstr>
      <vt:lpstr>EM ASIA CELLULAR</vt:lpstr>
      <vt:lpstr>AGG EM ASIA</vt:lpstr>
      <vt:lpstr>AGG ASIA INCUMB</vt:lpstr>
      <vt:lpstr>AGG ASIA CELLULAR</vt:lpstr>
      <vt:lpstr>AGG ASIA</vt:lpstr>
      <vt:lpstr>AGG DM INCUMB</vt:lpstr>
      <vt:lpstr>AGG DM CELLULAR</vt:lpstr>
      <vt:lpstr>AGG DM</vt:lpstr>
      <vt:lpstr>EM INCUMB</vt:lpstr>
      <vt:lpstr>EM CELLULAR</vt:lpstr>
      <vt:lpstr>EM TOWERS</vt:lpstr>
      <vt:lpstr>AGG EM</vt:lpstr>
      <vt:lpstr>AXISOP</vt:lpstr>
      <vt:lpstr>BHARTSOP</vt:lpstr>
      <vt:lpstr>BOUYSOP</vt:lpstr>
      <vt:lpstr>DTSOP</vt:lpstr>
      <vt:lpstr>ELISASOP</vt:lpstr>
      <vt:lpstr>IDEASOP</vt:lpstr>
      <vt:lpstr>KPNSOP</vt:lpstr>
      <vt:lpstr>MTNSOP</vt:lpstr>
      <vt:lpstr>OBELSOP</vt:lpstr>
      <vt:lpstr>ORASOP</vt:lpstr>
      <vt:lpstr>OTESOP</vt:lpstr>
      <vt:lpstr>PROXSOP</vt:lpstr>
      <vt:lpstr>SWISSSOP</vt:lpstr>
      <vt:lpstr>TEFSOP</vt:lpstr>
      <vt:lpstr>TELE2SOP</vt:lpstr>
      <vt:lpstr>TNORSOP</vt:lpstr>
      <vt:lpstr>TELIASOP</vt:lpstr>
      <vt:lpstr>VODSOP</vt:lpstr>
      <vt:lpstr>_CMm1</vt:lpstr>
      <vt:lpstr>_CMm2</vt:lpstr>
      <vt:lpstr>_CMm3</vt:lpstr>
      <vt:lpstr>_CMm4</vt:lpstr>
      <vt:lpstr>_CMm5</vt:lpstr>
      <vt:lpstr>_CTm1</vt:lpstr>
      <vt:lpstr>_CTm2</vt:lpstr>
      <vt:lpstr>_CTm3</vt:lpstr>
      <vt:lpstr>_CTm4</vt:lpstr>
      <vt:lpstr>_CTm5</vt:lpstr>
      <vt:lpstr>_CUm1</vt:lpstr>
      <vt:lpstr>_CUm2</vt:lpstr>
      <vt:lpstr>_CUm3</vt:lpstr>
      <vt:lpstr>_CUm4</vt:lpstr>
      <vt:lpstr>_CUm5</vt:lpstr>
      <vt:lpstr>_KTm1</vt:lpstr>
      <vt:lpstr>_KTm2</vt:lpstr>
      <vt:lpstr>_KTm3</vt:lpstr>
      <vt:lpstr>_KTm4</vt:lpstr>
      <vt:lpstr>_KTm5</vt:lpstr>
      <vt:lpstr>_LGm1</vt:lpstr>
      <vt:lpstr>_LGm2</vt:lpstr>
      <vt:lpstr>_LGm3</vt:lpstr>
      <vt:lpstr>_LGm4</vt:lpstr>
      <vt:lpstr>_LGm5</vt:lpstr>
      <vt:lpstr>AAF!AAFm1</vt:lpstr>
      <vt:lpstr>AAF!AAFm2</vt:lpstr>
      <vt:lpstr>AAF!AAFm3</vt:lpstr>
      <vt:lpstr>AAF!AAFm4</vt:lpstr>
      <vt:lpstr>AAF!AAFm5</vt:lpstr>
      <vt:lpstr>ADVANCEDm1</vt:lpstr>
      <vt:lpstr>ADVANCEDm2</vt:lpstr>
      <vt:lpstr>ADVANCEDm3</vt:lpstr>
      <vt:lpstr>ADVANCEDm4</vt:lpstr>
      <vt:lpstr>ADVANCEDm5</vt:lpstr>
      <vt:lpstr>AMT!AMTm1</vt:lpstr>
      <vt:lpstr>AMT!AMTm2</vt:lpstr>
      <vt:lpstr>AMT!AMTm3</vt:lpstr>
      <vt:lpstr>AMT!AMTm4</vt:lpstr>
      <vt:lpstr>AMT!AMTm5</vt:lpstr>
      <vt:lpstr>AMTm6</vt:lpstr>
      <vt:lpstr>AMXm1</vt:lpstr>
      <vt:lpstr>AMXm2</vt:lpstr>
      <vt:lpstr>AMXm3</vt:lpstr>
      <vt:lpstr>AMXm4</vt:lpstr>
      <vt:lpstr>AMXm5</vt:lpstr>
      <vt:lpstr>ATCUSm1</vt:lpstr>
      <vt:lpstr>ATCUSm2</vt:lpstr>
      <vt:lpstr>ATCUSm3</vt:lpstr>
      <vt:lpstr>ATCUSm4</vt:lpstr>
      <vt:lpstr>ATCUSm5</vt:lpstr>
      <vt:lpstr>ATCUSm6</vt:lpstr>
      <vt:lpstr>ATTM1</vt:lpstr>
      <vt:lpstr>ATTM2</vt:lpstr>
      <vt:lpstr>ATTM3</vt:lpstr>
      <vt:lpstr>ATTM4</vt:lpstr>
      <vt:lpstr>ATTM5</vt:lpstr>
      <vt:lpstr>ATTm6</vt:lpstr>
      <vt:lpstr>axim1</vt:lpstr>
      <vt:lpstr>axim2</vt:lpstr>
      <vt:lpstr>axim3</vt:lpstr>
      <vt:lpstr>axim4</vt:lpstr>
      <vt:lpstr>axim5</vt:lpstr>
      <vt:lpstr>bhartm1</vt:lpstr>
      <vt:lpstr>bhartm2</vt:lpstr>
      <vt:lpstr>bhartm3</vt:lpstr>
      <vt:lpstr>bhartm4</vt:lpstr>
      <vt:lpstr>bhartm5</vt:lpstr>
      <vt:lpstr>BHIN!BHINm1</vt:lpstr>
      <vt:lpstr>BHIN!BHINm2</vt:lpstr>
      <vt:lpstr>BHIN!BHINm3</vt:lpstr>
      <vt:lpstr>BHIN!BHINm4</vt:lpstr>
      <vt:lpstr>BHIN!BHINm5</vt:lpstr>
      <vt:lpstr>BHINtwr1</vt:lpstr>
      <vt:lpstr>BHINtwr2</vt:lpstr>
      <vt:lpstr>BOUY_m1</vt:lpstr>
      <vt:lpstr>BOUY_m2</vt:lpstr>
      <vt:lpstr>BOUY_m3</vt:lpstr>
      <vt:lpstr>BOUY_m4</vt:lpstr>
      <vt:lpstr>BOUY_m5</vt:lpstr>
      <vt:lpstr>BOUY!BT_m1</vt:lpstr>
      <vt:lpstr>BT_m1</vt:lpstr>
      <vt:lpstr>BOUY!BT_m2</vt:lpstr>
      <vt:lpstr>BT_m2</vt:lpstr>
      <vt:lpstr>BOUY!BT_m3</vt:lpstr>
      <vt:lpstr>BT_m3</vt:lpstr>
      <vt:lpstr>BOUY!BT_m4</vt:lpstr>
      <vt:lpstr>BT_m4</vt:lpstr>
      <vt:lpstr>BOUY!BT_m5</vt:lpstr>
      <vt:lpstr>BT_m5</vt:lpstr>
      <vt:lpstr>BT_m6</vt:lpstr>
      <vt:lpstr>CCI!CCIm1</vt:lpstr>
      <vt:lpstr>CCI!CCIm2</vt:lpstr>
      <vt:lpstr>CCI!CCIm3</vt:lpstr>
      <vt:lpstr>CCI!CCIm4</vt:lpstr>
      <vt:lpstr>CCI!CCIm5</vt:lpstr>
      <vt:lpstr>CCIm6</vt:lpstr>
      <vt:lpstr>ChinaTowm1</vt:lpstr>
      <vt:lpstr>ChinaTowm2</vt:lpstr>
      <vt:lpstr>ChinaTowm3</vt:lpstr>
      <vt:lpstr>ChinaTowm4</vt:lpstr>
      <vt:lpstr>ChinaTowm5</vt:lpstr>
      <vt:lpstr>ChinaTowtwr1</vt:lpstr>
      <vt:lpstr>ChinaTowtwr2</vt:lpstr>
      <vt:lpstr>CHTRM1</vt:lpstr>
      <vt:lpstr>CHTRM2</vt:lpstr>
      <vt:lpstr>CHTRM3</vt:lpstr>
      <vt:lpstr>CHTRM4</vt:lpstr>
      <vt:lpstr>CHTRM5</vt:lpstr>
      <vt:lpstr>CHTRm6</vt:lpstr>
      <vt:lpstr>CLNX_m1</vt:lpstr>
      <vt:lpstr>CLNX_m2</vt:lpstr>
      <vt:lpstr>CLNX_m3</vt:lpstr>
      <vt:lpstr>CLNX_m4</vt:lpstr>
      <vt:lpstr>CLNX_m5</vt:lpstr>
      <vt:lpstr>CMCSAM1</vt:lpstr>
      <vt:lpstr>CMCSAM2</vt:lpstr>
      <vt:lpstr>CMCSAM3</vt:lpstr>
      <vt:lpstr>CMCSAM4</vt:lpstr>
      <vt:lpstr>CMCSAM5</vt:lpstr>
      <vt:lpstr>CMCSAm6</vt:lpstr>
      <vt:lpstr>DIGIm1</vt:lpstr>
      <vt:lpstr>DIGIm2</vt:lpstr>
      <vt:lpstr>DIGIm3</vt:lpstr>
      <vt:lpstr>DIGIm4</vt:lpstr>
      <vt:lpstr>DIGIm5</vt:lpstr>
      <vt:lpstr>DM_Multiples1</vt:lpstr>
      <vt:lpstr>DM_Multiples10</vt:lpstr>
      <vt:lpstr>DM_Multiples11</vt:lpstr>
      <vt:lpstr>DM_Multiples2</vt:lpstr>
      <vt:lpstr>DM_Multiples3</vt:lpstr>
      <vt:lpstr>DM_Multiples4</vt:lpstr>
      <vt:lpstr>DM_Multiples5</vt:lpstr>
      <vt:lpstr>DM_Multiples6</vt:lpstr>
      <vt:lpstr>DM_Multiples7</vt:lpstr>
      <vt:lpstr>DM_Multiples8</vt:lpstr>
      <vt:lpstr>DM_Multiples9</vt:lpstr>
      <vt:lpstr>DRI_m1</vt:lpstr>
      <vt:lpstr>DRI_m2</vt:lpstr>
      <vt:lpstr>DRI_m3</vt:lpstr>
      <vt:lpstr>DRI_m4</vt:lpstr>
      <vt:lpstr>DRI_m5</vt:lpstr>
      <vt:lpstr>DT_m1</vt:lpstr>
      <vt:lpstr>DT_m2</vt:lpstr>
      <vt:lpstr>DT_m3</vt:lpstr>
      <vt:lpstr>DT_m4</vt:lpstr>
      <vt:lpstr>DT_m5</vt:lpstr>
      <vt:lpstr>DT_m6</vt:lpstr>
      <vt:lpstr>ELISA_m1</vt:lpstr>
      <vt:lpstr>ELISA_m2</vt:lpstr>
      <vt:lpstr>ELISA_m3</vt:lpstr>
      <vt:lpstr>ELISA_m4</vt:lpstr>
      <vt:lpstr>ELISA_m5</vt:lpstr>
      <vt:lpstr>EM_Multiples1</vt:lpstr>
      <vt:lpstr>EM_Multiples10</vt:lpstr>
      <vt:lpstr>EM_Multiples11</vt:lpstr>
      <vt:lpstr>EM_Multiples2</vt:lpstr>
      <vt:lpstr>EM_Multiples3</vt:lpstr>
      <vt:lpstr>EM_Multiples4</vt:lpstr>
      <vt:lpstr>EM_Multiples5</vt:lpstr>
      <vt:lpstr>EM_Multiples6</vt:lpstr>
      <vt:lpstr>EM_Multiples7</vt:lpstr>
      <vt:lpstr>EM_Multiples8</vt:lpstr>
      <vt:lpstr>EM_Multiples9</vt:lpstr>
      <vt:lpstr>ENTEL!ENTELm1</vt:lpstr>
      <vt:lpstr>ENTEL!ENTELm2</vt:lpstr>
      <vt:lpstr>ENTEL!ENTELm3</vt:lpstr>
      <vt:lpstr>ENTEL!ENTELm4</vt:lpstr>
      <vt:lpstr>ENTEL!ENTELm5</vt:lpstr>
      <vt:lpstr>ETL!ETL_m1</vt:lpstr>
      <vt:lpstr>ETL!ETL_m2</vt:lpstr>
      <vt:lpstr>ETL!ETL_m3</vt:lpstr>
      <vt:lpstr>ETL!ETL_m4</vt:lpstr>
      <vt:lpstr>ETL!ETL_m5</vt:lpstr>
      <vt:lpstr>export_dm_ebitda_growth</vt:lpstr>
      <vt:lpstr>export_dm_mults</vt:lpstr>
      <vt:lpstr>export_dm_rev_growth</vt:lpstr>
      <vt:lpstr>headings</vt:lpstr>
      <vt:lpstr>HTWSm1</vt:lpstr>
      <vt:lpstr>HTWSm2</vt:lpstr>
      <vt:lpstr>HTWSm3</vt:lpstr>
      <vt:lpstr>HTWSm4</vt:lpstr>
      <vt:lpstr>HTWSm5</vt:lpstr>
      <vt:lpstr>HTWSm6</vt:lpstr>
      <vt:lpstr>ideam1</vt:lpstr>
      <vt:lpstr>ideam2</vt:lpstr>
      <vt:lpstr>ideam3</vt:lpstr>
      <vt:lpstr>ideam4</vt:lpstr>
      <vt:lpstr>ideam5</vt:lpstr>
      <vt:lpstr>IHSm1</vt:lpstr>
      <vt:lpstr>IHSm2</vt:lpstr>
      <vt:lpstr>IHSm3</vt:lpstr>
      <vt:lpstr>IHSm4</vt:lpstr>
      <vt:lpstr>IHSm5</vt:lpstr>
      <vt:lpstr>IHSm6</vt:lpstr>
      <vt:lpstr>indom1</vt:lpstr>
      <vt:lpstr>indom2</vt:lpstr>
      <vt:lpstr>indom3</vt:lpstr>
      <vt:lpstr>indom4</vt:lpstr>
      <vt:lpstr>indom5</vt:lpstr>
      <vt:lpstr>INWIT_m1</vt:lpstr>
      <vt:lpstr>INWIT_m2</vt:lpstr>
      <vt:lpstr>INWIT_m3</vt:lpstr>
      <vt:lpstr>INWIT_m4</vt:lpstr>
      <vt:lpstr>INWIT_m5</vt:lpstr>
      <vt:lpstr>KDDIM1</vt:lpstr>
      <vt:lpstr>KDDIM2</vt:lpstr>
      <vt:lpstr>KDDIM3</vt:lpstr>
      <vt:lpstr>KDDIM4</vt:lpstr>
      <vt:lpstr>KDDIM5</vt:lpstr>
      <vt:lpstr>KPN_m1</vt:lpstr>
      <vt:lpstr>KPN_m2</vt:lpstr>
      <vt:lpstr>KPN_m3</vt:lpstr>
      <vt:lpstr>KPN_m4</vt:lpstr>
      <vt:lpstr>KPN_m5</vt:lpstr>
      <vt:lpstr>LBTY_m1</vt:lpstr>
      <vt:lpstr>LBTY_m2</vt:lpstr>
      <vt:lpstr>LBTY_m3</vt:lpstr>
      <vt:lpstr>LBTY_m4</vt:lpstr>
      <vt:lpstr>LBTY_m5</vt:lpstr>
      <vt:lpstr>LiLACm1</vt:lpstr>
      <vt:lpstr>LiLACm2</vt:lpstr>
      <vt:lpstr>LiLAC!LiLACm3</vt:lpstr>
      <vt:lpstr>LiLAC!LiLACm4</vt:lpstr>
      <vt:lpstr>LiLAC!LiLACm5</vt:lpstr>
      <vt:lpstr>MAXIm1</vt:lpstr>
      <vt:lpstr>MAXIm2</vt:lpstr>
      <vt:lpstr>MAXIm3</vt:lpstr>
      <vt:lpstr>MAXIm4</vt:lpstr>
      <vt:lpstr>MAXIm5</vt:lpstr>
      <vt:lpstr>MEGA!MEGAm1</vt:lpstr>
      <vt:lpstr>MEGA!MEGAm2</vt:lpstr>
      <vt:lpstr>MEGA!MEGAm3</vt:lpstr>
      <vt:lpstr>MEGA!MEGAm4</vt:lpstr>
      <vt:lpstr>MEGA!MEGAm5</vt:lpstr>
      <vt:lpstr>MILLI!MILLIm1</vt:lpstr>
      <vt:lpstr>MILLI!MILLIm2</vt:lpstr>
      <vt:lpstr>MILLI!MILLIm3</vt:lpstr>
      <vt:lpstr>MILLI!MILLIm4</vt:lpstr>
      <vt:lpstr>MILLI!MILLIm5</vt:lpstr>
      <vt:lpstr>MITRA!MITRAm1</vt:lpstr>
      <vt:lpstr>MITRA!MITRAm2</vt:lpstr>
      <vt:lpstr>MITRA!MITRAm3</vt:lpstr>
      <vt:lpstr>MITRA!MITRAm4</vt:lpstr>
      <vt:lpstr>MITRA!MITRAm5</vt:lpstr>
      <vt:lpstr>MITRA!MITRAtwr1</vt:lpstr>
      <vt:lpstr>MITRA!MITRAtwr2</vt:lpstr>
      <vt:lpstr>MTN!MTNm1</vt:lpstr>
      <vt:lpstr>MTN!MTNm2</vt:lpstr>
      <vt:lpstr>MTN!MTNm3</vt:lpstr>
      <vt:lpstr>MTN!MTNm4</vt:lpstr>
      <vt:lpstr>MTN!MTNm5</vt:lpstr>
      <vt:lpstr>'DM Multiples'!mult1</vt:lpstr>
      <vt:lpstr>'EM Multiples'!mult1</vt:lpstr>
      <vt:lpstr>'DM Multiples'!mult2</vt:lpstr>
      <vt:lpstr>'EM Multiples'!mult2</vt:lpstr>
      <vt:lpstr>'DM Multiples'!mult3</vt:lpstr>
      <vt:lpstr>'EM Multiples'!mult3</vt:lpstr>
      <vt:lpstr>'DM Multiples'!mult4</vt:lpstr>
      <vt:lpstr>'EM Multiples'!mult4</vt:lpstr>
      <vt:lpstr>'DM Multiples'!mult5</vt:lpstr>
      <vt:lpstr>'EM Multiples'!mult5</vt:lpstr>
      <vt:lpstr>'DM Multiples'!mult6</vt:lpstr>
      <vt:lpstr>'EM Multiples'!mult6</vt:lpstr>
      <vt:lpstr>'DM Multiples'!mult7</vt:lpstr>
      <vt:lpstr>NOS_m1</vt:lpstr>
      <vt:lpstr>NOS_m2</vt:lpstr>
      <vt:lpstr>NOS_m3</vt:lpstr>
      <vt:lpstr>NOS_m4</vt:lpstr>
      <vt:lpstr>NOS_m5</vt:lpstr>
      <vt:lpstr>NTTM1</vt:lpstr>
      <vt:lpstr>NTTM2</vt:lpstr>
      <vt:lpstr>NTTM3</vt:lpstr>
      <vt:lpstr>NTTM4</vt:lpstr>
      <vt:lpstr>NTTM5</vt:lpstr>
      <vt:lpstr>OBEL_m1</vt:lpstr>
      <vt:lpstr>OBEL_m2</vt:lpstr>
      <vt:lpstr>OBEL_m3</vt:lpstr>
      <vt:lpstr>OBEL_m4</vt:lpstr>
      <vt:lpstr>OBEL_m5</vt:lpstr>
      <vt:lpstr>ORA_m1</vt:lpstr>
      <vt:lpstr>ORA_m2</vt:lpstr>
      <vt:lpstr>ORA_m3</vt:lpstr>
      <vt:lpstr>ORA_m4</vt:lpstr>
      <vt:lpstr>ORA_m5</vt:lpstr>
      <vt:lpstr>OTE_m1</vt:lpstr>
      <vt:lpstr>OTE_m2</vt:lpstr>
      <vt:lpstr>OTE_m3</vt:lpstr>
      <vt:lpstr>OTE_m4</vt:lpstr>
      <vt:lpstr>OTE_m5</vt:lpstr>
      <vt:lpstr>prices.fx_eur</vt:lpstr>
      <vt:lpstr>prices.fx_usd</vt:lpstr>
      <vt:lpstr>AAF!Print_Area</vt:lpstr>
      <vt:lpstr>ADVANCED!Print_Area</vt:lpstr>
      <vt:lpstr>'AGG ASIA'!Print_Area</vt:lpstr>
      <vt:lpstr>'AGG ASIA CELLULAR'!Print_Area</vt:lpstr>
      <vt:lpstr>'AGG ASIA INCUMB'!Print_Area</vt:lpstr>
      <vt:lpstr>'AGG DM'!Print_Area</vt:lpstr>
      <vt:lpstr>'AGG DM ASIA'!Print_Area</vt:lpstr>
      <vt:lpstr>'AGG DM CELLULAR'!Print_Area</vt:lpstr>
      <vt:lpstr>'AGG DM INCUMB'!Print_Area</vt:lpstr>
      <vt:lpstr>'AGG EM'!Print_Area</vt:lpstr>
      <vt:lpstr>'AGG EM ASIA'!Print_Area</vt:lpstr>
      <vt:lpstr>AMT!Print_Area</vt:lpstr>
      <vt:lpstr>AMX!Print_Area</vt:lpstr>
      <vt:lpstr>ATCUS!Print_Area</vt:lpstr>
      <vt:lpstr>ATT!Print_Area</vt:lpstr>
      <vt:lpstr>AXI!Print_Area</vt:lpstr>
      <vt:lpstr>AXISOP!Print_Area</vt:lpstr>
      <vt:lpstr>BHART!Print_Area</vt:lpstr>
      <vt:lpstr>BHARTSOP!Print_Area</vt:lpstr>
      <vt:lpstr>BHIN!Print_Area</vt:lpstr>
      <vt:lpstr>BOUY!Print_Area</vt:lpstr>
      <vt:lpstr>BOUYSOP!Print_Area</vt:lpstr>
      <vt:lpstr>BT!Print_Area</vt:lpstr>
      <vt:lpstr>CCI!Print_Area</vt:lpstr>
      <vt:lpstr>ChinaTow!Print_Area</vt:lpstr>
      <vt:lpstr>CHTR!Print_Area</vt:lpstr>
      <vt:lpstr>CLNX!Print_Area</vt:lpstr>
      <vt:lpstr>CMCSA!Print_Area</vt:lpstr>
      <vt:lpstr>Cover!Print_Area</vt:lpstr>
      <vt:lpstr>DIGI!Print_Area</vt:lpstr>
      <vt:lpstr>Disclaimer!Print_Area</vt:lpstr>
      <vt:lpstr>'DM Multiples'!Print_Area</vt:lpstr>
      <vt:lpstr>DRI!Print_Area</vt:lpstr>
      <vt:lpstr>DT!Print_Area</vt:lpstr>
      <vt:lpstr>DTSOP!Print_Area</vt:lpstr>
      <vt:lpstr>ELISA!Print_Area</vt:lpstr>
      <vt:lpstr>ELISASOP!Print_Area</vt:lpstr>
      <vt:lpstr>'EM ASIA INCUMB'!Print_Area</vt:lpstr>
      <vt:lpstr>'EM CELLULAR'!Print_Area</vt:lpstr>
      <vt:lpstr>'EM INCUMB'!Print_Area</vt:lpstr>
      <vt:lpstr>'EM Multiples'!Print_Area</vt:lpstr>
      <vt:lpstr>'EM TOWERS'!Print_Area</vt:lpstr>
      <vt:lpstr>'EMEA AGG'!Print_Area</vt:lpstr>
      <vt:lpstr>'EMEA CELLULAR'!Print_Area</vt:lpstr>
      <vt:lpstr>ENTEL!Print_Area</vt:lpstr>
      <vt:lpstr>ETL!Print_Area</vt:lpstr>
      <vt:lpstr>IDEA!Print_Area</vt:lpstr>
      <vt:lpstr>IDEASOP!Print_Area</vt:lpstr>
      <vt:lpstr>IHS!Print_Area</vt:lpstr>
      <vt:lpstr>INDO!Print_Area</vt:lpstr>
      <vt:lpstr>KDDI!Print_Area</vt:lpstr>
      <vt:lpstr>KPN!Print_Area</vt:lpstr>
      <vt:lpstr>KPNSOP!Print_Area</vt:lpstr>
      <vt:lpstr>'LATAM AGG'!Print_Area</vt:lpstr>
      <vt:lpstr>'LATAM INCUMB'!Print_Area</vt:lpstr>
      <vt:lpstr>'LATAM OTHER'!Print_Area</vt:lpstr>
      <vt:lpstr>LBTY!Print_Area</vt:lpstr>
      <vt:lpstr>LiLAC!Print_Area</vt:lpstr>
      <vt:lpstr>MAXI!Print_Area</vt:lpstr>
      <vt:lpstr>MEGA!Print_Area</vt:lpstr>
      <vt:lpstr>MILLI!Print_Area</vt:lpstr>
      <vt:lpstr>MITRA!Print_Area</vt:lpstr>
      <vt:lpstr>MTN!Print_Area</vt:lpstr>
      <vt:lpstr>MTNSOP!Print_Area</vt:lpstr>
      <vt:lpstr>NOS!Print_Area</vt:lpstr>
      <vt:lpstr>NTT!Print_Area</vt:lpstr>
      <vt:lpstr>OBEL!Print_Area</vt:lpstr>
      <vt:lpstr>OBELSOP!Print_Area</vt:lpstr>
      <vt:lpstr>ORA!Print_Area</vt:lpstr>
      <vt:lpstr>ORASOP!Print_Area</vt:lpstr>
      <vt:lpstr>OTE!Print_Area</vt:lpstr>
      <vt:lpstr>OTESOP!Print_Area</vt:lpstr>
      <vt:lpstr>Prices!Print_Area</vt:lpstr>
      <vt:lpstr>PROPORTIONATES!Print_Area</vt:lpstr>
      <vt:lpstr>PROX!Print_Area</vt:lpstr>
      <vt:lpstr>PROXSOP!Print_Area</vt:lpstr>
      <vt:lpstr>PTT!Print_Area</vt:lpstr>
      <vt:lpstr>RAK!Print_Area</vt:lpstr>
      <vt:lpstr>SBAC!Print_Area</vt:lpstr>
      <vt:lpstr>SBKK!Print_Area</vt:lpstr>
      <vt:lpstr>Sectors!Print_Area</vt:lpstr>
      <vt:lpstr>SES!Print_Area</vt:lpstr>
      <vt:lpstr>SINGTEL!Print_Area</vt:lpstr>
      <vt:lpstr>SITES!Print_Area</vt:lpstr>
      <vt:lpstr>SKT!Print_Area</vt:lpstr>
      <vt:lpstr>SUNN!Print_Area</vt:lpstr>
      <vt:lpstr>SWISS!Print_Area</vt:lpstr>
      <vt:lpstr>SWISSSOP!Print_Area</vt:lpstr>
      <vt:lpstr>TEF!Print_Area</vt:lpstr>
      <vt:lpstr>TEFSOP!Print_Area</vt:lpstr>
      <vt:lpstr>TELE2!Print_Area</vt:lpstr>
      <vt:lpstr>TELE2SOP!Print_Area</vt:lpstr>
      <vt:lpstr>TELIA!Print_Area</vt:lpstr>
      <vt:lpstr>TELIASOP!Print_Area</vt:lpstr>
      <vt:lpstr>TI!Print_Area</vt:lpstr>
      <vt:lpstr>TIMP!Print_Area</vt:lpstr>
      <vt:lpstr>TMUS!Print_Area</vt:lpstr>
      <vt:lpstr>TNOR!Print_Area</vt:lpstr>
      <vt:lpstr>TNORSOP!Print_Area</vt:lpstr>
      <vt:lpstr>'Tower Multiples'!Print_Area</vt:lpstr>
      <vt:lpstr>TRUECORP!Print_Area</vt:lpstr>
      <vt:lpstr>TVIS!Print_Area</vt:lpstr>
      <vt:lpstr>UTDI!Print_Area</vt:lpstr>
      <vt:lpstr>VIMP!Print_Area</vt:lpstr>
      <vt:lpstr>VIVO!Print_Area</vt:lpstr>
      <vt:lpstr>VOD!Print_Area</vt:lpstr>
      <vt:lpstr>VODA!Print_Area</vt:lpstr>
      <vt:lpstr>VODSOP!Print_Area</vt:lpstr>
      <vt:lpstr>VZN!Print_Area</vt:lpstr>
      <vt:lpstr>'W.EUR AGG'!Print_Area</vt:lpstr>
      <vt:lpstr>'W.EUR AGG (ex Towers)'!Print_Area</vt:lpstr>
      <vt:lpstr>'W.EUR INCUMB'!Print_Area</vt:lpstr>
      <vt:lpstr>'W.EUR OTHER'!Print_Area</vt:lpstr>
      <vt:lpstr>'W.EUR TOWERS'!Print_Area</vt:lpstr>
      <vt:lpstr>XLAX!Print_Area</vt:lpstr>
      <vt:lpstr>ZEG!Print_Area</vt:lpstr>
      <vt:lpstr>'DM Multiples'!Print_Titles</vt:lpstr>
      <vt:lpstr>'EM Multiples'!Print_Titles</vt:lpstr>
      <vt:lpstr>Prices!Print_Titles</vt:lpstr>
      <vt:lpstr>Sectors!Print_Titles</vt:lpstr>
      <vt:lpstr>'Tower Multiples'!Print_Titles</vt:lpstr>
      <vt:lpstr>PROX!PROX_m1</vt:lpstr>
      <vt:lpstr>PROX!PROX_m2</vt:lpstr>
      <vt:lpstr>PROX!PROX_m3</vt:lpstr>
      <vt:lpstr>PROX!PROX_m4</vt:lpstr>
      <vt:lpstr>PROX!PROX_m5</vt:lpstr>
      <vt:lpstr>proxvalue</vt:lpstr>
      <vt:lpstr>pttm1</vt:lpstr>
      <vt:lpstr>pttm2</vt:lpstr>
      <vt:lpstr>pttm3</vt:lpstr>
      <vt:lpstr>pttm4</vt:lpstr>
      <vt:lpstr>pttm5</vt:lpstr>
      <vt:lpstr>RAKm1</vt:lpstr>
      <vt:lpstr>RAKm2</vt:lpstr>
      <vt:lpstr>RAKm3</vt:lpstr>
      <vt:lpstr>RAKm4</vt:lpstr>
      <vt:lpstr>RAKm5</vt:lpstr>
      <vt:lpstr>ratings_asia_1</vt:lpstr>
      <vt:lpstr>ratings_asia_2</vt:lpstr>
      <vt:lpstr>ratings_asia_3</vt:lpstr>
      <vt:lpstr>ratings_asia_4</vt:lpstr>
      <vt:lpstr>ratings_asia_ntt</vt:lpstr>
      <vt:lpstr>ratings_asia_singtel</vt:lpstr>
      <vt:lpstr>ratings_emea_cellular</vt:lpstr>
      <vt:lpstr>ratings_emea_towers</vt:lpstr>
      <vt:lpstr>ratings_eu_incumb</vt:lpstr>
      <vt:lpstr>ratings_eu_other</vt:lpstr>
      <vt:lpstr>ratings_eu_towers</vt:lpstr>
      <vt:lpstr>ratings_latam_altnet</vt:lpstr>
      <vt:lpstr>ratings_latam_cellular</vt:lpstr>
      <vt:lpstr>ratings_latam_incumb</vt:lpstr>
      <vt:lpstr>ratings_latam_towers</vt:lpstr>
      <vt:lpstr>SAFm1</vt:lpstr>
      <vt:lpstr>SAFm2</vt:lpstr>
      <vt:lpstr>SAFm3</vt:lpstr>
      <vt:lpstr>SAFm4</vt:lpstr>
      <vt:lpstr>SAFm5</vt:lpstr>
      <vt:lpstr>SATSm1</vt:lpstr>
      <vt:lpstr>SATSm2</vt:lpstr>
      <vt:lpstr>SATSm3</vt:lpstr>
      <vt:lpstr>SATSm4</vt:lpstr>
      <vt:lpstr>SATSm5</vt:lpstr>
      <vt:lpstr>SATSm6</vt:lpstr>
      <vt:lpstr>SBAC!SBACm1</vt:lpstr>
      <vt:lpstr>SBAC!SBACm2</vt:lpstr>
      <vt:lpstr>SBAC!SBACm3</vt:lpstr>
      <vt:lpstr>SBAC!SBACm4</vt:lpstr>
      <vt:lpstr>SBAC!SBACm5</vt:lpstr>
      <vt:lpstr>SBACm6</vt:lpstr>
      <vt:lpstr>RAK!sbkkm1</vt:lpstr>
      <vt:lpstr>sbkkm1</vt:lpstr>
      <vt:lpstr>RAK!sbkkm2</vt:lpstr>
      <vt:lpstr>sbkkm2</vt:lpstr>
      <vt:lpstr>RAK!sbkkm3</vt:lpstr>
      <vt:lpstr>sbkkm3</vt:lpstr>
      <vt:lpstr>RAK!sbkkm4</vt:lpstr>
      <vt:lpstr>sbkkm4</vt:lpstr>
      <vt:lpstr>RAK!sbkkm5</vt:lpstr>
      <vt:lpstr>sbkkm5</vt:lpstr>
      <vt:lpstr>ses_m1</vt:lpstr>
      <vt:lpstr>ses_m2</vt:lpstr>
      <vt:lpstr>ses_m3</vt:lpstr>
      <vt:lpstr>ses_m4</vt:lpstr>
      <vt:lpstr>ses_m5</vt:lpstr>
      <vt:lpstr>SINGTELm1</vt:lpstr>
      <vt:lpstr>SINGTELm2</vt:lpstr>
      <vt:lpstr>SINGTELm3</vt:lpstr>
      <vt:lpstr>SINGTELm4</vt:lpstr>
      <vt:lpstr>SINGTELm5</vt:lpstr>
      <vt:lpstr>SINGTELMM6</vt:lpstr>
      <vt:lpstr>SINGTELMM7</vt:lpstr>
      <vt:lpstr>SINGTELMM8</vt:lpstr>
      <vt:lpstr>SINGTELMM9</vt:lpstr>
      <vt:lpstr>SITESm1</vt:lpstr>
      <vt:lpstr>SITESm2</vt:lpstr>
      <vt:lpstr>SITESm3</vt:lpstr>
      <vt:lpstr>SITESm4</vt:lpstr>
      <vt:lpstr>SITESm5</vt:lpstr>
      <vt:lpstr>SITESm6</vt:lpstr>
      <vt:lpstr>SITEStwr1</vt:lpstr>
      <vt:lpstr>SITEStwr2</vt:lpstr>
      <vt:lpstr>SKTm1</vt:lpstr>
      <vt:lpstr>SKTm2</vt:lpstr>
      <vt:lpstr>SKTm3</vt:lpstr>
      <vt:lpstr>SKTm4</vt:lpstr>
      <vt:lpstr>SKTm5</vt:lpstr>
      <vt:lpstr>AXISOP!sop</vt:lpstr>
      <vt:lpstr>BHARTSOP!sop</vt:lpstr>
      <vt:lpstr>DTSOP!sop</vt:lpstr>
      <vt:lpstr>IDEASOP!sop</vt:lpstr>
      <vt:lpstr>KPNSOP!sop</vt:lpstr>
      <vt:lpstr>MTNSOP!sop</vt:lpstr>
      <vt:lpstr>ORASOP!sop</vt:lpstr>
      <vt:lpstr>OTESOP!sop</vt:lpstr>
      <vt:lpstr>PROXSOP!sop</vt:lpstr>
      <vt:lpstr>SWISSSOP!sop</vt:lpstr>
      <vt:lpstr>TEFSOP!sop</vt:lpstr>
      <vt:lpstr>TELE2SOP!sop</vt:lpstr>
      <vt:lpstr>TELIASOP!sop</vt:lpstr>
      <vt:lpstr>TNORSOP!sop</vt:lpstr>
      <vt:lpstr>SUNN_m1</vt:lpstr>
      <vt:lpstr>SUNN_m2</vt:lpstr>
      <vt:lpstr>SUNN_m3</vt:lpstr>
      <vt:lpstr>SUNN_m4</vt:lpstr>
      <vt:lpstr>SUNN_m5</vt:lpstr>
      <vt:lpstr>SUNN!SWISS_m1</vt:lpstr>
      <vt:lpstr>SWISS_m1</vt:lpstr>
      <vt:lpstr>SUNN!SWISS_m2</vt:lpstr>
      <vt:lpstr>SWISS_m2</vt:lpstr>
      <vt:lpstr>SUNN!SWISS_m3</vt:lpstr>
      <vt:lpstr>SWISS_m3</vt:lpstr>
      <vt:lpstr>SUNN!SWISS_m4</vt:lpstr>
      <vt:lpstr>SWISS_m4</vt:lpstr>
      <vt:lpstr>SUNN!SWISS_m5</vt:lpstr>
      <vt:lpstr>SWISS_m5</vt:lpstr>
      <vt:lpstr>TBIGm1</vt:lpstr>
      <vt:lpstr>TBIGm2</vt:lpstr>
      <vt:lpstr>TBIGm3</vt:lpstr>
      <vt:lpstr>TBIGm4</vt:lpstr>
      <vt:lpstr>TBIGm5</vt:lpstr>
      <vt:lpstr>TBIGtwr1</vt:lpstr>
      <vt:lpstr>TBIGtwr2</vt:lpstr>
      <vt:lpstr>TEF_m1</vt:lpstr>
      <vt:lpstr>TEF_m2</vt:lpstr>
      <vt:lpstr>TEF_m3</vt:lpstr>
      <vt:lpstr>TEF_m4</vt:lpstr>
      <vt:lpstr>TEF_m5</vt:lpstr>
      <vt:lpstr>TELE2_m1</vt:lpstr>
      <vt:lpstr>TELE2_m2</vt:lpstr>
      <vt:lpstr>TELE2_m3</vt:lpstr>
      <vt:lpstr>TELE2_m4</vt:lpstr>
      <vt:lpstr>TELE2_m5</vt:lpstr>
      <vt:lpstr>TELIA_m1</vt:lpstr>
      <vt:lpstr>TELIA_m2</vt:lpstr>
      <vt:lpstr>TELIA_m3</vt:lpstr>
      <vt:lpstr>TELIA_m4</vt:lpstr>
      <vt:lpstr>TELIA_m5</vt:lpstr>
      <vt:lpstr>TI_m1</vt:lpstr>
      <vt:lpstr>TI_m2</vt:lpstr>
      <vt:lpstr>TI_m3</vt:lpstr>
      <vt:lpstr>TI_m4</vt:lpstr>
      <vt:lpstr>TI_m5</vt:lpstr>
      <vt:lpstr>TIMPm1</vt:lpstr>
      <vt:lpstr>TIMPm2</vt:lpstr>
      <vt:lpstr>TIMPm3</vt:lpstr>
      <vt:lpstr>TIMPm4</vt:lpstr>
      <vt:lpstr>TIMPm5</vt:lpstr>
      <vt:lpstr>TMUSm1</vt:lpstr>
      <vt:lpstr>TMUSm2</vt:lpstr>
      <vt:lpstr>TMUSm3</vt:lpstr>
      <vt:lpstr>TMUSm4</vt:lpstr>
      <vt:lpstr>TMUSm5</vt:lpstr>
      <vt:lpstr>TMUSm6</vt:lpstr>
      <vt:lpstr>TNOR_m1</vt:lpstr>
      <vt:lpstr>TNOR_m2</vt:lpstr>
      <vt:lpstr>TNOR_m3</vt:lpstr>
      <vt:lpstr>TNOR_m4</vt:lpstr>
      <vt:lpstr>TNOR_m5</vt:lpstr>
      <vt:lpstr>TOWR!TOWRM1</vt:lpstr>
      <vt:lpstr>TOWR!TOWRM2</vt:lpstr>
      <vt:lpstr>TOWR!TOWRM3</vt:lpstr>
      <vt:lpstr>TOWR!TOWRM4</vt:lpstr>
      <vt:lpstr>TOWR!TOWRM5</vt:lpstr>
      <vt:lpstr>TOWRtwr1</vt:lpstr>
      <vt:lpstr>TOWRtwr2</vt:lpstr>
      <vt:lpstr>TRUECORP!TRUECORPm1</vt:lpstr>
      <vt:lpstr>TRUECORP!TRUECORPm2</vt:lpstr>
      <vt:lpstr>TRUECORP!TRUECORPm3</vt:lpstr>
      <vt:lpstr>TRUECORP!TRUECORPm4</vt:lpstr>
      <vt:lpstr>TRUECORP!TRUECORPm5</vt:lpstr>
      <vt:lpstr>TVIS!TVISm1</vt:lpstr>
      <vt:lpstr>TVIS!TVISm2</vt:lpstr>
      <vt:lpstr>TVIS!TVISm3</vt:lpstr>
      <vt:lpstr>TVIS!TVISm4</vt:lpstr>
      <vt:lpstr>TVIS!TVISm5</vt:lpstr>
      <vt:lpstr>US_P1</vt:lpstr>
      <vt:lpstr>US_P2</vt:lpstr>
      <vt:lpstr>US_P3</vt:lpstr>
      <vt:lpstr>UTDI_m1</vt:lpstr>
      <vt:lpstr>UTDI_m2</vt:lpstr>
      <vt:lpstr>UTDI_m3</vt:lpstr>
      <vt:lpstr>UTDI_m4</vt:lpstr>
      <vt:lpstr>UTDI_m5</vt:lpstr>
      <vt:lpstr>VIMP!VIMPm1</vt:lpstr>
      <vt:lpstr>VIMP!VIMPm2</vt:lpstr>
      <vt:lpstr>VIMP!VIMPm3</vt:lpstr>
      <vt:lpstr>VIMP!VIMPm4</vt:lpstr>
      <vt:lpstr>VIMP!VIMPm5</vt:lpstr>
      <vt:lpstr>VIVOm1</vt:lpstr>
      <vt:lpstr>VIVOm2</vt:lpstr>
      <vt:lpstr>VIVOm3</vt:lpstr>
      <vt:lpstr>VIVOm4</vt:lpstr>
      <vt:lpstr>VIVOm5</vt:lpstr>
      <vt:lpstr>VOD_m1</vt:lpstr>
      <vt:lpstr>VOD_m2</vt:lpstr>
      <vt:lpstr>VOD_m3</vt:lpstr>
      <vt:lpstr>VOD_m4</vt:lpstr>
      <vt:lpstr>VOD_m5</vt:lpstr>
      <vt:lpstr>vod_m6</vt:lpstr>
      <vt:lpstr>VODAm1</vt:lpstr>
      <vt:lpstr>VODAm2</vt:lpstr>
      <vt:lpstr>VODAm3</vt:lpstr>
      <vt:lpstr>VODAm4</vt:lpstr>
      <vt:lpstr>VODAm5</vt:lpstr>
      <vt:lpstr>vodpm6</vt:lpstr>
      <vt:lpstr>vodpm7</vt:lpstr>
      <vt:lpstr>vodpm8</vt:lpstr>
      <vt:lpstr>vodpm9</vt:lpstr>
      <vt:lpstr>VZNm1</vt:lpstr>
      <vt:lpstr>VZNm2</vt:lpstr>
      <vt:lpstr>VZNm3</vt:lpstr>
      <vt:lpstr>VZNm4</vt:lpstr>
      <vt:lpstr>VZNm5</vt:lpstr>
      <vt:lpstr>VZNm6</vt:lpstr>
      <vt:lpstr>'DM Multiples'!WE_EQ_MULTIPLES</vt:lpstr>
      <vt:lpstr>'EM Multiples'!WE_EQ_MULTIPLES</vt:lpstr>
      <vt:lpstr>'DM Multiples'!WE_EV_MULTIPLES</vt:lpstr>
      <vt:lpstr>'EM Multiples'!WE_EV_MULTIPLES</vt:lpstr>
      <vt:lpstr>'DM Multiples'!WE_GEARING</vt:lpstr>
      <vt:lpstr>'DM Multiples'!WE_GROWTH</vt:lpstr>
      <vt:lpstr>'EM Multiples'!WE_GROWTH</vt:lpstr>
      <vt:lpstr>'DM Multiples'!WE_MARGINS</vt:lpstr>
      <vt:lpstr>'DM Multiples'!WE_PROFIT</vt:lpstr>
      <vt:lpstr>'EM Multiples'!WE_PROFIT</vt:lpstr>
      <vt:lpstr>'DM Multiples'!WE_SIZE</vt:lpstr>
      <vt:lpstr>XLAXm1</vt:lpstr>
      <vt:lpstr>XLAXm2</vt:lpstr>
      <vt:lpstr>XLAXm3</vt:lpstr>
      <vt:lpstr>XLAXm4</vt:lpstr>
      <vt:lpstr>XLAXm5</vt:lpstr>
      <vt:lpstr>ZEG!ZEG_m1</vt:lpstr>
      <vt:lpstr>ZEG!ZEG_m2</vt:lpstr>
      <vt:lpstr>ZEG!ZEG_m3</vt:lpstr>
      <vt:lpstr>ZEG!ZEG_m4</vt:lpstr>
      <vt:lpstr>ZEG!ZEG_m5</vt:lpstr>
    </vt:vector>
  </TitlesOfParts>
  <Company>New Street Research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 Street Research LLP</dc:creator>
  <cp:lastModifiedBy>Ben Rickett</cp:lastModifiedBy>
  <cp:lastPrinted>2026-01-07T15:40:09Z</cp:lastPrinted>
  <dcterms:created xsi:type="dcterms:W3CDTF">2003-07-17T07:32:55Z</dcterms:created>
  <dcterms:modified xsi:type="dcterms:W3CDTF">2026-04-24T13:52:02Z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y fmtid="{D5CDD505-2E9C-101B-9397-08002B2CF9AE}" pid="3" name="Order">
    <vt:r8>698800</vt:r8>
  </property>
  <property fmtid="{D5CDD505-2E9C-101B-9397-08002B2CF9AE}" pid="4" name="ContentTypeId">
    <vt:lpwstr>0x0101004E45DFD126F1C944A14E489380A940D9</vt:lpwstr>
  </property>
  <property fmtid="{D5CDD505-2E9C-101B-9397-08002B2CF9AE}" pid="5" name="MediaServiceImageTags">
    <vt:lpwstr/>
  </property>
</Properties>
</file>